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01" codeName="{0111311B-0956-48F4-D2DB-CD56BCBECE7C}"/>
  <workbookPr codeName="ThisWorkbook"/>
  <mc:AlternateContent xmlns:mc="http://schemas.openxmlformats.org/markup-compatibility/2006">
    <mc:Choice Requires="x15">
      <x15ac:absPath xmlns:x15ac="http://schemas.microsoft.com/office/spreadsheetml/2010/11/ac" url="B:\6_praca\firmy\YourSpreadsheets\wind\wind load EC\free lite version\"/>
    </mc:Choice>
  </mc:AlternateContent>
  <xr:revisionPtr revIDLastSave="0" documentId="13_ncr:1_{8963304B-AAD6-4E96-BDD3-68E5CA7D4171}" xr6:coauthVersionLast="43" xr6:coauthVersionMax="43" xr10:uidLastSave="{00000000-0000-0000-0000-000000000000}"/>
  <workbookProtection workbookPassword="CD8C" lockStructure="1"/>
  <bookViews>
    <workbookView xWindow="-120" yWindow="-120" windowWidth="29040" windowHeight="15690" tabRatio="648" firstSheet="1" activeTab="11" xr2:uid="{00000000-000D-0000-FFFF-FFFF00000000}"/>
  </bookViews>
  <sheets>
    <sheet name="Database" sheetId="10" state="hidden" r:id="rId1"/>
    <sheet name="wind pressure" sheetId="14" r:id="rId2"/>
    <sheet name="input" sheetId="17" state="hidden" r:id="rId3"/>
    <sheet name="Vertical walls" sheetId="5" r:id="rId4"/>
    <sheet name="Free-standing walls" sheetId="4" state="hidden" r:id="rId5"/>
    <sheet name="Flat roofs" sheetId="6" state="hidden" r:id="rId6"/>
    <sheet name="Monopitch roofs" sheetId="7" state="hidden" r:id="rId7"/>
    <sheet name="Duopitch roofs" sheetId="8" state="hidden" r:id="rId8"/>
    <sheet name="Hipped roofs" sheetId="9" state="hidden" r:id="rId9"/>
    <sheet name="Monopitch canopies" sheetId="11" state="hidden" r:id="rId10"/>
    <sheet name="Duopitch canopies" sheetId="12" state="hidden" r:id="rId11"/>
    <sheet name="from author" sheetId="16" r:id="rId12"/>
  </sheets>
  <definedNames>
    <definedName name="City_database">Database!$C$3:$C$37</definedName>
    <definedName name="Degrees">Database!$L$3:$L$463</definedName>
    <definedName name="Factor">Database!$M$3:$M$463</definedName>
    <definedName name="myrange">'Monopitch roofs'!$B$6:$AB$61</definedName>
    <definedName name="_xlnm.Print_Area" localSheetId="10">'Duopitch canopies'!$B$6:$AB$61</definedName>
    <definedName name="_xlnm.Print_Area" localSheetId="7">'Duopitch roofs'!$B$6:$AB$61</definedName>
    <definedName name="_xlnm.Print_Area" localSheetId="5">'Flat roofs'!$B$6:$AB$61</definedName>
    <definedName name="_xlnm.Print_Area" localSheetId="4">'Free-standing walls'!$B$6:$AB$61</definedName>
    <definedName name="_xlnm.Print_Area" localSheetId="8">'Hipped roofs'!$B$6:$AB$61</definedName>
    <definedName name="_xlnm.Print_Area" localSheetId="9">'Monopitch canopies'!$B$6:$AB$61</definedName>
    <definedName name="_xlnm.Print_Area" localSheetId="6">'Monopitch roofs'!$B$6:$AB$61</definedName>
    <definedName name="_xlnm.Print_Area" localSheetId="3">'Vertical walls'!$B$2:$AB$61</definedName>
    <definedName name="_xlnm.Print_Area" localSheetId="1">'wind pressure'!$B$2:$AB$61</definedName>
    <definedName name="Site_terrain_type">input!$AI$9:$AI$10</definedName>
    <definedName name="Structural_type">input!$AM$27:$AM$30</definedName>
    <definedName name="Structure">input!$AI$14:$AI$21</definedName>
    <definedName name="Type_of_surface">input!$AP$27:$AP$29</definedName>
    <definedName name="Z_6C52B67B_3021_4890_8879_9905AB467CFE_.wvu.Cols" localSheetId="0" hidden="1">Database!$O:$W</definedName>
    <definedName name="Z_6C52B67B_3021_4890_8879_9905AB467CFE_.wvu.Cols" localSheetId="10" hidden="1">'Duopitch canopies'!#REF!</definedName>
    <definedName name="Z_6C52B67B_3021_4890_8879_9905AB467CFE_.wvu.Cols" localSheetId="7" hidden="1">'Duopitch roofs'!$AH:$BF</definedName>
    <definedName name="Z_6C52B67B_3021_4890_8879_9905AB467CFE_.wvu.Cols" localSheetId="5" hidden="1">'Flat roofs'!$AI:$AS</definedName>
    <definedName name="Z_6C52B67B_3021_4890_8879_9905AB467CFE_.wvu.Cols" localSheetId="4" hidden="1">'Free-standing walls'!$AH:$AT</definedName>
    <definedName name="Z_6C52B67B_3021_4890_8879_9905AB467CFE_.wvu.Cols" localSheetId="8" hidden="1">'Hipped roofs'!$AH:$BT</definedName>
    <definedName name="Z_6C52B67B_3021_4890_8879_9905AB467CFE_.wvu.Cols" localSheetId="9" hidden="1">'Monopitch canopies'!#REF!</definedName>
    <definedName name="Z_6C52B67B_3021_4890_8879_9905AB467CFE_.wvu.Cols" localSheetId="6" hidden="1">'Monopitch roofs'!$AH:$BJ</definedName>
    <definedName name="Z_6C52B67B_3021_4890_8879_9905AB467CFE_.wvu.Cols" localSheetId="3" hidden="1">'Vertical walls'!$AH:$AT</definedName>
    <definedName name="Z_6C52B67B_3021_4890_8879_9905AB467CFE_.wvu.PrintArea" localSheetId="10" hidden="1">'Duopitch canopies'!#REF!</definedName>
    <definedName name="Z_6C52B67B_3021_4890_8879_9905AB467CFE_.wvu.PrintArea" localSheetId="7" hidden="1">'Duopitch roofs'!#REF!</definedName>
    <definedName name="Z_6C52B67B_3021_4890_8879_9905AB467CFE_.wvu.PrintArea" localSheetId="5" hidden="1">'Flat roofs'!#REF!</definedName>
    <definedName name="Z_6C52B67B_3021_4890_8879_9905AB467CFE_.wvu.PrintArea" localSheetId="4" hidden="1">'Free-standing walls'!$AC$1:$AC$34</definedName>
    <definedName name="Z_6C52B67B_3021_4890_8879_9905AB467CFE_.wvu.PrintArea" localSheetId="8" hidden="1">'Hipped roofs'!#REF!</definedName>
    <definedName name="Z_6C52B67B_3021_4890_8879_9905AB467CFE_.wvu.PrintArea" localSheetId="9" hidden="1">'Monopitch canopies'!#REF!</definedName>
    <definedName name="Z_6C52B67B_3021_4890_8879_9905AB467CFE_.wvu.PrintArea" localSheetId="6" hidden="1">'Monopitch roofs'!#REF!</definedName>
    <definedName name="Z_6C52B67B_3021_4890_8879_9905AB467CFE_.wvu.PrintArea" localSheetId="3" hidden="1">'Vertical walls'!#REF!</definedName>
  </definedNames>
  <calcPr calcId="191029"/>
  <customWorkbookViews>
    <customWorkbookView name="VAKO - Personal View" guid="{6C52B67B-3021-4890-8879-9905AB467CFE}" mergeInterval="0" personalView="1" xWindow="24" windowWidth="1554" windowHeight="860" tabRatio="786" activeSheetId="8"/>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463" i="10" l="1"/>
  <c r="K462" i="10"/>
  <c r="K461" i="10"/>
  <c r="K460" i="10"/>
  <c r="K459" i="10"/>
  <c r="K458" i="10"/>
  <c r="K457" i="10"/>
  <c r="K456" i="10"/>
  <c r="K455" i="10"/>
  <c r="K454" i="10"/>
  <c r="M453" i="10"/>
  <c r="M462" i="10" s="1"/>
  <c r="K453" i="10"/>
  <c r="K452" i="10"/>
  <c r="K451" i="10"/>
  <c r="K450" i="10"/>
  <c r="K449" i="10"/>
  <c r="K448" i="10"/>
  <c r="K447" i="10"/>
  <c r="M446" i="10"/>
  <c r="K446" i="10"/>
  <c r="K445" i="10"/>
  <c r="M444" i="10"/>
  <c r="K444" i="10"/>
  <c r="M443" i="10"/>
  <c r="K443" i="10"/>
  <c r="K442" i="10"/>
  <c r="K441" i="10"/>
  <c r="K440" i="10"/>
  <c r="K439" i="10"/>
  <c r="M438" i="10"/>
  <c r="K438" i="10"/>
  <c r="K437" i="10"/>
  <c r="K436" i="10"/>
  <c r="K435" i="10"/>
  <c r="K434" i="10"/>
  <c r="M433" i="10"/>
  <c r="M442" i="10" s="1"/>
  <c r="K433" i="10"/>
  <c r="K432" i="10"/>
  <c r="K431" i="10"/>
  <c r="K430" i="10"/>
  <c r="K429" i="10"/>
  <c r="K428" i="10"/>
  <c r="K427" i="10"/>
  <c r="K426" i="10"/>
  <c r="K425" i="10"/>
  <c r="K424" i="10"/>
  <c r="M423" i="10"/>
  <c r="M431" i="10" s="1"/>
  <c r="K423" i="10"/>
  <c r="K422" i="10"/>
  <c r="K421" i="10"/>
  <c r="K420" i="10"/>
  <c r="K419" i="10"/>
  <c r="K418" i="10"/>
  <c r="K417" i="10"/>
  <c r="K416" i="10"/>
  <c r="K415" i="10"/>
  <c r="K414" i="10"/>
  <c r="M413" i="10"/>
  <c r="K413" i="10"/>
  <c r="M412" i="10"/>
  <c r="K412" i="10"/>
  <c r="K411" i="10"/>
  <c r="M410" i="10"/>
  <c r="M50" i="10" s="1"/>
  <c r="K410" i="10"/>
  <c r="K409" i="10"/>
  <c r="K408" i="10"/>
  <c r="K407" i="10"/>
  <c r="K406" i="10"/>
  <c r="K405" i="10"/>
  <c r="M404" i="10"/>
  <c r="K404" i="10"/>
  <c r="M403" i="10"/>
  <c r="M411" i="10" s="1"/>
  <c r="K403" i="10"/>
  <c r="K402" i="10"/>
  <c r="K401" i="10"/>
  <c r="M400" i="10"/>
  <c r="K400" i="10"/>
  <c r="K399" i="10"/>
  <c r="K398" i="10"/>
  <c r="K397" i="10"/>
  <c r="K396" i="10"/>
  <c r="K395" i="10"/>
  <c r="K394" i="10"/>
  <c r="M393" i="10"/>
  <c r="M401" i="10" s="1"/>
  <c r="K393" i="10"/>
  <c r="K392" i="10"/>
  <c r="K391" i="10"/>
  <c r="M390" i="10"/>
  <c r="K390" i="10"/>
  <c r="K389" i="10"/>
  <c r="K388" i="10"/>
  <c r="K387" i="10"/>
  <c r="K386" i="10"/>
  <c r="K385" i="10"/>
  <c r="K384" i="10"/>
  <c r="M383" i="10"/>
  <c r="M391" i="10" s="1"/>
  <c r="K383" i="10"/>
  <c r="K382" i="10"/>
  <c r="K381" i="10"/>
  <c r="M380" i="10"/>
  <c r="K380" i="10"/>
  <c r="K379" i="10"/>
  <c r="K378" i="10"/>
  <c r="K377" i="10"/>
  <c r="K376" i="10"/>
  <c r="K375" i="10"/>
  <c r="K374" i="10"/>
  <c r="M373" i="10"/>
  <c r="M381" i="10" s="1"/>
  <c r="K373" i="10"/>
  <c r="K372" i="10"/>
  <c r="K371" i="10"/>
  <c r="M370" i="10"/>
  <c r="K370" i="10"/>
  <c r="K369" i="10"/>
  <c r="M368" i="10"/>
  <c r="K368" i="10"/>
  <c r="K367" i="10"/>
  <c r="K366" i="10"/>
  <c r="K365" i="10"/>
  <c r="K364" i="10"/>
  <c r="M363" i="10"/>
  <c r="M371" i="10" s="1"/>
  <c r="K363" i="10"/>
  <c r="K362" i="10"/>
  <c r="K361" i="10"/>
  <c r="M360" i="10"/>
  <c r="K360" i="10"/>
  <c r="K359" i="10"/>
  <c r="K358" i="10"/>
  <c r="K357" i="10"/>
  <c r="K356" i="10"/>
  <c r="K355" i="10"/>
  <c r="K354" i="10"/>
  <c r="M353" i="10"/>
  <c r="M361" i="10" s="1"/>
  <c r="K353" i="10"/>
  <c r="K352" i="10"/>
  <c r="K351" i="10"/>
  <c r="M350" i="10"/>
  <c r="K350" i="10"/>
  <c r="K349" i="10"/>
  <c r="M348" i="10"/>
  <c r="K348" i="10"/>
  <c r="K347" i="10"/>
  <c r="K346" i="10"/>
  <c r="K345" i="10"/>
  <c r="K344" i="10"/>
  <c r="M343" i="10"/>
  <c r="M351" i="10" s="1"/>
  <c r="K343" i="10"/>
  <c r="K342" i="10"/>
  <c r="K341" i="10"/>
  <c r="M340" i="10"/>
  <c r="K340" i="10"/>
  <c r="K339" i="10"/>
  <c r="M338" i="10"/>
  <c r="K338" i="10"/>
  <c r="K337" i="10"/>
  <c r="K336" i="10"/>
  <c r="K335" i="10"/>
  <c r="K334" i="10"/>
  <c r="M333" i="10"/>
  <c r="M341" i="10" s="1"/>
  <c r="K333" i="10"/>
  <c r="K332" i="10"/>
  <c r="K331" i="10"/>
  <c r="M330" i="10"/>
  <c r="K330" i="10"/>
  <c r="K329" i="10"/>
  <c r="K328" i="10"/>
  <c r="K327" i="10"/>
  <c r="K326" i="10"/>
  <c r="K325" i="10"/>
  <c r="K324" i="10"/>
  <c r="M323" i="10"/>
  <c r="M329" i="10" s="1"/>
  <c r="K323" i="10"/>
  <c r="K322" i="10"/>
  <c r="K321" i="10"/>
  <c r="M320" i="10"/>
  <c r="K320" i="10"/>
  <c r="K319" i="10"/>
  <c r="K318" i="10"/>
  <c r="K317" i="10"/>
  <c r="K316" i="10"/>
  <c r="K315" i="10"/>
  <c r="K314" i="10"/>
  <c r="M313" i="10"/>
  <c r="M321" i="10" s="1"/>
  <c r="K313" i="10"/>
  <c r="K312" i="10"/>
  <c r="K311" i="10"/>
  <c r="M310" i="10"/>
  <c r="K310" i="10"/>
  <c r="K309" i="10"/>
  <c r="K308" i="10"/>
  <c r="K307" i="10"/>
  <c r="K306" i="10"/>
  <c r="K305" i="10"/>
  <c r="K304" i="10"/>
  <c r="M303" i="10"/>
  <c r="M309" i="10" s="1"/>
  <c r="K303" i="10"/>
  <c r="K302" i="10"/>
  <c r="K301" i="10"/>
  <c r="M300" i="10"/>
  <c r="K300" i="10"/>
  <c r="K299" i="10"/>
  <c r="K298" i="10"/>
  <c r="K297" i="10"/>
  <c r="K296" i="10"/>
  <c r="K295" i="10"/>
  <c r="K294" i="10"/>
  <c r="M293" i="10"/>
  <c r="M301" i="10" s="1"/>
  <c r="K293" i="10"/>
  <c r="K292" i="10"/>
  <c r="K291" i="10"/>
  <c r="M290" i="10"/>
  <c r="K290" i="10"/>
  <c r="K289" i="10"/>
  <c r="K288" i="10"/>
  <c r="K287" i="10"/>
  <c r="K286" i="10"/>
  <c r="K285" i="10"/>
  <c r="K284" i="10"/>
  <c r="M283" i="10"/>
  <c r="M289" i="10" s="1"/>
  <c r="K283" i="10"/>
  <c r="K282" i="10"/>
  <c r="K281" i="10"/>
  <c r="M280" i="10"/>
  <c r="K280" i="10"/>
  <c r="K279" i="10"/>
  <c r="K278" i="10"/>
  <c r="K277" i="10"/>
  <c r="K276" i="10"/>
  <c r="K275" i="10"/>
  <c r="K274" i="10"/>
  <c r="M273" i="10"/>
  <c r="M281" i="10" s="1"/>
  <c r="K273" i="10"/>
  <c r="K272" i="10"/>
  <c r="K271" i="10"/>
  <c r="M270" i="10"/>
  <c r="K270" i="10"/>
  <c r="K269" i="10"/>
  <c r="K268" i="10"/>
  <c r="K267" i="10"/>
  <c r="K266" i="10"/>
  <c r="K265" i="10"/>
  <c r="K264" i="10"/>
  <c r="M263" i="10"/>
  <c r="M271" i="10" s="1"/>
  <c r="K263" i="10"/>
  <c r="K262" i="10"/>
  <c r="K261" i="10"/>
  <c r="M260" i="10"/>
  <c r="K260" i="10"/>
  <c r="K259" i="10"/>
  <c r="K258" i="10"/>
  <c r="K257" i="10"/>
  <c r="K256" i="10"/>
  <c r="K255" i="10"/>
  <c r="K254" i="10"/>
  <c r="M253" i="10"/>
  <c r="M261" i="10" s="1"/>
  <c r="K253" i="10"/>
  <c r="K252" i="10"/>
  <c r="K251" i="10"/>
  <c r="M250" i="10"/>
  <c r="K250" i="10"/>
  <c r="K249" i="10"/>
  <c r="K248" i="10"/>
  <c r="K247" i="10"/>
  <c r="K246" i="10"/>
  <c r="K245" i="10"/>
  <c r="K244" i="10"/>
  <c r="M243" i="10"/>
  <c r="M249" i="10" s="1"/>
  <c r="K243" i="10"/>
  <c r="K242" i="10"/>
  <c r="K241" i="10"/>
  <c r="M240" i="10"/>
  <c r="K240" i="10"/>
  <c r="K239" i="10"/>
  <c r="K238" i="10"/>
  <c r="K237" i="10"/>
  <c r="K236" i="10"/>
  <c r="K235" i="10"/>
  <c r="K234" i="10"/>
  <c r="M233" i="10"/>
  <c r="M241" i="10" s="1"/>
  <c r="K233" i="10"/>
  <c r="K232" i="10"/>
  <c r="K231" i="10"/>
  <c r="M230" i="10"/>
  <c r="K230" i="10"/>
  <c r="K229" i="10"/>
  <c r="M228" i="10"/>
  <c r="K228" i="10"/>
  <c r="K227" i="10"/>
  <c r="K226" i="10"/>
  <c r="K225" i="10"/>
  <c r="K224" i="10"/>
  <c r="M223" i="10"/>
  <c r="M229" i="10" s="1"/>
  <c r="K223" i="10"/>
  <c r="K222" i="10"/>
  <c r="K221" i="10"/>
  <c r="M220" i="10"/>
  <c r="K220" i="10"/>
  <c r="K219" i="10"/>
  <c r="M218" i="10"/>
  <c r="K218" i="10"/>
  <c r="K217" i="10"/>
  <c r="K216" i="10"/>
  <c r="K215" i="10"/>
  <c r="K214" i="10"/>
  <c r="M213" i="10"/>
  <c r="M221" i="10" s="1"/>
  <c r="K213" i="10"/>
  <c r="K212" i="10"/>
  <c r="K211" i="10"/>
  <c r="M210" i="10"/>
  <c r="K210" i="10"/>
  <c r="K209" i="10"/>
  <c r="K208" i="10"/>
  <c r="K207" i="10"/>
  <c r="K206" i="10"/>
  <c r="K205" i="10"/>
  <c r="K204" i="10"/>
  <c r="M203" i="10"/>
  <c r="M211" i="10" s="1"/>
  <c r="K203" i="10"/>
  <c r="K202" i="10"/>
  <c r="K201" i="10"/>
  <c r="M200" i="10"/>
  <c r="K200" i="10"/>
  <c r="K199" i="10"/>
  <c r="M198" i="10"/>
  <c r="K198" i="10"/>
  <c r="K197" i="10"/>
  <c r="K196" i="10"/>
  <c r="K195" i="10"/>
  <c r="K194" i="10"/>
  <c r="M193" i="10"/>
  <c r="M199" i="10" s="1"/>
  <c r="K193" i="10"/>
  <c r="K192" i="10"/>
  <c r="K191" i="10"/>
  <c r="M190" i="10"/>
  <c r="K190" i="10"/>
  <c r="K189" i="10"/>
  <c r="K188" i="10"/>
  <c r="K187" i="10"/>
  <c r="K186" i="10"/>
  <c r="K185" i="10"/>
  <c r="K184" i="10"/>
  <c r="M183" i="10"/>
  <c r="M191" i="10" s="1"/>
  <c r="K183" i="10"/>
  <c r="K182" i="10"/>
  <c r="K181" i="10"/>
  <c r="M180" i="10"/>
  <c r="K180" i="10"/>
  <c r="K179" i="10"/>
  <c r="K178" i="10"/>
  <c r="K177" i="10"/>
  <c r="K176" i="10"/>
  <c r="K175" i="10"/>
  <c r="K174" i="10"/>
  <c r="M173" i="10"/>
  <c r="M179" i="10" s="1"/>
  <c r="K173" i="10"/>
  <c r="K172" i="10"/>
  <c r="K171" i="10"/>
  <c r="M170" i="10"/>
  <c r="K170" i="10"/>
  <c r="K169" i="10"/>
  <c r="K168" i="10"/>
  <c r="K167" i="10"/>
  <c r="K166" i="10"/>
  <c r="K165" i="10"/>
  <c r="K164" i="10"/>
  <c r="M163" i="10"/>
  <c r="M171" i="10" s="1"/>
  <c r="K163" i="10"/>
  <c r="K162" i="10"/>
  <c r="K161" i="10"/>
  <c r="M160" i="10"/>
  <c r="K160" i="10"/>
  <c r="K159" i="10"/>
  <c r="M158" i="10"/>
  <c r="K158" i="10"/>
  <c r="K157" i="10"/>
  <c r="K156" i="10"/>
  <c r="K155" i="10"/>
  <c r="K154" i="10"/>
  <c r="M153" i="10"/>
  <c r="M161" i="10" s="1"/>
  <c r="K153" i="10"/>
  <c r="K152" i="10"/>
  <c r="K151" i="10"/>
  <c r="K150" i="10"/>
  <c r="K149" i="10"/>
  <c r="K148" i="10"/>
  <c r="K147" i="10"/>
  <c r="K146" i="10"/>
  <c r="K145" i="10"/>
  <c r="K144" i="10"/>
  <c r="M143" i="10"/>
  <c r="M150" i="10" s="1"/>
  <c r="K143" i="10"/>
  <c r="K142" i="10"/>
  <c r="K141" i="10"/>
  <c r="K140" i="10"/>
  <c r="K139" i="10"/>
  <c r="K138" i="10"/>
  <c r="K137" i="10"/>
  <c r="K136" i="10"/>
  <c r="M135" i="10"/>
  <c r="K135" i="10"/>
  <c r="K134" i="10"/>
  <c r="M133" i="10"/>
  <c r="M141" i="10" s="1"/>
  <c r="K133" i="10"/>
  <c r="K132" i="10"/>
  <c r="K131" i="10"/>
  <c r="K130" i="10"/>
  <c r="K129" i="10"/>
  <c r="K128" i="10"/>
  <c r="K127" i="10"/>
  <c r="K126" i="10"/>
  <c r="M125" i="10"/>
  <c r="K125" i="10"/>
  <c r="K124" i="10"/>
  <c r="M123" i="10"/>
  <c r="M129" i="10" s="1"/>
  <c r="K123" i="10"/>
  <c r="K122" i="10"/>
  <c r="K121" i="10"/>
  <c r="K120" i="10"/>
  <c r="K119" i="10"/>
  <c r="K118" i="10"/>
  <c r="K117" i="10"/>
  <c r="K116" i="10"/>
  <c r="M115" i="10"/>
  <c r="K115" i="10"/>
  <c r="K114" i="10"/>
  <c r="M113" i="10"/>
  <c r="M119" i="10" s="1"/>
  <c r="K113" i="10"/>
  <c r="K112" i="10"/>
  <c r="K111" i="10"/>
  <c r="K110" i="10"/>
  <c r="K109" i="10"/>
  <c r="K108" i="10"/>
  <c r="K107" i="10"/>
  <c r="K106" i="10"/>
  <c r="M105" i="10"/>
  <c r="K105" i="10"/>
  <c r="K104" i="10"/>
  <c r="M103" i="10"/>
  <c r="M111" i="10" s="1"/>
  <c r="K103" i="10"/>
  <c r="K102" i="10"/>
  <c r="K101" i="10"/>
  <c r="K100" i="10"/>
  <c r="K99" i="10"/>
  <c r="K98" i="10"/>
  <c r="K97" i="10"/>
  <c r="K96" i="10"/>
  <c r="M95" i="10"/>
  <c r="K95" i="10"/>
  <c r="K94" i="10"/>
  <c r="M93" i="10"/>
  <c r="M97" i="10" s="1"/>
  <c r="K93" i="10"/>
  <c r="K92" i="10"/>
  <c r="K91" i="10"/>
  <c r="K90" i="10"/>
  <c r="K89" i="10"/>
  <c r="K88" i="10"/>
  <c r="K87" i="10"/>
  <c r="K86" i="10"/>
  <c r="M85" i="10"/>
  <c r="K85" i="10"/>
  <c r="K84" i="10"/>
  <c r="M83" i="10"/>
  <c r="M91" i="10" s="1"/>
  <c r="K83" i="10"/>
  <c r="K82" i="10"/>
  <c r="K81" i="10"/>
  <c r="K80" i="10"/>
  <c r="K79" i="10"/>
  <c r="K78" i="10"/>
  <c r="K77" i="10"/>
  <c r="K76" i="10"/>
  <c r="M75" i="10"/>
  <c r="K75" i="10"/>
  <c r="K74" i="10"/>
  <c r="M73" i="10"/>
  <c r="M79" i="10" s="1"/>
  <c r="K73" i="10"/>
  <c r="K72" i="10"/>
  <c r="K71" i="10"/>
  <c r="K70" i="10"/>
  <c r="K69" i="10"/>
  <c r="K68" i="10"/>
  <c r="K67" i="10"/>
  <c r="K66" i="10"/>
  <c r="M65" i="10"/>
  <c r="K65" i="10"/>
  <c r="K64" i="10"/>
  <c r="M63" i="10"/>
  <c r="M67" i="10" s="1"/>
  <c r="K63" i="10"/>
  <c r="K62" i="10"/>
  <c r="K61" i="10"/>
  <c r="K60" i="10"/>
  <c r="K59" i="10"/>
  <c r="K58" i="10"/>
  <c r="K57" i="10"/>
  <c r="K56" i="10"/>
  <c r="M55" i="10"/>
  <c r="M415" i="10" s="1"/>
  <c r="K55" i="10"/>
  <c r="K54" i="10"/>
  <c r="M53" i="10"/>
  <c r="M59" i="10" s="1"/>
  <c r="M419" i="10" s="1"/>
  <c r="K53" i="10"/>
  <c r="M52" i="10"/>
  <c r="K52" i="10"/>
  <c r="M51" i="10"/>
  <c r="K51" i="10"/>
  <c r="K50" i="10"/>
  <c r="K49" i="10"/>
  <c r="K48" i="10"/>
  <c r="K47" i="10"/>
  <c r="K46" i="10"/>
  <c r="K45" i="10"/>
  <c r="M44" i="10"/>
  <c r="K44" i="10"/>
  <c r="M43" i="10"/>
  <c r="M42" i="10" s="1"/>
  <c r="K43" i="10"/>
  <c r="K42" i="10"/>
  <c r="K41" i="10"/>
  <c r="K40" i="10"/>
  <c r="K39" i="10"/>
  <c r="K38" i="10"/>
  <c r="K37" i="10"/>
  <c r="K36" i="10"/>
  <c r="K35" i="10"/>
  <c r="K34" i="10"/>
  <c r="M33" i="10"/>
  <c r="M39" i="10" s="1"/>
  <c r="K33" i="10"/>
  <c r="K32" i="10"/>
  <c r="K31" i="10"/>
  <c r="K30" i="10"/>
  <c r="K29" i="10"/>
  <c r="K28" i="10"/>
  <c r="K27" i="10"/>
  <c r="K26" i="10"/>
  <c r="K25" i="10"/>
  <c r="K24" i="10"/>
  <c r="M23" i="10"/>
  <c r="K23" i="10"/>
  <c r="K22" i="10"/>
  <c r="K21" i="10"/>
  <c r="K20" i="10"/>
  <c r="K19" i="10"/>
  <c r="K18" i="10"/>
  <c r="K17" i="10"/>
  <c r="K16" i="10"/>
  <c r="K15" i="10"/>
  <c r="K14" i="10"/>
  <c r="M13" i="10"/>
  <c r="K13" i="10"/>
  <c r="K12" i="10"/>
  <c r="K11" i="10"/>
  <c r="K10" i="10"/>
  <c r="K9" i="10"/>
  <c r="K8" i="10"/>
  <c r="K7" i="10"/>
  <c r="K6" i="10"/>
  <c r="M5" i="10"/>
  <c r="K5" i="10"/>
  <c r="K4" i="10"/>
  <c r="M3" i="10"/>
  <c r="M11" i="10" s="1"/>
  <c r="K3" i="10"/>
  <c r="M278" i="10" l="1"/>
  <c r="M308" i="10"/>
  <c r="M318" i="10"/>
  <c r="M358" i="10"/>
  <c r="M378" i="10"/>
  <c r="M388" i="10"/>
  <c r="M398" i="10"/>
  <c r="M408" i="10"/>
  <c r="M48" i="10" s="1"/>
  <c r="M426" i="10"/>
  <c r="M436" i="10"/>
  <c r="M454" i="10"/>
  <c r="M268" i="10"/>
  <c r="M19" i="10"/>
  <c r="M156" i="10"/>
  <c r="M166" i="10"/>
  <c r="M176" i="10"/>
  <c r="M186" i="10"/>
  <c r="M196" i="10"/>
  <c r="M206" i="10"/>
  <c r="M216" i="10"/>
  <c r="M226" i="10"/>
  <c r="M236" i="10"/>
  <c r="M246" i="10"/>
  <c r="M256" i="10"/>
  <c r="M266" i="10"/>
  <c r="M276" i="10"/>
  <c r="M286" i="10"/>
  <c r="M296" i="10"/>
  <c r="M306" i="10"/>
  <c r="M316" i="10"/>
  <c r="M326" i="10"/>
  <c r="M336" i="10"/>
  <c r="M346" i="10"/>
  <c r="M356" i="10"/>
  <c r="M366" i="10"/>
  <c r="M376" i="10"/>
  <c r="M386" i="10"/>
  <c r="M396" i="10"/>
  <c r="M406" i="10"/>
  <c r="M46" i="10" s="1"/>
  <c r="M424" i="10"/>
  <c r="M432" i="10"/>
  <c r="M434" i="10"/>
  <c r="M452" i="10"/>
  <c r="M428" i="10"/>
  <c r="M27" i="10"/>
  <c r="M168" i="10"/>
  <c r="M178" i="10"/>
  <c r="M188" i="10"/>
  <c r="M208" i="10"/>
  <c r="M238" i="10"/>
  <c r="M248" i="10"/>
  <c r="M258" i="10"/>
  <c r="M288" i="10"/>
  <c r="M298" i="10"/>
  <c r="M328" i="10"/>
  <c r="M35" i="10"/>
  <c r="M148" i="10"/>
  <c r="M154" i="10"/>
  <c r="M162" i="10"/>
  <c r="M164" i="10"/>
  <c r="M172" i="10"/>
  <c r="M174" i="10"/>
  <c r="M182" i="10"/>
  <c r="M184" i="10"/>
  <c r="M192" i="10"/>
  <c r="M194" i="10"/>
  <c r="M202" i="10"/>
  <c r="M204" i="10"/>
  <c r="M212" i="10"/>
  <c r="M214" i="10"/>
  <c r="M222" i="10"/>
  <c r="M224" i="10"/>
  <c r="M232" i="10"/>
  <c r="M234" i="10"/>
  <c r="M242" i="10"/>
  <c r="M244" i="10"/>
  <c r="M252" i="10"/>
  <c r="M254" i="10"/>
  <c r="M262" i="10"/>
  <c r="M264" i="10"/>
  <c r="M272" i="10"/>
  <c r="M274" i="10"/>
  <c r="M282" i="10"/>
  <c r="M284" i="10"/>
  <c r="M292" i="10"/>
  <c r="M294" i="10"/>
  <c r="M302" i="10"/>
  <c r="M304" i="10"/>
  <c r="M312" i="10"/>
  <c r="M314" i="10"/>
  <c r="M322" i="10"/>
  <c r="M324" i="10"/>
  <c r="M332" i="10"/>
  <c r="M334" i="10"/>
  <c r="M342" i="10"/>
  <c r="M344" i="10"/>
  <c r="M352" i="10"/>
  <c r="M354" i="10"/>
  <c r="M362" i="10"/>
  <c r="M364" i="10"/>
  <c r="M372" i="10"/>
  <c r="M374" i="10"/>
  <c r="M382" i="10"/>
  <c r="M384" i="10"/>
  <c r="M392" i="10"/>
  <c r="M394" i="10"/>
  <c r="M402" i="10"/>
  <c r="M430" i="10"/>
  <c r="M14" i="10"/>
  <c r="M21" i="10"/>
  <c r="M41" i="10"/>
  <c r="M57" i="10"/>
  <c r="M417" i="10" s="1"/>
  <c r="M4" i="10"/>
  <c r="M8" i="10"/>
  <c r="M12" i="10"/>
  <c r="M16" i="10"/>
  <c r="M20" i="10"/>
  <c r="M24" i="10"/>
  <c r="M28" i="10"/>
  <c r="M32" i="10"/>
  <c r="M36" i="10"/>
  <c r="M40" i="10"/>
  <c r="M54" i="10"/>
  <c r="M414" i="10" s="1"/>
  <c r="M58" i="10"/>
  <c r="M418" i="10" s="1"/>
  <c r="M62" i="10"/>
  <c r="M422" i="10" s="1"/>
  <c r="M66" i="10"/>
  <c r="M70" i="10"/>
  <c r="M74" i="10"/>
  <c r="M78" i="10"/>
  <c r="M82" i="10"/>
  <c r="M86" i="10"/>
  <c r="M90" i="10"/>
  <c r="M94" i="10"/>
  <c r="M98" i="10"/>
  <c r="M102" i="10"/>
  <c r="M106" i="10"/>
  <c r="M110" i="10"/>
  <c r="M114" i="10"/>
  <c r="M118" i="10"/>
  <c r="M122" i="10"/>
  <c r="M126" i="10"/>
  <c r="M130" i="10"/>
  <c r="M134" i="10"/>
  <c r="M138" i="10"/>
  <c r="M142" i="10"/>
  <c r="M152" i="10"/>
  <c r="M7" i="10"/>
  <c r="M15" i="10"/>
  <c r="M29" i="10"/>
  <c r="M37" i="10"/>
  <c r="M6" i="10"/>
  <c r="M10" i="10"/>
  <c r="M18" i="10"/>
  <c r="M22" i="10"/>
  <c r="M26" i="10"/>
  <c r="M30" i="10"/>
  <c r="M34" i="10"/>
  <c r="M38" i="10"/>
  <c r="M56" i="10"/>
  <c r="M416" i="10" s="1"/>
  <c r="M60" i="10"/>
  <c r="M420" i="10" s="1"/>
  <c r="M64" i="10"/>
  <c r="M68" i="10"/>
  <c r="M72" i="10"/>
  <c r="M76" i="10"/>
  <c r="M80" i="10"/>
  <c r="M84" i="10"/>
  <c r="M88" i="10"/>
  <c r="M92" i="10"/>
  <c r="M96" i="10"/>
  <c r="M100" i="10"/>
  <c r="M104" i="10"/>
  <c r="M108" i="10"/>
  <c r="M112" i="10"/>
  <c r="M116" i="10"/>
  <c r="M120" i="10"/>
  <c r="M124" i="10"/>
  <c r="M128" i="10"/>
  <c r="M132" i="10"/>
  <c r="M136" i="10"/>
  <c r="M140" i="10"/>
  <c r="M144" i="10"/>
  <c r="M9" i="10"/>
  <c r="M17" i="10"/>
  <c r="M25" i="10"/>
  <c r="M31" i="10"/>
  <c r="M61" i="10"/>
  <c r="M421" i="10" s="1"/>
  <c r="M69" i="10"/>
  <c r="M71" i="10"/>
  <c r="M77" i="10"/>
  <c r="M81" i="10"/>
  <c r="M87" i="10"/>
  <c r="M99" i="10"/>
  <c r="M101" i="10"/>
  <c r="M107" i="10"/>
  <c r="M117" i="10"/>
  <c r="M121" i="10"/>
  <c r="M127" i="10"/>
  <c r="M131" i="10"/>
  <c r="M139" i="10"/>
  <c r="M89" i="10"/>
  <c r="M109" i="10"/>
  <c r="M137" i="10"/>
  <c r="M149" i="10"/>
  <c r="M145" i="10"/>
  <c r="M151" i="10"/>
  <c r="M147" i="10"/>
  <c r="M146" i="10"/>
  <c r="M155" i="10"/>
  <c r="M159" i="10"/>
  <c r="M165" i="10"/>
  <c r="M169" i="10"/>
  <c r="M177" i="10"/>
  <c r="M181" i="10"/>
  <c r="M185" i="10"/>
  <c r="M189" i="10"/>
  <c r="M197" i="10"/>
  <c r="M201" i="10"/>
  <c r="M205" i="10"/>
  <c r="M209" i="10"/>
  <c r="M217" i="10"/>
  <c r="M219" i="10"/>
  <c r="M227" i="10"/>
  <c r="M231" i="10"/>
  <c r="M235" i="10"/>
  <c r="M239" i="10"/>
  <c r="M247" i="10"/>
  <c r="M251" i="10"/>
  <c r="M255" i="10"/>
  <c r="M259" i="10"/>
  <c r="M265" i="10"/>
  <c r="M269" i="10"/>
  <c r="M277" i="10"/>
  <c r="M279" i="10"/>
  <c r="M287" i="10"/>
  <c r="M291" i="10"/>
  <c r="M295" i="10"/>
  <c r="M299" i="10"/>
  <c r="M307" i="10"/>
  <c r="M311" i="10"/>
  <c r="M315" i="10"/>
  <c r="M319" i="10"/>
  <c r="M327" i="10"/>
  <c r="M331" i="10"/>
  <c r="M335" i="10"/>
  <c r="M339" i="10"/>
  <c r="M347" i="10"/>
  <c r="M349" i="10"/>
  <c r="M355" i="10"/>
  <c r="M357" i="10"/>
  <c r="M359" i="10"/>
  <c r="M365" i="10"/>
  <c r="M367" i="10"/>
  <c r="M369" i="10"/>
  <c r="M375" i="10"/>
  <c r="M377" i="10"/>
  <c r="M379" i="10"/>
  <c r="M385" i="10"/>
  <c r="M387" i="10"/>
  <c r="M389" i="10"/>
  <c r="M395" i="10"/>
  <c r="M397" i="10"/>
  <c r="M399" i="10"/>
  <c r="M405" i="10"/>
  <c r="M45" i="10" s="1"/>
  <c r="M407" i="10"/>
  <c r="M47" i="10" s="1"/>
  <c r="M409" i="10"/>
  <c r="M49" i="10" s="1"/>
  <c r="M425" i="10"/>
  <c r="M427" i="10"/>
  <c r="M429" i="10"/>
  <c r="M435" i="10"/>
  <c r="M437" i="10"/>
  <c r="M439" i="10"/>
  <c r="M441" i="10"/>
  <c r="M445" i="10"/>
  <c r="M447" i="10"/>
  <c r="M449" i="10"/>
  <c r="M451" i="10"/>
  <c r="M455" i="10"/>
  <c r="M457" i="10"/>
  <c r="M459" i="10"/>
  <c r="M461" i="10"/>
  <c r="M157" i="10"/>
  <c r="M167" i="10"/>
  <c r="M175" i="10"/>
  <c r="M187" i="10"/>
  <c r="M195" i="10"/>
  <c r="M207" i="10"/>
  <c r="M215" i="10"/>
  <c r="M225" i="10"/>
  <c r="M237" i="10"/>
  <c r="M245" i="10"/>
  <c r="M257" i="10"/>
  <c r="M267" i="10"/>
  <c r="M275" i="10"/>
  <c r="M285" i="10"/>
  <c r="M297" i="10"/>
  <c r="M305" i="10"/>
  <c r="M317" i="10"/>
  <c r="M325" i="10"/>
  <c r="M337" i="10"/>
  <c r="M345" i="10"/>
  <c r="M440" i="10"/>
  <c r="M448" i="10"/>
  <c r="M450" i="10"/>
  <c r="M456" i="10"/>
  <c r="M458" i="10"/>
  <c r="M460" i="10"/>
  <c r="C29" i="14"/>
  <c r="AE33" i="17" l="1"/>
  <c r="AE32" i="17"/>
  <c r="AE31" i="17"/>
  <c r="AE30" i="17"/>
  <c r="AE29" i="17"/>
  <c r="AE28" i="17"/>
  <c r="AE27" i="17"/>
  <c r="AE26" i="17"/>
  <c r="AE25" i="17"/>
  <c r="AE24" i="17"/>
  <c r="AE23" i="17"/>
  <c r="AE22" i="17"/>
  <c r="AE21" i="17"/>
  <c r="AE20" i="5"/>
  <c r="AE20" i="17" s="1"/>
  <c r="AE19" i="5"/>
  <c r="AE19" i="17" s="1"/>
  <c r="AE18" i="5"/>
  <c r="AE18" i="17" s="1"/>
  <c r="AE17" i="5"/>
  <c r="AE17" i="17" s="1"/>
  <c r="AE16" i="5"/>
  <c r="AE16" i="17" s="1"/>
  <c r="AE15" i="5"/>
  <c r="AE15" i="17"/>
  <c r="AE14" i="5"/>
  <c r="AE14" i="17" s="1"/>
  <c r="AE13" i="5"/>
  <c r="AE13" i="17" s="1"/>
  <c r="AE12" i="5"/>
  <c r="AE12" i="17" s="1"/>
  <c r="AE11" i="5"/>
  <c r="AE11" i="17" s="1"/>
  <c r="AE10" i="5"/>
  <c r="AE10" i="17" s="1"/>
  <c r="AE9" i="5"/>
  <c r="AE9" i="17" s="1"/>
  <c r="AE8" i="5"/>
  <c r="AE8" i="17" s="1"/>
  <c r="Y5" i="5"/>
  <c r="AE30" i="9"/>
  <c r="AE29" i="9"/>
  <c r="AE20" i="9"/>
  <c r="AE19" i="9"/>
  <c r="AE18" i="9"/>
  <c r="AE17" i="9"/>
  <c r="AE16" i="9"/>
  <c r="AE15" i="9"/>
  <c r="AE14" i="9"/>
  <c r="AE13" i="9"/>
  <c r="AE12" i="9"/>
  <c r="AE11" i="9"/>
  <c r="AE10" i="9"/>
  <c r="AE9" i="9"/>
  <c r="AE8" i="9"/>
  <c r="AE33" i="11"/>
  <c r="AE31" i="11"/>
  <c r="AE29" i="11"/>
  <c r="AE14" i="11"/>
  <c r="AE13" i="11"/>
  <c r="AE12" i="11"/>
  <c r="AE11" i="11"/>
  <c r="AE10" i="11"/>
  <c r="AE8" i="11"/>
  <c r="AE30" i="8"/>
  <c r="AE29" i="8"/>
  <c r="AE20" i="8"/>
  <c r="AE19" i="8"/>
  <c r="AE18" i="8"/>
  <c r="AE17" i="8"/>
  <c r="AE16" i="8"/>
  <c r="AE15" i="8"/>
  <c r="AE14" i="8"/>
  <c r="AE13" i="8"/>
  <c r="AE12" i="8"/>
  <c r="AE11" i="8"/>
  <c r="AE10" i="8"/>
  <c r="AE9" i="8"/>
  <c r="AE8" i="8"/>
  <c r="AE30" i="7"/>
  <c r="AE29" i="7"/>
  <c r="AE20" i="7"/>
  <c r="AE19" i="7"/>
  <c r="AE18" i="7"/>
  <c r="AE17" i="7"/>
  <c r="AE16" i="7"/>
  <c r="AE15" i="7"/>
  <c r="AE14" i="7"/>
  <c r="AE13" i="7"/>
  <c r="AE12" i="7"/>
  <c r="AE11" i="7"/>
  <c r="AE10" i="7"/>
  <c r="AE9" i="7"/>
  <c r="AE8" i="7"/>
  <c r="AE28" i="6"/>
  <c r="AE27" i="6"/>
  <c r="AE26" i="6"/>
  <c r="AE25" i="6"/>
  <c r="AE20" i="6"/>
  <c r="AE19" i="6"/>
  <c r="AE18" i="6"/>
  <c r="AE17" i="6"/>
  <c r="AE16" i="6"/>
  <c r="AE15" i="6"/>
  <c r="AE14" i="6"/>
  <c r="AE13" i="6"/>
  <c r="AE12" i="6"/>
  <c r="AE11" i="6"/>
  <c r="AE10" i="6"/>
  <c r="AE9" i="6"/>
  <c r="AE8" i="6"/>
  <c r="AE24" i="4"/>
  <c r="AE23" i="4"/>
  <c r="AE22" i="4"/>
  <c r="AE21" i="4"/>
  <c r="AE14" i="4"/>
  <c r="AE12" i="4"/>
  <c r="AE11" i="4"/>
  <c r="AE9" i="4"/>
  <c r="AE8" i="4"/>
  <c r="AE14" i="12" l="1"/>
  <c r="AE11" i="12"/>
  <c r="AW61" i="12"/>
  <c r="AV61" i="12"/>
  <c r="AU61" i="12"/>
  <c r="AT61" i="12"/>
  <c r="AS61" i="12"/>
  <c r="AW60" i="12"/>
  <c r="AV60" i="12"/>
  <c r="AU60" i="12"/>
  <c r="AT60" i="12"/>
  <c r="AS60" i="12"/>
  <c r="AW59" i="12"/>
  <c r="AV59" i="12"/>
  <c r="AU59" i="12"/>
  <c r="AT59" i="12"/>
  <c r="AS59" i="12"/>
  <c r="AW58" i="12"/>
  <c r="AV58" i="12"/>
  <c r="AU58" i="12"/>
  <c r="AT58" i="12"/>
  <c r="AS58" i="12"/>
  <c r="AW57" i="12"/>
  <c r="AV57" i="12"/>
  <c r="AU57" i="12"/>
  <c r="AT57" i="12"/>
  <c r="AS57" i="12"/>
  <c r="AW56" i="12"/>
  <c r="AV56" i="12"/>
  <c r="AU56" i="12"/>
  <c r="AT56" i="12"/>
  <c r="AS56" i="12"/>
  <c r="AW55" i="12"/>
  <c r="AV55" i="12"/>
  <c r="AU55" i="12"/>
  <c r="AT55" i="12"/>
  <c r="AS55" i="12"/>
  <c r="AW54" i="12"/>
  <c r="AV54" i="12"/>
  <c r="AU54" i="12"/>
  <c r="AT54" i="12"/>
  <c r="AS54" i="12"/>
  <c r="AW53" i="12"/>
  <c r="AV53" i="12"/>
  <c r="AU53" i="12"/>
  <c r="AT53" i="12"/>
  <c r="AS53" i="12"/>
  <c r="AW52" i="12"/>
  <c r="AV52" i="12"/>
  <c r="AU52" i="12"/>
  <c r="AT52" i="12"/>
  <c r="AS52" i="12"/>
  <c r="AW51" i="12"/>
  <c r="AV51" i="12"/>
  <c r="AU51" i="12"/>
  <c r="AT51" i="12"/>
  <c r="AS51" i="12"/>
  <c r="AW50" i="12"/>
  <c r="AV50" i="12"/>
  <c r="AU50" i="12"/>
  <c r="AT50" i="12"/>
  <c r="AS50" i="12"/>
  <c r="AW49" i="12"/>
  <c r="AV49" i="12"/>
  <c r="AU49" i="12"/>
  <c r="AT49" i="12"/>
  <c r="AS49" i="12"/>
  <c r="AW48" i="12"/>
  <c r="AV48" i="12"/>
  <c r="AU48" i="12"/>
  <c r="AT48" i="12"/>
  <c r="AS48" i="12"/>
  <c r="AW47" i="12"/>
  <c r="AV47" i="12"/>
  <c r="AU47" i="12"/>
  <c r="AT47" i="12"/>
  <c r="AS47" i="12"/>
  <c r="AW46" i="12"/>
  <c r="AV46" i="12"/>
  <c r="AU46" i="12"/>
  <c r="AT46" i="12"/>
  <c r="AS46" i="12"/>
  <c r="AW45" i="12"/>
  <c r="AV45" i="12"/>
  <c r="AU45" i="12"/>
  <c r="AT45" i="12"/>
  <c r="AS45" i="12"/>
  <c r="AW44" i="12"/>
  <c r="AV44" i="12"/>
  <c r="AU44" i="12"/>
  <c r="AT44" i="12"/>
  <c r="AS44" i="12"/>
  <c r="AW43" i="12"/>
  <c r="AV43" i="12"/>
  <c r="AU43" i="12"/>
  <c r="AT43" i="12"/>
  <c r="AS43" i="12"/>
  <c r="AW42" i="12"/>
  <c r="AV42" i="12"/>
  <c r="AU42" i="12"/>
  <c r="AT42" i="12"/>
  <c r="AS42" i="12"/>
  <c r="AW37" i="12"/>
  <c r="AV37" i="12"/>
  <c r="AU37" i="12"/>
  <c r="AT37" i="12"/>
  <c r="AS37" i="12"/>
  <c r="AW36" i="12"/>
  <c r="AV36" i="12"/>
  <c r="AU36" i="12"/>
  <c r="AT36" i="12"/>
  <c r="AS36" i="12"/>
  <c r="AW35" i="12"/>
  <c r="AV35" i="12"/>
  <c r="AU35" i="12"/>
  <c r="AT35" i="12"/>
  <c r="AS35" i="12"/>
  <c r="AW34" i="12"/>
  <c r="AV34" i="12"/>
  <c r="AU34" i="12"/>
  <c r="AT34" i="12"/>
  <c r="AS34" i="12"/>
  <c r="AW33" i="12"/>
  <c r="AV33" i="12"/>
  <c r="AU33" i="12"/>
  <c r="AT33" i="12"/>
  <c r="AS33" i="12"/>
  <c r="AW32" i="12"/>
  <c r="AV32" i="12"/>
  <c r="AU32" i="12"/>
  <c r="AT32" i="12"/>
  <c r="AS32" i="12"/>
  <c r="AW31" i="12"/>
  <c r="AV31" i="12"/>
  <c r="AU31" i="12"/>
  <c r="AT31" i="12"/>
  <c r="AS31" i="12"/>
  <c r="AW30" i="12"/>
  <c r="AV30" i="12"/>
  <c r="AU30" i="12"/>
  <c r="AT30" i="12"/>
  <c r="AS30" i="12"/>
  <c r="AW29" i="12"/>
  <c r="AV29" i="12"/>
  <c r="AU29" i="12"/>
  <c r="AT29" i="12"/>
  <c r="AS29" i="12"/>
  <c r="AW28" i="12"/>
  <c r="AV28" i="12"/>
  <c r="AU28" i="12"/>
  <c r="AT28" i="12"/>
  <c r="AS28" i="12"/>
  <c r="AT38" i="11"/>
  <c r="AS38" i="11"/>
  <c r="AR38" i="11"/>
  <c r="AQ38" i="11"/>
  <c r="AT37" i="11"/>
  <c r="AS37" i="11"/>
  <c r="AR37" i="11"/>
  <c r="AQ37" i="11"/>
  <c r="AT36" i="11"/>
  <c r="AS36" i="11"/>
  <c r="AR36" i="11"/>
  <c r="AQ36" i="11"/>
  <c r="AT35" i="11"/>
  <c r="AS35" i="11"/>
  <c r="AR35" i="11"/>
  <c r="AQ35" i="11"/>
  <c r="AT34" i="11"/>
  <c r="AS34" i="11"/>
  <c r="AR34" i="11"/>
  <c r="AQ34" i="11"/>
  <c r="AT33" i="11"/>
  <c r="AS33" i="11"/>
  <c r="AR33" i="11"/>
  <c r="AQ33" i="11"/>
  <c r="AT32" i="11"/>
  <c r="AS32" i="11"/>
  <c r="AR32" i="11"/>
  <c r="AQ32" i="11"/>
  <c r="AT31" i="11"/>
  <c r="AS31" i="11"/>
  <c r="AR31" i="11"/>
  <c r="AQ31" i="11"/>
  <c r="AT30" i="11"/>
  <c r="AS30" i="11"/>
  <c r="AR30" i="11"/>
  <c r="AQ30" i="11"/>
  <c r="AT29" i="11"/>
  <c r="AS29" i="11"/>
  <c r="AR29" i="11"/>
  <c r="AQ29" i="11"/>
  <c r="AT28" i="11"/>
  <c r="AS28" i="11"/>
  <c r="AR28" i="11"/>
  <c r="AQ28" i="11"/>
  <c r="AT27" i="11"/>
  <c r="AS27" i="11"/>
  <c r="AR27" i="11"/>
  <c r="AQ27" i="11"/>
  <c r="AT26" i="11"/>
  <c r="AS26" i="11"/>
  <c r="AR26" i="11"/>
  <c r="AQ26" i="11"/>
  <c r="AT25" i="11"/>
  <c r="AS25" i="11"/>
  <c r="AR25" i="11"/>
  <c r="AQ25" i="11"/>
  <c r="AT20" i="11"/>
  <c r="AS20" i="11"/>
  <c r="AR20" i="11"/>
  <c r="AQ20" i="11"/>
  <c r="AT19" i="11"/>
  <c r="AS19" i="11"/>
  <c r="AR19" i="11"/>
  <c r="AQ19" i="11"/>
  <c r="AT18" i="11"/>
  <c r="AS18" i="11"/>
  <c r="AR18" i="11"/>
  <c r="AQ18" i="11"/>
  <c r="AT17" i="11"/>
  <c r="AS17" i="11"/>
  <c r="AR17" i="11"/>
  <c r="AQ17" i="11"/>
  <c r="AT16" i="11"/>
  <c r="AS16" i="11"/>
  <c r="AR16" i="11"/>
  <c r="AQ16" i="11"/>
  <c r="AT15" i="11"/>
  <c r="AS15" i="11"/>
  <c r="AR15" i="11"/>
  <c r="AQ15" i="11"/>
  <c r="AT14" i="11"/>
  <c r="AS14" i="11"/>
  <c r="AR14" i="11"/>
  <c r="AQ14" i="11"/>
  <c r="D45" i="4"/>
  <c r="E43" i="4"/>
  <c r="M28" i="4"/>
  <c r="M23" i="4"/>
  <c r="AI22" i="4"/>
  <c r="AH16" i="4"/>
  <c r="AH15" i="4"/>
  <c r="AH14" i="4"/>
  <c r="AH13" i="4"/>
  <c r="AH27" i="5" l="1"/>
  <c r="AH26" i="5"/>
  <c r="AH25" i="5"/>
  <c r="AJ26" i="5" s="1"/>
  <c r="M21" i="5"/>
  <c r="AI13" i="5"/>
  <c r="AI9" i="5"/>
  <c r="BD347" i="17"/>
  <c r="BD346" i="17"/>
  <c r="BD345" i="17"/>
  <c r="BD344" i="17"/>
  <c r="BD327" i="17"/>
  <c r="BD326" i="17"/>
  <c r="BD325" i="17"/>
  <c r="BD324" i="17"/>
  <c r="BD323" i="17"/>
  <c r="BD316" i="17"/>
  <c r="BD315" i="17"/>
  <c r="BD314" i="17"/>
  <c r="BD313" i="17"/>
  <c r="BD312" i="17"/>
  <c r="BD311" i="17"/>
  <c r="AJ27" i="5" l="1"/>
  <c r="AS13" i="14"/>
  <c r="AT13" i="14" s="1"/>
  <c r="AO19" i="14"/>
  <c r="AN19" i="14"/>
  <c r="AM19" i="14"/>
  <c r="AL19" i="14"/>
  <c r="AO17" i="14"/>
  <c r="AN17" i="14"/>
  <c r="AM17" i="14"/>
  <c r="AL17" i="14"/>
  <c r="AO16" i="14"/>
  <c r="AN16" i="14"/>
  <c r="AM16" i="14"/>
  <c r="AL16" i="14"/>
  <c r="AO15" i="14"/>
  <c r="AN15" i="14"/>
  <c r="AM15" i="14"/>
  <c r="AL15" i="14"/>
  <c r="Y9" i="17"/>
  <c r="AE33" i="12" l="1"/>
  <c r="AE32" i="12"/>
  <c r="AE31" i="12"/>
  <c r="AE29" i="12"/>
  <c r="AE13" i="12"/>
  <c r="AE12" i="12"/>
  <c r="AE10" i="12"/>
  <c r="AE8" i="12"/>
  <c r="Z23" i="17" l="1"/>
  <c r="M16" i="17"/>
  <c r="M14" i="17"/>
  <c r="Q43" i="5"/>
  <c r="AN42" i="5"/>
  <c r="E42" i="5"/>
  <c r="J42" i="5" s="1"/>
  <c r="AN41" i="5"/>
  <c r="AN40" i="5"/>
  <c r="U38" i="5"/>
  <c r="U37" i="5"/>
  <c r="AO28" i="5"/>
  <c r="AW26" i="5"/>
  <c r="Z19" i="5"/>
  <c r="AJ6" i="5"/>
  <c r="AH6" i="5"/>
  <c r="AV348" i="17"/>
  <c r="BC347" i="17"/>
  <c r="AU347" i="17"/>
  <c r="AU348" i="17" s="1"/>
  <c r="BC346" i="17"/>
  <c r="AU346" i="17"/>
  <c r="BC345" i="17"/>
  <c r="AU345" i="17"/>
  <c r="BC344" i="17"/>
  <c r="AU344" i="17"/>
  <c r="BB343" i="17"/>
  <c r="BC343" i="17" s="1"/>
  <c r="BA343" i="17"/>
  <c r="AZ343" i="17"/>
  <c r="BD343" i="17" s="1"/>
  <c r="AY343" i="17"/>
  <c r="AX343" i="17"/>
  <c r="AW343" i="17"/>
  <c r="AV343" i="17"/>
  <c r="AU343" i="17" s="1"/>
  <c r="BB337" i="17"/>
  <c r="BC337" i="17" s="1"/>
  <c r="BC338" i="17" s="1"/>
  <c r="BA337" i="17"/>
  <c r="BA338" i="17" s="1"/>
  <c r="AZ337" i="17"/>
  <c r="AY337" i="17"/>
  <c r="AY338" i="17" s="1"/>
  <c r="AX337" i="17"/>
  <c r="AX338" i="17" s="1"/>
  <c r="AW337" i="17"/>
  <c r="AW338" i="17" s="1"/>
  <c r="AV337" i="17"/>
  <c r="BC336" i="17"/>
  <c r="BB336" i="17"/>
  <c r="BA336" i="17"/>
  <c r="AZ336" i="17"/>
  <c r="AY336" i="17"/>
  <c r="AX336" i="17"/>
  <c r="AW336" i="17"/>
  <c r="AV336" i="17"/>
  <c r="AU336" i="17" s="1"/>
  <c r="BB335" i="17"/>
  <c r="BC335" i="17" s="1"/>
  <c r="BA335" i="17"/>
  <c r="AZ335" i="17"/>
  <c r="AY335" i="17"/>
  <c r="AX335" i="17"/>
  <c r="AW335" i="17"/>
  <c r="AV335" i="17"/>
  <c r="AU335" i="17" s="1"/>
  <c r="BB334" i="17"/>
  <c r="BC334" i="17" s="1"/>
  <c r="BA334" i="17"/>
  <c r="BA333" i="17" s="1"/>
  <c r="AZ334" i="17"/>
  <c r="AY334" i="17"/>
  <c r="AY333" i="17" s="1"/>
  <c r="AX334" i="17"/>
  <c r="AW334" i="17"/>
  <c r="AW333" i="17" s="1"/>
  <c r="AV334" i="17"/>
  <c r="AU334" i="17" s="1"/>
  <c r="BB333" i="17"/>
  <c r="BC333" i="17" s="1"/>
  <c r="AZ333" i="17"/>
  <c r="BD333" i="17" s="1"/>
  <c r="AX333" i="17"/>
  <c r="BB328" i="17"/>
  <c r="BA328" i="17"/>
  <c r="AZ328" i="17"/>
  <c r="AY328" i="17"/>
  <c r="AX328" i="17"/>
  <c r="AW328" i="17"/>
  <c r="AV328" i="17"/>
  <c r="BC327" i="17"/>
  <c r="BC328" i="17" s="1"/>
  <c r="AU327" i="17"/>
  <c r="AU328" i="17" s="1"/>
  <c r="BC326" i="17"/>
  <c r="AU326" i="17"/>
  <c r="BC325" i="17"/>
  <c r="AU325" i="17"/>
  <c r="BC324" i="17"/>
  <c r="AU324" i="17"/>
  <c r="BC323" i="17"/>
  <c r="AU323" i="17"/>
  <c r="BB322" i="17"/>
  <c r="BC322" i="17" s="1"/>
  <c r="BA322" i="17"/>
  <c r="AZ322" i="17"/>
  <c r="BD322" i="17" s="1"/>
  <c r="AY322" i="17"/>
  <c r="AX322" i="17"/>
  <c r="AW322" i="17"/>
  <c r="AV322" i="17"/>
  <c r="AU322" i="17" s="1"/>
  <c r="BB317" i="17"/>
  <c r="BA317" i="17"/>
  <c r="AZ317" i="17"/>
  <c r="BD317" i="17" s="1"/>
  <c r="AY317" i="17"/>
  <c r="AX317" i="17"/>
  <c r="AW317" i="17"/>
  <c r="AV317" i="17"/>
  <c r="BC316" i="17"/>
  <c r="BC317" i="17" s="1"/>
  <c r="AU316" i="17"/>
  <c r="AU317" i="17" s="1"/>
  <c r="BC315" i="17"/>
  <c r="AU315" i="17"/>
  <c r="BC314" i="17"/>
  <c r="AU314" i="17"/>
  <c r="BC313" i="17"/>
  <c r="AU313" i="17"/>
  <c r="BC312" i="17"/>
  <c r="AU312" i="17"/>
  <c r="BC311" i="17"/>
  <c r="AU311" i="17"/>
  <c r="BB310" i="17"/>
  <c r="BC310" i="17" s="1"/>
  <c r="BA310" i="17"/>
  <c r="AZ310" i="17"/>
  <c r="AY310" i="17"/>
  <c r="AX310" i="17"/>
  <c r="AW310" i="17"/>
  <c r="AV310" i="17"/>
  <c r="AU310" i="17" s="1"/>
  <c r="AV291" i="17"/>
  <c r="AV292" i="17" s="1"/>
  <c r="AV293" i="17" s="1"/>
  <c r="AV294" i="17" s="1"/>
  <c r="AV295" i="17" s="1"/>
  <c r="AV296" i="17" s="1"/>
  <c r="AV297" i="17" s="1"/>
  <c r="AV298" i="17" s="1"/>
  <c r="AV299" i="17" s="1"/>
  <c r="AV300" i="17" s="1"/>
  <c r="AV301" i="17" s="1"/>
  <c r="AV302" i="17" s="1"/>
  <c r="BC290" i="17"/>
  <c r="BD290" i="17" s="1"/>
  <c r="BE290" i="17" s="1"/>
  <c r="BF290" i="17" s="1"/>
  <c r="BG290" i="17" s="1"/>
  <c r="BH290" i="17" s="1"/>
  <c r="BI290" i="17" s="1"/>
  <c r="BJ290" i="17" s="1"/>
  <c r="BK290" i="17" s="1"/>
  <c r="BL290" i="17" s="1"/>
  <c r="BA290" i="17"/>
  <c r="BB290" i="17" s="1"/>
  <c r="AZ290" i="17"/>
  <c r="AZ291" i="17" s="1"/>
  <c r="AY290" i="17"/>
  <c r="AY291" i="17" s="1"/>
  <c r="AY292" i="17" s="1"/>
  <c r="AY293" i="17" s="1"/>
  <c r="AY294" i="17" s="1"/>
  <c r="AY295" i="17" s="1"/>
  <c r="AY296" i="17" s="1"/>
  <c r="AY297" i="17" s="1"/>
  <c r="AY298" i="17" s="1"/>
  <c r="AY299" i="17" s="1"/>
  <c r="AY300" i="17" s="1"/>
  <c r="AY301" i="17" s="1"/>
  <c r="AY302" i="17" s="1"/>
  <c r="AX290" i="17"/>
  <c r="AX291" i="17" s="1"/>
  <c r="AX292" i="17" s="1"/>
  <c r="AX293" i="17" s="1"/>
  <c r="AX294" i="17" s="1"/>
  <c r="AX295" i="17" s="1"/>
  <c r="AX296" i="17" s="1"/>
  <c r="AX297" i="17" s="1"/>
  <c r="AX298" i="17" s="1"/>
  <c r="AX299" i="17" s="1"/>
  <c r="AX300" i="17" s="1"/>
  <c r="AX301" i="17" s="1"/>
  <c r="AX302" i="17" s="1"/>
  <c r="AW290" i="17"/>
  <c r="AW291" i="17" s="1"/>
  <c r="AW292" i="17" s="1"/>
  <c r="AW293" i="17" s="1"/>
  <c r="AW294" i="17" s="1"/>
  <c r="AW295" i="17" s="1"/>
  <c r="AW296" i="17" s="1"/>
  <c r="AW297" i="17" s="1"/>
  <c r="AW298" i="17" s="1"/>
  <c r="AW299" i="17" s="1"/>
  <c r="AW300" i="17" s="1"/>
  <c r="AW301" i="17" s="1"/>
  <c r="AW302" i="17" s="1"/>
  <c r="AV290" i="17"/>
  <c r="AU290" i="17"/>
  <c r="AU291" i="17" s="1"/>
  <c r="AU292" i="17" s="1"/>
  <c r="AU293" i="17" s="1"/>
  <c r="AU294" i="17" s="1"/>
  <c r="AU295" i="17" s="1"/>
  <c r="AU296" i="17" s="1"/>
  <c r="AU297" i="17" s="1"/>
  <c r="AU298" i="17" s="1"/>
  <c r="AU299" i="17" s="1"/>
  <c r="AU300" i="17" s="1"/>
  <c r="AU301" i="17" s="1"/>
  <c r="AU302" i="17" s="1"/>
  <c r="AT290" i="17"/>
  <c r="AT291" i="17" s="1"/>
  <c r="AT292" i="17" s="1"/>
  <c r="AT293" i="17" s="1"/>
  <c r="AT294" i="17" s="1"/>
  <c r="AT295" i="17" s="1"/>
  <c r="AT296" i="17" s="1"/>
  <c r="AT297" i="17" s="1"/>
  <c r="AT298" i="17" s="1"/>
  <c r="AT299" i="17" s="1"/>
  <c r="AT300" i="17" s="1"/>
  <c r="AT301" i="17" s="1"/>
  <c r="AT302" i="17" s="1"/>
  <c r="BA289" i="17"/>
  <c r="BB289" i="17" s="1"/>
  <c r="BC289" i="17" s="1"/>
  <c r="BD289" i="17" s="1"/>
  <c r="BE289" i="17" s="1"/>
  <c r="BF289" i="17" s="1"/>
  <c r="BG289" i="17" s="1"/>
  <c r="BH289" i="17" s="1"/>
  <c r="BI289" i="17" s="1"/>
  <c r="BJ289" i="17" s="1"/>
  <c r="BK289" i="17" s="1"/>
  <c r="BL289" i="17" s="1"/>
  <c r="BA288" i="17"/>
  <c r="BB288" i="17" s="1"/>
  <c r="BC288" i="17" s="1"/>
  <c r="BD288" i="17" s="1"/>
  <c r="BE288" i="17" s="1"/>
  <c r="BF288" i="17" s="1"/>
  <c r="BG288" i="17" s="1"/>
  <c r="BH288" i="17" s="1"/>
  <c r="BI288" i="17" s="1"/>
  <c r="BJ288" i="17" s="1"/>
  <c r="BK288" i="17" s="1"/>
  <c r="BL288" i="17" s="1"/>
  <c r="BA287" i="17"/>
  <c r="BB287" i="17" s="1"/>
  <c r="BC287" i="17" s="1"/>
  <c r="BD287" i="17" s="1"/>
  <c r="BE287" i="17" s="1"/>
  <c r="BF287" i="17" s="1"/>
  <c r="BG287" i="17" s="1"/>
  <c r="BH287" i="17" s="1"/>
  <c r="BI287" i="17" s="1"/>
  <c r="BJ287" i="17" s="1"/>
  <c r="BK287" i="17" s="1"/>
  <c r="BL287" i="17" s="1"/>
  <c r="BA286" i="17"/>
  <c r="BB286" i="17" s="1"/>
  <c r="BC286" i="17" s="1"/>
  <c r="BD286" i="17" s="1"/>
  <c r="BE286" i="17" s="1"/>
  <c r="BF286" i="17" s="1"/>
  <c r="BG286" i="17" s="1"/>
  <c r="BH286" i="17" s="1"/>
  <c r="BI286" i="17" s="1"/>
  <c r="BJ286" i="17" s="1"/>
  <c r="BK286" i="17" s="1"/>
  <c r="BL286" i="17" s="1"/>
  <c r="BA285" i="17"/>
  <c r="BB285" i="17" s="1"/>
  <c r="BC285" i="17" s="1"/>
  <c r="BD285" i="17" s="1"/>
  <c r="BE285" i="17" s="1"/>
  <c r="BF285" i="17" s="1"/>
  <c r="BG285" i="17" s="1"/>
  <c r="BH285" i="17" s="1"/>
  <c r="BI285" i="17" s="1"/>
  <c r="BJ285" i="17" s="1"/>
  <c r="BK285" i="17" s="1"/>
  <c r="BL285" i="17" s="1"/>
  <c r="BA284" i="17"/>
  <c r="BB284" i="17" s="1"/>
  <c r="BC284" i="17" s="1"/>
  <c r="BD284" i="17" s="1"/>
  <c r="BE284" i="17" s="1"/>
  <c r="BF284" i="17" s="1"/>
  <c r="BG284" i="17" s="1"/>
  <c r="BH284" i="17" s="1"/>
  <c r="BI284" i="17" s="1"/>
  <c r="BJ284" i="17" s="1"/>
  <c r="BK284" i="17" s="1"/>
  <c r="BL284" i="17" s="1"/>
  <c r="BA283" i="17"/>
  <c r="BB283" i="17" s="1"/>
  <c r="BC283" i="17" s="1"/>
  <c r="BD283" i="17" s="1"/>
  <c r="BE283" i="17" s="1"/>
  <c r="BF283" i="17" s="1"/>
  <c r="BG283" i="17" s="1"/>
  <c r="BH283" i="17" s="1"/>
  <c r="BI283" i="17" s="1"/>
  <c r="BJ283" i="17" s="1"/>
  <c r="BK283" i="17" s="1"/>
  <c r="BL283" i="17" s="1"/>
  <c r="BA282" i="17"/>
  <c r="BB282" i="17" s="1"/>
  <c r="BC282" i="17" s="1"/>
  <c r="BD282" i="17" s="1"/>
  <c r="BE282" i="17" s="1"/>
  <c r="BF282" i="17" s="1"/>
  <c r="BG282" i="17" s="1"/>
  <c r="BH282" i="17" s="1"/>
  <c r="BI282" i="17" s="1"/>
  <c r="BJ282" i="17" s="1"/>
  <c r="BK282" i="17" s="1"/>
  <c r="BL282" i="17" s="1"/>
  <c r="BA281" i="17"/>
  <c r="BB281" i="17" s="1"/>
  <c r="BC281" i="17" s="1"/>
  <c r="BD281" i="17" s="1"/>
  <c r="BE281" i="17" s="1"/>
  <c r="BF281" i="17" s="1"/>
  <c r="BG281" i="17" s="1"/>
  <c r="BH281" i="17" s="1"/>
  <c r="BI281" i="17" s="1"/>
  <c r="BJ281" i="17" s="1"/>
  <c r="BK281" i="17" s="1"/>
  <c r="BL281" i="17" s="1"/>
  <c r="BA280" i="17"/>
  <c r="BB280" i="17" s="1"/>
  <c r="BC280" i="17" s="1"/>
  <c r="BD280" i="17" s="1"/>
  <c r="BE280" i="17" s="1"/>
  <c r="BF280" i="17" s="1"/>
  <c r="BG280" i="17" s="1"/>
  <c r="BH280" i="17" s="1"/>
  <c r="BI280" i="17" s="1"/>
  <c r="BJ280" i="17" s="1"/>
  <c r="BK280" i="17" s="1"/>
  <c r="BL280" i="17" s="1"/>
  <c r="BA279" i="17"/>
  <c r="BB279" i="17" s="1"/>
  <c r="BC279" i="17" s="1"/>
  <c r="BD279" i="17" s="1"/>
  <c r="BE279" i="17" s="1"/>
  <c r="BF279" i="17" s="1"/>
  <c r="BG279" i="17" s="1"/>
  <c r="BH279" i="17" s="1"/>
  <c r="BI279" i="17" s="1"/>
  <c r="BJ279" i="17" s="1"/>
  <c r="BK279" i="17" s="1"/>
  <c r="BL279" i="17" s="1"/>
  <c r="BA278" i="17"/>
  <c r="BB278" i="17" s="1"/>
  <c r="BC278" i="17" s="1"/>
  <c r="BD278" i="17" s="1"/>
  <c r="BE278" i="17" s="1"/>
  <c r="BF278" i="17" s="1"/>
  <c r="BG278" i="17" s="1"/>
  <c r="BH278" i="17" s="1"/>
  <c r="BI278" i="17" s="1"/>
  <c r="BJ278" i="17" s="1"/>
  <c r="BK278" i="17" s="1"/>
  <c r="BL278" i="17" s="1"/>
  <c r="BA277" i="17"/>
  <c r="BB277" i="17" s="1"/>
  <c r="BC277" i="17" s="1"/>
  <c r="BD277" i="17" s="1"/>
  <c r="BE277" i="17" s="1"/>
  <c r="BF277" i="17" s="1"/>
  <c r="BG277" i="17" s="1"/>
  <c r="BH277" i="17" s="1"/>
  <c r="BI277" i="17" s="1"/>
  <c r="BJ277" i="17" s="1"/>
  <c r="BK277" i="17" s="1"/>
  <c r="BL277" i="17" s="1"/>
  <c r="AW262" i="17"/>
  <c r="AW263" i="17" s="1"/>
  <c r="AW264" i="17" s="1"/>
  <c r="AW265" i="17" s="1"/>
  <c r="AW266" i="17" s="1"/>
  <c r="AW267" i="17" s="1"/>
  <c r="AW268" i="17" s="1"/>
  <c r="AW269" i="17" s="1"/>
  <c r="AW270" i="17" s="1"/>
  <c r="AW271" i="17" s="1"/>
  <c r="AW272" i="17" s="1"/>
  <c r="AW273" i="17" s="1"/>
  <c r="AU262" i="17"/>
  <c r="AU263" i="17" s="1"/>
  <c r="AU264" i="17" s="1"/>
  <c r="AU265" i="17" s="1"/>
  <c r="AU266" i="17" s="1"/>
  <c r="AU267" i="17" s="1"/>
  <c r="AU268" i="17" s="1"/>
  <c r="AU269" i="17" s="1"/>
  <c r="AU270" i="17" s="1"/>
  <c r="AU271" i="17" s="1"/>
  <c r="AU272" i="17" s="1"/>
  <c r="AU273" i="17" s="1"/>
  <c r="AZ261" i="17"/>
  <c r="AY261" i="17"/>
  <c r="AY262" i="17" s="1"/>
  <c r="AY263" i="17" s="1"/>
  <c r="AY264" i="17" s="1"/>
  <c r="AY265" i="17" s="1"/>
  <c r="AY266" i="17" s="1"/>
  <c r="AY267" i="17" s="1"/>
  <c r="AY268" i="17" s="1"/>
  <c r="AY269" i="17" s="1"/>
  <c r="AY270" i="17" s="1"/>
  <c r="AY271" i="17" s="1"/>
  <c r="AY272" i="17" s="1"/>
  <c r="AY273" i="17" s="1"/>
  <c r="AX261" i="17"/>
  <c r="AX262" i="17" s="1"/>
  <c r="AX263" i="17" s="1"/>
  <c r="AX264" i="17" s="1"/>
  <c r="AX265" i="17" s="1"/>
  <c r="AX266" i="17" s="1"/>
  <c r="AX267" i="17" s="1"/>
  <c r="AX268" i="17" s="1"/>
  <c r="AX269" i="17" s="1"/>
  <c r="AX270" i="17" s="1"/>
  <c r="AX271" i="17" s="1"/>
  <c r="AX272" i="17" s="1"/>
  <c r="AX273" i="17" s="1"/>
  <c r="AW261" i="17"/>
  <c r="AV261" i="17"/>
  <c r="AV262" i="17" s="1"/>
  <c r="AV263" i="17" s="1"/>
  <c r="AV264" i="17" s="1"/>
  <c r="AV265" i="17" s="1"/>
  <c r="AV266" i="17" s="1"/>
  <c r="AV267" i="17" s="1"/>
  <c r="AV268" i="17" s="1"/>
  <c r="AV269" i="17" s="1"/>
  <c r="AV270" i="17" s="1"/>
  <c r="AV271" i="17" s="1"/>
  <c r="AV272" i="17" s="1"/>
  <c r="AV273" i="17" s="1"/>
  <c r="AU261" i="17"/>
  <c r="AT261" i="17"/>
  <c r="AT262" i="17" s="1"/>
  <c r="AT263" i="17" s="1"/>
  <c r="AT264" i="17" s="1"/>
  <c r="AT265" i="17" s="1"/>
  <c r="AT266" i="17" s="1"/>
  <c r="AT267" i="17" s="1"/>
  <c r="AT268" i="17" s="1"/>
  <c r="AT269" i="17" s="1"/>
  <c r="AT270" i="17" s="1"/>
  <c r="AT271" i="17" s="1"/>
  <c r="AT272" i="17" s="1"/>
  <c r="AT273" i="17" s="1"/>
  <c r="BE260" i="17"/>
  <c r="BF260" i="17" s="1"/>
  <c r="BG260" i="17" s="1"/>
  <c r="BH260" i="17" s="1"/>
  <c r="BI260" i="17" s="1"/>
  <c r="BJ260" i="17" s="1"/>
  <c r="BK260" i="17" s="1"/>
  <c r="BL260" i="17" s="1"/>
  <c r="BA260" i="17"/>
  <c r="BB260" i="17" s="1"/>
  <c r="BC260" i="17" s="1"/>
  <c r="BD260" i="17" s="1"/>
  <c r="BB259" i="17"/>
  <c r="BC259" i="17" s="1"/>
  <c r="BD259" i="17" s="1"/>
  <c r="BE259" i="17" s="1"/>
  <c r="BF259" i="17" s="1"/>
  <c r="BG259" i="17" s="1"/>
  <c r="BH259" i="17" s="1"/>
  <c r="BI259" i="17" s="1"/>
  <c r="BJ259" i="17" s="1"/>
  <c r="BK259" i="17" s="1"/>
  <c r="BL259" i="17" s="1"/>
  <c r="BA259" i="17"/>
  <c r="BB258" i="17"/>
  <c r="BC258" i="17" s="1"/>
  <c r="BD258" i="17" s="1"/>
  <c r="BE258" i="17" s="1"/>
  <c r="BF258" i="17" s="1"/>
  <c r="BG258" i="17" s="1"/>
  <c r="BH258" i="17" s="1"/>
  <c r="BI258" i="17" s="1"/>
  <c r="BJ258" i="17" s="1"/>
  <c r="BK258" i="17" s="1"/>
  <c r="BL258" i="17" s="1"/>
  <c r="BA258" i="17"/>
  <c r="BA257" i="17"/>
  <c r="BB257" i="17" s="1"/>
  <c r="BC257" i="17" s="1"/>
  <c r="BD257" i="17" s="1"/>
  <c r="BE257" i="17" s="1"/>
  <c r="BF257" i="17" s="1"/>
  <c r="BG257" i="17" s="1"/>
  <c r="BH257" i="17" s="1"/>
  <c r="BI257" i="17" s="1"/>
  <c r="BJ257" i="17" s="1"/>
  <c r="BK257" i="17" s="1"/>
  <c r="BL257" i="17" s="1"/>
  <c r="BA256" i="17"/>
  <c r="BB256" i="17" s="1"/>
  <c r="BC256" i="17" s="1"/>
  <c r="BD256" i="17" s="1"/>
  <c r="BE256" i="17" s="1"/>
  <c r="BF256" i="17" s="1"/>
  <c r="BG256" i="17" s="1"/>
  <c r="BH256" i="17" s="1"/>
  <c r="BI256" i="17" s="1"/>
  <c r="BJ256" i="17" s="1"/>
  <c r="BK256" i="17" s="1"/>
  <c r="BL256" i="17" s="1"/>
  <c r="BA255" i="17"/>
  <c r="BB255" i="17" s="1"/>
  <c r="BC255" i="17" s="1"/>
  <c r="BD255" i="17" s="1"/>
  <c r="BE255" i="17" s="1"/>
  <c r="BF255" i="17" s="1"/>
  <c r="BG255" i="17" s="1"/>
  <c r="BH255" i="17" s="1"/>
  <c r="BI255" i="17" s="1"/>
  <c r="BJ255" i="17" s="1"/>
  <c r="BK255" i="17" s="1"/>
  <c r="BL255" i="17" s="1"/>
  <c r="BA254" i="17"/>
  <c r="BB254" i="17" s="1"/>
  <c r="BC254" i="17" s="1"/>
  <c r="BD254" i="17" s="1"/>
  <c r="BE254" i="17" s="1"/>
  <c r="BF254" i="17" s="1"/>
  <c r="BG254" i="17" s="1"/>
  <c r="BH254" i="17" s="1"/>
  <c r="BI254" i="17" s="1"/>
  <c r="BJ254" i="17" s="1"/>
  <c r="BK254" i="17" s="1"/>
  <c r="BL254" i="17" s="1"/>
  <c r="BD253" i="17"/>
  <c r="BE253" i="17" s="1"/>
  <c r="BF253" i="17" s="1"/>
  <c r="BG253" i="17" s="1"/>
  <c r="BH253" i="17" s="1"/>
  <c r="BI253" i="17" s="1"/>
  <c r="BJ253" i="17" s="1"/>
  <c r="BK253" i="17" s="1"/>
  <c r="BL253" i="17" s="1"/>
  <c r="BB253" i="17"/>
  <c r="BC253" i="17" s="1"/>
  <c r="BA253" i="17"/>
  <c r="BD252" i="17"/>
  <c r="BE252" i="17" s="1"/>
  <c r="BF252" i="17" s="1"/>
  <c r="BG252" i="17" s="1"/>
  <c r="BH252" i="17" s="1"/>
  <c r="BI252" i="17" s="1"/>
  <c r="BJ252" i="17" s="1"/>
  <c r="BK252" i="17" s="1"/>
  <c r="BL252" i="17" s="1"/>
  <c r="BB252" i="17"/>
  <c r="BC252" i="17" s="1"/>
  <c r="BA252" i="17"/>
  <c r="BB251" i="17"/>
  <c r="BC251" i="17" s="1"/>
  <c r="BD251" i="17" s="1"/>
  <c r="BE251" i="17" s="1"/>
  <c r="BF251" i="17" s="1"/>
  <c r="BG251" i="17" s="1"/>
  <c r="BH251" i="17" s="1"/>
  <c r="BI251" i="17" s="1"/>
  <c r="BJ251" i="17" s="1"/>
  <c r="BK251" i="17" s="1"/>
  <c r="BL251" i="17" s="1"/>
  <c r="BA251" i="17"/>
  <c r="BB250" i="17"/>
  <c r="BC250" i="17" s="1"/>
  <c r="BD250" i="17" s="1"/>
  <c r="BE250" i="17" s="1"/>
  <c r="BF250" i="17" s="1"/>
  <c r="BG250" i="17" s="1"/>
  <c r="BH250" i="17" s="1"/>
  <c r="BI250" i="17" s="1"/>
  <c r="BJ250" i="17" s="1"/>
  <c r="BK250" i="17" s="1"/>
  <c r="BL250" i="17" s="1"/>
  <c r="BA250" i="17"/>
  <c r="BB249" i="17"/>
  <c r="BC249" i="17" s="1"/>
  <c r="BD249" i="17" s="1"/>
  <c r="BE249" i="17" s="1"/>
  <c r="BF249" i="17" s="1"/>
  <c r="BG249" i="17" s="1"/>
  <c r="BH249" i="17" s="1"/>
  <c r="BI249" i="17" s="1"/>
  <c r="BJ249" i="17" s="1"/>
  <c r="BK249" i="17" s="1"/>
  <c r="BL249" i="17" s="1"/>
  <c r="BA249" i="17"/>
  <c r="BA248" i="17"/>
  <c r="BB248" i="17" s="1"/>
  <c r="BC248" i="17" s="1"/>
  <c r="BD248" i="17" s="1"/>
  <c r="BE248" i="17" s="1"/>
  <c r="BF248" i="17" s="1"/>
  <c r="BG248" i="17" s="1"/>
  <c r="BH248" i="17" s="1"/>
  <c r="BI248" i="17" s="1"/>
  <c r="BJ248" i="17" s="1"/>
  <c r="BK248" i="17" s="1"/>
  <c r="BL248" i="17" s="1"/>
  <c r="AZ232" i="17"/>
  <c r="AY232" i="17"/>
  <c r="AY233" i="17" s="1"/>
  <c r="AY234" i="17" s="1"/>
  <c r="AY235" i="17" s="1"/>
  <c r="AY236" i="17" s="1"/>
  <c r="AY237" i="17" s="1"/>
  <c r="AY238" i="17" s="1"/>
  <c r="AY239" i="17" s="1"/>
  <c r="AY240" i="17" s="1"/>
  <c r="AY241" i="17" s="1"/>
  <c r="AY242" i="17" s="1"/>
  <c r="AY243" i="17" s="1"/>
  <c r="AY244" i="17" s="1"/>
  <c r="AX232" i="17"/>
  <c r="AX233" i="17" s="1"/>
  <c r="AX234" i="17" s="1"/>
  <c r="AX235" i="17" s="1"/>
  <c r="AX236" i="17" s="1"/>
  <c r="AX237" i="17" s="1"/>
  <c r="AX238" i="17" s="1"/>
  <c r="AX239" i="17" s="1"/>
  <c r="AX240" i="17" s="1"/>
  <c r="AX241" i="17" s="1"/>
  <c r="AX242" i="17" s="1"/>
  <c r="AX243" i="17" s="1"/>
  <c r="AX244" i="17" s="1"/>
  <c r="AW232" i="17"/>
  <c r="AW233" i="17" s="1"/>
  <c r="AW234" i="17" s="1"/>
  <c r="AW235" i="17" s="1"/>
  <c r="AW236" i="17" s="1"/>
  <c r="AW237" i="17" s="1"/>
  <c r="AW238" i="17" s="1"/>
  <c r="AW239" i="17" s="1"/>
  <c r="AW240" i="17" s="1"/>
  <c r="AW241" i="17" s="1"/>
  <c r="AW242" i="17" s="1"/>
  <c r="AW243" i="17" s="1"/>
  <c r="AW244" i="17" s="1"/>
  <c r="AV232" i="17"/>
  <c r="AV233" i="17" s="1"/>
  <c r="AV234" i="17" s="1"/>
  <c r="AV235" i="17" s="1"/>
  <c r="AV236" i="17" s="1"/>
  <c r="AV237" i="17" s="1"/>
  <c r="AV238" i="17" s="1"/>
  <c r="AV239" i="17" s="1"/>
  <c r="AV240" i="17" s="1"/>
  <c r="AV241" i="17" s="1"/>
  <c r="AV242" i="17" s="1"/>
  <c r="AV243" i="17" s="1"/>
  <c r="AV244" i="17" s="1"/>
  <c r="AU232" i="17"/>
  <c r="AU233" i="17" s="1"/>
  <c r="AU234" i="17" s="1"/>
  <c r="AU235" i="17" s="1"/>
  <c r="AU236" i="17" s="1"/>
  <c r="AU237" i="17" s="1"/>
  <c r="AU238" i="17" s="1"/>
  <c r="AU239" i="17" s="1"/>
  <c r="AU240" i="17" s="1"/>
  <c r="AU241" i="17" s="1"/>
  <c r="AU242" i="17" s="1"/>
  <c r="AU243" i="17" s="1"/>
  <c r="AU244" i="17" s="1"/>
  <c r="AT232" i="17"/>
  <c r="AT233" i="17" s="1"/>
  <c r="AT234" i="17" s="1"/>
  <c r="AT235" i="17" s="1"/>
  <c r="AT236" i="17" s="1"/>
  <c r="AT237" i="17" s="1"/>
  <c r="AT238" i="17" s="1"/>
  <c r="AT239" i="17" s="1"/>
  <c r="AT240" i="17" s="1"/>
  <c r="AT241" i="17" s="1"/>
  <c r="AT242" i="17" s="1"/>
  <c r="AT243" i="17" s="1"/>
  <c r="AT244" i="17" s="1"/>
  <c r="BA231" i="17"/>
  <c r="BB231" i="17" s="1"/>
  <c r="BC231" i="17" s="1"/>
  <c r="BD231" i="17" s="1"/>
  <c r="BE231" i="17" s="1"/>
  <c r="BF231" i="17" s="1"/>
  <c r="BG231" i="17" s="1"/>
  <c r="BH231" i="17" s="1"/>
  <c r="BI231" i="17" s="1"/>
  <c r="BJ231" i="17" s="1"/>
  <c r="BK231" i="17" s="1"/>
  <c r="BL231" i="17" s="1"/>
  <c r="BA230" i="17"/>
  <c r="BB230" i="17" s="1"/>
  <c r="BC230" i="17" s="1"/>
  <c r="BD230" i="17" s="1"/>
  <c r="BE230" i="17" s="1"/>
  <c r="BF230" i="17" s="1"/>
  <c r="BG230" i="17" s="1"/>
  <c r="BH230" i="17" s="1"/>
  <c r="BI230" i="17" s="1"/>
  <c r="BJ230" i="17" s="1"/>
  <c r="BK230" i="17" s="1"/>
  <c r="BL230" i="17" s="1"/>
  <c r="BA229" i="17"/>
  <c r="BB229" i="17" s="1"/>
  <c r="BC229" i="17" s="1"/>
  <c r="BD229" i="17" s="1"/>
  <c r="BE229" i="17" s="1"/>
  <c r="BF229" i="17" s="1"/>
  <c r="BG229" i="17" s="1"/>
  <c r="BH229" i="17" s="1"/>
  <c r="BI229" i="17" s="1"/>
  <c r="BJ229" i="17" s="1"/>
  <c r="BK229" i="17" s="1"/>
  <c r="BL229" i="17" s="1"/>
  <c r="BC228" i="17"/>
  <c r="BD228" i="17" s="1"/>
  <c r="BE228" i="17" s="1"/>
  <c r="BF228" i="17" s="1"/>
  <c r="BG228" i="17" s="1"/>
  <c r="BH228" i="17" s="1"/>
  <c r="BI228" i="17" s="1"/>
  <c r="BJ228" i="17" s="1"/>
  <c r="BK228" i="17" s="1"/>
  <c r="BL228" i="17" s="1"/>
  <c r="BA228" i="17"/>
  <c r="BB228" i="17" s="1"/>
  <c r="BA227" i="17"/>
  <c r="BB227" i="17" s="1"/>
  <c r="BC227" i="17" s="1"/>
  <c r="BD227" i="17" s="1"/>
  <c r="BE227" i="17" s="1"/>
  <c r="BF227" i="17" s="1"/>
  <c r="BG227" i="17" s="1"/>
  <c r="BH227" i="17" s="1"/>
  <c r="BI227" i="17" s="1"/>
  <c r="BJ227" i="17" s="1"/>
  <c r="BK227" i="17" s="1"/>
  <c r="BL227" i="17" s="1"/>
  <c r="BC226" i="17"/>
  <c r="BD226" i="17" s="1"/>
  <c r="BE226" i="17" s="1"/>
  <c r="BF226" i="17" s="1"/>
  <c r="BG226" i="17" s="1"/>
  <c r="BH226" i="17" s="1"/>
  <c r="BI226" i="17" s="1"/>
  <c r="BJ226" i="17" s="1"/>
  <c r="BK226" i="17" s="1"/>
  <c r="BL226" i="17" s="1"/>
  <c r="BA226" i="17"/>
  <c r="BB226" i="17" s="1"/>
  <c r="BI225" i="17"/>
  <c r="BJ225" i="17" s="1"/>
  <c r="BK225" i="17" s="1"/>
  <c r="BL225" i="17" s="1"/>
  <c r="BA225" i="17"/>
  <c r="BB225" i="17" s="1"/>
  <c r="BC225" i="17" s="1"/>
  <c r="BD225" i="17" s="1"/>
  <c r="BE225" i="17" s="1"/>
  <c r="BF225" i="17" s="1"/>
  <c r="BG225" i="17" s="1"/>
  <c r="BH225" i="17" s="1"/>
  <c r="BA224" i="17"/>
  <c r="BB224" i="17" s="1"/>
  <c r="BC224" i="17" s="1"/>
  <c r="BD224" i="17" s="1"/>
  <c r="BE224" i="17" s="1"/>
  <c r="BF224" i="17" s="1"/>
  <c r="BG224" i="17" s="1"/>
  <c r="BH224" i="17" s="1"/>
  <c r="BI224" i="17" s="1"/>
  <c r="BJ224" i="17" s="1"/>
  <c r="BK224" i="17" s="1"/>
  <c r="BL224" i="17" s="1"/>
  <c r="BA223" i="17"/>
  <c r="BB223" i="17" s="1"/>
  <c r="BC223" i="17" s="1"/>
  <c r="BD223" i="17" s="1"/>
  <c r="BE223" i="17" s="1"/>
  <c r="BF223" i="17" s="1"/>
  <c r="BG223" i="17" s="1"/>
  <c r="BH223" i="17" s="1"/>
  <c r="BI223" i="17" s="1"/>
  <c r="BJ223" i="17" s="1"/>
  <c r="BK223" i="17" s="1"/>
  <c r="BL223" i="17" s="1"/>
  <c r="BA222" i="17"/>
  <c r="BB222" i="17" s="1"/>
  <c r="BC222" i="17" s="1"/>
  <c r="BD222" i="17" s="1"/>
  <c r="BE222" i="17" s="1"/>
  <c r="BF222" i="17" s="1"/>
  <c r="BG222" i="17" s="1"/>
  <c r="BH222" i="17" s="1"/>
  <c r="BI222" i="17" s="1"/>
  <c r="BJ222" i="17" s="1"/>
  <c r="BK222" i="17" s="1"/>
  <c r="BL222" i="17" s="1"/>
  <c r="BA221" i="17"/>
  <c r="BB221" i="17" s="1"/>
  <c r="BC221" i="17" s="1"/>
  <c r="BD221" i="17" s="1"/>
  <c r="BE221" i="17" s="1"/>
  <c r="BF221" i="17" s="1"/>
  <c r="BG221" i="17" s="1"/>
  <c r="BH221" i="17" s="1"/>
  <c r="BI221" i="17" s="1"/>
  <c r="BJ221" i="17" s="1"/>
  <c r="BK221" i="17" s="1"/>
  <c r="BL221" i="17" s="1"/>
  <c r="BA220" i="17"/>
  <c r="BB220" i="17" s="1"/>
  <c r="BC220" i="17" s="1"/>
  <c r="BD220" i="17" s="1"/>
  <c r="BE220" i="17" s="1"/>
  <c r="BF220" i="17" s="1"/>
  <c r="BG220" i="17" s="1"/>
  <c r="BH220" i="17" s="1"/>
  <c r="BI220" i="17" s="1"/>
  <c r="BJ220" i="17" s="1"/>
  <c r="BK220" i="17" s="1"/>
  <c r="BL220" i="17" s="1"/>
  <c r="BA219" i="17"/>
  <c r="BB219" i="17" s="1"/>
  <c r="BC219" i="17" s="1"/>
  <c r="BD219" i="17" s="1"/>
  <c r="BE219" i="17" s="1"/>
  <c r="BF219" i="17" s="1"/>
  <c r="BG219" i="17" s="1"/>
  <c r="BH219" i="17" s="1"/>
  <c r="BI219" i="17" s="1"/>
  <c r="BJ219" i="17" s="1"/>
  <c r="BK219" i="17" s="1"/>
  <c r="BL219" i="17" s="1"/>
  <c r="AQ31" i="17"/>
  <c r="AP31" i="17"/>
  <c r="AO31" i="17"/>
  <c r="AN31" i="17"/>
  <c r="AM31" i="17"/>
  <c r="AI27" i="17"/>
  <c r="AO31" i="5" s="1"/>
  <c r="AI26" i="17"/>
  <c r="AO30" i="5" s="1"/>
  <c r="AI25" i="17"/>
  <c r="AO29" i="5" s="1"/>
  <c r="Z14" i="17"/>
  <c r="Z16" i="17" s="1"/>
  <c r="AS66" i="14"/>
  <c r="AS62" i="14"/>
  <c r="AS52" i="14"/>
  <c r="AS48" i="14"/>
  <c r="N46" i="14"/>
  <c r="J43" i="14"/>
  <c r="AG41" i="14"/>
  <c r="P48" i="14" s="1"/>
  <c r="AF41" i="14"/>
  <c r="N48" i="14" s="1"/>
  <c r="AE41" i="14"/>
  <c r="AD41" i="14"/>
  <c r="AG39" i="14"/>
  <c r="AF39" i="14"/>
  <c r="AE39" i="14"/>
  <c r="AD39" i="14"/>
  <c r="AG36" i="14"/>
  <c r="AF36" i="14"/>
  <c r="AE36" i="14"/>
  <c r="AD36" i="14"/>
  <c r="J32" i="14"/>
  <c r="AK28" i="14"/>
  <c r="AJ28" i="14"/>
  <c r="AI28" i="14"/>
  <c r="AH28" i="14"/>
  <c r="AK27" i="14"/>
  <c r="AJ27" i="14"/>
  <c r="AI27" i="14"/>
  <c r="AH27" i="14"/>
  <c r="AK26" i="14"/>
  <c r="AJ26" i="14"/>
  <c r="AI26" i="14"/>
  <c r="AH26" i="14"/>
  <c r="N25" i="14"/>
  <c r="AI9" i="14" s="1"/>
  <c r="L25" i="14"/>
  <c r="AH9" i="14" s="1"/>
  <c r="J25" i="14"/>
  <c r="AG9" i="14" s="1"/>
  <c r="J24" i="14"/>
  <c r="Q18" i="14"/>
  <c r="N18" i="14"/>
  <c r="AK17" i="14"/>
  <c r="AJ17" i="14"/>
  <c r="AI17" i="14"/>
  <c r="AH17" i="14"/>
  <c r="AK16" i="14"/>
  <c r="AJ16" i="14"/>
  <c r="AI16" i="14"/>
  <c r="AH16" i="14"/>
  <c r="AK15" i="14"/>
  <c r="AJ15" i="14"/>
  <c r="AN18" i="14" s="1"/>
  <c r="AI15" i="14"/>
  <c r="AH15" i="14"/>
  <c r="AL18" i="14" s="1"/>
  <c r="Z15" i="14"/>
  <c r="AM38" i="14" s="1"/>
  <c r="AR14" i="14"/>
  <c r="N19" i="14"/>
  <c r="AR13" i="14"/>
  <c r="AI12" i="14"/>
  <c r="FQ9" i="14"/>
  <c r="AK8" i="14"/>
  <c r="AK5" i="14"/>
  <c r="Y5" i="14"/>
  <c r="AK4" i="14"/>
  <c r="AN39" i="5" s="1"/>
  <c r="BC348" i="17"/>
  <c r="BB348" i="17"/>
  <c r="BA348" i="17"/>
  <c r="AZ348" i="17"/>
  <c r="BD348" i="17" s="1"/>
  <c r="AY348" i="17"/>
  <c r="AX348" i="17"/>
  <c r="AW348" i="17"/>
  <c r="P25" i="14" l="1"/>
  <c r="AJ9" i="14" s="1"/>
  <c r="P26" i="14" s="1"/>
  <c r="P27" i="14" s="1"/>
  <c r="P28" i="14" s="1"/>
  <c r="FT10" i="14" s="1"/>
  <c r="J26" i="14"/>
  <c r="J27" i="14" s="1"/>
  <c r="P46" i="14"/>
  <c r="N50" i="14"/>
  <c r="BD310" i="17"/>
  <c r="P50" i="14"/>
  <c r="BD328" i="17"/>
  <c r="AV333" i="17"/>
  <c r="AU333" i="17" s="1"/>
  <c r="BD334" i="17"/>
  <c r="BD335" i="17"/>
  <c r="BD336" i="17"/>
  <c r="AZ338" i="17"/>
  <c r="BD338" i="17" s="1"/>
  <c r="BD337" i="17"/>
  <c r="J39" i="14"/>
  <c r="FE204" i="14" s="1"/>
  <c r="L26" i="14"/>
  <c r="L27" i="14" s="1"/>
  <c r="L28" i="14" s="1"/>
  <c r="FR10" i="14" s="1"/>
  <c r="AJ4" i="5"/>
  <c r="Z22" i="17"/>
  <c r="G11" i="17"/>
  <c r="AO26" i="17" s="1"/>
  <c r="Z26" i="17" s="1"/>
  <c r="Z18" i="5" s="1"/>
  <c r="M22" i="5" s="1"/>
  <c r="M13" i="17"/>
  <c r="AL40" i="17" s="1"/>
  <c r="AL41" i="17" s="1"/>
  <c r="G9" i="17"/>
  <c r="G10" i="17"/>
  <c r="AL26" i="17" s="1"/>
  <c r="AJ31" i="5" s="1"/>
  <c r="AL4" i="5"/>
  <c r="AH5" i="5"/>
  <c r="AH4" i="5"/>
  <c r="AK4" i="5"/>
  <c r="AJ5" i="5"/>
  <c r="AK5" i="5" s="1"/>
  <c r="AM18" i="14"/>
  <c r="AO18" i="14"/>
  <c r="AV29" i="5"/>
  <c r="N39" i="14"/>
  <c r="FG428" i="14" s="1"/>
  <c r="L39" i="14"/>
  <c r="FF44" i="14" s="1"/>
  <c r="P39" i="14"/>
  <c r="FH464" i="14" s="1"/>
  <c r="N26" i="14"/>
  <c r="N27" i="14" s="1"/>
  <c r="N28" i="14" s="1"/>
  <c r="FS10" i="14" s="1"/>
  <c r="Z15" i="17"/>
  <c r="AV28" i="5" s="1"/>
  <c r="FB213" i="17"/>
  <c r="FB211" i="17"/>
  <c r="FB209" i="17"/>
  <c r="FB207" i="17"/>
  <c r="FB205" i="17"/>
  <c r="FB203" i="17"/>
  <c r="FB201" i="17"/>
  <c r="FB199" i="17"/>
  <c r="FB197" i="17"/>
  <c r="FB195" i="17"/>
  <c r="FB193" i="17"/>
  <c r="FB191" i="17"/>
  <c r="FB189" i="17"/>
  <c r="FB187" i="17"/>
  <c r="FB185" i="17"/>
  <c r="FB183" i="17"/>
  <c r="FB181" i="17"/>
  <c r="FB179" i="17"/>
  <c r="AM14" i="17" s="1"/>
  <c r="FB177" i="17"/>
  <c r="FB175" i="17"/>
  <c r="FB173" i="17"/>
  <c r="FB171" i="17"/>
  <c r="FB169" i="17"/>
  <c r="FB167" i="17"/>
  <c r="FB165" i="17"/>
  <c r="FB163" i="17"/>
  <c r="FB161" i="17"/>
  <c r="FB159" i="17"/>
  <c r="FB157" i="17"/>
  <c r="FB155" i="17"/>
  <c r="FB153" i="17"/>
  <c r="FB151" i="17"/>
  <c r="FB149" i="17"/>
  <c r="FB147" i="17"/>
  <c r="FB145" i="17"/>
  <c r="FB143" i="17"/>
  <c r="FB141" i="17"/>
  <c r="FB139" i="17"/>
  <c r="FB137" i="17"/>
  <c r="FB135" i="17"/>
  <c r="FB133" i="17"/>
  <c r="FB131" i="17"/>
  <c r="FB129" i="17"/>
  <c r="FB127" i="17"/>
  <c r="FB125" i="17"/>
  <c r="FB123" i="17"/>
  <c r="FB121" i="17"/>
  <c r="FB119" i="17"/>
  <c r="FB117" i="17"/>
  <c r="FB115" i="17"/>
  <c r="FB113" i="17"/>
  <c r="FB103" i="17"/>
  <c r="FB101" i="17"/>
  <c r="FB99" i="17"/>
  <c r="FB97" i="17"/>
  <c r="FB95" i="17"/>
  <c r="FB93" i="17"/>
  <c r="FB91" i="17"/>
  <c r="FB89" i="17"/>
  <c r="FB87" i="17"/>
  <c r="FB85" i="17"/>
  <c r="FB83" i="17"/>
  <c r="FB81" i="17"/>
  <c r="FB79" i="17"/>
  <c r="FB77" i="17"/>
  <c r="FB75" i="17"/>
  <c r="FB73" i="17"/>
  <c r="FB71" i="17"/>
  <c r="FB69" i="17"/>
  <c r="FB67" i="17"/>
  <c r="FB65" i="17"/>
  <c r="FB63" i="17"/>
  <c r="FB61" i="17"/>
  <c r="FB59" i="17"/>
  <c r="FB57" i="17"/>
  <c r="FB55" i="17"/>
  <c r="FB53" i="17"/>
  <c r="FB51" i="17"/>
  <c r="FB49" i="17"/>
  <c r="FB212" i="17"/>
  <c r="FB210" i="17"/>
  <c r="FB208" i="17"/>
  <c r="FB206" i="17"/>
  <c r="FB204" i="17"/>
  <c r="FB202" i="17"/>
  <c r="FB200" i="17"/>
  <c r="FB198" i="17"/>
  <c r="FB196" i="17"/>
  <c r="FB194" i="17"/>
  <c r="FB192" i="17"/>
  <c r="FB190" i="17"/>
  <c r="FB188" i="17"/>
  <c r="FB186" i="17"/>
  <c r="FB184" i="17"/>
  <c r="FB182" i="17"/>
  <c r="FB180" i="17"/>
  <c r="FB178" i="17"/>
  <c r="FB176" i="17"/>
  <c r="FB174" i="17"/>
  <c r="FB172" i="17"/>
  <c r="FB170" i="17"/>
  <c r="FB168" i="17"/>
  <c r="FB166" i="17"/>
  <c r="FB164" i="17"/>
  <c r="FB162" i="17"/>
  <c r="FB160" i="17"/>
  <c r="FB158" i="17"/>
  <c r="FB156" i="17"/>
  <c r="FB154" i="17"/>
  <c r="FB152" i="17"/>
  <c r="FB150" i="17"/>
  <c r="FB148" i="17"/>
  <c r="FB146" i="17"/>
  <c r="FB144" i="17"/>
  <c r="FB142" i="17"/>
  <c r="FB140" i="17"/>
  <c r="FB138" i="17"/>
  <c r="FB136" i="17"/>
  <c r="FB134" i="17"/>
  <c r="FB132" i="17"/>
  <c r="FB130" i="17"/>
  <c r="FB128" i="17"/>
  <c r="FB126" i="17"/>
  <c r="FB124" i="17"/>
  <c r="FB122" i="17"/>
  <c r="FB120" i="17"/>
  <c r="FB118" i="17"/>
  <c r="FB116" i="17"/>
  <c r="FB114" i="17"/>
  <c r="FB104" i="17"/>
  <c r="FB102" i="17"/>
  <c r="FB100" i="17"/>
  <c r="FB98" i="17"/>
  <c r="FB96" i="17"/>
  <c r="FB94" i="17"/>
  <c r="FB92" i="17"/>
  <c r="FB90" i="17"/>
  <c r="FB88" i="17"/>
  <c r="FB86" i="17"/>
  <c r="FB84" i="17"/>
  <c r="FB82" i="17"/>
  <c r="FB80" i="17"/>
  <c r="FB78" i="17"/>
  <c r="FB76" i="17"/>
  <c r="AM9" i="17" s="1"/>
  <c r="FB74" i="17"/>
  <c r="FB72" i="17"/>
  <c r="FB70" i="17"/>
  <c r="FB68" i="17"/>
  <c r="FB66" i="17"/>
  <c r="FB64" i="17"/>
  <c r="FB62" i="17"/>
  <c r="FB60" i="17"/>
  <c r="FB58" i="17"/>
  <c r="FB56" i="17"/>
  <c r="FB54" i="17"/>
  <c r="FB52" i="17"/>
  <c r="FB50" i="17"/>
  <c r="FB48" i="17"/>
  <c r="FB46" i="17"/>
  <c r="FB44" i="17"/>
  <c r="FB42" i="17"/>
  <c r="FB40" i="17"/>
  <c r="FB38" i="17"/>
  <c r="FB5" i="17"/>
  <c r="FB7" i="17"/>
  <c r="FB9" i="17"/>
  <c r="FB11" i="17"/>
  <c r="FB13" i="17"/>
  <c r="FB15" i="17"/>
  <c r="FB17" i="17"/>
  <c r="FB19" i="17"/>
  <c r="FB21" i="17"/>
  <c r="FB23" i="17"/>
  <c r="FB25" i="17"/>
  <c r="FB27" i="17"/>
  <c r="FB29" i="17"/>
  <c r="FB31" i="17"/>
  <c r="FB33" i="17"/>
  <c r="FB35" i="17"/>
  <c r="FB37" i="17"/>
  <c r="FB41" i="17"/>
  <c r="FB45" i="17"/>
  <c r="FB4" i="17"/>
  <c r="FB6" i="17"/>
  <c r="FB8" i="17"/>
  <c r="FB10" i="17"/>
  <c r="FB12" i="17"/>
  <c r="FB14" i="17"/>
  <c r="FB16" i="17"/>
  <c r="FB18" i="17"/>
  <c r="FB20" i="17"/>
  <c r="FB22" i="17"/>
  <c r="FB24" i="17"/>
  <c r="FB26" i="17"/>
  <c r="FB28" i="17"/>
  <c r="FB30" i="17"/>
  <c r="FB32" i="17"/>
  <c r="FB34" i="17"/>
  <c r="FB36" i="17"/>
  <c r="FB39" i="17"/>
  <c r="FB43" i="17"/>
  <c r="FB47" i="17"/>
  <c r="AV27" i="5"/>
  <c r="FE628" i="14"/>
  <c r="AN36" i="14"/>
  <c r="AL36" i="14"/>
  <c r="AN35" i="14"/>
  <c r="AN37" i="14"/>
  <c r="AL37" i="14"/>
  <c r="AL35" i="14"/>
  <c r="Z16" i="14"/>
  <c r="FF138" i="14"/>
  <c r="BM291" i="17"/>
  <c r="BM289" i="17"/>
  <c r="BM288" i="17"/>
  <c r="BM287" i="17"/>
  <c r="BM286" i="17"/>
  <c r="BM285" i="17"/>
  <c r="BM284" i="17"/>
  <c r="BM283" i="17"/>
  <c r="BM282" i="17"/>
  <c r="BM281" i="17"/>
  <c r="BM280" i="17"/>
  <c r="BM279" i="17"/>
  <c r="BM278" i="17"/>
  <c r="BM261" i="17"/>
  <c r="BM290" i="17"/>
  <c r="BM259" i="17"/>
  <c r="BM258" i="17"/>
  <c r="BM257" i="17"/>
  <c r="BM256" i="17"/>
  <c r="BM255" i="17"/>
  <c r="BM254" i="17"/>
  <c r="BM253" i="17"/>
  <c r="BM252" i="17"/>
  <c r="BM251" i="17"/>
  <c r="BM250" i="17"/>
  <c r="BM249" i="17"/>
  <c r="BM232" i="17"/>
  <c r="BM230" i="17"/>
  <c r="BM228" i="17"/>
  <c r="BM226" i="17"/>
  <c r="BM224" i="17"/>
  <c r="BM222" i="17"/>
  <c r="BM220" i="17"/>
  <c r="BM260" i="17"/>
  <c r="BM231" i="17"/>
  <c r="BM229" i="17"/>
  <c r="BM227" i="17"/>
  <c r="BM225" i="17"/>
  <c r="BM223" i="17"/>
  <c r="BM221" i="17"/>
  <c r="AI18" i="5"/>
  <c r="AJ17" i="5"/>
  <c r="AI16" i="5"/>
  <c r="AJ15" i="5"/>
  <c r="AI15" i="5"/>
  <c r="AI14" i="5"/>
  <c r="AI17" i="5"/>
  <c r="AZ233" i="17"/>
  <c r="BA232" i="17"/>
  <c r="BB232" i="17" s="1"/>
  <c r="BC232" i="17" s="1"/>
  <c r="BD232" i="17" s="1"/>
  <c r="BE232" i="17" s="1"/>
  <c r="BF232" i="17" s="1"/>
  <c r="BG232" i="17" s="1"/>
  <c r="BH232" i="17" s="1"/>
  <c r="BI232" i="17" s="1"/>
  <c r="BJ232" i="17" s="1"/>
  <c r="BK232" i="17" s="1"/>
  <c r="BL232" i="17" s="1"/>
  <c r="AZ262" i="17"/>
  <c r="BA261" i="17"/>
  <c r="BB261" i="17" s="1"/>
  <c r="BC261" i="17" s="1"/>
  <c r="BD261" i="17" s="1"/>
  <c r="BE261" i="17" s="1"/>
  <c r="BF261" i="17" s="1"/>
  <c r="BG261" i="17" s="1"/>
  <c r="BH261" i="17" s="1"/>
  <c r="BI261" i="17" s="1"/>
  <c r="BJ261" i="17" s="1"/>
  <c r="BK261" i="17" s="1"/>
  <c r="BL261" i="17" s="1"/>
  <c r="AZ292" i="17"/>
  <c r="BM292" i="17" s="1"/>
  <c r="BA291" i="17"/>
  <c r="BB291" i="17" s="1"/>
  <c r="BC291" i="17" s="1"/>
  <c r="BD291" i="17" s="1"/>
  <c r="BE291" i="17" s="1"/>
  <c r="BF291" i="17" s="1"/>
  <c r="BG291" i="17" s="1"/>
  <c r="BH291" i="17" s="1"/>
  <c r="BI291" i="17" s="1"/>
  <c r="BJ291" i="17" s="1"/>
  <c r="BK291" i="17" s="1"/>
  <c r="BL291" i="17" s="1"/>
  <c r="AV338" i="17"/>
  <c r="AU337" i="17"/>
  <c r="AU338" i="17" s="1"/>
  <c r="BB338" i="17"/>
  <c r="AL7" i="5"/>
  <c r="AH28" i="5"/>
  <c r="AJ7" i="5"/>
  <c r="AH4" i="8"/>
  <c r="FF70" i="14" l="1"/>
  <c r="FF475" i="14"/>
  <c r="FF373" i="14"/>
  <c r="FF249" i="14"/>
  <c r="FF238" i="14"/>
  <c r="AI49" i="14"/>
  <c r="AM47" i="14"/>
  <c r="AJ46" i="14"/>
  <c r="AL49" i="14"/>
  <c r="AI48" i="14"/>
  <c r="AL50" i="14"/>
  <c r="AO48" i="14"/>
  <c r="AP46" i="14"/>
  <c r="AI46" i="14"/>
  <c r="AL46" i="14"/>
  <c r="AO49" i="14"/>
  <c r="AL48" i="14"/>
  <c r="AO46" i="14"/>
  <c r="M19" i="17"/>
  <c r="M19" i="5" s="1"/>
  <c r="AR19" i="17"/>
  <c r="AL32" i="17"/>
  <c r="AQ32" i="17" s="1"/>
  <c r="AR17" i="17"/>
  <c r="AR21" i="17"/>
  <c r="AR20" i="17"/>
  <c r="FF329" i="14"/>
  <c r="FF182" i="14"/>
  <c r="FF102" i="14"/>
  <c r="FF46" i="14"/>
  <c r="FF612" i="14"/>
  <c r="FF468" i="14"/>
  <c r="FF361" i="14"/>
  <c r="FF285" i="14"/>
  <c r="FF217" i="14"/>
  <c r="FF154" i="14"/>
  <c r="FF122" i="14"/>
  <c r="FF86" i="14"/>
  <c r="FF59" i="14"/>
  <c r="FF343" i="14"/>
  <c r="FF429" i="14"/>
  <c r="FF171" i="14"/>
  <c r="FF336" i="14"/>
  <c r="FF155" i="14"/>
  <c r="FH432" i="14"/>
  <c r="FF377" i="14"/>
  <c r="FF345" i="14"/>
  <c r="FF309" i="14"/>
  <c r="FF265" i="14"/>
  <c r="FF233" i="14"/>
  <c r="FF198" i="14"/>
  <c r="FF166" i="14"/>
  <c r="FF146" i="14"/>
  <c r="FF130" i="14"/>
  <c r="FF114" i="14"/>
  <c r="FF94" i="14"/>
  <c r="FF78" i="14"/>
  <c r="FF63" i="14"/>
  <c r="FF50" i="14"/>
  <c r="FF407" i="14"/>
  <c r="FF572" i="14"/>
  <c r="FF493" i="14"/>
  <c r="FF574" i="14"/>
  <c r="FF203" i="14"/>
  <c r="FF270" i="14"/>
  <c r="FF400" i="14"/>
  <c r="FF581" i="14"/>
  <c r="FH325" i="14"/>
  <c r="FH165" i="14"/>
  <c r="FF123" i="14"/>
  <c r="FF40" i="14"/>
  <c r="FF43" i="14"/>
  <c r="FF58" i="14"/>
  <c r="FF67" i="14"/>
  <c r="FF164" i="14"/>
  <c r="FF597" i="14"/>
  <c r="FF549" i="14"/>
  <c r="FF484" i="14"/>
  <c r="FF452" i="14"/>
  <c r="FF416" i="14"/>
  <c r="FF384" i="14"/>
  <c r="FF352" i="14"/>
  <c r="FF320" i="14"/>
  <c r="FF284" i="14"/>
  <c r="FF262" i="14"/>
  <c r="FF246" i="14"/>
  <c r="FF230" i="14"/>
  <c r="FF214" i="14"/>
  <c r="FF195" i="14"/>
  <c r="FF179" i="14"/>
  <c r="FF163" i="14"/>
  <c r="FF590" i="14"/>
  <c r="FF558" i="14"/>
  <c r="FF521" i="14"/>
  <c r="FF576" i="14"/>
  <c r="FF509" i="14"/>
  <c r="FF477" i="14"/>
  <c r="FF445" i="14"/>
  <c r="FF409" i="14"/>
  <c r="FF620" i="14"/>
  <c r="FF540" i="14"/>
  <c r="FF491" i="14"/>
  <c r="FF459" i="14"/>
  <c r="FF427" i="14"/>
  <c r="FF391" i="14"/>
  <c r="FF359" i="14"/>
  <c r="FF327" i="14"/>
  <c r="FF291" i="14"/>
  <c r="FF39" i="14"/>
  <c r="FF45" i="14"/>
  <c r="FF47" i="14"/>
  <c r="FF49" i="14"/>
  <c r="FF52" i="14"/>
  <c r="FF56" i="14"/>
  <c r="FF60" i="14"/>
  <c r="FF62" i="14"/>
  <c r="FF64" i="14"/>
  <c r="FF68" i="14"/>
  <c r="FF72" i="14"/>
  <c r="FF76" i="14"/>
  <c r="FF80" i="14"/>
  <c r="FF84" i="14"/>
  <c r="FF88" i="14"/>
  <c r="FF92" i="14"/>
  <c r="FF96" i="14"/>
  <c r="FF100" i="14"/>
  <c r="FF108" i="14"/>
  <c r="FF112" i="14"/>
  <c r="FF116" i="14"/>
  <c r="FF120" i="14"/>
  <c r="FF124" i="14"/>
  <c r="FF128" i="14"/>
  <c r="FF132" i="14"/>
  <c r="FF136" i="14"/>
  <c r="FF140" i="14"/>
  <c r="FF144" i="14"/>
  <c r="FF148" i="14"/>
  <c r="FF152" i="14"/>
  <c r="FF156" i="14"/>
  <c r="FF162" i="14"/>
  <c r="FF170" i="14"/>
  <c r="FF178" i="14"/>
  <c r="FF186" i="14"/>
  <c r="FF194" i="14"/>
  <c r="FF202" i="14"/>
  <c r="FF213" i="14"/>
  <c r="FF221" i="14"/>
  <c r="FF229" i="14"/>
  <c r="FF237" i="14"/>
  <c r="FF245" i="14"/>
  <c r="FF253" i="14"/>
  <c r="FF261" i="14"/>
  <c r="FF269" i="14"/>
  <c r="FF277" i="14"/>
  <c r="FF293" i="14"/>
  <c r="FF369" i="14"/>
  <c r="FF353" i="14"/>
  <c r="FF337" i="14"/>
  <c r="FF321" i="14"/>
  <c r="FF301" i="14"/>
  <c r="FF273" i="14"/>
  <c r="FF257" i="14"/>
  <c r="FF241" i="14"/>
  <c r="FF225" i="14"/>
  <c r="FF206" i="14"/>
  <c r="FF190" i="14"/>
  <c r="FF174" i="14"/>
  <c r="FF158" i="14"/>
  <c r="FF150" i="14"/>
  <c r="FF142" i="14"/>
  <c r="FF134" i="14"/>
  <c r="FF126" i="14"/>
  <c r="FF118" i="14"/>
  <c r="FF110" i="14"/>
  <c r="FF98" i="14"/>
  <c r="FF90" i="14"/>
  <c r="FF82" i="14"/>
  <c r="FF74" i="14"/>
  <c r="FF66" i="14"/>
  <c r="FF61" i="14"/>
  <c r="FF54" i="14"/>
  <c r="FF48" i="14"/>
  <c r="FF41" i="14"/>
  <c r="FF307" i="14"/>
  <c r="FF375" i="14"/>
  <c r="FF443" i="14"/>
  <c r="FF507" i="14"/>
  <c r="FF393" i="14"/>
  <c r="FF461" i="14"/>
  <c r="FF544" i="14"/>
  <c r="FF542" i="14"/>
  <c r="FF616" i="14"/>
  <c r="FF187" i="14"/>
  <c r="FF222" i="14"/>
  <c r="FF254" i="14"/>
  <c r="FF300" i="14"/>
  <c r="FF368" i="14"/>
  <c r="FF436" i="14"/>
  <c r="FF512" i="14"/>
  <c r="FF231" i="14"/>
  <c r="FF65" i="14"/>
  <c r="FF42" i="14"/>
  <c r="FH407" i="14"/>
  <c r="FH296" i="14"/>
  <c r="FE228" i="14"/>
  <c r="FH457" i="14"/>
  <c r="FH566" i="14"/>
  <c r="FH232" i="14"/>
  <c r="FH364" i="14"/>
  <c r="FH571" i="14"/>
  <c r="FG254" i="14"/>
  <c r="FH206" i="14"/>
  <c r="FE400" i="14"/>
  <c r="FH375" i="14"/>
  <c r="FG364" i="14"/>
  <c r="FH359" i="14"/>
  <c r="FG348" i="14"/>
  <c r="FH343" i="14"/>
  <c r="FG332" i="14"/>
  <c r="FH327" i="14"/>
  <c r="FG312" i="14"/>
  <c r="FH307" i="14"/>
  <c r="FG296" i="14"/>
  <c r="FH291" i="14"/>
  <c r="FG280" i="14"/>
  <c r="FG276" i="14"/>
  <c r="FH271" i="14"/>
  <c r="FG268" i="14"/>
  <c r="FH263" i="14"/>
  <c r="FG260" i="14"/>
  <c r="FH255" i="14"/>
  <c r="FG252" i="14"/>
  <c r="FH247" i="14"/>
  <c r="FG244" i="14"/>
  <c r="FH239" i="14"/>
  <c r="FG236" i="14"/>
  <c r="FH389" i="14"/>
  <c r="FH538" i="14"/>
  <c r="FH475" i="14"/>
  <c r="FH560" i="14"/>
  <c r="FH197" i="14"/>
  <c r="FH264" i="14"/>
  <c r="FH332" i="14"/>
  <c r="FH396" i="14"/>
  <c r="FG100" i="14"/>
  <c r="FE62" i="14"/>
  <c r="FE85" i="14"/>
  <c r="FH157" i="14"/>
  <c r="FH174" i="14"/>
  <c r="FH612" i="14"/>
  <c r="FH539" i="14"/>
  <c r="FH476" i="14"/>
  <c r="FH456" i="14"/>
  <c r="FH440" i="14"/>
  <c r="FH424" i="14"/>
  <c r="FH404" i="14"/>
  <c r="FH388" i="14"/>
  <c r="FH372" i="14"/>
  <c r="FH356" i="14"/>
  <c r="FH340" i="14"/>
  <c r="FH324" i="14"/>
  <c r="FH304" i="14"/>
  <c r="FH288" i="14"/>
  <c r="FH272" i="14"/>
  <c r="FH256" i="14"/>
  <c r="FH240" i="14"/>
  <c r="FH224" i="14"/>
  <c r="FH205" i="14"/>
  <c r="FH189" i="14"/>
  <c r="FH173" i="14"/>
  <c r="FH622" i="14"/>
  <c r="FH576" i="14"/>
  <c r="FH544" i="14"/>
  <c r="FH602" i="14"/>
  <c r="FH534" i="14"/>
  <c r="FH491" i="14"/>
  <c r="FH459" i="14"/>
  <c r="FH427" i="14"/>
  <c r="FH391" i="14"/>
  <c r="FH570" i="14"/>
  <c r="FH505" i="14"/>
  <c r="FH473" i="14"/>
  <c r="FH441" i="14"/>
  <c r="FH405" i="14"/>
  <c r="FH373" i="14"/>
  <c r="FH341" i="14"/>
  <c r="FH305" i="14"/>
  <c r="FH45" i="14"/>
  <c r="FH46" i="14"/>
  <c r="FH47" i="14"/>
  <c r="FH48" i="14"/>
  <c r="FH49" i="14"/>
  <c r="FH50" i="14"/>
  <c r="FH54" i="14"/>
  <c r="FH164" i="14"/>
  <c r="FH172" i="14"/>
  <c r="FH180" i="14"/>
  <c r="FH188" i="14"/>
  <c r="FH196" i="14"/>
  <c r="FH204" i="14"/>
  <c r="FH215" i="14"/>
  <c r="FH223" i="14"/>
  <c r="FH231" i="14"/>
  <c r="FG219" i="14"/>
  <c r="FG390" i="14"/>
  <c r="FG84" i="14"/>
  <c r="FG120" i="14"/>
  <c r="FG152" i="14"/>
  <c r="FG292" i="14"/>
  <c r="FG44" i="14"/>
  <c r="FG53" i="14"/>
  <c r="FG57" i="14"/>
  <c r="FG161" i="14"/>
  <c r="FG169" i="14"/>
  <c r="FG177" i="14"/>
  <c r="FG185" i="14"/>
  <c r="FG193" i="14"/>
  <c r="FG201" i="14"/>
  <c r="FG212" i="14"/>
  <c r="FG220" i="14"/>
  <c r="FG228" i="14"/>
  <c r="FE513" i="14"/>
  <c r="FE271" i="14"/>
  <c r="FE571" i="14"/>
  <c r="FE553" i="14"/>
  <c r="FE358" i="14"/>
  <c r="FE121" i="14"/>
  <c r="FE44" i="14"/>
  <c r="FE310" i="14"/>
  <c r="FE161" i="14"/>
  <c r="FE92" i="14"/>
  <c r="FE35" i="14"/>
  <c r="FH289" i="14"/>
  <c r="FH357" i="14"/>
  <c r="FH425" i="14"/>
  <c r="FH489" i="14"/>
  <c r="FH610" i="14"/>
  <c r="FH443" i="14"/>
  <c r="FH507" i="14"/>
  <c r="FH528" i="14"/>
  <c r="FH592" i="14"/>
  <c r="FH181" i="14"/>
  <c r="FH216" i="14"/>
  <c r="FH248" i="14"/>
  <c r="FH280" i="14"/>
  <c r="FH312" i="14"/>
  <c r="FH348" i="14"/>
  <c r="FH380" i="14"/>
  <c r="FH412" i="14"/>
  <c r="FH448" i="14"/>
  <c r="FH502" i="14"/>
  <c r="FH619" i="14"/>
  <c r="FG360" i="14"/>
  <c r="FG136" i="14"/>
  <c r="FG68" i="14"/>
  <c r="FG50" i="14"/>
  <c r="FE128" i="14"/>
  <c r="FE15" i="14"/>
  <c r="FE187" i="14"/>
  <c r="FE482" i="14"/>
  <c r="FE381" i="14"/>
  <c r="FH166" i="14"/>
  <c r="FH182" i="14"/>
  <c r="FH198" i="14"/>
  <c r="FH217" i="14"/>
  <c r="FH627" i="14"/>
  <c r="FH611" i="14"/>
  <c r="FH595" i="14"/>
  <c r="FH596" i="14"/>
  <c r="FH579" i="14"/>
  <c r="FH563" i="14"/>
  <c r="FH547" i="14"/>
  <c r="FH531" i="14"/>
  <c r="FH510" i="14"/>
  <c r="FH494" i="14"/>
  <c r="FH480" i="14"/>
  <c r="FH472" i="14"/>
  <c r="FG517" i="14"/>
  <c r="FG283" i="14"/>
  <c r="FG603" i="14"/>
  <c r="FG492" i="14"/>
  <c r="FG575" i="14"/>
  <c r="FG426" i="14"/>
  <c r="FG358" i="14"/>
  <c r="FG290" i="14"/>
  <c r="FG72" i="14"/>
  <c r="FG80" i="14"/>
  <c r="FG88" i="14"/>
  <c r="FG96" i="14"/>
  <c r="FG108" i="14"/>
  <c r="FG116" i="14"/>
  <c r="FG124" i="14"/>
  <c r="FG132" i="14"/>
  <c r="FG140" i="14"/>
  <c r="FG148" i="14"/>
  <c r="FG163" i="14"/>
  <c r="FG246" i="14"/>
  <c r="FG262" i="14"/>
  <c r="FG278" i="14"/>
  <c r="FG308" i="14"/>
  <c r="FG344" i="14"/>
  <c r="FG376" i="14"/>
  <c r="FE596" i="14"/>
  <c r="FE550" i="14"/>
  <c r="FE481" i="14"/>
  <c r="FE413" i="14"/>
  <c r="FE349" i="14"/>
  <c r="FE287" i="14"/>
  <c r="FE255" i="14"/>
  <c r="FE223" i="14"/>
  <c r="FE188" i="14"/>
  <c r="FE613" i="14"/>
  <c r="FE539" i="14"/>
  <c r="FE520" i="14"/>
  <c r="FE450" i="14"/>
  <c r="FE382" i="14"/>
  <c r="FE500" i="14"/>
  <c r="FE436" i="14"/>
  <c r="FE368" i="14"/>
  <c r="FE300" i="14"/>
  <c r="FE290" i="14"/>
  <c r="FE222" i="14"/>
  <c r="FE157" i="14"/>
  <c r="FE129" i="14"/>
  <c r="FE113" i="14"/>
  <c r="FE93" i="14"/>
  <c r="FE77" i="14"/>
  <c r="FE57" i="14"/>
  <c r="FE38" i="14"/>
  <c r="FE22" i="14"/>
  <c r="FE9" i="14"/>
  <c r="FE346" i="14"/>
  <c r="FE276" i="14"/>
  <c r="FE244" i="14"/>
  <c r="FE212" i="14"/>
  <c r="FE177" i="14"/>
  <c r="FE152" i="14"/>
  <c r="FE136" i="14"/>
  <c r="FE120" i="14"/>
  <c r="FE100" i="14"/>
  <c r="FE84" i="14"/>
  <c r="FE68" i="14"/>
  <c r="FE56" i="14"/>
  <c r="FE45" i="14"/>
  <c r="FE28" i="14"/>
  <c r="FE11" i="14"/>
  <c r="FH158" i="14"/>
  <c r="FG157" i="14"/>
  <c r="FH154" i="14"/>
  <c r="FG153" i="14"/>
  <c r="FH150" i="14"/>
  <c r="FG149" i="14"/>
  <c r="FH146" i="14"/>
  <c r="FG145" i="14"/>
  <c r="FH142" i="14"/>
  <c r="FG141" i="14"/>
  <c r="FH138" i="14"/>
  <c r="FG137" i="14"/>
  <c r="FH134" i="14"/>
  <c r="FG133" i="14"/>
  <c r="FH130" i="14"/>
  <c r="FG129" i="14"/>
  <c r="FH126" i="14"/>
  <c r="FG125" i="14"/>
  <c r="FH122" i="14"/>
  <c r="FG121" i="14"/>
  <c r="FH118" i="14"/>
  <c r="FG117" i="14"/>
  <c r="FH114" i="14"/>
  <c r="FG113" i="14"/>
  <c r="FH110" i="14"/>
  <c r="FG109" i="14"/>
  <c r="FH102" i="14"/>
  <c r="FG101" i="14"/>
  <c r="FH98" i="14"/>
  <c r="FG97" i="14"/>
  <c r="FH94" i="14"/>
  <c r="FG93" i="14"/>
  <c r="FH90" i="14"/>
  <c r="FG89" i="14"/>
  <c r="FH86" i="14"/>
  <c r="FG85" i="14"/>
  <c r="FH82" i="14"/>
  <c r="FG81" i="14"/>
  <c r="FH78" i="14"/>
  <c r="FG77" i="14"/>
  <c r="FH74" i="14"/>
  <c r="FG73" i="14"/>
  <c r="FH70" i="14"/>
  <c r="FG69" i="14"/>
  <c r="FH66" i="14"/>
  <c r="FG65" i="14"/>
  <c r="FG42" i="14"/>
  <c r="FH39" i="14"/>
  <c r="FH281" i="14"/>
  <c r="FH297" i="14"/>
  <c r="FH317" i="14"/>
  <c r="FH333" i="14"/>
  <c r="FH349" i="14"/>
  <c r="FH365" i="14"/>
  <c r="FH381" i="14"/>
  <c r="FH397" i="14"/>
  <c r="FH413" i="14"/>
  <c r="FH433" i="14"/>
  <c r="FH449" i="14"/>
  <c r="FH465" i="14"/>
  <c r="FH481" i="14"/>
  <c r="FH497" i="14"/>
  <c r="FH517" i="14"/>
  <c r="FH554" i="14"/>
  <c r="FH586" i="14"/>
  <c r="FH383" i="14"/>
  <c r="FH399" i="14"/>
  <c r="FH415" i="14"/>
  <c r="FH435" i="14"/>
  <c r="FH451" i="14"/>
  <c r="FH467" i="14"/>
  <c r="FH483" i="14"/>
  <c r="FH499" i="14"/>
  <c r="FH513" i="14"/>
  <c r="FH550" i="14"/>
  <c r="FH582" i="14"/>
  <c r="FH515" i="14"/>
  <c r="FH536" i="14"/>
  <c r="FH552" i="14"/>
  <c r="FH568" i="14"/>
  <c r="FH584" i="14"/>
  <c r="FH606" i="14"/>
  <c r="FH161" i="14"/>
  <c r="FH169" i="14"/>
  <c r="FH177" i="14"/>
  <c r="FH185" i="14"/>
  <c r="FH193" i="14"/>
  <c r="FH201" i="14"/>
  <c r="FH212" i="14"/>
  <c r="FH220" i="14"/>
  <c r="FH228" i="14"/>
  <c r="FH236" i="14"/>
  <c r="FH244" i="14"/>
  <c r="FH252" i="14"/>
  <c r="FH260" i="14"/>
  <c r="FH268" i="14"/>
  <c r="FH276" i="14"/>
  <c r="FH284" i="14"/>
  <c r="FH292" i="14"/>
  <c r="FH300" i="14"/>
  <c r="FH308" i="14"/>
  <c r="FH320" i="14"/>
  <c r="FH328" i="14"/>
  <c r="FH336" i="14"/>
  <c r="FH344" i="14"/>
  <c r="FH352" i="14"/>
  <c r="FH360" i="14"/>
  <c r="FH368" i="14"/>
  <c r="FH376" i="14"/>
  <c r="FH384" i="14"/>
  <c r="FH392" i="14"/>
  <c r="FH400" i="14"/>
  <c r="FH408" i="14"/>
  <c r="FH416" i="14"/>
  <c r="FH428" i="14"/>
  <c r="FH436" i="14"/>
  <c r="FH444" i="14"/>
  <c r="FH452" i="14"/>
  <c r="FH460" i="14"/>
  <c r="FH468" i="14"/>
  <c r="FH486" i="14"/>
  <c r="FH518" i="14"/>
  <c r="FH555" i="14"/>
  <c r="FH587" i="14"/>
  <c r="FH603" i="14"/>
  <c r="FG328" i="14"/>
  <c r="FG270" i="14"/>
  <c r="FG238" i="14"/>
  <c r="FH225" i="14"/>
  <c r="FH190" i="14"/>
  <c r="FG144" i="14"/>
  <c r="FG128" i="14"/>
  <c r="FG112" i="14"/>
  <c r="FG92" i="14"/>
  <c r="FG76" i="14"/>
  <c r="FG326" i="14"/>
  <c r="FG478" i="14"/>
  <c r="FG615" i="14"/>
  <c r="FG385" i="14"/>
  <c r="FE18" i="14"/>
  <c r="FE49" i="14"/>
  <c r="FE76" i="14"/>
  <c r="FE112" i="14"/>
  <c r="FE144" i="14"/>
  <c r="FE193" i="14"/>
  <c r="FE260" i="14"/>
  <c r="FE378" i="14"/>
  <c r="FE29" i="14"/>
  <c r="FE69" i="14"/>
  <c r="FE101" i="14"/>
  <c r="FE141" i="14"/>
  <c r="FE254" i="14"/>
  <c r="FE336" i="14"/>
  <c r="FE468" i="14"/>
  <c r="FE414" i="14"/>
  <c r="FE589" i="14"/>
  <c r="FE172" i="14"/>
  <c r="FE239" i="14"/>
  <c r="FE317" i="14"/>
  <c r="FE449" i="14"/>
  <c r="FE582" i="14"/>
  <c r="FH40" i="14"/>
  <c r="FH42" i="14"/>
  <c r="FH43" i="14"/>
  <c r="FH44" i="14"/>
  <c r="FH51" i="14"/>
  <c r="FH55" i="14"/>
  <c r="FH67" i="14"/>
  <c r="FH69" i="14"/>
  <c r="FH71" i="14"/>
  <c r="FH73" i="14"/>
  <c r="FH75" i="14"/>
  <c r="FH77" i="14"/>
  <c r="FH79" i="14"/>
  <c r="FH81" i="14"/>
  <c r="FH83" i="14"/>
  <c r="FH85" i="14"/>
  <c r="FH87" i="14"/>
  <c r="FH89" i="14"/>
  <c r="FH91" i="14"/>
  <c r="FH93" i="14"/>
  <c r="FH95" i="14"/>
  <c r="FH97" i="14"/>
  <c r="FH99" i="14"/>
  <c r="FH101" i="14"/>
  <c r="FH103" i="14"/>
  <c r="FH109" i="14"/>
  <c r="FH111" i="14"/>
  <c r="FH113" i="14"/>
  <c r="FH115" i="14"/>
  <c r="FH117" i="14"/>
  <c r="FH119" i="14"/>
  <c r="FH121" i="14"/>
  <c r="FH123" i="14"/>
  <c r="FH125" i="14"/>
  <c r="FH127" i="14"/>
  <c r="FH129" i="14"/>
  <c r="FH131" i="14"/>
  <c r="FH133" i="14"/>
  <c r="FH135" i="14"/>
  <c r="FH137" i="14"/>
  <c r="FH139" i="14"/>
  <c r="FH141" i="14"/>
  <c r="FH143" i="14"/>
  <c r="FH145" i="14"/>
  <c r="FH147" i="14"/>
  <c r="FH149" i="14"/>
  <c r="FH151" i="14"/>
  <c r="FH153" i="14"/>
  <c r="FH162" i="14"/>
  <c r="FH233" i="14"/>
  <c r="FH237" i="14"/>
  <c r="FH241" i="14"/>
  <c r="FH245" i="14"/>
  <c r="FH249" i="14"/>
  <c r="FH253" i="14"/>
  <c r="FH257" i="14"/>
  <c r="FH261" i="14"/>
  <c r="FH265" i="14"/>
  <c r="FH269" i="14"/>
  <c r="FH273" i="14"/>
  <c r="FH277" i="14"/>
  <c r="FH279" i="14"/>
  <c r="FH287" i="14"/>
  <c r="FH295" i="14"/>
  <c r="FH303" i="14"/>
  <c r="FH311" i="14"/>
  <c r="FH323" i="14"/>
  <c r="FH331" i="14"/>
  <c r="FH339" i="14"/>
  <c r="FH347" i="14"/>
  <c r="FH355" i="14"/>
  <c r="FH363" i="14"/>
  <c r="FH371" i="14"/>
  <c r="FH625" i="14"/>
  <c r="FH621" i="14"/>
  <c r="FH617" i="14"/>
  <c r="FH613" i="14"/>
  <c r="FH609" i="14"/>
  <c r="FH605" i="14"/>
  <c r="FH601" i="14"/>
  <c r="FH597" i="14"/>
  <c r="FH624" i="14"/>
  <c r="FH616" i="14"/>
  <c r="FH608" i="14"/>
  <c r="FH600" i="14"/>
  <c r="FH593" i="14"/>
  <c r="FH589" i="14"/>
  <c r="FH585" i="14"/>
  <c r="FH581" i="14"/>
  <c r="FH577" i="14"/>
  <c r="FH573" i="14"/>
  <c r="FH569" i="14"/>
  <c r="FH565" i="14"/>
  <c r="FH561" i="14"/>
  <c r="FH557" i="14"/>
  <c r="FH553" i="14"/>
  <c r="FH549" i="14"/>
  <c r="FH545" i="14"/>
  <c r="FH541" i="14"/>
  <c r="FH537" i="14"/>
  <c r="FH533" i="14"/>
  <c r="FH529" i="14"/>
  <c r="FH520" i="14"/>
  <c r="FH516" i="14"/>
  <c r="FH512" i="14"/>
  <c r="FH508" i="14"/>
  <c r="FH504" i="14"/>
  <c r="FH500" i="14"/>
  <c r="FH496" i="14"/>
  <c r="FH492" i="14"/>
  <c r="FH488" i="14"/>
  <c r="FH484" i="14"/>
  <c r="FG602" i="14"/>
  <c r="FG554" i="14"/>
  <c r="FG485" i="14"/>
  <c r="FG417" i="14"/>
  <c r="FG353" i="14"/>
  <c r="FG299" i="14"/>
  <c r="FG267" i="14"/>
  <c r="FG235" i="14"/>
  <c r="FG200" i="14"/>
  <c r="FG168" i="14"/>
  <c r="FG569" i="14"/>
  <c r="FG533" i="14"/>
  <c r="FG571" i="14"/>
  <c r="FG508" i="14"/>
  <c r="FG476" i="14"/>
  <c r="FG444" i="14"/>
  <c r="FG408" i="14"/>
  <c r="FG623" i="14"/>
  <c r="FG543" i="14"/>
  <c r="FG494" i="14"/>
  <c r="FG462" i="14"/>
  <c r="FG434" i="14"/>
  <c r="FG414" i="14"/>
  <c r="FG398" i="14"/>
  <c r="FG382" i="14"/>
  <c r="FG366" i="14"/>
  <c r="FG350" i="14"/>
  <c r="FG334" i="14"/>
  <c r="FG318" i="14"/>
  <c r="FG298" i="14"/>
  <c r="FG282" i="14"/>
  <c r="FG41" i="14"/>
  <c r="FG48" i="14"/>
  <c r="FG59" i="14"/>
  <c r="FG63" i="14"/>
  <c r="FG66" i="14"/>
  <c r="FG156" i="14"/>
  <c r="FG158" i="14"/>
  <c r="FG167" i="14"/>
  <c r="FG171" i="14"/>
  <c r="FG175" i="14"/>
  <c r="FG179" i="14"/>
  <c r="FG183" i="14"/>
  <c r="FG187" i="14"/>
  <c r="FG191" i="14"/>
  <c r="FG195" i="14"/>
  <c r="FG199" i="14"/>
  <c r="FG203" i="14"/>
  <c r="FG207" i="14"/>
  <c r="FG214" i="14"/>
  <c r="FG218" i="14"/>
  <c r="FG222" i="14"/>
  <c r="FG226" i="14"/>
  <c r="FG230" i="14"/>
  <c r="FE626" i="14"/>
  <c r="FE622" i="14"/>
  <c r="FE618" i="14"/>
  <c r="FE614" i="14"/>
  <c r="FE610" i="14"/>
  <c r="FE606" i="14"/>
  <c r="FE602" i="14"/>
  <c r="FE598" i="14"/>
  <c r="FE627" i="14"/>
  <c r="FE619" i="14"/>
  <c r="FE611" i="14"/>
  <c r="FE603" i="14"/>
  <c r="FE595" i="14"/>
  <c r="FE592" i="14"/>
  <c r="FE588" i="14"/>
  <c r="FE584" i="14"/>
  <c r="FE580" i="14"/>
  <c r="FE576" i="14"/>
  <c r="FE572" i="14"/>
  <c r="FE568" i="14"/>
  <c r="FE564" i="14"/>
  <c r="FE560" i="14"/>
  <c r="FE556" i="14"/>
  <c r="FE552" i="14"/>
  <c r="FE548" i="14"/>
  <c r="FE544" i="14"/>
  <c r="FE540" i="14"/>
  <c r="FE536" i="14"/>
  <c r="FE532" i="14"/>
  <c r="FE528" i="14"/>
  <c r="FE519" i="14"/>
  <c r="FE515" i="14"/>
  <c r="FE511" i="14"/>
  <c r="FE507" i="14"/>
  <c r="FE503" i="14"/>
  <c r="FE499" i="14"/>
  <c r="FE495" i="14"/>
  <c r="FE491" i="14"/>
  <c r="FE487" i="14"/>
  <c r="FE483" i="14"/>
  <c r="FE479" i="14"/>
  <c r="FE475" i="14"/>
  <c r="FE471" i="14"/>
  <c r="FE467" i="14"/>
  <c r="FE463" i="14"/>
  <c r="FE459" i="14"/>
  <c r="FE455" i="14"/>
  <c r="FE451" i="14"/>
  <c r="FE447" i="14"/>
  <c r="FE443" i="14"/>
  <c r="FE439" i="14"/>
  <c r="FE435" i="14"/>
  <c r="FE431" i="14"/>
  <c r="FE427" i="14"/>
  <c r="FE423" i="14"/>
  <c r="FE415" i="14"/>
  <c r="FE411" i="14"/>
  <c r="FE407" i="14"/>
  <c r="FE403" i="14"/>
  <c r="FE399" i="14"/>
  <c r="FE395" i="14"/>
  <c r="FE391" i="14"/>
  <c r="FE387" i="14"/>
  <c r="FE383" i="14"/>
  <c r="FE379" i="14"/>
  <c r="FE375" i="14"/>
  <c r="FE371" i="14"/>
  <c r="FE367" i="14"/>
  <c r="FE363" i="14"/>
  <c r="FE359" i="14"/>
  <c r="FE355" i="14"/>
  <c r="FE351" i="14"/>
  <c r="FE347" i="14"/>
  <c r="FE343" i="14"/>
  <c r="FE339" i="14"/>
  <c r="FE335" i="14"/>
  <c r="FE331" i="14"/>
  <c r="FE327" i="14"/>
  <c r="FE323" i="14"/>
  <c r="FE319" i="14"/>
  <c r="FE311" i="14"/>
  <c r="FE307" i="14"/>
  <c r="FE303" i="14"/>
  <c r="FE299" i="14"/>
  <c r="FE295" i="14"/>
  <c r="FE624" i="14"/>
  <c r="FE616" i="14"/>
  <c r="FE608" i="14"/>
  <c r="FE600" i="14"/>
  <c r="FE623" i="14"/>
  <c r="FE607" i="14"/>
  <c r="FE594" i="14"/>
  <c r="FE586" i="14"/>
  <c r="FE578" i="14"/>
  <c r="FE570" i="14"/>
  <c r="FE562" i="14"/>
  <c r="FE554" i="14"/>
  <c r="FE546" i="14"/>
  <c r="FE538" i="14"/>
  <c r="FE530" i="14"/>
  <c r="FE517" i="14"/>
  <c r="FE509" i="14"/>
  <c r="FE501" i="14"/>
  <c r="FE493" i="14"/>
  <c r="FE485" i="14"/>
  <c r="FE477" i="14"/>
  <c r="FE469" i="14"/>
  <c r="FE461" i="14"/>
  <c r="FE453" i="14"/>
  <c r="FE445" i="14"/>
  <c r="FE437" i="14"/>
  <c r="FE429" i="14"/>
  <c r="FE417" i="14"/>
  <c r="FE409" i="14"/>
  <c r="FE401" i="14"/>
  <c r="FE393" i="14"/>
  <c r="FE385" i="14"/>
  <c r="FE377" i="14"/>
  <c r="FE369" i="14"/>
  <c r="FE361" i="14"/>
  <c r="FE353" i="14"/>
  <c r="FE345" i="14"/>
  <c r="FE337" i="14"/>
  <c r="FE329" i="14"/>
  <c r="FE321" i="14"/>
  <c r="FE309" i="14"/>
  <c r="FE301" i="14"/>
  <c r="FE293" i="14"/>
  <c r="FE289" i="14"/>
  <c r="FE285" i="14"/>
  <c r="FE281" i="14"/>
  <c r="FE277" i="14"/>
  <c r="FE273" i="14"/>
  <c r="FE269" i="14"/>
  <c r="FE265" i="14"/>
  <c r="FE261" i="14"/>
  <c r="FE257" i="14"/>
  <c r="FE253" i="14"/>
  <c r="FE249" i="14"/>
  <c r="FE245" i="14"/>
  <c r="FE241" i="14"/>
  <c r="FE237" i="14"/>
  <c r="FE233" i="14"/>
  <c r="FE229" i="14"/>
  <c r="FE225" i="14"/>
  <c r="FE221" i="14"/>
  <c r="FE217" i="14"/>
  <c r="FE213" i="14"/>
  <c r="FE206" i="14"/>
  <c r="FE202" i="14"/>
  <c r="FE198" i="14"/>
  <c r="FE194" i="14"/>
  <c r="FE190" i="14"/>
  <c r="FE186" i="14"/>
  <c r="FE182" i="14"/>
  <c r="FE178" i="14"/>
  <c r="FE174" i="14"/>
  <c r="FE170" i="14"/>
  <c r="FE166" i="14"/>
  <c r="FE162" i="14"/>
  <c r="FE621" i="14"/>
  <c r="FE605" i="14"/>
  <c r="FE591" i="14"/>
  <c r="FE583" i="14"/>
  <c r="FE575" i="14"/>
  <c r="FE567" i="14"/>
  <c r="FE559" i="14"/>
  <c r="FE551" i="14"/>
  <c r="FE543" i="14"/>
  <c r="FE535" i="14"/>
  <c r="FE522" i="14"/>
  <c r="FE514" i="14"/>
  <c r="FE609" i="14"/>
  <c r="FE581" i="14"/>
  <c r="FE565" i="14"/>
  <c r="FE549" i="14"/>
  <c r="FE533" i="14"/>
  <c r="FE510" i="14"/>
  <c r="FE502" i="14"/>
  <c r="FE494" i="14"/>
  <c r="FE486" i="14"/>
  <c r="FE478" i="14"/>
  <c r="FE470" i="14"/>
  <c r="FE462" i="14"/>
  <c r="FE454" i="14"/>
  <c r="FE446" i="14"/>
  <c r="FE438" i="14"/>
  <c r="FE430" i="14"/>
  <c r="FE422" i="14"/>
  <c r="FE410" i="14"/>
  <c r="FE402" i="14"/>
  <c r="FE394" i="14"/>
  <c r="FE386" i="14"/>
  <c r="FE617" i="14"/>
  <c r="FE593" i="14"/>
  <c r="FE577" i="14"/>
  <c r="FE561" i="14"/>
  <c r="FE545" i="14"/>
  <c r="FE529" i="14"/>
  <c r="FE512" i="14"/>
  <c r="FE504" i="14"/>
  <c r="FE496" i="14"/>
  <c r="FE488" i="14"/>
  <c r="FE480" i="14"/>
  <c r="FE472" i="14"/>
  <c r="FE464" i="14"/>
  <c r="FE456" i="14"/>
  <c r="FE448" i="14"/>
  <c r="FE440" i="14"/>
  <c r="FE432" i="14"/>
  <c r="FE424" i="14"/>
  <c r="FE412" i="14"/>
  <c r="FE404" i="14"/>
  <c r="FE396" i="14"/>
  <c r="FE388" i="14"/>
  <c r="FE380" i="14"/>
  <c r="FE372" i="14"/>
  <c r="FE364" i="14"/>
  <c r="FE356" i="14"/>
  <c r="FE348" i="14"/>
  <c r="FE340" i="14"/>
  <c r="FE332" i="14"/>
  <c r="FE324" i="14"/>
  <c r="FE312" i="14"/>
  <c r="FE304" i="14"/>
  <c r="FE296" i="14"/>
  <c r="FE288" i="14"/>
  <c r="FE280" i="14"/>
  <c r="FE366" i="14"/>
  <c r="FE350" i="14"/>
  <c r="FE334" i="14"/>
  <c r="FE318" i="14"/>
  <c r="FE298" i="14"/>
  <c r="FE282" i="14"/>
  <c r="FE274" i="14"/>
  <c r="FE266" i="14"/>
  <c r="FE258" i="14"/>
  <c r="FE250" i="14"/>
  <c r="FE242" i="14"/>
  <c r="FE234" i="14"/>
  <c r="FE226" i="14"/>
  <c r="FE218" i="14"/>
  <c r="FE207" i="14"/>
  <c r="FE199" i="14"/>
  <c r="FE191" i="14"/>
  <c r="FE183" i="14"/>
  <c r="FE175" i="14"/>
  <c r="FE167" i="14"/>
  <c r="FE159" i="14"/>
  <c r="FE155" i="14"/>
  <c r="FE151" i="14"/>
  <c r="FE147" i="14"/>
  <c r="FE143" i="14"/>
  <c r="FE139" i="14"/>
  <c r="FE135" i="14"/>
  <c r="FE620" i="14"/>
  <c r="FE604" i="14"/>
  <c r="FE615" i="14"/>
  <c r="FE590" i="14"/>
  <c r="FE574" i="14"/>
  <c r="FE558" i="14"/>
  <c r="FE542" i="14"/>
  <c r="FE521" i="14"/>
  <c r="FE505" i="14"/>
  <c r="FE489" i="14"/>
  <c r="FE473" i="14"/>
  <c r="FE457" i="14"/>
  <c r="FE441" i="14"/>
  <c r="FE425" i="14"/>
  <c r="FE405" i="14"/>
  <c r="FE389" i="14"/>
  <c r="FE373" i="14"/>
  <c r="FE357" i="14"/>
  <c r="FE341" i="14"/>
  <c r="FE325" i="14"/>
  <c r="FE305" i="14"/>
  <c r="FE291" i="14"/>
  <c r="FE283" i="14"/>
  <c r="FE275" i="14"/>
  <c r="FE267" i="14"/>
  <c r="FE259" i="14"/>
  <c r="FE251" i="14"/>
  <c r="FE243" i="14"/>
  <c r="FE235" i="14"/>
  <c r="FE227" i="14"/>
  <c r="FE219" i="14"/>
  <c r="FE208" i="14"/>
  <c r="FE200" i="14"/>
  <c r="FE192" i="14"/>
  <c r="FE184" i="14"/>
  <c r="FE176" i="14"/>
  <c r="FE168" i="14"/>
  <c r="FE160" i="14"/>
  <c r="FE597" i="14"/>
  <c r="FE579" i="14"/>
  <c r="FE563" i="14"/>
  <c r="FE547" i="14"/>
  <c r="FE531" i="14"/>
  <c r="FE625" i="14"/>
  <c r="FE573" i="14"/>
  <c r="FE541" i="14"/>
  <c r="FE506" i="14"/>
  <c r="FE490" i="14"/>
  <c r="FE474" i="14"/>
  <c r="FE458" i="14"/>
  <c r="FE442" i="14"/>
  <c r="FE426" i="14"/>
  <c r="FE406" i="14"/>
  <c r="FE390" i="14"/>
  <c r="FE601" i="14"/>
  <c r="FE569" i="14"/>
  <c r="FE537" i="14"/>
  <c r="FE508" i="14"/>
  <c r="FE492" i="14"/>
  <c r="FE476" i="14"/>
  <c r="FE460" i="14"/>
  <c r="FE444" i="14"/>
  <c r="FE428" i="14"/>
  <c r="FE408" i="14"/>
  <c r="FE392" i="14"/>
  <c r="FE376" i="14"/>
  <c r="FE360" i="14"/>
  <c r="FE344" i="14"/>
  <c r="FE328" i="14"/>
  <c r="FE308" i="14"/>
  <c r="FE292" i="14"/>
  <c r="FE374" i="14"/>
  <c r="FE342" i="14"/>
  <c r="FE306" i="14"/>
  <c r="FE278" i="14"/>
  <c r="FE262" i="14"/>
  <c r="FE246" i="14"/>
  <c r="FE230" i="14"/>
  <c r="FE214" i="14"/>
  <c r="FE195" i="14"/>
  <c r="FE179" i="14"/>
  <c r="FE163" i="14"/>
  <c r="FE153" i="14"/>
  <c r="FE145" i="14"/>
  <c r="FE137" i="14"/>
  <c r="FE131" i="14"/>
  <c r="FE127" i="14"/>
  <c r="FE123" i="14"/>
  <c r="FE119" i="14"/>
  <c r="FE115" i="14"/>
  <c r="FE111" i="14"/>
  <c r="FE103" i="14"/>
  <c r="FE99" i="14"/>
  <c r="FE95" i="14"/>
  <c r="FE91" i="14"/>
  <c r="FE87" i="14"/>
  <c r="FE83" i="14"/>
  <c r="FE79" i="14"/>
  <c r="FE75" i="14"/>
  <c r="FE71" i="14"/>
  <c r="FE67" i="14"/>
  <c r="FE58" i="14"/>
  <c r="FE55" i="14"/>
  <c r="FE51" i="14"/>
  <c r="FE43" i="14"/>
  <c r="FE40" i="14"/>
  <c r="FE36" i="14"/>
  <c r="FE30" i="14"/>
  <c r="FE26" i="14"/>
  <c r="FE23" i="14"/>
  <c r="FE21" i="14"/>
  <c r="FE17" i="14"/>
  <c r="FE14" i="14"/>
  <c r="FE10" i="14"/>
  <c r="FE6" i="14"/>
  <c r="FE3" i="14"/>
  <c r="FE370" i="14"/>
  <c r="FE354" i="14"/>
  <c r="FE338" i="14"/>
  <c r="FE322" i="14"/>
  <c r="FE302" i="14"/>
  <c r="FE286" i="14"/>
  <c r="FE272" i="14"/>
  <c r="FE264" i="14"/>
  <c r="FE256" i="14"/>
  <c r="FE248" i="14"/>
  <c r="FE240" i="14"/>
  <c r="FE232" i="14"/>
  <c r="FE224" i="14"/>
  <c r="FE216" i="14"/>
  <c r="FE205" i="14"/>
  <c r="FE197" i="14"/>
  <c r="FE189" i="14"/>
  <c r="FE181" i="14"/>
  <c r="FE173" i="14"/>
  <c r="FE165" i="14"/>
  <c r="FE158" i="14"/>
  <c r="FE154" i="14"/>
  <c r="FE150" i="14"/>
  <c r="FE146" i="14"/>
  <c r="FE142" i="14"/>
  <c r="FE138" i="14"/>
  <c r="FE134" i="14"/>
  <c r="FE130" i="14"/>
  <c r="FE126" i="14"/>
  <c r="FE122" i="14"/>
  <c r="FE118" i="14"/>
  <c r="FE114" i="14"/>
  <c r="FE110" i="14"/>
  <c r="FE102" i="14"/>
  <c r="FE98" i="14"/>
  <c r="FE94" i="14"/>
  <c r="FE90" i="14"/>
  <c r="FE86" i="14"/>
  <c r="FE82" i="14"/>
  <c r="FE78" i="14"/>
  <c r="FE74" i="14"/>
  <c r="FE70" i="14"/>
  <c r="FE66" i="14"/>
  <c r="FE63" i="14"/>
  <c r="FE61" i="14"/>
  <c r="FE59" i="14"/>
  <c r="FE54" i="14"/>
  <c r="FE50" i="14"/>
  <c r="FE48" i="14"/>
  <c r="FE46" i="14"/>
  <c r="FE41" i="14"/>
  <c r="FE37" i="14"/>
  <c r="FE34" i="14"/>
  <c r="FE31" i="14"/>
  <c r="FE27" i="14"/>
  <c r="FE20" i="14"/>
  <c r="FE16" i="14"/>
  <c r="FE12" i="14"/>
  <c r="FE8" i="14"/>
  <c r="FE5" i="14"/>
  <c r="FG372" i="14"/>
  <c r="FH367" i="14"/>
  <c r="FG356" i="14"/>
  <c r="FH351" i="14"/>
  <c r="FG340" i="14"/>
  <c r="FH335" i="14"/>
  <c r="FG324" i="14"/>
  <c r="FH319" i="14"/>
  <c r="FG304" i="14"/>
  <c r="FH299" i="14"/>
  <c r="FG288" i="14"/>
  <c r="FH283" i="14"/>
  <c r="FH275" i="14"/>
  <c r="FG272" i="14"/>
  <c r="FH267" i="14"/>
  <c r="FG264" i="14"/>
  <c r="FH259" i="14"/>
  <c r="FG256" i="14"/>
  <c r="FH251" i="14"/>
  <c r="FG248" i="14"/>
  <c r="FH243" i="14"/>
  <c r="FG240" i="14"/>
  <c r="FH235" i="14"/>
  <c r="FG232" i="14"/>
  <c r="FH227" i="14"/>
  <c r="FG224" i="14"/>
  <c r="FH219" i="14"/>
  <c r="FG216" i="14"/>
  <c r="FH208" i="14"/>
  <c r="FG205" i="14"/>
  <c r="FH200" i="14"/>
  <c r="FG197" i="14"/>
  <c r="FH192" i="14"/>
  <c r="FG189" i="14"/>
  <c r="FH184" i="14"/>
  <c r="FG181" i="14"/>
  <c r="FH176" i="14"/>
  <c r="FG173" i="14"/>
  <c r="FH168" i="14"/>
  <c r="FG165" i="14"/>
  <c r="FH160" i="14"/>
  <c r="FH156" i="14"/>
  <c r="FG155" i="14"/>
  <c r="FH152" i="14"/>
  <c r="FG151" i="14"/>
  <c r="FH148" i="14"/>
  <c r="FG147" i="14"/>
  <c r="FH144" i="14"/>
  <c r="FG143" i="14"/>
  <c r="FH140" i="14"/>
  <c r="FG139" i="14"/>
  <c r="FH136" i="14"/>
  <c r="FG135" i="14"/>
  <c r="FH132" i="14"/>
  <c r="FG131" i="14"/>
  <c r="FH128" i="14"/>
  <c r="FG127" i="14"/>
  <c r="FH124" i="14"/>
  <c r="FG123" i="14"/>
  <c r="FH120" i="14"/>
  <c r="FG119" i="14"/>
  <c r="FH116" i="14"/>
  <c r="FG115" i="14"/>
  <c r="FH112" i="14"/>
  <c r="FG111" i="14"/>
  <c r="FH108" i="14"/>
  <c r="FG103" i="14"/>
  <c r="FH100" i="14"/>
  <c r="FG99" i="14"/>
  <c r="FH96" i="14"/>
  <c r="FG95" i="14"/>
  <c r="FH92" i="14"/>
  <c r="FG91" i="14"/>
  <c r="FH88" i="14"/>
  <c r="FG87" i="14"/>
  <c r="FH84" i="14"/>
  <c r="FG83" i="14"/>
  <c r="FH80" i="14"/>
  <c r="FG79" i="14"/>
  <c r="FH76" i="14"/>
  <c r="FG75" i="14"/>
  <c r="FH72" i="14"/>
  <c r="FG71" i="14"/>
  <c r="FH68" i="14"/>
  <c r="FG67" i="14"/>
  <c r="FH64" i="14"/>
  <c r="FH63" i="14"/>
  <c r="FH62" i="14"/>
  <c r="FH61" i="14"/>
  <c r="FH60" i="14"/>
  <c r="FH59" i="14"/>
  <c r="FG58" i="14"/>
  <c r="FH56" i="14"/>
  <c r="FG55" i="14"/>
  <c r="FH52" i="14"/>
  <c r="FG51" i="14"/>
  <c r="FG43" i="14"/>
  <c r="FH41" i="14"/>
  <c r="FG40" i="14"/>
  <c r="FH285" i="14"/>
  <c r="FH293" i="14"/>
  <c r="FH301" i="14"/>
  <c r="FH309" i="14"/>
  <c r="FH321" i="14"/>
  <c r="FH329" i="14"/>
  <c r="FH337" i="14"/>
  <c r="FH345" i="14"/>
  <c r="FH353" i="14"/>
  <c r="FH361" i="14"/>
  <c r="FH369" i="14"/>
  <c r="FH377" i="14"/>
  <c r="FH385" i="14"/>
  <c r="FH393" i="14"/>
  <c r="FH401" i="14"/>
  <c r="FH409" i="14"/>
  <c r="FH417" i="14"/>
  <c r="FH429" i="14"/>
  <c r="FH437" i="14"/>
  <c r="FH445" i="14"/>
  <c r="FH453" i="14"/>
  <c r="FH461" i="14"/>
  <c r="FH469" i="14"/>
  <c r="FH477" i="14"/>
  <c r="FH485" i="14"/>
  <c r="FH493" i="14"/>
  <c r="FH501" i="14"/>
  <c r="FH509" i="14"/>
  <c r="FH530" i="14"/>
  <c r="FH546" i="14"/>
  <c r="FH562" i="14"/>
  <c r="FH578" i="14"/>
  <c r="FH594" i="14"/>
  <c r="FH626" i="14"/>
  <c r="FH387" i="14"/>
  <c r="FH395" i="14"/>
  <c r="FH403" i="14"/>
  <c r="FH411" i="14"/>
  <c r="FH423" i="14"/>
  <c r="FH431" i="14"/>
  <c r="FH439" i="14"/>
  <c r="FH447" i="14"/>
  <c r="FH455" i="14"/>
  <c r="FH463" i="14"/>
  <c r="FH471" i="14"/>
  <c r="FH479" i="14"/>
  <c r="FH487" i="14"/>
  <c r="FH495" i="14"/>
  <c r="FH503" i="14"/>
  <c r="FH511" i="14"/>
  <c r="FH521" i="14"/>
  <c r="FH542" i="14"/>
  <c r="FH558" i="14"/>
  <c r="FH574" i="14"/>
  <c r="FH590" i="14"/>
  <c r="FH618" i="14"/>
  <c r="FH519" i="14"/>
  <c r="FH532" i="14"/>
  <c r="FH540" i="14"/>
  <c r="FH548" i="14"/>
  <c r="FH556" i="14"/>
  <c r="FH564" i="14"/>
  <c r="FH572" i="14"/>
  <c r="FH580" i="14"/>
  <c r="FH588" i="14"/>
  <c r="FH598" i="14"/>
  <c r="FH614" i="14"/>
  <c r="FH159" i="14"/>
  <c r="FH163" i="14"/>
  <c r="FH167" i="14"/>
  <c r="FH171" i="14"/>
  <c r="FH175" i="14"/>
  <c r="FH179" i="14"/>
  <c r="FH183" i="14"/>
  <c r="FH187" i="14"/>
  <c r="FH191" i="14"/>
  <c r="FH195" i="14"/>
  <c r="FH199" i="14"/>
  <c r="FH203" i="14"/>
  <c r="FH207" i="14"/>
  <c r="FH214" i="14"/>
  <c r="FH218" i="14"/>
  <c r="FH222" i="14"/>
  <c r="FH226" i="14"/>
  <c r="FH230" i="14"/>
  <c r="FH234" i="14"/>
  <c r="FH238" i="14"/>
  <c r="FH242" i="14"/>
  <c r="FH246" i="14"/>
  <c r="FH250" i="14"/>
  <c r="FH254" i="14"/>
  <c r="FH258" i="14"/>
  <c r="FH262" i="14"/>
  <c r="FH266" i="14"/>
  <c r="FH270" i="14"/>
  <c r="FH274" i="14"/>
  <c r="FH278" i="14"/>
  <c r="FH282" i="14"/>
  <c r="FH286" i="14"/>
  <c r="FH290" i="14"/>
  <c r="FH294" i="14"/>
  <c r="FH298" i="14"/>
  <c r="FH302" i="14"/>
  <c r="FH306" i="14"/>
  <c r="FH310" i="14"/>
  <c r="FH318" i="14"/>
  <c r="FH322" i="14"/>
  <c r="FH326" i="14"/>
  <c r="FH330" i="14"/>
  <c r="FH334" i="14"/>
  <c r="FH338" i="14"/>
  <c r="FH342" i="14"/>
  <c r="FH346" i="14"/>
  <c r="FH350" i="14"/>
  <c r="FH354" i="14"/>
  <c r="FH358" i="14"/>
  <c r="FH362" i="14"/>
  <c r="FH366" i="14"/>
  <c r="FH370" i="14"/>
  <c r="FH374" i="14"/>
  <c r="FH378" i="14"/>
  <c r="FH382" i="14"/>
  <c r="FH386" i="14"/>
  <c r="FH390" i="14"/>
  <c r="FH394" i="14"/>
  <c r="FH398" i="14"/>
  <c r="FH402" i="14"/>
  <c r="FH406" i="14"/>
  <c r="FH410" i="14"/>
  <c r="FH414" i="14"/>
  <c r="FH422" i="14"/>
  <c r="FH426" i="14"/>
  <c r="FH430" i="14"/>
  <c r="FH434" i="14"/>
  <c r="FH438" i="14"/>
  <c r="FH442" i="14"/>
  <c r="FH446" i="14"/>
  <c r="FH450" i="14"/>
  <c r="FH454" i="14"/>
  <c r="FH458" i="14"/>
  <c r="FH462" i="14"/>
  <c r="FH466" i="14"/>
  <c r="FH470" i="14"/>
  <c r="FH474" i="14"/>
  <c r="FH478" i="14"/>
  <c r="FH482" i="14"/>
  <c r="FH490" i="14"/>
  <c r="FH498" i="14"/>
  <c r="FH506" i="14"/>
  <c r="FH514" i="14"/>
  <c r="FH522" i="14"/>
  <c r="FH535" i="14"/>
  <c r="FH543" i="14"/>
  <c r="FH551" i="14"/>
  <c r="FH559" i="14"/>
  <c r="FH567" i="14"/>
  <c r="FH575" i="14"/>
  <c r="FH583" i="14"/>
  <c r="FH591" i="14"/>
  <c r="FH604" i="14"/>
  <c r="FH620" i="14"/>
  <c r="FH599" i="14"/>
  <c r="FH607" i="14"/>
  <c r="FH615" i="14"/>
  <c r="FH623" i="14"/>
  <c r="FG368" i="14"/>
  <c r="FG352" i="14"/>
  <c r="FG336" i="14"/>
  <c r="FG320" i="14"/>
  <c r="FG300" i="14"/>
  <c r="FG284" i="14"/>
  <c r="FG274" i="14"/>
  <c r="FG266" i="14"/>
  <c r="FG258" i="14"/>
  <c r="FG250" i="14"/>
  <c r="FG242" i="14"/>
  <c r="FG234" i="14"/>
  <c r="FH229" i="14"/>
  <c r="FH221" i="14"/>
  <c r="FH213" i="14"/>
  <c r="FH202" i="14"/>
  <c r="FH194" i="14"/>
  <c r="FH186" i="14"/>
  <c r="FH178" i="14"/>
  <c r="FH170" i="14"/>
  <c r="FG159" i="14"/>
  <c r="FH155" i="14"/>
  <c r="FG154" i="14"/>
  <c r="FG150" i="14"/>
  <c r="FG146" i="14"/>
  <c r="FG142" i="14"/>
  <c r="FG138" i="14"/>
  <c r="FG134" i="14"/>
  <c r="FG130" i="14"/>
  <c r="FG126" i="14"/>
  <c r="FG122" i="14"/>
  <c r="FG118" i="14"/>
  <c r="FG114" i="14"/>
  <c r="FG110" i="14"/>
  <c r="FG102" i="14"/>
  <c r="FG98" i="14"/>
  <c r="FG94" i="14"/>
  <c r="FG90" i="14"/>
  <c r="FG86" i="14"/>
  <c r="FG82" i="14"/>
  <c r="FG78" i="14"/>
  <c r="FG74" i="14"/>
  <c r="FG70" i="14"/>
  <c r="FG61" i="14"/>
  <c r="FG54" i="14"/>
  <c r="FG46" i="14"/>
  <c r="FG306" i="14"/>
  <c r="FG342" i="14"/>
  <c r="FG374" i="14"/>
  <c r="FG406" i="14"/>
  <c r="FG446" i="14"/>
  <c r="FG510" i="14"/>
  <c r="FG392" i="14"/>
  <c r="FG460" i="14"/>
  <c r="FG539" i="14"/>
  <c r="FG549" i="14"/>
  <c r="FG184" i="14"/>
  <c r="FG251" i="14"/>
  <c r="FG321" i="14"/>
  <c r="FG453" i="14"/>
  <c r="FG586" i="14"/>
  <c r="FE7" i="14"/>
  <c r="FE13" i="14"/>
  <c r="FE25" i="14"/>
  <c r="FE32" i="14"/>
  <c r="FE39" i="14"/>
  <c r="FE47" i="14"/>
  <c r="FE52" i="14"/>
  <c r="FE60" i="14"/>
  <c r="FE64" i="14"/>
  <c r="FE72" i="14"/>
  <c r="FE80" i="14"/>
  <c r="FE88" i="14"/>
  <c r="FE96" i="14"/>
  <c r="FE108" i="14"/>
  <c r="FE116" i="14"/>
  <c r="FE124" i="14"/>
  <c r="FE132" i="14"/>
  <c r="FE140" i="14"/>
  <c r="FE148" i="14"/>
  <c r="FE156" i="14"/>
  <c r="FE169" i="14"/>
  <c r="FE185" i="14"/>
  <c r="FE201" i="14"/>
  <c r="FE220" i="14"/>
  <c r="FE236" i="14"/>
  <c r="FE252" i="14"/>
  <c r="FE268" i="14"/>
  <c r="FE294" i="14"/>
  <c r="FE330" i="14"/>
  <c r="FE362" i="14"/>
  <c r="FE4" i="14"/>
  <c r="FQ11" i="14"/>
  <c r="FE19" i="14"/>
  <c r="FE24" i="14"/>
  <c r="FE33" i="14"/>
  <c r="FE42" i="14"/>
  <c r="FE53" i="14"/>
  <c r="FE65" i="14"/>
  <c r="FE73" i="14"/>
  <c r="FE81" i="14"/>
  <c r="FE89" i="14"/>
  <c r="FE97" i="14"/>
  <c r="FE109" i="14"/>
  <c r="FE117" i="14"/>
  <c r="FE125" i="14"/>
  <c r="FE133" i="14"/>
  <c r="FE149" i="14"/>
  <c r="FE171" i="14"/>
  <c r="FE203" i="14"/>
  <c r="FE238" i="14"/>
  <c r="FE270" i="14"/>
  <c r="FE326" i="14"/>
  <c r="FE284" i="14"/>
  <c r="FE320" i="14"/>
  <c r="FE352" i="14"/>
  <c r="FE384" i="14"/>
  <c r="FE416" i="14"/>
  <c r="FE452" i="14"/>
  <c r="FE484" i="14"/>
  <c r="FE516" i="14"/>
  <c r="FE585" i="14"/>
  <c r="FE398" i="14"/>
  <c r="FE434" i="14"/>
  <c r="FE466" i="14"/>
  <c r="FE498" i="14"/>
  <c r="FE557" i="14"/>
  <c r="FE518" i="14"/>
  <c r="FE555" i="14"/>
  <c r="FE587" i="14"/>
  <c r="AO8" i="14" s="1"/>
  <c r="J50" i="14" s="1"/>
  <c r="FE164" i="14"/>
  <c r="FE180" i="14"/>
  <c r="FE196" i="14"/>
  <c r="FE215" i="14"/>
  <c r="FE231" i="14"/>
  <c r="FE247" i="14"/>
  <c r="FE263" i="14"/>
  <c r="FE279" i="14"/>
  <c r="FE297" i="14"/>
  <c r="FE333" i="14"/>
  <c r="FE365" i="14"/>
  <c r="FE397" i="14"/>
  <c r="FE433" i="14"/>
  <c r="FE465" i="14"/>
  <c r="FE497" i="14"/>
  <c r="FE534" i="14"/>
  <c r="FE566" i="14"/>
  <c r="FE599" i="14"/>
  <c r="FE612" i="14"/>
  <c r="FF283" i="14"/>
  <c r="FF299" i="14"/>
  <c r="FF319" i="14"/>
  <c r="FF335" i="14"/>
  <c r="FF351" i="14"/>
  <c r="FF367" i="14"/>
  <c r="FF383" i="14"/>
  <c r="FF399" i="14"/>
  <c r="FF415" i="14"/>
  <c r="FF435" i="14"/>
  <c r="FF451" i="14"/>
  <c r="FF467" i="14"/>
  <c r="FF483" i="14"/>
  <c r="FF499" i="14"/>
  <c r="FF519" i="14"/>
  <c r="FF556" i="14"/>
  <c r="FF588" i="14"/>
  <c r="FF385" i="14"/>
  <c r="FF401" i="14"/>
  <c r="FF417" i="14"/>
  <c r="FF437" i="14"/>
  <c r="FF453" i="14"/>
  <c r="FF469" i="14"/>
  <c r="FF485" i="14"/>
  <c r="FF501" i="14"/>
  <c r="FF528" i="14"/>
  <c r="FF560" i="14"/>
  <c r="FF592" i="14"/>
  <c r="FF513" i="14"/>
  <c r="FF534" i="14"/>
  <c r="FF550" i="14"/>
  <c r="FF566" i="14"/>
  <c r="FF582" i="14"/>
  <c r="FF600" i="14"/>
  <c r="FF159" i="14"/>
  <c r="FF167" i="14"/>
  <c r="FF175" i="14"/>
  <c r="FF183" i="14"/>
  <c r="FF191" i="14"/>
  <c r="FF199" i="14"/>
  <c r="FF207" i="14"/>
  <c r="FF218" i="14"/>
  <c r="FF226" i="14"/>
  <c r="FF234" i="14"/>
  <c r="FF242" i="14"/>
  <c r="FF250" i="14"/>
  <c r="FF258" i="14"/>
  <c r="FF266" i="14"/>
  <c r="FF276" i="14"/>
  <c r="FF292" i="14"/>
  <c r="FF308" i="14"/>
  <c r="FF328" i="14"/>
  <c r="FF344" i="14"/>
  <c r="FF360" i="14"/>
  <c r="FF376" i="14"/>
  <c r="FF392" i="14"/>
  <c r="FF408" i="14"/>
  <c r="FF428" i="14"/>
  <c r="FF444" i="14"/>
  <c r="FF460" i="14"/>
  <c r="FF476" i="14"/>
  <c r="FF496" i="14"/>
  <c r="FF533" i="14"/>
  <c r="FF565" i="14"/>
  <c r="FF602" i="14"/>
  <c r="FF613" i="14"/>
  <c r="FF305" i="14"/>
  <c r="FF263" i="14"/>
  <c r="FF196" i="14"/>
  <c r="FF75" i="14"/>
  <c r="FF83" i="14"/>
  <c r="FF115" i="14"/>
  <c r="FF131" i="14"/>
  <c r="FF147" i="14"/>
  <c r="FF172" i="14"/>
  <c r="FF188" i="14"/>
  <c r="FF204" i="14"/>
  <c r="FF223" i="14"/>
  <c r="FF239" i="14"/>
  <c r="FF255" i="14"/>
  <c r="FF271" i="14"/>
  <c r="FF289" i="14"/>
  <c r="FF325" i="14"/>
  <c r="FF357" i="14"/>
  <c r="FF625" i="14"/>
  <c r="FF617" i="14"/>
  <c r="FF609" i="14"/>
  <c r="FF601" i="14"/>
  <c r="FF626" i="14"/>
  <c r="FF610" i="14"/>
  <c r="FF593" i="14"/>
  <c r="FF585" i="14"/>
  <c r="FF577" i="14"/>
  <c r="FF569" i="14"/>
  <c r="FF561" i="14"/>
  <c r="FF553" i="14"/>
  <c r="FF545" i="14"/>
  <c r="FF537" i="14"/>
  <c r="FF529" i="14"/>
  <c r="FF516" i="14"/>
  <c r="FF508" i="14"/>
  <c r="FF500" i="14"/>
  <c r="FF492" i="14"/>
  <c r="FF486" i="14"/>
  <c r="FF482" i="14"/>
  <c r="FF478" i="14"/>
  <c r="FF474" i="14"/>
  <c r="FF470" i="14"/>
  <c r="FF466" i="14"/>
  <c r="FF462" i="14"/>
  <c r="FF458" i="14"/>
  <c r="FF454" i="14"/>
  <c r="FF450" i="14"/>
  <c r="FF446" i="14"/>
  <c r="FF442" i="14"/>
  <c r="FF438" i="14"/>
  <c r="FF434" i="14"/>
  <c r="FF430" i="14"/>
  <c r="FF426" i="14"/>
  <c r="FF422" i="14"/>
  <c r="FF414" i="14"/>
  <c r="FF410" i="14"/>
  <c r="FF406" i="14"/>
  <c r="FF402" i="14"/>
  <c r="FF398" i="14"/>
  <c r="FF394" i="14"/>
  <c r="FF390" i="14"/>
  <c r="FF386" i="14"/>
  <c r="FF382" i="14"/>
  <c r="FF378" i="14"/>
  <c r="FF374" i="14"/>
  <c r="FF370" i="14"/>
  <c r="FF366" i="14"/>
  <c r="FF362" i="14"/>
  <c r="FF358" i="14"/>
  <c r="FF354" i="14"/>
  <c r="FF350" i="14"/>
  <c r="FF346" i="14"/>
  <c r="FF342" i="14"/>
  <c r="FF338" i="14"/>
  <c r="FF334" i="14"/>
  <c r="FF330" i="14"/>
  <c r="FF326" i="14"/>
  <c r="FF322" i="14"/>
  <c r="FF318" i="14"/>
  <c r="FF310" i="14"/>
  <c r="FF306" i="14"/>
  <c r="FF302" i="14"/>
  <c r="FF298" i="14"/>
  <c r="FF294" i="14"/>
  <c r="FF290" i="14"/>
  <c r="FF286" i="14"/>
  <c r="FF282" i="14"/>
  <c r="FF278" i="14"/>
  <c r="FF274" i="14"/>
  <c r="FF279" i="14"/>
  <c r="FF287" i="14"/>
  <c r="FF295" i="14"/>
  <c r="FF303" i="14"/>
  <c r="FF311" i="14"/>
  <c r="FF323" i="14"/>
  <c r="FF331" i="14"/>
  <c r="FF339" i="14"/>
  <c r="FF347" i="14"/>
  <c r="FF355" i="14"/>
  <c r="FF363" i="14"/>
  <c r="FF371" i="14"/>
  <c r="FF379" i="14"/>
  <c r="FF387" i="14"/>
  <c r="FF395" i="14"/>
  <c r="FF403" i="14"/>
  <c r="FF411" i="14"/>
  <c r="FF423" i="14"/>
  <c r="FF431" i="14"/>
  <c r="FF439" i="14"/>
  <c r="FF447" i="14"/>
  <c r="FF455" i="14"/>
  <c r="FF463" i="14"/>
  <c r="FF471" i="14"/>
  <c r="FF479" i="14"/>
  <c r="FF487" i="14"/>
  <c r="FF495" i="14"/>
  <c r="FF503" i="14"/>
  <c r="FF511" i="14"/>
  <c r="FF532" i="14"/>
  <c r="FF548" i="14"/>
  <c r="FF564" i="14"/>
  <c r="FF580" i="14"/>
  <c r="FF604" i="14"/>
  <c r="FF381" i="14"/>
  <c r="FF389" i="14"/>
  <c r="FF397" i="14"/>
  <c r="FF405" i="14"/>
  <c r="FF413" i="14"/>
  <c r="FF425" i="14"/>
  <c r="FF433" i="14"/>
  <c r="FF441" i="14"/>
  <c r="FF449" i="14"/>
  <c r="FF457" i="14"/>
  <c r="FF465" i="14"/>
  <c r="FF473" i="14"/>
  <c r="FF481" i="14"/>
  <c r="FF489" i="14"/>
  <c r="FF497" i="14"/>
  <c r="FF505" i="14"/>
  <c r="FF515" i="14"/>
  <c r="FF536" i="14"/>
  <c r="FF552" i="14"/>
  <c r="FF568" i="14"/>
  <c r="FF584" i="14"/>
  <c r="FF596" i="14"/>
  <c r="FF628" i="14"/>
  <c r="FF517" i="14"/>
  <c r="FF530" i="14"/>
  <c r="FF538" i="14"/>
  <c r="FF546" i="14"/>
  <c r="FF554" i="14"/>
  <c r="FF562" i="14"/>
  <c r="FF570" i="14"/>
  <c r="FF578" i="14"/>
  <c r="FF586" i="14"/>
  <c r="FF594" i="14"/>
  <c r="FF608" i="14"/>
  <c r="FF624" i="14"/>
  <c r="FF161" i="14"/>
  <c r="FF165" i="14"/>
  <c r="FF169" i="14"/>
  <c r="FF173" i="14"/>
  <c r="FF177" i="14"/>
  <c r="FF181" i="14"/>
  <c r="FF185" i="14"/>
  <c r="FF189" i="14"/>
  <c r="FF193" i="14"/>
  <c r="FF197" i="14"/>
  <c r="FF201" i="14"/>
  <c r="FF205" i="14"/>
  <c r="FF212" i="14"/>
  <c r="FF216" i="14"/>
  <c r="FF220" i="14"/>
  <c r="FF224" i="14"/>
  <c r="FF228" i="14"/>
  <c r="FF232" i="14"/>
  <c r="FF236" i="14"/>
  <c r="FF240" i="14"/>
  <c r="FF244" i="14"/>
  <c r="FF248" i="14"/>
  <c r="FF252" i="14"/>
  <c r="FF256" i="14"/>
  <c r="FF260" i="14"/>
  <c r="FF264" i="14"/>
  <c r="FF268" i="14"/>
  <c r="FF272" i="14"/>
  <c r="FF280" i="14"/>
  <c r="FF288" i="14"/>
  <c r="FF296" i="14"/>
  <c r="FF304" i="14"/>
  <c r="FF312" i="14"/>
  <c r="FF324" i="14"/>
  <c r="FF332" i="14"/>
  <c r="FF340" i="14"/>
  <c r="FF348" i="14"/>
  <c r="FF356" i="14"/>
  <c r="FF364" i="14"/>
  <c r="FF372" i="14"/>
  <c r="FF380" i="14"/>
  <c r="FF388" i="14"/>
  <c r="FF396" i="14"/>
  <c r="FF404" i="14"/>
  <c r="FF412" i="14"/>
  <c r="FF424" i="14"/>
  <c r="FF432" i="14"/>
  <c r="FF440" i="14"/>
  <c r="FF448" i="14"/>
  <c r="FF456" i="14"/>
  <c r="FF464" i="14"/>
  <c r="FF472" i="14"/>
  <c r="FF480" i="14"/>
  <c r="FF488" i="14"/>
  <c r="FF504" i="14"/>
  <c r="FF520" i="14"/>
  <c r="FF541" i="14"/>
  <c r="FF557" i="14"/>
  <c r="FF573" i="14"/>
  <c r="FF589" i="14"/>
  <c r="FF618" i="14"/>
  <c r="FF605" i="14"/>
  <c r="FF621" i="14"/>
  <c r="FF341" i="14"/>
  <c r="FF247" i="14"/>
  <c r="FF215" i="14"/>
  <c r="FF180" i="14"/>
  <c r="FF139" i="14"/>
  <c r="FF99" i="14"/>
  <c r="FF151" i="14"/>
  <c r="FF143" i="14"/>
  <c r="FF135" i="14"/>
  <c r="FF127" i="14"/>
  <c r="FF119" i="14"/>
  <c r="FF111" i="14"/>
  <c r="FF91" i="14"/>
  <c r="FF37" i="14"/>
  <c r="FF51" i="14"/>
  <c r="FF53" i="14"/>
  <c r="FF55" i="14"/>
  <c r="FF57" i="14"/>
  <c r="FF69" i="14"/>
  <c r="FF73" i="14"/>
  <c r="FF77" i="14"/>
  <c r="FF81" i="14"/>
  <c r="FF85" i="14"/>
  <c r="FF89" i="14"/>
  <c r="FF93" i="14"/>
  <c r="FF97" i="14"/>
  <c r="FF101" i="14"/>
  <c r="FF109" i="14"/>
  <c r="FF113" i="14"/>
  <c r="FF117" i="14"/>
  <c r="FF121" i="14"/>
  <c r="FF125" i="14"/>
  <c r="FF129" i="14"/>
  <c r="FF133" i="14"/>
  <c r="FF137" i="14"/>
  <c r="FF141" i="14"/>
  <c r="FF145" i="14"/>
  <c r="FF149" i="14"/>
  <c r="FF153" i="14"/>
  <c r="FF157" i="14"/>
  <c r="FF160" i="14"/>
  <c r="FF168" i="14"/>
  <c r="FF176" i="14"/>
  <c r="FF184" i="14"/>
  <c r="FF192" i="14"/>
  <c r="FF200" i="14"/>
  <c r="FF208" i="14"/>
  <c r="FF219" i="14"/>
  <c r="FF227" i="14"/>
  <c r="FF235" i="14"/>
  <c r="FF243" i="14"/>
  <c r="FF251" i="14"/>
  <c r="FF259" i="14"/>
  <c r="FF267" i="14"/>
  <c r="FF275" i="14"/>
  <c r="FF281" i="14"/>
  <c r="FF297" i="14"/>
  <c r="FF317" i="14"/>
  <c r="FF333" i="14"/>
  <c r="FF349" i="14"/>
  <c r="FF365" i="14"/>
  <c r="FF627" i="14"/>
  <c r="FF623" i="14"/>
  <c r="FF619" i="14"/>
  <c r="FF615" i="14"/>
  <c r="FF611" i="14"/>
  <c r="FF607" i="14"/>
  <c r="FF603" i="14"/>
  <c r="FF599" i="14"/>
  <c r="FF595" i="14"/>
  <c r="FF622" i="14"/>
  <c r="FF614" i="14"/>
  <c r="FF606" i="14"/>
  <c r="FF598" i="14"/>
  <c r="FF591" i="14"/>
  <c r="FF587" i="14"/>
  <c r="FF583" i="14"/>
  <c r="FF579" i="14"/>
  <c r="FF575" i="14"/>
  <c r="FF571" i="14"/>
  <c r="FF567" i="14"/>
  <c r="FF563" i="14"/>
  <c r="FF559" i="14"/>
  <c r="FF555" i="14"/>
  <c r="FF551" i="14"/>
  <c r="FF547" i="14"/>
  <c r="FF543" i="14"/>
  <c r="FF539" i="14"/>
  <c r="FF535" i="14"/>
  <c r="FF531" i="14"/>
  <c r="FF522" i="14"/>
  <c r="FF518" i="14"/>
  <c r="FF514" i="14"/>
  <c r="FF510" i="14"/>
  <c r="FF506" i="14"/>
  <c r="FF502" i="14"/>
  <c r="FF498" i="14"/>
  <c r="FF494" i="14"/>
  <c r="FF490" i="14"/>
  <c r="FF103" i="14"/>
  <c r="FF95" i="14"/>
  <c r="FF87" i="14"/>
  <c r="FF79" i="14"/>
  <c r="FF71" i="14"/>
  <c r="FG626" i="14"/>
  <c r="FG610" i="14"/>
  <c r="FG625" i="14"/>
  <c r="FG594" i="14"/>
  <c r="FG578" i="14"/>
  <c r="FG562" i="14"/>
  <c r="FG546" i="14"/>
  <c r="FG530" i="14"/>
  <c r="FG509" i="14"/>
  <c r="FG493" i="14"/>
  <c r="FG477" i="14"/>
  <c r="FG461" i="14"/>
  <c r="FG445" i="14"/>
  <c r="FG429" i="14"/>
  <c r="FG409" i="14"/>
  <c r="FG393" i="14"/>
  <c r="FG377" i="14"/>
  <c r="FG361" i="14"/>
  <c r="FG345" i="14"/>
  <c r="FG329" i="14"/>
  <c r="FG311" i="14"/>
  <c r="FG303" i="14"/>
  <c r="FG295" i="14"/>
  <c r="FG287" i="14"/>
  <c r="FG279" i="14"/>
  <c r="FG271" i="14"/>
  <c r="FG263" i="14"/>
  <c r="FG255" i="14"/>
  <c r="FG247" i="14"/>
  <c r="FG239" i="14"/>
  <c r="FG231" i="14"/>
  <c r="FG223" i="14"/>
  <c r="FG215" i="14"/>
  <c r="FG204" i="14"/>
  <c r="FG196" i="14"/>
  <c r="FG188" i="14"/>
  <c r="FG180" i="14"/>
  <c r="FG172" i="14"/>
  <c r="FG164" i="14"/>
  <c r="FG619" i="14"/>
  <c r="FG593" i="14"/>
  <c r="FG577" i="14"/>
  <c r="FG561" i="14"/>
  <c r="FG553" i="14"/>
  <c r="FG545" i="14"/>
  <c r="FG537" i="14"/>
  <c r="FG529" i="14"/>
  <c r="FG516" i="14"/>
  <c r="FG599" i="14"/>
  <c r="FG579" i="14"/>
  <c r="FG563" i="14"/>
  <c r="FG547" i="14"/>
  <c r="FG531" i="14"/>
  <c r="FG512" i="14"/>
  <c r="FG504" i="14"/>
  <c r="FG496" i="14"/>
  <c r="FG488" i="14"/>
  <c r="FG480" i="14"/>
  <c r="FG472" i="14"/>
  <c r="FG464" i="14"/>
  <c r="FG456" i="14"/>
  <c r="FG448" i="14"/>
  <c r="FG440" i="14"/>
  <c r="FG432" i="14"/>
  <c r="FG424" i="14"/>
  <c r="FG412" i="14"/>
  <c r="FG404" i="14"/>
  <c r="FG396" i="14"/>
  <c r="FG388" i="14"/>
  <c r="FG380" i="14"/>
  <c r="FG607" i="14"/>
  <c r="FG583" i="14"/>
  <c r="FG567" i="14"/>
  <c r="FG551" i="14"/>
  <c r="FG535" i="14"/>
  <c r="FG514" i="14"/>
  <c r="FG506" i="14"/>
  <c r="FG498" i="14"/>
  <c r="FG490" i="14"/>
  <c r="FG482" i="14"/>
  <c r="FG474" i="14"/>
  <c r="FG466" i="14"/>
  <c r="FG458" i="14"/>
  <c r="FG450" i="14"/>
  <c r="FG442" i="14"/>
  <c r="FH65" i="14"/>
  <c r="FG64" i="14"/>
  <c r="FG62" i="14"/>
  <c r="FG60" i="14"/>
  <c r="FH58" i="14"/>
  <c r="FH57" i="14"/>
  <c r="FG56" i="14"/>
  <c r="FH53" i="14"/>
  <c r="FG52" i="14"/>
  <c r="FG49" i="14"/>
  <c r="FG47" i="14"/>
  <c r="FG45" i="14"/>
  <c r="FG39" i="14"/>
  <c r="FG286" i="14"/>
  <c r="FG294" i="14"/>
  <c r="FG302" i="14"/>
  <c r="FG310" i="14"/>
  <c r="FG322" i="14"/>
  <c r="FG330" i="14"/>
  <c r="FG338" i="14"/>
  <c r="FG346" i="14"/>
  <c r="FG354" i="14"/>
  <c r="FG362" i="14"/>
  <c r="FG370" i="14"/>
  <c r="FG378" i="14"/>
  <c r="FG386" i="14"/>
  <c r="FG394" i="14"/>
  <c r="FG402" i="14"/>
  <c r="FG410" i="14"/>
  <c r="FG422" i="14"/>
  <c r="FG430" i="14"/>
  <c r="FG438" i="14"/>
  <c r="FG454" i="14"/>
  <c r="FG470" i="14"/>
  <c r="FG486" i="14"/>
  <c r="FG502" i="14"/>
  <c r="FG522" i="14"/>
  <c r="FG559" i="14"/>
  <c r="FG591" i="14"/>
  <c r="FG384" i="14"/>
  <c r="FG400" i="14"/>
  <c r="FG416" i="14"/>
  <c r="FG436" i="14"/>
  <c r="FG452" i="14"/>
  <c r="FG468" i="14"/>
  <c r="FG484" i="14"/>
  <c r="FG500" i="14"/>
  <c r="FG518" i="14"/>
  <c r="FG555" i="14"/>
  <c r="FG587" i="14"/>
  <c r="FG520" i="14"/>
  <c r="FG541" i="14"/>
  <c r="FG557" i="14"/>
  <c r="FG585" i="14"/>
  <c r="FG160" i="14"/>
  <c r="FG176" i="14"/>
  <c r="FG192" i="14"/>
  <c r="FG208" i="14"/>
  <c r="FG227" i="14"/>
  <c r="FG243" i="14"/>
  <c r="FG259" i="14"/>
  <c r="FG275" i="14"/>
  <c r="FG291" i="14"/>
  <c r="FG307" i="14"/>
  <c r="FG337" i="14"/>
  <c r="FG369" i="14"/>
  <c r="FG401" i="14"/>
  <c r="FG437" i="14"/>
  <c r="FG469" i="14"/>
  <c r="FG501" i="14"/>
  <c r="FG538" i="14"/>
  <c r="FG570" i="14"/>
  <c r="FG609" i="14"/>
  <c r="FG618" i="14"/>
  <c r="FH33" i="14"/>
  <c r="FH26" i="14"/>
  <c r="FG622" i="14"/>
  <c r="FG614" i="14"/>
  <c r="FG606" i="14"/>
  <c r="FG598" i="14"/>
  <c r="FG617" i="14"/>
  <c r="FG601" i="14"/>
  <c r="FG590" i="14"/>
  <c r="FG582" i="14"/>
  <c r="FG574" i="14"/>
  <c r="FG566" i="14"/>
  <c r="FG558" i="14"/>
  <c r="FG550" i="14"/>
  <c r="FG542" i="14"/>
  <c r="FG534" i="14"/>
  <c r="FG521" i="14"/>
  <c r="FG513" i="14"/>
  <c r="FG505" i="14"/>
  <c r="FG497" i="14"/>
  <c r="FG489" i="14"/>
  <c r="FG481" i="14"/>
  <c r="FG473" i="14"/>
  <c r="FG465" i="14"/>
  <c r="FG457" i="14"/>
  <c r="FG449" i="14"/>
  <c r="FG441" i="14"/>
  <c r="FG433" i="14"/>
  <c r="FG425" i="14"/>
  <c r="FG413" i="14"/>
  <c r="FG405" i="14"/>
  <c r="FG397" i="14"/>
  <c r="FG389" i="14"/>
  <c r="FG381" i="14"/>
  <c r="FG373" i="14"/>
  <c r="FG365" i="14"/>
  <c r="FG357" i="14"/>
  <c r="FG349" i="14"/>
  <c r="FG341" i="14"/>
  <c r="FG333" i="14"/>
  <c r="FG325" i="14"/>
  <c r="FG317" i="14"/>
  <c r="FG309" i="14"/>
  <c r="FG305" i="14"/>
  <c r="FG301" i="14"/>
  <c r="FG297" i="14"/>
  <c r="FG293" i="14"/>
  <c r="FG289" i="14"/>
  <c r="FG285" i="14"/>
  <c r="FG281" i="14"/>
  <c r="FG277" i="14"/>
  <c r="FG273" i="14"/>
  <c r="FG269" i="14"/>
  <c r="FG265" i="14"/>
  <c r="FG261" i="14"/>
  <c r="FG257" i="14"/>
  <c r="FG253" i="14"/>
  <c r="FG249" i="14"/>
  <c r="FG245" i="14"/>
  <c r="FG241" i="14"/>
  <c r="FG237" i="14"/>
  <c r="FG233" i="14"/>
  <c r="FG229" i="14"/>
  <c r="FG225" i="14"/>
  <c r="FG221" i="14"/>
  <c r="FG217" i="14"/>
  <c r="FG213" i="14"/>
  <c r="FG206" i="14"/>
  <c r="FG202" i="14"/>
  <c r="FG198" i="14"/>
  <c r="FG194" i="14"/>
  <c r="FG190" i="14"/>
  <c r="FG186" i="14"/>
  <c r="FG182" i="14"/>
  <c r="FG178" i="14"/>
  <c r="FG174" i="14"/>
  <c r="FG170" i="14"/>
  <c r="FG166" i="14"/>
  <c r="FG162" i="14"/>
  <c r="FG627" i="14"/>
  <c r="FG611" i="14"/>
  <c r="FG595" i="14"/>
  <c r="FG589" i="14"/>
  <c r="FG581" i="14"/>
  <c r="FG573" i="14"/>
  <c r="FG565" i="14"/>
  <c r="AO32" i="17"/>
  <c r="AK19" i="17"/>
  <c r="AL20" i="17"/>
  <c r="AK7" i="5"/>
  <c r="AM7" i="5" s="1"/>
  <c r="FF9" i="14"/>
  <c r="FF38" i="14"/>
  <c r="FQ14" i="14"/>
  <c r="FF25" i="14"/>
  <c r="FH10" i="14"/>
  <c r="FF16" i="14"/>
  <c r="FF30" i="14"/>
  <c r="FF4" i="14"/>
  <c r="FF11" i="14"/>
  <c r="FF20" i="14"/>
  <c r="FF27" i="14"/>
  <c r="FF35" i="14"/>
  <c r="FH3" i="14"/>
  <c r="FH18" i="14"/>
  <c r="FH379" i="14"/>
  <c r="FH37" i="14"/>
  <c r="FH28" i="14"/>
  <c r="FH22" i="14"/>
  <c r="FH15" i="14"/>
  <c r="FH6" i="14"/>
  <c r="FH38" i="14"/>
  <c r="FG624" i="14"/>
  <c r="FG620" i="14"/>
  <c r="FG616" i="14"/>
  <c r="FG612" i="14"/>
  <c r="FG608" i="14"/>
  <c r="FG604" i="14"/>
  <c r="FG600" i="14"/>
  <c r="FG596" i="14"/>
  <c r="FG621" i="14"/>
  <c r="FG613" i="14"/>
  <c r="FG605" i="14"/>
  <c r="FG597" i="14"/>
  <c r="FG592" i="14"/>
  <c r="FG588" i="14"/>
  <c r="FG584" i="14"/>
  <c r="FG580" i="14"/>
  <c r="FG576" i="14"/>
  <c r="FG572" i="14"/>
  <c r="FG568" i="14"/>
  <c r="FG564" i="14"/>
  <c r="FG560" i="14"/>
  <c r="FG556" i="14"/>
  <c r="FG552" i="14"/>
  <c r="FG548" i="14"/>
  <c r="FG544" i="14"/>
  <c r="FG540" i="14"/>
  <c r="FG536" i="14"/>
  <c r="FG532" i="14"/>
  <c r="FG528" i="14"/>
  <c r="FG519" i="14"/>
  <c r="FG515" i="14"/>
  <c r="FG511" i="14"/>
  <c r="FG507" i="14"/>
  <c r="FG503" i="14"/>
  <c r="FG499" i="14"/>
  <c r="FG495" i="14"/>
  <c r="FG491" i="14"/>
  <c r="FG487" i="14"/>
  <c r="FG483" i="14"/>
  <c r="FG479" i="14"/>
  <c r="FG475" i="14"/>
  <c r="FG471" i="14"/>
  <c r="FG467" i="14"/>
  <c r="FG463" i="14"/>
  <c r="FG459" i="14"/>
  <c r="FG455" i="14"/>
  <c r="FG451" i="14"/>
  <c r="FG447" i="14"/>
  <c r="FG443" i="14"/>
  <c r="FG439" i="14"/>
  <c r="FG435" i="14"/>
  <c r="FG431" i="14"/>
  <c r="FG427" i="14"/>
  <c r="FG423" i="14"/>
  <c r="FG415" i="14"/>
  <c r="FG411" i="14"/>
  <c r="FG407" i="14"/>
  <c r="FG403" i="14"/>
  <c r="FG399" i="14"/>
  <c r="FG395" i="14"/>
  <c r="FG391" i="14"/>
  <c r="FG387" i="14"/>
  <c r="FG383" i="14"/>
  <c r="FG379" i="14"/>
  <c r="FG375" i="14"/>
  <c r="FG371" i="14"/>
  <c r="FG367" i="14"/>
  <c r="FG363" i="14"/>
  <c r="FG359" i="14"/>
  <c r="FG355" i="14"/>
  <c r="FG351" i="14"/>
  <c r="FG347" i="14"/>
  <c r="FG343" i="14"/>
  <c r="FG339" i="14"/>
  <c r="FG335" i="14"/>
  <c r="FG331" i="14"/>
  <c r="FG327" i="14"/>
  <c r="FG323" i="14"/>
  <c r="FG319" i="14"/>
  <c r="FH4" i="14"/>
  <c r="FH9" i="14"/>
  <c r="FH11" i="14"/>
  <c r="FH16" i="14"/>
  <c r="FH20" i="14"/>
  <c r="FH25" i="14"/>
  <c r="FH27" i="14"/>
  <c r="FH30" i="14"/>
  <c r="FH35" i="14"/>
  <c r="FF3" i="14"/>
  <c r="FF6" i="14"/>
  <c r="FF10" i="14"/>
  <c r="FF15" i="14"/>
  <c r="FF18" i="14"/>
  <c r="FF22" i="14"/>
  <c r="FF26" i="14"/>
  <c r="FF28" i="14"/>
  <c r="FF33" i="14"/>
  <c r="FF36" i="14"/>
  <c r="FF34" i="14"/>
  <c r="FF32" i="14"/>
  <c r="FF31" i="14"/>
  <c r="FF29" i="14"/>
  <c r="FF12" i="14"/>
  <c r="FR11" i="14"/>
  <c r="FF24" i="14"/>
  <c r="FF23" i="14"/>
  <c r="FF21" i="14"/>
  <c r="FF19" i="14"/>
  <c r="FF17" i="14"/>
  <c r="FF14" i="14"/>
  <c r="FF13" i="14"/>
  <c r="FF8" i="14"/>
  <c r="FF7" i="14"/>
  <c r="FF5" i="14"/>
  <c r="FH36" i="14"/>
  <c r="FH34" i="14"/>
  <c r="FH32" i="14"/>
  <c r="FH31" i="14"/>
  <c r="FH29" i="14"/>
  <c r="FH12" i="14"/>
  <c r="FT11" i="14"/>
  <c r="FH24" i="14"/>
  <c r="FH23" i="14"/>
  <c r="FH21" i="14"/>
  <c r="FH19" i="14"/>
  <c r="FH17" i="14"/>
  <c r="FH14" i="14"/>
  <c r="FH13" i="14"/>
  <c r="FH8" i="14"/>
  <c r="FH7" i="14"/>
  <c r="FH5" i="14"/>
  <c r="FH628" i="14"/>
  <c r="FG27" i="14"/>
  <c r="FG25" i="14"/>
  <c r="FG24" i="14"/>
  <c r="FG23" i="14"/>
  <c r="FG22" i="14"/>
  <c r="FG21" i="14"/>
  <c r="FG20" i="14"/>
  <c r="FG19" i="14"/>
  <c r="FG18" i="14"/>
  <c r="FG17" i="14"/>
  <c r="FG16" i="14"/>
  <c r="FG15" i="14"/>
  <c r="FG14" i="14"/>
  <c r="FG13" i="14"/>
  <c r="FG10" i="14"/>
  <c r="FG9" i="14"/>
  <c r="FG8" i="14"/>
  <c r="FG7" i="14"/>
  <c r="FG6" i="14"/>
  <c r="FG5" i="14"/>
  <c r="FG4" i="14"/>
  <c r="FG3" i="14"/>
  <c r="FG628" i="14"/>
  <c r="FG38" i="14"/>
  <c r="FG37" i="14"/>
  <c r="FG36" i="14"/>
  <c r="FG35" i="14"/>
  <c r="FG34" i="14"/>
  <c r="FG33" i="14"/>
  <c r="FG32" i="14"/>
  <c r="FG31" i="14"/>
  <c r="FG30" i="14"/>
  <c r="FG29" i="14"/>
  <c r="FG28" i="14"/>
  <c r="FG26" i="14"/>
  <c r="FG12" i="14"/>
  <c r="FS11" i="14"/>
  <c r="FG11" i="14"/>
  <c r="O38" i="5"/>
  <c r="D48" i="5"/>
  <c r="D43" i="5"/>
  <c r="O35" i="5"/>
  <c r="E49" i="5"/>
  <c r="O37" i="5"/>
  <c r="E47" i="5"/>
  <c r="E43" i="5"/>
  <c r="E53" i="5"/>
  <c r="D52" i="5"/>
  <c r="AN17" i="5"/>
  <c r="AL17" i="5"/>
  <c r="AO17" i="5"/>
  <c r="AK17" i="5"/>
  <c r="AM17" i="5"/>
  <c r="AZ234" i="17"/>
  <c r="BA233" i="17"/>
  <c r="BB233" i="17" s="1"/>
  <c r="BC233" i="17" s="1"/>
  <c r="BD233" i="17" s="1"/>
  <c r="BE233" i="17" s="1"/>
  <c r="BF233" i="17" s="1"/>
  <c r="BG233" i="17" s="1"/>
  <c r="BH233" i="17" s="1"/>
  <c r="BI233" i="17" s="1"/>
  <c r="BJ233" i="17" s="1"/>
  <c r="BK233" i="17" s="1"/>
  <c r="BL233" i="17" s="1"/>
  <c r="BM233" i="17"/>
  <c r="J28" i="14"/>
  <c r="FQ10" i="14" s="1"/>
  <c r="AD26" i="14"/>
  <c r="BA292" i="17"/>
  <c r="BB292" i="17" s="1"/>
  <c r="BC292" i="17" s="1"/>
  <c r="BD292" i="17" s="1"/>
  <c r="BE292" i="17" s="1"/>
  <c r="BF292" i="17" s="1"/>
  <c r="BG292" i="17" s="1"/>
  <c r="BH292" i="17" s="1"/>
  <c r="BI292" i="17" s="1"/>
  <c r="BJ292" i="17" s="1"/>
  <c r="BK292" i="17" s="1"/>
  <c r="BL292" i="17" s="1"/>
  <c r="AZ293" i="17"/>
  <c r="BA262" i="17"/>
  <c r="BB262" i="17" s="1"/>
  <c r="BC262" i="17" s="1"/>
  <c r="BD262" i="17" s="1"/>
  <c r="BE262" i="17" s="1"/>
  <c r="BF262" i="17" s="1"/>
  <c r="BG262" i="17" s="1"/>
  <c r="BH262" i="17" s="1"/>
  <c r="BI262" i="17" s="1"/>
  <c r="BJ262" i="17" s="1"/>
  <c r="BK262" i="17" s="1"/>
  <c r="BL262" i="17" s="1"/>
  <c r="AZ263" i="17"/>
  <c r="AN15" i="5"/>
  <c r="M34" i="5" s="1"/>
  <c r="AL15" i="5"/>
  <c r="AM15" i="5"/>
  <c r="AK15" i="5"/>
  <c r="AO15" i="5"/>
  <c r="S34" i="5" s="1"/>
  <c r="BM262" i="17"/>
  <c r="AJ30" i="5"/>
  <c r="AN23" i="14"/>
  <c r="AL60" i="14" s="1"/>
  <c r="AO52" i="14"/>
  <c r="AS51" i="14" s="1"/>
  <c r="AI52" i="14"/>
  <c r="AS47" i="14" s="1"/>
  <c r="AM60" i="14"/>
  <c r="AM46" i="14"/>
  <c r="AH3" i="9"/>
  <c r="AH4" i="7"/>
  <c r="N49" i="14" l="1"/>
  <c r="AP4" i="14"/>
  <c r="L46" i="14" s="1"/>
  <c r="AR8" i="14"/>
  <c r="AP8" i="14"/>
  <c r="L50" i="14" s="1"/>
  <c r="J45" i="14"/>
  <c r="AR4" i="14"/>
  <c r="N45" i="14"/>
  <c r="AR6" i="14"/>
  <c r="AO4" i="14"/>
  <c r="J46" i="14" s="1"/>
  <c r="P45" i="14"/>
  <c r="J49" i="14"/>
  <c r="P49" i="14"/>
  <c r="AQ4" i="14"/>
  <c r="J47" i="14"/>
  <c r="AO6" i="14"/>
  <c r="J48" i="14" s="1"/>
  <c r="L45" i="14"/>
  <c r="N47" i="14"/>
  <c r="P47" i="14"/>
  <c r="AK20" i="17"/>
  <c r="L47" i="14"/>
  <c r="AP6" i="14"/>
  <c r="L48" i="14" s="1"/>
  <c r="AN32" i="17"/>
  <c r="M20" i="17" s="1"/>
  <c r="M20" i="5" s="1"/>
  <c r="AP32" i="17"/>
  <c r="L49" i="14"/>
  <c r="AQ6" i="14"/>
  <c r="AM20" i="17"/>
  <c r="AN20" i="17" s="1"/>
  <c r="AL19" i="17"/>
  <c r="AM19" i="17" s="1"/>
  <c r="AN19" i="17" s="1"/>
  <c r="AO19" i="17" s="1"/>
  <c r="AL21" i="17"/>
  <c r="AO21" i="17" s="1"/>
  <c r="AQ21" i="17" s="1"/>
  <c r="G34" i="5"/>
  <c r="X43" i="5"/>
  <c r="R42" i="5"/>
  <c r="X42" i="5"/>
  <c r="U58" i="5"/>
  <c r="U42" i="5"/>
  <c r="U43" i="5"/>
  <c r="R58" i="5"/>
  <c r="K34" i="5"/>
  <c r="I34" i="5"/>
  <c r="AQ8" i="14"/>
  <c r="AL52" i="14"/>
  <c r="AS49" i="14" s="1"/>
  <c r="AM52" i="14"/>
  <c r="AS50" i="14" s="1"/>
  <c r="AJ32" i="5"/>
  <c r="AL33" i="17" s="1"/>
  <c r="AJ33" i="17"/>
  <c r="AZ264" i="17"/>
  <c r="BA263" i="17"/>
  <c r="BB263" i="17" s="1"/>
  <c r="BC263" i="17" s="1"/>
  <c r="BD263" i="17" s="1"/>
  <c r="BE263" i="17" s="1"/>
  <c r="BF263" i="17" s="1"/>
  <c r="BG263" i="17" s="1"/>
  <c r="BH263" i="17" s="1"/>
  <c r="BI263" i="17" s="1"/>
  <c r="BJ263" i="17" s="1"/>
  <c r="BK263" i="17" s="1"/>
  <c r="BL263" i="17" s="1"/>
  <c r="BM263" i="17"/>
  <c r="AZ294" i="17"/>
  <c r="BA293" i="17"/>
  <c r="BB293" i="17" s="1"/>
  <c r="BC293" i="17" s="1"/>
  <c r="BD293" i="17" s="1"/>
  <c r="BE293" i="17" s="1"/>
  <c r="BF293" i="17" s="1"/>
  <c r="BG293" i="17" s="1"/>
  <c r="BH293" i="17" s="1"/>
  <c r="BI293" i="17" s="1"/>
  <c r="BJ293" i="17" s="1"/>
  <c r="BK293" i="17" s="1"/>
  <c r="BL293" i="17" s="1"/>
  <c r="BM293" i="17"/>
  <c r="Q34" i="5"/>
  <c r="O34" i="5" s="1"/>
  <c r="AL64" i="14"/>
  <c r="AO63" i="14"/>
  <c r="AI63" i="14"/>
  <c r="AO62" i="14"/>
  <c r="AI62" i="14"/>
  <c r="AI66" i="14" s="1"/>
  <c r="AS61" i="14" s="1"/>
  <c r="AM61" i="14"/>
  <c r="AO60" i="14"/>
  <c r="AI60" i="14"/>
  <c r="AO30" i="14"/>
  <c r="AM30" i="14"/>
  <c r="AN28" i="14"/>
  <c r="AL28" i="14"/>
  <c r="AO27" i="14"/>
  <c r="AM27" i="14"/>
  <c r="AO26" i="14"/>
  <c r="AM26" i="14"/>
  <c r="AS14" i="14"/>
  <c r="AT14" i="14" s="1"/>
  <c r="AL63" i="14"/>
  <c r="AL62" i="14"/>
  <c r="AP60" i="14"/>
  <c r="AJ60" i="14"/>
  <c r="AN30" i="14"/>
  <c r="AL30" i="14"/>
  <c r="AO28" i="14"/>
  <c r="AM28" i="14"/>
  <c r="AN27" i="14"/>
  <c r="AL27" i="14"/>
  <c r="AN26" i="14"/>
  <c r="AN29" i="14" s="1"/>
  <c r="AL26" i="14"/>
  <c r="AL29" i="14" s="1"/>
  <c r="AZ235" i="17"/>
  <c r="BA234" i="17"/>
  <c r="BB234" i="17" s="1"/>
  <c r="BC234" i="17" s="1"/>
  <c r="BD234" i="17" s="1"/>
  <c r="BE234" i="17" s="1"/>
  <c r="BF234" i="17" s="1"/>
  <c r="BG234" i="17" s="1"/>
  <c r="BH234" i="17" s="1"/>
  <c r="BI234" i="17" s="1"/>
  <c r="BJ234" i="17" s="1"/>
  <c r="BK234" i="17" s="1"/>
  <c r="BL234" i="17" s="1"/>
  <c r="BM234" i="17"/>
  <c r="B2" i="10"/>
  <c r="AO66" i="14" l="1"/>
  <c r="AS65" i="14" s="1"/>
  <c r="AO29" i="14"/>
  <c r="AM29" i="14"/>
  <c r="AO20" i="17"/>
  <c r="AQ20" i="17" s="1"/>
  <c r="AL66" i="14"/>
  <c r="AS63" i="14" s="1"/>
  <c r="B1" i="10"/>
  <c r="AD38" i="14"/>
  <c r="AF35" i="14"/>
  <c r="AD35" i="14"/>
  <c r="AE15" i="14"/>
  <c r="AG35" i="14"/>
  <c r="AE35" i="14"/>
  <c r="AE16" i="14"/>
  <c r="AN22" i="14"/>
  <c r="FK515" i="14" s="1"/>
  <c r="Z25" i="17"/>
  <c r="Z17" i="5" s="1"/>
  <c r="AQ19" i="17"/>
  <c r="AT17" i="14"/>
  <c r="AU17" i="14"/>
  <c r="AS17" i="14"/>
  <c r="AR17" i="14"/>
  <c r="AM66" i="14"/>
  <c r="AS64" i="14" s="1"/>
  <c r="AZ295" i="17"/>
  <c r="BA294" i="17"/>
  <c r="BB294" i="17" s="1"/>
  <c r="BC294" i="17" s="1"/>
  <c r="BD294" i="17" s="1"/>
  <c r="BE294" i="17" s="1"/>
  <c r="BF294" i="17" s="1"/>
  <c r="BG294" i="17" s="1"/>
  <c r="BH294" i="17" s="1"/>
  <c r="BI294" i="17" s="1"/>
  <c r="BJ294" i="17" s="1"/>
  <c r="BK294" i="17" s="1"/>
  <c r="BL294" i="17" s="1"/>
  <c r="BM294" i="17"/>
  <c r="BF338" i="17"/>
  <c r="BF347" i="17"/>
  <c r="BF345" i="17"/>
  <c r="BF343" i="17"/>
  <c r="BF337" i="17"/>
  <c r="BF335" i="17"/>
  <c r="BF333" i="17"/>
  <c r="BF327" i="17"/>
  <c r="BF326" i="17"/>
  <c r="BF325" i="17"/>
  <c r="BF324" i="17"/>
  <c r="BF323" i="17"/>
  <c r="BF322" i="17"/>
  <c r="BF316" i="17"/>
  <c r="BF315" i="17"/>
  <c r="BF314" i="17"/>
  <c r="BF313" i="17"/>
  <c r="BF312" i="17"/>
  <c r="BF311" i="17"/>
  <c r="BF310" i="17"/>
  <c r="BF344" i="17"/>
  <c r="BF328" i="17"/>
  <c r="BF336" i="17"/>
  <c r="BF334" i="17"/>
  <c r="AP33" i="17" s="1"/>
  <c r="BF317" i="17"/>
  <c r="BF346" i="17"/>
  <c r="BF348" i="17"/>
  <c r="AZ236" i="17"/>
  <c r="BA235" i="17"/>
  <c r="BB235" i="17" s="1"/>
  <c r="BC235" i="17" s="1"/>
  <c r="BD235" i="17" s="1"/>
  <c r="BE235" i="17" s="1"/>
  <c r="BF235" i="17" s="1"/>
  <c r="BG235" i="17" s="1"/>
  <c r="BH235" i="17" s="1"/>
  <c r="BI235" i="17" s="1"/>
  <c r="BJ235" i="17" s="1"/>
  <c r="BK235" i="17" s="1"/>
  <c r="BL235" i="17" s="1"/>
  <c r="BM235" i="17"/>
  <c r="AZ265" i="17"/>
  <c r="BA264" i="17"/>
  <c r="BB264" i="17" s="1"/>
  <c r="BC264" i="17" s="1"/>
  <c r="BD264" i="17" s="1"/>
  <c r="BE264" i="17" s="1"/>
  <c r="BF264" i="17" s="1"/>
  <c r="BG264" i="17" s="1"/>
  <c r="BH264" i="17" s="1"/>
  <c r="BI264" i="17" s="1"/>
  <c r="BJ264" i="17" s="1"/>
  <c r="BK264" i="17" s="1"/>
  <c r="BL264" i="17" s="1"/>
  <c r="BM264" i="17"/>
  <c r="S43" i="12"/>
  <c r="FK252" i="14" l="1"/>
  <c r="FK72" i="14"/>
  <c r="FK183" i="14"/>
  <c r="FK13" i="14"/>
  <c r="FK140" i="14"/>
  <c r="FK26" i="14"/>
  <c r="FK482" i="14"/>
  <c r="AQ22" i="17"/>
  <c r="AT18" i="5"/>
  <c r="AR18" i="5"/>
  <c r="AP18" i="5"/>
  <c r="AS17" i="5"/>
  <c r="AQ17" i="5"/>
  <c r="AT16" i="5"/>
  <c r="AR16" i="5"/>
  <c r="AP16" i="5"/>
  <c r="AS15" i="5"/>
  <c r="AQ15" i="5"/>
  <c r="AT14" i="5"/>
  <c r="AR14" i="5"/>
  <c r="AP14" i="5"/>
  <c r="AS18" i="5"/>
  <c r="AQ18" i="5"/>
  <c r="AT17" i="5"/>
  <c r="AR17" i="5"/>
  <c r="AP17" i="5"/>
  <c r="AS16" i="5"/>
  <c r="AQ16" i="5"/>
  <c r="AT15" i="5"/>
  <c r="AR15" i="5"/>
  <c r="AP15" i="5"/>
  <c r="AS14" i="5"/>
  <c r="AQ14" i="5"/>
  <c r="FK47" i="14"/>
  <c r="FK108" i="14"/>
  <c r="FK185" i="14"/>
  <c r="FK358" i="14"/>
  <c r="FK85" i="14"/>
  <c r="FK396" i="14"/>
  <c r="FK202" i="14"/>
  <c r="FK32" i="14"/>
  <c r="FK60" i="14"/>
  <c r="FK88" i="14"/>
  <c r="FK124" i="14"/>
  <c r="FK156" i="14"/>
  <c r="FK220" i="14"/>
  <c r="FK290" i="14"/>
  <c r="FK14" i="14"/>
  <c r="FK44" i="14"/>
  <c r="FK121" i="14"/>
  <c r="FK354" i="14"/>
  <c r="FK549" i="14"/>
  <c r="FK567" i="14"/>
  <c r="FK383" i="14"/>
  <c r="AS26" i="14" s="1"/>
  <c r="FK7" i="14"/>
  <c r="FK25" i="14"/>
  <c r="FK39" i="14"/>
  <c r="FK52" i="14"/>
  <c r="FK64" i="14"/>
  <c r="FK80" i="14"/>
  <c r="FK96" i="14"/>
  <c r="FK116" i="14"/>
  <c r="FK132" i="14"/>
  <c r="FK148" i="14"/>
  <c r="FK169" i="14"/>
  <c r="FK201" i="14"/>
  <c r="FK236" i="14"/>
  <c r="FK268" i="14"/>
  <c r="FK326" i="14"/>
  <c r="FK4" i="14"/>
  <c r="FK21" i="14"/>
  <c r="FK36" i="14"/>
  <c r="FK69" i="14"/>
  <c r="FK101" i="14"/>
  <c r="FK139" i="14"/>
  <c r="FK250" i="14"/>
  <c r="FK332" i="14"/>
  <c r="FK464" i="14"/>
  <c r="FK414" i="14"/>
  <c r="FK585" i="14"/>
  <c r="FK170" i="14"/>
  <c r="FK249" i="14"/>
  <c r="M26" i="5"/>
  <c r="Z24" i="17"/>
  <c r="Z16" i="5" s="1"/>
  <c r="FK628" i="14"/>
  <c r="FK11" i="14"/>
  <c r="FK18" i="14"/>
  <c r="FK28" i="14"/>
  <c r="FK35" i="14"/>
  <c r="FK45" i="14"/>
  <c r="FK49" i="14"/>
  <c r="FK56" i="14"/>
  <c r="FK62" i="14"/>
  <c r="FK68" i="14"/>
  <c r="FK76" i="14"/>
  <c r="FK84" i="14"/>
  <c r="FK92" i="14"/>
  <c r="FK100" i="14"/>
  <c r="FK112" i="14"/>
  <c r="FK120" i="14"/>
  <c r="FK128" i="14"/>
  <c r="FK136" i="14"/>
  <c r="FK144" i="14"/>
  <c r="FK152" i="14"/>
  <c r="FK161" i="14"/>
  <c r="FK177" i="14"/>
  <c r="FK193" i="14"/>
  <c r="FK212" i="14"/>
  <c r="FK228" i="14"/>
  <c r="FK244" i="14"/>
  <c r="FK260" i="14"/>
  <c r="FK276" i="14"/>
  <c r="FK306" i="14"/>
  <c r="FK342" i="14"/>
  <c r="FK374" i="14"/>
  <c r="FK9" i="14"/>
  <c r="FK17" i="14"/>
  <c r="FK23" i="14"/>
  <c r="FK30" i="14"/>
  <c r="FK40" i="14"/>
  <c r="FK57" i="14"/>
  <c r="FK77" i="14"/>
  <c r="FK93" i="14"/>
  <c r="FK113" i="14"/>
  <c r="FK129" i="14"/>
  <c r="FK155" i="14"/>
  <c r="FK218" i="14"/>
  <c r="FK286" i="14"/>
  <c r="FK296" i="14"/>
  <c r="FK364" i="14"/>
  <c r="FK432" i="14"/>
  <c r="FK496" i="14"/>
  <c r="FK382" i="14"/>
  <c r="FK450" i="14"/>
  <c r="FK516" i="14"/>
  <c r="FK535" i="14"/>
  <c r="FK609" i="14"/>
  <c r="FK186" i="14"/>
  <c r="FK221" i="14"/>
  <c r="FK281" i="14"/>
  <c r="FK622" i="14"/>
  <c r="FK598" i="14"/>
  <c r="FK552" i="14"/>
  <c r="FK483" i="14"/>
  <c r="FK415" i="14"/>
  <c r="FK351" i="14"/>
  <c r="FK289" i="14"/>
  <c r="FK273" i="14"/>
  <c r="FK257" i="14"/>
  <c r="FK241" i="14"/>
  <c r="FK225" i="14"/>
  <c r="FK217" i="14"/>
  <c r="FK206" i="14"/>
  <c r="FK198" i="14"/>
  <c r="FK190" i="14"/>
  <c r="FK182" i="14"/>
  <c r="FK174" i="14"/>
  <c r="FK166" i="14"/>
  <c r="FK625" i="14"/>
  <c r="FK591" i="14"/>
  <c r="FK575" i="14"/>
  <c r="FK559" i="14"/>
  <c r="FK543" i="14"/>
  <c r="FK522" i="14"/>
  <c r="FK605" i="14"/>
  <c r="FK569" i="14"/>
  <c r="FK537" i="14"/>
  <c r="FK506" i="14"/>
  <c r="FK490" i="14"/>
  <c r="FK474" i="14"/>
  <c r="FK458" i="14"/>
  <c r="FK442" i="14"/>
  <c r="FK426" i="14"/>
  <c r="FK406" i="14"/>
  <c r="FK390" i="14"/>
  <c r="FK597" i="14"/>
  <c r="FK565" i="14"/>
  <c r="FK533" i="14"/>
  <c r="FK504" i="14"/>
  <c r="FK488" i="14"/>
  <c r="AS28" i="14" s="1"/>
  <c r="FK472" i="14"/>
  <c r="FK456" i="14"/>
  <c r="FK440" i="14"/>
  <c r="FK424" i="14"/>
  <c r="FK404" i="14"/>
  <c r="FK388" i="14"/>
  <c r="FK372" i="14"/>
  <c r="FK356" i="14"/>
  <c r="FK340" i="14"/>
  <c r="FK324" i="14"/>
  <c r="FK304" i="14"/>
  <c r="FK288" i="14"/>
  <c r="FK370" i="14"/>
  <c r="FK338" i="14"/>
  <c r="FK302" i="14"/>
  <c r="FK274" i="14"/>
  <c r="FK258" i="14"/>
  <c r="FK242" i="14"/>
  <c r="FK226" i="14"/>
  <c r="FK207" i="14"/>
  <c r="FK191" i="14"/>
  <c r="FK175" i="14"/>
  <c r="FK159" i="14"/>
  <c r="FK151" i="14"/>
  <c r="FK143" i="14"/>
  <c r="FK135" i="14"/>
  <c r="FK131" i="14"/>
  <c r="FK127" i="14"/>
  <c r="FK123" i="14"/>
  <c r="FK119" i="14"/>
  <c r="FK115" i="14"/>
  <c r="FK111" i="14"/>
  <c r="FK103" i="14"/>
  <c r="FK99" i="14"/>
  <c r="FK95" i="14"/>
  <c r="FK91" i="14"/>
  <c r="FK87" i="14"/>
  <c r="FK83" i="14"/>
  <c r="FK79" i="14"/>
  <c r="FK75" i="14"/>
  <c r="AL35" i="5" s="1"/>
  <c r="FK71" i="14"/>
  <c r="FK67" i="14"/>
  <c r="FK58" i="14"/>
  <c r="FK55" i="14"/>
  <c r="FK51" i="14"/>
  <c r="FK43" i="14"/>
  <c r="FK5" i="14"/>
  <c r="FK8" i="14"/>
  <c r="FK12" i="14"/>
  <c r="FK16" i="14"/>
  <c r="FK20" i="14"/>
  <c r="FK27" i="14"/>
  <c r="FK31" i="14"/>
  <c r="FK34" i="14"/>
  <c r="FK37" i="14"/>
  <c r="FK41" i="14"/>
  <c r="FK46" i="14"/>
  <c r="FK48" i="14"/>
  <c r="FK50" i="14"/>
  <c r="FK54" i="14"/>
  <c r="FK59" i="14"/>
  <c r="FK61" i="14"/>
  <c r="FK63" i="14"/>
  <c r="FK66" i="14"/>
  <c r="FK70" i="14"/>
  <c r="FK74" i="14"/>
  <c r="FK78" i="14"/>
  <c r="FK82" i="14"/>
  <c r="FK86" i="14"/>
  <c r="FK90" i="14"/>
  <c r="FK94" i="14"/>
  <c r="FK98" i="14"/>
  <c r="FK102" i="14"/>
  <c r="FK110" i="14"/>
  <c r="FK114" i="14"/>
  <c r="FK118" i="14"/>
  <c r="FK122" i="14"/>
  <c r="FK126" i="14"/>
  <c r="FK130" i="14"/>
  <c r="FK134" i="14"/>
  <c r="FK138" i="14"/>
  <c r="FK142" i="14"/>
  <c r="FK146" i="14"/>
  <c r="FK150" i="14"/>
  <c r="FK154" i="14"/>
  <c r="FK158" i="14"/>
  <c r="FK165" i="14"/>
  <c r="FK173" i="14"/>
  <c r="FK181" i="14"/>
  <c r="FK189" i="14"/>
  <c r="FK197" i="14"/>
  <c r="FK205" i="14"/>
  <c r="FK216" i="14"/>
  <c r="FK224" i="14"/>
  <c r="FK232" i="14"/>
  <c r="FK240" i="14"/>
  <c r="FK248" i="14"/>
  <c r="FK256" i="14"/>
  <c r="FK264" i="14"/>
  <c r="FK272" i="14"/>
  <c r="FK282" i="14"/>
  <c r="FK298" i="14"/>
  <c r="FK318" i="14"/>
  <c r="FK334" i="14"/>
  <c r="FK350" i="14"/>
  <c r="FK366" i="14"/>
  <c r="FK3" i="14"/>
  <c r="FK6" i="14"/>
  <c r="FK10" i="14"/>
  <c r="FK15" i="14"/>
  <c r="FK19" i="14"/>
  <c r="FK22" i="14"/>
  <c r="FK24" i="14"/>
  <c r="FK29" i="14"/>
  <c r="FK33" i="14"/>
  <c r="FK38" i="14"/>
  <c r="FK42" i="14"/>
  <c r="FK53" i="14"/>
  <c r="FK65" i="14"/>
  <c r="FK73" i="14"/>
  <c r="FK81" i="14"/>
  <c r="FK89" i="14"/>
  <c r="FK97" i="14"/>
  <c r="FK109" i="14"/>
  <c r="FK117" i="14"/>
  <c r="FK125" i="14"/>
  <c r="FK133" i="14"/>
  <c r="FK147" i="14"/>
  <c r="FK167" i="14"/>
  <c r="FK199" i="14"/>
  <c r="FK234" i="14"/>
  <c r="FK266" i="14"/>
  <c r="FK322" i="14"/>
  <c r="FK280" i="14"/>
  <c r="FK312" i="14"/>
  <c r="FK348" i="14"/>
  <c r="FK380" i="14"/>
  <c r="FK412" i="14"/>
  <c r="FK448" i="14"/>
  <c r="FK480" i="14"/>
  <c r="FK512" i="14"/>
  <c r="FK581" i="14"/>
  <c r="FK398" i="14"/>
  <c r="FK434" i="14"/>
  <c r="FK466" i="14"/>
  <c r="FK498" i="14"/>
  <c r="FK553" i="14"/>
  <c r="FK514" i="14"/>
  <c r="FK551" i="14"/>
  <c r="FK583" i="14"/>
  <c r="FK162" i="14"/>
  <c r="FK178" i="14"/>
  <c r="FK194" i="14"/>
  <c r="FK213" i="14"/>
  <c r="FK233" i="14"/>
  <c r="FK265" i="14"/>
  <c r="FK319" i="14"/>
  <c r="FK451" i="14"/>
  <c r="FK584" i="14"/>
  <c r="AL42" i="5"/>
  <c r="M30" i="5" s="1"/>
  <c r="FK299" i="14"/>
  <c r="FK335" i="14"/>
  <c r="FK367" i="14"/>
  <c r="FK399" i="14"/>
  <c r="FK435" i="14"/>
  <c r="FK467" i="14"/>
  <c r="FK499" i="14"/>
  <c r="FK536" i="14"/>
  <c r="FK568" i="14"/>
  <c r="FK607" i="14"/>
  <c r="FK614" i="14"/>
  <c r="FK229" i="14"/>
  <c r="FK237" i="14"/>
  <c r="FK245" i="14"/>
  <c r="FK253" i="14"/>
  <c r="FK261" i="14"/>
  <c r="FK269" i="14"/>
  <c r="FK277" i="14"/>
  <c r="FK285" i="14"/>
  <c r="FK293" i="14"/>
  <c r="FK307" i="14"/>
  <c r="FK327" i="14"/>
  <c r="FK343" i="14"/>
  <c r="FK359" i="14"/>
  <c r="FK375" i="14"/>
  <c r="FK391" i="14"/>
  <c r="FK407" i="14"/>
  <c r="FK427" i="14"/>
  <c r="FK443" i="14"/>
  <c r="FK459" i="14"/>
  <c r="FK475" i="14"/>
  <c r="FK491" i="14"/>
  <c r="FK507" i="14"/>
  <c r="FK528" i="14"/>
  <c r="FK544" i="14"/>
  <c r="FK560" i="14"/>
  <c r="FK576" i="14"/>
  <c r="FK592" i="14"/>
  <c r="FK623" i="14"/>
  <c r="FK606" i="14"/>
  <c r="AL42" i="17"/>
  <c r="FD204" i="17" s="1"/>
  <c r="FK624" i="14"/>
  <c r="FK620" i="14"/>
  <c r="FK616" i="14"/>
  <c r="FK612" i="14"/>
  <c r="FK608" i="14"/>
  <c r="FK604" i="14"/>
  <c r="FK600" i="14"/>
  <c r="FK596" i="14"/>
  <c r="FK627" i="14"/>
  <c r="FK619" i="14"/>
  <c r="FK611" i="14"/>
  <c r="FK603" i="14"/>
  <c r="FK595" i="14"/>
  <c r="FK590" i="14"/>
  <c r="FK586" i="14"/>
  <c r="FK582" i="14"/>
  <c r="FK578" i="14"/>
  <c r="FK574" i="14"/>
  <c r="FK570" i="14"/>
  <c r="FK566" i="14"/>
  <c r="FK562" i="14"/>
  <c r="FK558" i="14"/>
  <c r="FK554" i="14"/>
  <c r="FK550" i="14"/>
  <c r="FK546" i="14"/>
  <c r="FK542" i="14"/>
  <c r="FK538" i="14"/>
  <c r="FK534" i="14"/>
  <c r="FK530" i="14"/>
  <c r="FK521" i="14"/>
  <c r="FK517" i="14"/>
  <c r="FK513" i="14"/>
  <c r="FK509" i="14"/>
  <c r="FK505" i="14"/>
  <c r="FK501" i="14"/>
  <c r="FK497" i="14"/>
  <c r="FK493" i="14"/>
  <c r="FK489" i="14"/>
  <c r="FK485" i="14"/>
  <c r="FK481" i="14"/>
  <c r="FK477" i="14"/>
  <c r="FK473" i="14"/>
  <c r="FK469" i="14"/>
  <c r="FK465" i="14"/>
  <c r="FK461" i="14"/>
  <c r="FK457" i="14"/>
  <c r="FK453" i="14"/>
  <c r="FK449" i="14"/>
  <c r="FK445" i="14"/>
  <c r="FK441" i="14"/>
  <c r="FK437" i="14"/>
  <c r="FK433" i="14"/>
  <c r="FK429" i="14"/>
  <c r="FK425" i="14"/>
  <c r="FK417" i="14"/>
  <c r="FK413" i="14"/>
  <c r="FK409" i="14"/>
  <c r="FK405" i="14"/>
  <c r="FK401" i="14"/>
  <c r="FK397" i="14"/>
  <c r="FK393" i="14"/>
  <c r="FK389" i="14"/>
  <c r="FK385" i="14"/>
  <c r="FK381" i="14"/>
  <c r="FK377" i="14"/>
  <c r="FK373" i="14"/>
  <c r="FK369" i="14"/>
  <c r="FK365" i="14"/>
  <c r="FK361" i="14"/>
  <c r="FK357" i="14"/>
  <c r="FK353" i="14"/>
  <c r="FK349" i="14"/>
  <c r="FK345" i="14"/>
  <c r="FK341" i="14"/>
  <c r="FK337" i="14"/>
  <c r="FK333" i="14"/>
  <c r="FK329" i="14"/>
  <c r="FK325" i="14"/>
  <c r="FK321" i="14"/>
  <c r="FK317" i="14"/>
  <c r="FK309" i="14"/>
  <c r="FK305" i="14"/>
  <c r="FK301" i="14"/>
  <c r="FK297" i="14"/>
  <c r="FK626" i="14"/>
  <c r="FK618" i="14"/>
  <c r="FK610" i="14"/>
  <c r="FK602" i="14"/>
  <c r="FK594" i="14"/>
  <c r="AS30" i="14" s="1"/>
  <c r="FK615" i="14"/>
  <c r="FK599" i="14"/>
  <c r="FK588" i="14"/>
  <c r="FK580" i="14"/>
  <c r="FK572" i="14"/>
  <c r="FK564" i="14"/>
  <c r="FK556" i="14"/>
  <c r="FK548" i="14"/>
  <c r="FK540" i="14"/>
  <c r="FK532" i="14"/>
  <c r="FK519" i="14"/>
  <c r="FK511" i="14"/>
  <c r="FK503" i="14"/>
  <c r="FK495" i="14"/>
  <c r="FK487" i="14"/>
  <c r="FK479" i="14"/>
  <c r="FK471" i="14"/>
  <c r="FK463" i="14"/>
  <c r="FK455" i="14"/>
  <c r="FK447" i="14"/>
  <c r="FK439" i="14"/>
  <c r="FK431" i="14"/>
  <c r="FK423" i="14"/>
  <c r="FK411" i="14"/>
  <c r="FK403" i="14"/>
  <c r="FK395" i="14"/>
  <c r="FK387" i="14"/>
  <c r="FK379" i="14"/>
  <c r="FK371" i="14"/>
  <c r="FK363" i="14"/>
  <c r="FK355" i="14"/>
  <c r="FK347" i="14"/>
  <c r="FK339" i="14"/>
  <c r="FK331" i="14"/>
  <c r="FK323" i="14"/>
  <c r="FK311" i="14"/>
  <c r="FK303" i="14"/>
  <c r="FK295" i="14"/>
  <c r="FK291" i="14"/>
  <c r="FK287" i="14"/>
  <c r="FK283" i="14"/>
  <c r="FK279" i="14"/>
  <c r="FK275" i="14"/>
  <c r="FK271" i="14"/>
  <c r="FK267" i="14"/>
  <c r="FK263" i="14"/>
  <c r="FK259" i="14"/>
  <c r="FK255" i="14"/>
  <c r="FK251" i="14"/>
  <c r="FK247" i="14"/>
  <c r="FK243" i="14"/>
  <c r="FK239" i="14"/>
  <c r="FK235" i="14"/>
  <c r="FK231" i="14"/>
  <c r="FK227" i="14"/>
  <c r="FK223" i="14"/>
  <c r="FK219" i="14"/>
  <c r="FK215" i="14"/>
  <c r="FK208" i="14"/>
  <c r="FK204" i="14"/>
  <c r="FK200" i="14"/>
  <c r="FK196" i="14"/>
  <c r="FK192" i="14"/>
  <c r="FK188" i="14"/>
  <c r="FK184" i="14"/>
  <c r="FK180" i="14"/>
  <c r="AL40" i="5" s="1"/>
  <c r="FK176" i="14"/>
  <c r="FK172" i="14"/>
  <c r="FK168" i="14"/>
  <c r="FK164" i="14"/>
  <c r="FK160" i="14"/>
  <c r="FK617" i="14"/>
  <c r="FK601" i="14"/>
  <c r="FK587" i="14"/>
  <c r="FK579" i="14"/>
  <c r="FK571" i="14"/>
  <c r="FK563" i="14"/>
  <c r="FK555" i="14"/>
  <c r="FK547" i="14"/>
  <c r="FK539" i="14"/>
  <c r="FK531" i="14"/>
  <c r="FK518" i="14"/>
  <c r="FK621" i="14"/>
  <c r="FK593" i="14"/>
  <c r="FK577" i="14"/>
  <c r="FK561" i="14"/>
  <c r="FK545" i="14"/>
  <c r="FK529" i="14"/>
  <c r="FK510" i="14"/>
  <c r="FK502" i="14"/>
  <c r="FK494" i="14"/>
  <c r="FK486" i="14"/>
  <c r="FK478" i="14"/>
  <c r="FK470" i="14"/>
  <c r="FK462" i="14"/>
  <c r="FK454" i="14"/>
  <c r="FK446" i="14"/>
  <c r="FK438" i="14"/>
  <c r="FK430" i="14"/>
  <c r="FK422" i="14"/>
  <c r="FK410" i="14"/>
  <c r="FK402" i="14"/>
  <c r="FK394" i="14"/>
  <c r="FK386" i="14"/>
  <c r="FK613" i="14"/>
  <c r="FK589" i="14"/>
  <c r="FK573" i="14"/>
  <c r="FK557" i="14"/>
  <c r="FK541" i="14"/>
  <c r="FK520" i="14"/>
  <c r="FK508" i="14"/>
  <c r="FK500" i="14"/>
  <c r="FK492" i="14"/>
  <c r="FK484" i="14"/>
  <c r="FK476" i="14"/>
  <c r="FK468" i="14"/>
  <c r="FK460" i="14"/>
  <c r="FK452" i="14"/>
  <c r="FK444" i="14"/>
  <c r="FK436" i="14"/>
  <c r="FK428" i="14"/>
  <c r="FK416" i="14"/>
  <c r="FK408" i="14"/>
  <c r="FK400" i="14"/>
  <c r="FK392" i="14"/>
  <c r="FK384" i="14"/>
  <c r="FK376" i="14"/>
  <c r="FK368" i="14"/>
  <c r="FK360" i="14"/>
  <c r="FK352" i="14"/>
  <c r="FK344" i="14"/>
  <c r="FK336" i="14"/>
  <c r="FK328" i="14"/>
  <c r="FK320" i="14"/>
  <c r="FK308" i="14"/>
  <c r="FK300" i="14"/>
  <c r="FK292" i="14"/>
  <c r="FK284" i="14"/>
  <c r="AL37" i="5" s="1"/>
  <c r="FK378" i="14"/>
  <c r="FK362" i="14"/>
  <c r="FK346" i="14"/>
  <c r="FK330" i="14"/>
  <c r="FK310" i="14"/>
  <c r="FK294" i="14"/>
  <c r="FK278" i="14"/>
  <c r="FK270" i="14"/>
  <c r="FK262" i="14"/>
  <c r="FK254" i="14"/>
  <c r="FK246" i="14"/>
  <c r="FK238" i="14"/>
  <c r="FK230" i="14"/>
  <c r="FK222" i="14"/>
  <c r="FK214" i="14"/>
  <c r="FK203" i="14"/>
  <c r="FK195" i="14"/>
  <c r="FK187" i="14"/>
  <c r="FK179" i="14"/>
  <c r="FK171" i="14"/>
  <c r="FK163" i="14"/>
  <c r="FK157" i="14"/>
  <c r="FK153" i="14"/>
  <c r="FK149" i="14"/>
  <c r="FK145" i="14"/>
  <c r="FK141" i="14"/>
  <c r="FK137" i="14"/>
  <c r="AN33" i="17"/>
  <c r="AI35" i="14"/>
  <c r="FD212" i="17"/>
  <c r="FD148" i="17"/>
  <c r="FD76" i="17"/>
  <c r="AP9" i="17" s="1"/>
  <c r="FD141" i="17"/>
  <c r="FD27" i="17"/>
  <c r="FD131" i="17"/>
  <c r="FD44" i="17"/>
  <c r="FD12" i="17"/>
  <c r="AO33" i="17"/>
  <c r="AQ33" i="17"/>
  <c r="BO281" i="17"/>
  <c r="BO228" i="17"/>
  <c r="BO255" i="17"/>
  <c r="AZ237" i="17"/>
  <c r="BA236" i="17"/>
  <c r="BB236" i="17" s="1"/>
  <c r="BC236" i="17" s="1"/>
  <c r="BD236" i="17" s="1"/>
  <c r="BE236" i="17" s="1"/>
  <c r="BF236" i="17" s="1"/>
  <c r="BG236" i="17" s="1"/>
  <c r="BH236" i="17" s="1"/>
  <c r="BI236" i="17" s="1"/>
  <c r="BJ236" i="17" s="1"/>
  <c r="BK236" i="17" s="1"/>
  <c r="BL236" i="17" s="1"/>
  <c r="BM236" i="17"/>
  <c r="BA295" i="17"/>
  <c r="BB295" i="17" s="1"/>
  <c r="BC295" i="17" s="1"/>
  <c r="BD295" i="17" s="1"/>
  <c r="BE295" i="17" s="1"/>
  <c r="BF295" i="17" s="1"/>
  <c r="BG295" i="17" s="1"/>
  <c r="BH295" i="17" s="1"/>
  <c r="BI295" i="17" s="1"/>
  <c r="BJ295" i="17" s="1"/>
  <c r="BK295" i="17" s="1"/>
  <c r="BL295" i="17" s="1"/>
  <c r="AZ296" i="17"/>
  <c r="BM295" i="17"/>
  <c r="AZ266" i="17"/>
  <c r="BO266" i="17" s="1"/>
  <c r="BA265" i="17"/>
  <c r="BB265" i="17" s="1"/>
  <c r="BC265" i="17" s="1"/>
  <c r="BD265" i="17" s="1"/>
  <c r="BE265" i="17" s="1"/>
  <c r="BF265" i="17" s="1"/>
  <c r="BG265" i="17" s="1"/>
  <c r="BH265" i="17" s="1"/>
  <c r="BI265" i="17" s="1"/>
  <c r="BJ265" i="17" s="1"/>
  <c r="BK265" i="17" s="1"/>
  <c r="BL265" i="17" s="1"/>
  <c r="BM265" i="17"/>
  <c r="AO3" i="12"/>
  <c r="AK8" i="12" s="1"/>
  <c r="AP71" i="12"/>
  <c r="AW71" i="12" s="1"/>
  <c r="AO71" i="12"/>
  <c r="AV71" i="12" s="1"/>
  <c r="AN71" i="12"/>
  <c r="AU71" i="12" s="1"/>
  <c r="AM71" i="12"/>
  <c r="AT71" i="12" s="1"/>
  <c r="AL71" i="12"/>
  <c r="AS71" i="12" s="1"/>
  <c r="AP70" i="12"/>
  <c r="AW70" i="12" s="1"/>
  <c r="AO70" i="12"/>
  <c r="AV70" i="12" s="1"/>
  <c r="AN70" i="12"/>
  <c r="AU70" i="12" s="1"/>
  <c r="AM70" i="12"/>
  <c r="AT70" i="12" s="1"/>
  <c r="AL70" i="12"/>
  <c r="AS70" i="12" s="1"/>
  <c r="AP69" i="12"/>
  <c r="AW69" i="12" s="1"/>
  <c r="AO69" i="12"/>
  <c r="AV69" i="12" s="1"/>
  <c r="AN69" i="12"/>
  <c r="AU69" i="12" s="1"/>
  <c r="AM69" i="12"/>
  <c r="AT69" i="12" s="1"/>
  <c r="AL69" i="12"/>
  <c r="AS69" i="12" s="1"/>
  <c r="AP68" i="12"/>
  <c r="AW68" i="12" s="1"/>
  <c r="AO68" i="12"/>
  <c r="AV68" i="12" s="1"/>
  <c r="AN68" i="12"/>
  <c r="AU68" i="12" s="1"/>
  <c r="AM68" i="12"/>
  <c r="AT68" i="12" s="1"/>
  <c r="AL68" i="12"/>
  <c r="AS68" i="12" s="1"/>
  <c r="AP67" i="12"/>
  <c r="AW67" i="12" s="1"/>
  <c r="AO67" i="12"/>
  <c r="AV67" i="12" s="1"/>
  <c r="AN67" i="12"/>
  <c r="AU67" i="12" s="1"/>
  <c r="AM67" i="12"/>
  <c r="AT67" i="12" s="1"/>
  <c r="AL67" i="12"/>
  <c r="AS67" i="12" s="1"/>
  <c r="AP66" i="12"/>
  <c r="AW66" i="12" s="1"/>
  <c r="AO66" i="12"/>
  <c r="AV66" i="12" s="1"/>
  <c r="AN66" i="12"/>
  <c r="AU66" i="12" s="1"/>
  <c r="AM66" i="12"/>
  <c r="AT66" i="12" s="1"/>
  <c r="AL66" i="12"/>
  <c r="AS66" i="12" s="1"/>
  <c r="AP65" i="12"/>
  <c r="AW65" i="12" s="1"/>
  <c r="AO65" i="12"/>
  <c r="AV65" i="12" s="1"/>
  <c r="AN65" i="12"/>
  <c r="AU65" i="12" s="1"/>
  <c r="AM65" i="12"/>
  <c r="AT65" i="12" s="1"/>
  <c r="AL65" i="12"/>
  <c r="AS65" i="12" s="1"/>
  <c r="AP64" i="12"/>
  <c r="AW64" i="12" s="1"/>
  <c r="AO64" i="12"/>
  <c r="AV64" i="12" s="1"/>
  <c r="AN64" i="12"/>
  <c r="AU64" i="12" s="1"/>
  <c r="AM64" i="12"/>
  <c r="AT64" i="12" s="1"/>
  <c r="AL64" i="12"/>
  <c r="AS64" i="12" s="1"/>
  <c r="AP63" i="12"/>
  <c r="AW63" i="12" s="1"/>
  <c r="AO63" i="12"/>
  <c r="AV63" i="12" s="1"/>
  <c r="AN63" i="12"/>
  <c r="AU63" i="12" s="1"/>
  <c r="AM63" i="12"/>
  <c r="AT63" i="12" s="1"/>
  <c r="AL63" i="12"/>
  <c r="AS63" i="12" s="1"/>
  <c r="AP62" i="12"/>
  <c r="AW62" i="12" s="1"/>
  <c r="AO62" i="12"/>
  <c r="AV62" i="12" s="1"/>
  <c r="AN62" i="12"/>
  <c r="AU62" i="12" s="1"/>
  <c r="AM62" i="12"/>
  <c r="AT62" i="12" s="1"/>
  <c r="AL62" i="12"/>
  <c r="AS62" i="12" s="1"/>
  <c r="AJ2" i="12"/>
  <c r="AJ3" i="12"/>
  <c r="AH3" i="12" s="1"/>
  <c r="AI70" i="12" s="1"/>
  <c r="AK3" i="12"/>
  <c r="AJ63" i="12" s="1"/>
  <c r="BO220" i="17" l="1"/>
  <c r="BO289" i="17"/>
  <c r="BO295" i="17"/>
  <c r="FD28" i="17"/>
  <c r="FD71" i="17"/>
  <c r="FD195" i="17"/>
  <c r="FD69" i="17"/>
  <c r="FD205" i="17"/>
  <c r="FD116" i="17"/>
  <c r="FD180" i="17"/>
  <c r="BO251" i="17"/>
  <c r="BO261" i="17"/>
  <c r="BO224" i="17"/>
  <c r="BO233" i="17"/>
  <c r="BO285" i="17"/>
  <c r="BO259" i="17"/>
  <c r="BO290" i="17"/>
  <c r="FD4" i="17"/>
  <c r="FD20" i="17"/>
  <c r="FD36" i="17"/>
  <c r="FD55" i="17"/>
  <c r="FD91" i="17"/>
  <c r="FD163" i="17"/>
  <c r="FD11" i="17"/>
  <c r="FD43" i="17"/>
  <c r="FD101" i="17"/>
  <c r="FD173" i="17"/>
  <c r="FD60" i="17"/>
  <c r="FD92" i="17"/>
  <c r="FD132" i="17"/>
  <c r="FD164" i="17"/>
  <c r="FD196" i="17"/>
  <c r="AL41" i="5"/>
  <c r="Y29" i="5" s="1"/>
  <c r="AL39" i="5"/>
  <c r="AL38" i="5"/>
  <c r="BO232" i="17"/>
  <c r="BO265" i="17"/>
  <c r="BO249" i="17"/>
  <c r="BO253" i="17"/>
  <c r="BO257" i="17"/>
  <c r="BO291" i="17"/>
  <c r="BO222" i="17"/>
  <c r="BO226" i="17"/>
  <c r="BO230" i="17"/>
  <c r="BO237" i="17"/>
  <c r="BO263" i="17"/>
  <c r="BO279" i="17"/>
  <c r="BO283" i="17"/>
  <c r="BO287" i="17"/>
  <c r="BO294" i="17"/>
  <c r="BO262" i="17"/>
  <c r="BO296" i="17"/>
  <c r="FD8" i="17"/>
  <c r="FD16" i="17"/>
  <c r="FD24" i="17"/>
  <c r="FD32" i="17"/>
  <c r="FD40" i="17"/>
  <c r="FD48" i="17"/>
  <c r="FD63" i="17"/>
  <c r="FD79" i="17"/>
  <c r="FD115" i="17"/>
  <c r="FD147" i="17"/>
  <c r="FD179" i="17"/>
  <c r="FD211" i="17"/>
  <c r="FD19" i="17"/>
  <c r="FD35" i="17"/>
  <c r="FD53" i="17"/>
  <c r="FD85" i="17"/>
  <c r="FD125" i="17"/>
  <c r="FD157" i="17"/>
  <c r="FD189" i="17"/>
  <c r="FD52" i="17"/>
  <c r="FD68" i="17"/>
  <c r="FD84" i="17"/>
  <c r="FD100" i="17"/>
  <c r="FD124" i="17"/>
  <c r="FD140" i="17"/>
  <c r="FD156" i="17"/>
  <c r="FD172" i="17"/>
  <c r="FD188" i="17"/>
  <c r="FD210" i="17"/>
  <c r="FD206" i="17"/>
  <c r="FD202" i="17"/>
  <c r="FD198" i="17"/>
  <c r="FD194" i="17"/>
  <c r="FD190" i="17"/>
  <c r="FD186" i="17"/>
  <c r="FD182" i="17"/>
  <c r="FD178" i="17"/>
  <c r="FD174" i="17"/>
  <c r="FD170" i="17"/>
  <c r="FD166" i="17"/>
  <c r="FD162" i="17"/>
  <c r="FD158" i="17"/>
  <c r="FD154" i="17"/>
  <c r="FD150" i="17"/>
  <c r="FD146" i="17"/>
  <c r="FD142" i="17"/>
  <c r="FD138" i="17"/>
  <c r="FD134" i="17"/>
  <c r="FD130" i="17"/>
  <c r="FD126" i="17"/>
  <c r="FD122" i="17"/>
  <c r="FD118" i="17"/>
  <c r="FD114" i="17"/>
  <c r="FD102" i="17"/>
  <c r="FD98" i="17"/>
  <c r="FD94" i="17"/>
  <c r="FD90" i="17"/>
  <c r="FD86" i="17"/>
  <c r="FD82" i="17"/>
  <c r="FD78" i="17"/>
  <c r="FD74" i="17"/>
  <c r="FD70" i="17"/>
  <c r="FD66" i="17"/>
  <c r="FD62" i="17"/>
  <c r="FD58" i="17"/>
  <c r="FD54" i="17"/>
  <c r="FD50" i="17"/>
  <c r="FD209" i="17"/>
  <c r="FD201" i="17"/>
  <c r="FD193" i="17"/>
  <c r="FD185" i="17"/>
  <c r="FD177" i="17"/>
  <c r="FD169" i="17"/>
  <c r="FD161" i="17"/>
  <c r="FD153" i="17"/>
  <c r="FD145" i="17"/>
  <c r="FD137" i="17"/>
  <c r="FD129" i="17"/>
  <c r="FD121" i="17"/>
  <c r="FD113" i="17"/>
  <c r="FD97" i="17"/>
  <c r="FD89" i="17"/>
  <c r="FD81" i="17"/>
  <c r="FD73" i="17"/>
  <c r="FD65" i="17"/>
  <c r="FD57" i="17"/>
  <c r="FD49" i="17"/>
  <c r="FD45" i="17"/>
  <c r="FD41" i="17"/>
  <c r="FD37" i="17"/>
  <c r="FD33" i="17"/>
  <c r="FD29" i="17"/>
  <c r="FD25" i="17"/>
  <c r="FD21" i="17"/>
  <c r="FD17" i="17"/>
  <c r="FD13" i="17"/>
  <c r="FD9" i="17"/>
  <c r="FD5" i="17"/>
  <c r="FD207" i="17"/>
  <c r="FD199" i="17"/>
  <c r="FD191" i="17"/>
  <c r="FD183" i="17"/>
  <c r="FD175" i="17"/>
  <c r="FD167" i="17"/>
  <c r="FD159" i="17"/>
  <c r="FD151" i="17"/>
  <c r="FD143" i="17"/>
  <c r="FD135" i="17"/>
  <c r="FD127" i="17"/>
  <c r="FD119" i="17"/>
  <c r="FD103" i="17"/>
  <c r="FD95" i="17"/>
  <c r="FD87" i="17"/>
  <c r="BO236" i="17"/>
  <c r="BO234" i="17"/>
  <c r="BO250" i="17"/>
  <c r="BO252" i="17"/>
  <c r="BO254" i="17"/>
  <c r="BO256" i="17"/>
  <c r="BO258" i="17"/>
  <c r="BO221" i="17"/>
  <c r="BO223" i="17"/>
  <c r="BO225" i="17"/>
  <c r="BO227" i="17"/>
  <c r="BO229" i="17"/>
  <c r="BO231" i="17"/>
  <c r="BO235" i="17"/>
  <c r="BO278" i="17"/>
  <c r="BO280" i="17"/>
  <c r="BO282" i="17"/>
  <c r="BO284" i="17"/>
  <c r="BO286" i="17"/>
  <c r="BO288" i="17"/>
  <c r="BO293" i="17"/>
  <c r="BO260" i="17"/>
  <c r="BO264" i="17"/>
  <c r="BO292" i="17"/>
  <c r="FD6" i="17"/>
  <c r="FD10" i="17"/>
  <c r="FD14" i="17"/>
  <c r="FD18" i="17"/>
  <c r="FD22" i="17"/>
  <c r="FD26" i="17"/>
  <c r="FD30" i="17"/>
  <c r="FD34" i="17"/>
  <c r="FD38" i="17"/>
  <c r="FD42" i="17"/>
  <c r="FD46" i="17"/>
  <c r="FD51" i="17"/>
  <c r="FD59" i="17"/>
  <c r="FD67" i="17"/>
  <c r="FD75" i="17"/>
  <c r="FD83" i="17"/>
  <c r="FD99" i="17"/>
  <c r="FD123" i="17"/>
  <c r="FD139" i="17"/>
  <c r="FD155" i="17"/>
  <c r="FD171" i="17"/>
  <c r="FD187" i="17"/>
  <c r="FD203" i="17"/>
  <c r="FD7" i="17"/>
  <c r="FD15" i="17"/>
  <c r="FD23" i="17"/>
  <c r="FD31" i="17"/>
  <c r="FD39" i="17"/>
  <c r="FD47" i="17"/>
  <c r="FD61" i="17"/>
  <c r="FD77" i="17"/>
  <c r="FD93" i="17"/>
  <c r="FD117" i="17"/>
  <c r="FD133" i="17"/>
  <c r="FD149" i="17"/>
  <c r="FD165" i="17"/>
  <c r="FD181" i="17"/>
  <c r="FD197" i="17"/>
  <c r="FD213" i="17"/>
  <c r="FD56" i="17"/>
  <c r="FD64" i="17"/>
  <c r="FD72" i="17"/>
  <c r="FD80" i="17"/>
  <c r="FD88" i="17"/>
  <c r="FD96" i="17"/>
  <c r="FD104" i="17"/>
  <c r="FD120" i="17"/>
  <c r="FD128" i="17"/>
  <c r="FD136" i="17"/>
  <c r="FD144" i="17"/>
  <c r="FD152" i="17"/>
  <c r="FD160" i="17"/>
  <c r="FD168" i="17"/>
  <c r="FD176" i="17"/>
  <c r="FD184" i="17"/>
  <c r="FD192" i="17"/>
  <c r="FD200" i="17"/>
  <c r="FD208" i="17"/>
  <c r="AM51" i="17"/>
  <c r="AS9" i="5"/>
  <c r="AP9" i="5"/>
  <c r="AQ9" i="5"/>
  <c r="AJ33" i="5"/>
  <c r="M29" i="5" s="1"/>
  <c r="AR9" i="5"/>
  <c r="AT9" i="5"/>
  <c r="AZ267" i="17"/>
  <c r="BO267" i="17" s="1"/>
  <c r="BA266" i="17"/>
  <c r="BB266" i="17" s="1"/>
  <c r="BC266" i="17" s="1"/>
  <c r="BD266" i="17" s="1"/>
  <c r="BE266" i="17" s="1"/>
  <c r="BF266" i="17" s="1"/>
  <c r="BG266" i="17" s="1"/>
  <c r="BH266" i="17" s="1"/>
  <c r="BI266" i="17" s="1"/>
  <c r="BJ266" i="17" s="1"/>
  <c r="BK266" i="17" s="1"/>
  <c r="BL266" i="17" s="1"/>
  <c r="BM266" i="17"/>
  <c r="AZ297" i="17"/>
  <c r="BO297" i="17" s="1"/>
  <c r="BA296" i="17"/>
  <c r="BB296" i="17" s="1"/>
  <c r="BC296" i="17" s="1"/>
  <c r="BD296" i="17" s="1"/>
  <c r="BE296" i="17" s="1"/>
  <c r="BF296" i="17" s="1"/>
  <c r="BG296" i="17" s="1"/>
  <c r="BH296" i="17" s="1"/>
  <c r="BI296" i="17" s="1"/>
  <c r="BJ296" i="17" s="1"/>
  <c r="BK296" i="17" s="1"/>
  <c r="BL296" i="17" s="1"/>
  <c r="BM296" i="17"/>
  <c r="BA237" i="17"/>
  <c r="BB237" i="17" s="1"/>
  <c r="BC237" i="17" s="1"/>
  <c r="BD237" i="17" s="1"/>
  <c r="BE237" i="17" s="1"/>
  <c r="BF237" i="17" s="1"/>
  <c r="BG237" i="17" s="1"/>
  <c r="BH237" i="17" s="1"/>
  <c r="BI237" i="17" s="1"/>
  <c r="BJ237" i="17" s="1"/>
  <c r="BK237" i="17" s="1"/>
  <c r="BL237" i="17" s="1"/>
  <c r="AZ238" i="17"/>
  <c r="BO238" i="17" s="1"/>
  <c r="BM237" i="17"/>
  <c r="AJ68" i="12"/>
  <c r="K58" i="12"/>
  <c r="L33" i="12"/>
  <c r="H33" i="12"/>
  <c r="O32" i="12"/>
  <c r="J32" i="12"/>
  <c r="F32" i="12"/>
  <c r="L30" i="12"/>
  <c r="H30" i="12"/>
  <c r="O29" i="12"/>
  <c r="J29" i="12"/>
  <c r="F29" i="12"/>
  <c r="O33" i="12"/>
  <c r="J33" i="12"/>
  <c r="F33" i="12"/>
  <c r="L32" i="12"/>
  <c r="H32" i="12"/>
  <c r="O30" i="12"/>
  <c r="J30" i="12"/>
  <c r="F30" i="12"/>
  <c r="L29" i="12"/>
  <c r="H29" i="12"/>
  <c r="AJ62" i="12"/>
  <c r="AJ64" i="12"/>
  <c r="AP8" i="12"/>
  <c r="AO8" i="12"/>
  <c r="N39" i="12"/>
  <c r="AQ8" i="12"/>
  <c r="U39" i="12"/>
  <c r="AJ70" i="12"/>
  <c r="AK70" i="12" s="1"/>
  <c r="AJ66" i="12"/>
  <c r="K39" i="12"/>
  <c r="AJ71" i="12"/>
  <c r="AJ69" i="12"/>
  <c r="AJ67" i="12"/>
  <c r="AJ65" i="12"/>
  <c r="J54" i="12"/>
  <c r="J40" i="12"/>
  <c r="AO7" i="12"/>
  <c r="F40" i="12" s="1"/>
  <c r="J44" i="12"/>
  <c r="Q31" i="12"/>
  <c r="Q28" i="12"/>
  <c r="AI63" i="12"/>
  <c r="AK63" i="12" s="1"/>
  <c r="AI67" i="12"/>
  <c r="AI71" i="12"/>
  <c r="AK71" i="12" s="1"/>
  <c r="AI65" i="12"/>
  <c r="AI69" i="12"/>
  <c r="AI62" i="12"/>
  <c r="AI64" i="12"/>
  <c r="AI66" i="12"/>
  <c r="AI68" i="12"/>
  <c r="AO45" i="11"/>
  <c r="AT45" i="11" s="1"/>
  <c r="AN45" i="11"/>
  <c r="AS45" i="11" s="1"/>
  <c r="AM45" i="11"/>
  <c r="AR45" i="11" s="1"/>
  <c r="AO44" i="11"/>
  <c r="AT44" i="11" s="1"/>
  <c r="AN44" i="11"/>
  <c r="AS44" i="11" s="1"/>
  <c r="AM44" i="11"/>
  <c r="AR44" i="11" s="1"/>
  <c r="AO43" i="11"/>
  <c r="AT43" i="11" s="1"/>
  <c r="AN43" i="11"/>
  <c r="AS43" i="11" s="1"/>
  <c r="AM43" i="11"/>
  <c r="AR43" i="11" s="1"/>
  <c r="AO42" i="11"/>
  <c r="AT42" i="11" s="1"/>
  <c r="AN42" i="11"/>
  <c r="AS42" i="11" s="1"/>
  <c r="AM42" i="11"/>
  <c r="AR42" i="11" s="1"/>
  <c r="AO41" i="11"/>
  <c r="AT41" i="11" s="1"/>
  <c r="AN41" i="11"/>
  <c r="AS41" i="11" s="1"/>
  <c r="AM41" i="11"/>
  <c r="AR41" i="11" s="1"/>
  <c r="AO40" i="11"/>
  <c r="AT40" i="11" s="1"/>
  <c r="AN40" i="11"/>
  <c r="AS40" i="11" s="1"/>
  <c r="AM40" i="11"/>
  <c r="AR40" i="11" s="1"/>
  <c r="AO39" i="11"/>
  <c r="AT39" i="11" s="1"/>
  <c r="AN39" i="11"/>
  <c r="AS39" i="11" s="1"/>
  <c r="AM39" i="11"/>
  <c r="AR39" i="11" s="1"/>
  <c r="AL40" i="11"/>
  <c r="AQ40" i="11" s="1"/>
  <c r="AL41" i="11"/>
  <c r="AQ41" i="11" s="1"/>
  <c r="AL42" i="11"/>
  <c r="AQ42" i="11" s="1"/>
  <c r="AL43" i="11"/>
  <c r="AQ43" i="11" s="1"/>
  <c r="AL44" i="11"/>
  <c r="AQ44" i="11" s="1"/>
  <c r="AL45" i="11"/>
  <c r="AQ45" i="11" s="1"/>
  <c r="AL39" i="11"/>
  <c r="AQ39" i="11" s="1"/>
  <c r="AK3" i="11"/>
  <c r="AJ41" i="11" s="1"/>
  <c r="AN5" i="9"/>
  <c r="AJ12" i="9"/>
  <c r="AJ13" i="9" s="1"/>
  <c r="AJ14" i="9" s="1"/>
  <c r="AK12" i="9"/>
  <c r="AK13" i="9" s="1"/>
  <c r="AK14" i="9" s="1"/>
  <c r="AL12" i="9"/>
  <c r="AL13" i="9" s="1"/>
  <c r="AL14" i="9" s="1"/>
  <c r="AM12" i="9"/>
  <c r="AM13" i="9" s="1"/>
  <c r="AM14" i="9" s="1"/>
  <c r="AN12" i="9"/>
  <c r="AN13" i="9" s="1"/>
  <c r="AN14" i="9" s="1"/>
  <c r="AO12" i="9"/>
  <c r="AO13" i="9" s="1"/>
  <c r="AO14" i="9" s="1"/>
  <c r="AP12" i="9"/>
  <c r="AP13" i="9" s="1"/>
  <c r="AP14" i="9" s="1"/>
  <c r="AQ12" i="9"/>
  <c r="AQ13" i="9" s="1"/>
  <c r="AQ14" i="9" s="1"/>
  <c r="AR12" i="9"/>
  <c r="AR13" i="9" s="1"/>
  <c r="AR14" i="9" s="1"/>
  <c r="BK102" i="9"/>
  <c r="BK103" i="9" s="1"/>
  <c r="BK104" i="9" s="1"/>
  <c r="BK105" i="9" s="1"/>
  <c r="BK106" i="9" s="1"/>
  <c r="BK107" i="9" s="1"/>
  <c r="BK108" i="9" s="1"/>
  <c r="BK109" i="9" s="1"/>
  <c r="BK110" i="9" s="1"/>
  <c r="BK111" i="9" s="1"/>
  <c r="BK112" i="9" s="1"/>
  <c r="BK113" i="9" s="1"/>
  <c r="BK114" i="9" s="1"/>
  <c r="BK115" i="9" s="1"/>
  <c r="BJ102" i="9"/>
  <c r="BJ103" i="9" s="1"/>
  <c r="BJ104" i="9" s="1"/>
  <c r="BJ105" i="9" s="1"/>
  <c r="BJ106" i="9" s="1"/>
  <c r="BJ107" i="9" s="1"/>
  <c r="BJ108" i="9" s="1"/>
  <c r="BJ109" i="9" s="1"/>
  <c r="BJ110" i="9" s="1"/>
  <c r="BJ111" i="9" s="1"/>
  <c r="BJ112" i="9" s="1"/>
  <c r="BJ113" i="9" s="1"/>
  <c r="BJ114" i="9" s="1"/>
  <c r="BJ115" i="9" s="1"/>
  <c r="BI102" i="9"/>
  <c r="BI103" i="9" s="1"/>
  <c r="BI104" i="9" s="1"/>
  <c r="BI105" i="9" s="1"/>
  <c r="BI106" i="9" s="1"/>
  <c r="BI107" i="9" s="1"/>
  <c r="BI108" i="9" s="1"/>
  <c r="BI109" i="9" s="1"/>
  <c r="BI110" i="9" s="1"/>
  <c r="BI111" i="9" s="1"/>
  <c r="BI112" i="9" s="1"/>
  <c r="BI113" i="9" s="1"/>
  <c r="BI114" i="9" s="1"/>
  <c r="BI115" i="9" s="1"/>
  <c r="BH102" i="9"/>
  <c r="BH103" i="9" s="1"/>
  <c r="BH104" i="9" s="1"/>
  <c r="BH105" i="9" s="1"/>
  <c r="BH106" i="9" s="1"/>
  <c r="BH107" i="9" s="1"/>
  <c r="BH108" i="9" s="1"/>
  <c r="BH109" i="9" s="1"/>
  <c r="BH110" i="9" s="1"/>
  <c r="BH111" i="9" s="1"/>
  <c r="BH112" i="9" s="1"/>
  <c r="BH113" i="9" s="1"/>
  <c r="BH114" i="9" s="1"/>
  <c r="BH115" i="9" s="1"/>
  <c r="BG102" i="9"/>
  <c r="BG103" i="9" s="1"/>
  <c r="BG104" i="9" s="1"/>
  <c r="BG105" i="9" s="1"/>
  <c r="BG106" i="9" s="1"/>
  <c r="BG107" i="9" s="1"/>
  <c r="BG108" i="9" s="1"/>
  <c r="BG109" i="9" s="1"/>
  <c r="BG110" i="9" s="1"/>
  <c r="BG111" i="9" s="1"/>
  <c r="BG112" i="9" s="1"/>
  <c r="BG113" i="9" s="1"/>
  <c r="BG114" i="9" s="1"/>
  <c r="BG115" i="9" s="1"/>
  <c r="BF102" i="9"/>
  <c r="BF103" i="9" s="1"/>
  <c r="BF104" i="9" s="1"/>
  <c r="BF105" i="9" s="1"/>
  <c r="BF106" i="9" s="1"/>
  <c r="BF107" i="9" s="1"/>
  <c r="BF108" i="9" s="1"/>
  <c r="BF109" i="9" s="1"/>
  <c r="BF110" i="9" s="1"/>
  <c r="BF111" i="9" s="1"/>
  <c r="BF112" i="9" s="1"/>
  <c r="BF113" i="9" s="1"/>
  <c r="BF114" i="9" s="1"/>
  <c r="BF115" i="9" s="1"/>
  <c r="BE102" i="9"/>
  <c r="BE103" i="9" s="1"/>
  <c r="BE104" i="9" s="1"/>
  <c r="BE105" i="9" s="1"/>
  <c r="BE106" i="9" s="1"/>
  <c r="BE107" i="9" s="1"/>
  <c r="BE108" i="9" s="1"/>
  <c r="BE109" i="9" s="1"/>
  <c r="BE110" i="9" s="1"/>
  <c r="BE111" i="9" s="1"/>
  <c r="BE112" i="9" s="1"/>
  <c r="BE113" i="9" s="1"/>
  <c r="BE114" i="9" s="1"/>
  <c r="BE115" i="9" s="1"/>
  <c r="BD102" i="9"/>
  <c r="BD103" i="9" s="1"/>
  <c r="BD104" i="9" s="1"/>
  <c r="BD105" i="9" s="1"/>
  <c r="BD106" i="9" s="1"/>
  <c r="BD107" i="9" s="1"/>
  <c r="BD108" i="9" s="1"/>
  <c r="BD109" i="9" s="1"/>
  <c r="BD110" i="9" s="1"/>
  <c r="BD111" i="9" s="1"/>
  <c r="BD112" i="9" s="1"/>
  <c r="BD113" i="9" s="1"/>
  <c r="BD114" i="9" s="1"/>
  <c r="BD115" i="9" s="1"/>
  <c r="BC102" i="9"/>
  <c r="BC103" i="9" s="1"/>
  <c r="BC104" i="9" s="1"/>
  <c r="BC105" i="9" s="1"/>
  <c r="BC106" i="9" s="1"/>
  <c r="BC107" i="9" s="1"/>
  <c r="BC108" i="9" s="1"/>
  <c r="BC109" i="9" s="1"/>
  <c r="BC110" i="9" s="1"/>
  <c r="BC111" i="9" s="1"/>
  <c r="BC112" i="9" s="1"/>
  <c r="BC113" i="9" s="1"/>
  <c r="BC114" i="9" s="1"/>
  <c r="BC115" i="9" s="1"/>
  <c r="BK117" i="9"/>
  <c r="BK118" i="9" s="1"/>
  <c r="BK119" i="9" s="1"/>
  <c r="BK120" i="9" s="1"/>
  <c r="BK121" i="9" s="1"/>
  <c r="BK122" i="9" s="1"/>
  <c r="BK123" i="9" s="1"/>
  <c r="BK124" i="9" s="1"/>
  <c r="BK125" i="9" s="1"/>
  <c r="BK126" i="9" s="1"/>
  <c r="BK127" i="9" s="1"/>
  <c r="BK128" i="9" s="1"/>
  <c r="BK129" i="9" s="1"/>
  <c r="BK130" i="9" s="1"/>
  <c r="BJ117" i="9"/>
  <c r="BJ118" i="9" s="1"/>
  <c r="BJ119" i="9" s="1"/>
  <c r="BJ120" i="9" s="1"/>
  <c r="BJ121" i="9" s="1"/>
  <c r="BJ122" i="9" s="1"/>
  <c r="BJ123" i="9" s="1"/>
  <c r="BJ124" i="9" s="1"/>
  <c r="BJ125" i="9" s="1"/>
  <c r="BJ126" i="9" s="1"/>
  <c r="BJ127" i="9" s="1"/>
  <c r="BJ128" i="9" s="1"/>
  <c r="BJ129" i="9" s="1"/>
  <c r="BJ130" i="9" s="1"/>
  <c r="BI117" i="9"/>
  <c r="BI118" i="9" s="1"/>
  <c r="BI119" i="9" s="1"/>
  <c r="BI120" i="9" s="1"/>
  <c r="BI121" i="9" s="1"/>
  <c r="BI122" i="9" s="1"/>
  <c r="BI123" i="9" s="1"/>
  <c r="BI124" i="9" s="1"/>
  <c r="BI125" i="9" s="1"/>
  <c r="BI126" i="9" s="1"/>
  <c r="BI127" i="9" s="1"/>
  <c r="BI128" i="9" s="1"/>
  <c r="BI129" i="9" s="1"/>
  <c r="BI130" i="9" s="1"/>
  <c r="BH117" i="9"/>
  <c r="BH118" i="9" s="1"/>
  <c r="BH119" i="9" s="1"/>
  <c r="BH120" i="9" s="1"/>
  <c r="BH121" i="9" s="1"/>
  <c r="BH122" i="9" s="1"/>
  <c r="BH123" i="9" s="1"/>
  <c r="BH124" i="9" s="1"/>
  <c r="BH125" i="9" s="1"/>
  <c r="BH126" i="9" s="1"/>
  <c r="BH127" i="9" s="1"/>
  <c r="BH128" i="9" s="1"/>
  <c r="BH129" i="9" s="1"/>
  <c r="BH130" i="9" s="1"/>
  <c r="BG117" i="9"/>
  <c r="BG118" i="9" s="1"/>
  <c r="BG119" i="9" s="1"/>
  <c r="BG120" i="9" s="1"/>
  <c r="BG121" i="9" s="1"/>
  <c r="BG122" i="9" s="1"/>
  <c r="BG123" i="9" s="1"/>
  <c r="BG124" i="9" s="1"/>
  <c r="BG125" i="9" s="1"/>
  <c r="BG126" i="9" s="1"/>
  <c r="BG127" i="9" s="1"/>
  <c r="BG128" i="9" s="1"/>
  <c r="BG129" i="9" s="1"/>
  <c r="BG130" i="9" s="1"/>
  <c r="BF117" i="9"/>
  <c r="BF118" i="9" s="1"/>
  <c r="BF119" i="9" s="1"/>
  <c r="BF120" i="9" s="1"/>
  <c r="BF121" i="9" s="1"/>
  <c r="BF122" i="9" s="1"/>
  <c r="BF123" i="9" s="1"/>
  <c r="BF124" i="9" s="1"/>
  <c r="BF125" i="9" s="1"/>
  <c r="BF126" i="9" s="1"/>
  <c r="BF127" i="9" s="1"/>
  <c r="BF128" i="9" s="1"/>
  <c r="BF129" i="9" s="1"/>
  <c r="BF130" i="9" s="1"/>
  <c r="BE117" i="9"/>
  <c r="BE118" i="9" s="1"/>
  <c r="BE119" i="9" s="1"/>
  <c r="BE120" i="9" s="1"/>
  <c r="BE121" i="9" s="1"/>
  <c r="BE122" i="9" s="1"/>
  <c r="BE123" i="9" s="1"/>
  <c r="BE124" i="9" s="1"/>
  <c r="BE125" i="9" s="1"/>
  <c r="BE126" i="9" s="1"/>
  <c r="BE127" i="9" s="1"/>
  <c r="BE128" i="9" s="1"/>
  <c r="BE129" i="9" s="1"/>
  <c r="BE130" i="9" s="1"/>
  <c r="BD117" i="9"/>
  <c r="BD118" i="9" s="1"/>
  <c r="BD119" i="9" s="1"/>
  <c r="BD120" i="9" s="1"/>
  <c r="BD121" i="9" s="1"/>
  <c r="BD122" i="9" s="1"/>
  <c r="BD123" i="9" s="1"/>
  <c r="BD124" i="9" s="1"/>
  <c r="BD125" i="9" s="1"/>
  <c r="BD126" i="9" s="1"/>
  <c r="BD127" i="9" s="1"/>
  <c r="BD128" i="9" s="1"/>
  <c r="BD129" i="9" s="1"/>
  <c r="BD130" i="9" s="1"/>
  <c r="BC117" i="9"/>
  <c r="BC118" i="9" s="1"/>
  <c r="BC119" i="9" s="1"/>
  <c r="BC120" i="9" s="1"/>
  <c r="BC121" i="9" s="1"/>
  <c r="BC122" i="9" s="1"/>
  <c r="BC123" i="9" s="1"/>
  <c r="BC124" i="9" s="1"/>
  <c r="BC125" i="9" s="1"/>
  <c r="BC126" i="9" s="1"/>
  <c r="BC127" i="9" s="1"/>
  <c r="BC128" i="9" s="1"/>
  <c r="BC129" i="9" s="1"/>
  <c r="BC130" i="9" s="1"/>
  <c r="BK52" i="9"/>
  <c r="BK53" i="9" s="1"/>
  <c r="BK54" i="9" s="1"/>
  <c r="BK55" i="9" s="1"/>
  <c r="BK56" i="9" s="1"/>
  <c r="BK57" i="9" s="1"/>
  <c r="BK58" i="9" s="1"/>
  <c r="BK59" i="9" s="1"/>
  <c r="BK60" i="9" s="1"/>
  <c r="BJ52" i="9"/>
  <c r="BJ53" i="9" s="1"/>
  <c r="BJ54" i="9" s="1"/>
  <c r="BJ55" i="9" s="1"/>
  <c r="BJ56" i="9" s="1"/>
  <c r="BJ57" i="9" s="1"/>
  <c r="BJ58" i="9" s="1"/>
  <c r="BJ59" i="9" s="1"/>
  <c r="BJ60" i="9" s="1"/>
  <c r="BI52" i="9"/>
  <c r="BI53" i="9" s="1"/>
  <c r="BI54" i="9" s="1"/>
  <c r="BI55" i="9" s="1"/>
  <c r="BI56" i="9" s="1"/>
  <c r="BI57" i="9" s="1"/>
  <c r="BI58" i="9" s="1"/>
  <c r="BI59" i="9" s="1"/>
  <c r="BI60" i="9" s="1"/>
  <c r="BH52" i="9"/>
  <c r="BH53" i="9" s="1"/>
  <c r="BH54" i="9" s="1"/>
  <c r="BH55" i="9" s="1"/>
  <c r="BH56" i="9" s="1"/>
  <c r="BH57" i="9" s="1"/>
  <c r="BH58" i="9" s="1"/>
  <c r="BH59" i="9" s="1"/>
  <c r="BH60" i="9" s="1"/>
  <c r="BG52" i="9"/>
  <c r="BG53" i="9" s="1"/>
  <c r="BG54" i="9" s="1"/>
  <c r="BG55" i="9" s="1"/>
  <c r="BG56" i="9" s="1"/>
  <c r="BG57" i="9" s="1"/>
  <c r="BG58" i="9" s="1"/>
  <c r="BG59" i="9" s="1"/>
  <c r="BG60" i="9" s="1"/>
  <c r="BF52" i="9"/>
  <c r="BF53" i="9" s="1"/>
  <c r="BF54" i="9" s="1"/>
  <c r="BF55" i="9" s="1"/>
  <c r="BF56" i="9" s="1"/>
  <c r="BF57" i="9" s="1"/>
  <c r="BF58" i="9" s="1"/>
  <c r="BF59" i="9" s="1"/>
  <c r="BF60" i="9" s="1"/>
  <c r="BE52" i="9"/>
  <c r="BE53" i="9" s="1"/>
  <c r="BE54" i="9" s="1"/>
  <c r="BE55" i="9" s="1"/>
  <c r="BE56" i="9" s="1"/>
  <c r="BE57" i="9" s="1"/>
  <c r="BE58" i="9" s="1"/>
  <c r="BE59" i="9" s="1"/>
  <c r="BE60" i="9" s="1"/>
  <c r="BD52" i="9"/>
  <c r="BD53" i="9" s="1"/>
  <c r="BD54" i="9" s="1"/>
  <c r="BD55" i="9" s="1"/>
  <c r="BD56" i="9" s="1"/>
  <c r="BD57" i="9" s="1"/>
  <c r="BD58" i="9" s="1"/>
  <c r="BD59" i="9" s="1"/>
  <c r="BD60" i="9" s="1"/>
  <c r="AI56" i="9"/>
  <c r="BC52" i="9"/>
  <c r="BC53" i="9" s="1"/>
  <c r="BC54" i="9" s="1"/>
  <c r="BC55" i="9" s="1"/>
  <c r="BK42" i="9"/>
  <c r="BK43" i="9" s="1"/>
  <c r="BK44" i="9" s="1"/>
  <c r="BK45" i="9" s="1"/>
  <c r="BK46" i="9" s="1"/>
  <c r="BK47" i="9" s="1"/>
  <c r="BK48" i="9" s="1"/>
  <c r="BK49" i="9" s="1"/>
  <c r="BK50" i="9" s="1"/>
  <c r="BJ42" i="9"/>
  <c r="BJ43" i="9" s="1"/>
  <c r="BJ44" i="9" s="1"/>
  <c r="BJ45" i="9" s="1"/>
  <c r="BJ46" i="9" s="1"/>
  <c r="BJ47" i="9" s="1"/>
  <c r="BJ48" i="9" s="1"/>
  <c r="BJ49" i="9" s="1"/>
  <c r="BJ50" i="9" s="1"/>
  <c r="BI42" i="9"/>
  <c r="BI43" i="9" s="1"/>
  <c r="BI44" i="9" s="1"/>
  <c r="BI45" i="9" s="1"/>
  <c r="BI46" i="9" s="1"/>
  <c r="BI47" i="9" s="1"/>
  <c r="BI48" i="9" s="1"/>
  <c r="BI49" i="9" s="1"/>
  <c r="BI50" i="9" s="1"/>
  <c r="BH42" i="9"/>
  <c r="BH43" i="9" s="1"/>
  <c r="BH44" i="9" s="1"/>
  <c r="BH45" i="9" s="1"/>
  <c r="BH46" i="9" s="1"/>
  <c r="BH47" i="9" s="1"/>
  <c r="BH48" i="9" s="1"/>
  <c r="BH49" i="9" s="1"/>
  <c r="BH50" i="9" s="1"/>
  <c r="BG42" i="9"/>
  <c r="BG43" i="9" s="1"/>
  <c r="BG44" i="9" s="1"/>
  <c r="BG45" i="9" s="1"/>
  <c r="BG46" i="9" s="1"/>
  <c r="BG47" i="9" s="1"/>
  <c r="BG48" i="9" s="1"/>
  <c r="BG49" i="9" s="1"/>
  <c r="BG50" i="9" s="1"/>
  <c r="BF42" i="9"/>
  <c r="BF43" i="9" s="1"/>
  <c r="BF44" i="9" s="1"/>
  <c r="BF45" i="9" s="1"/>
  <c r="BF46" i="9" s="1"/>
  <c r="BF47" i="9" s="1"/>
  <c r="BF48" i="9" s="1"/>
  <c r="BF49" i="9" s="1"/>
  <c r="BF50" i="9" s="1"/>
  <c r="BE42" i="9"/>
  <c r="BE43" i="9" s="1"/>
  <c r="BE44" i="9" s="1"/>
  <c r="BE45" i="9" s="1"/>
  <c r="BE46" i="9" s="1"/>
  <c r="BE47" i="9" s="1"/>
  <c r="BE48" i="9" s="1"/>
  <c r="BE49" i="9" s="1"/>
  <c r="BE50" i="9" s="1"/>
  <c r="BD42" i="9"/>
  <c r="BD43" i="9" s="1"/>
  <c r="BD44" i="9" s="1"/>
  <c r="BD45" i="9" s="1"/>
  <c r="BD46" i="9" s="1"/>
  <c r="BD47" i="9" s="1"/>
  <c r="BD48" i="9" s="1"/>
  <c r="BD49" i="9" s="1"/>
  <c r="BD50" i="9" s="1"/>
  <c r="BC42" i="9"/>
  <c r="BC43" i="9" s="1"/>
  <c r="BC44" i="9" s="1"/>
  <c r="BC45" i="9" s="1"/>
  <c r="BC46" i="9" s="1"/>
  <c r="BC47" i="9" s="1"/>
  <c r="BC48" i="9" s="1"/>
  <c r="BC49" i="9" s="1"/>
  <c r="BC50" i="9" s="1"/>
  <c r="BK27" i="9"/>
  <c r="BK28" i="9" s="1"/>
  <c r="BK29" i="9" s="1"/>
  <c r="BK30" i="9" s="1"/>
  <c r="BK31" i="9" s="1"/>
  <c r="BK32" i="9" s="1"/>
  <c r="BK33" i="9" s="1"/>
  <c r="BK34" i="9" s="1"/>
  <c r="BK35" i="9" s="1"/>
  <c r="BK36" i="9" s="1"/>
  <c r="BK37" i="9" s="1"/>
  <c r="BK38" i="9" s="1"/>
  <c r="BK39" i="9" s="1"/>
  <c r="BK40" i="9" s="1"/>
  <c r="BJ27" i="9"/>
  <c r="BJ28" i="9" s="1"/>
  <c r="BJ29" i="9" s="1"/>
  <c r="BJ30" i="9" s="1"/>
  <c r="BJ31" i="9" s="1"/>
  <c r="BJ32" i="9" s="1"/>
  <c r="BJ33" i="9" s="1"/>
  <c r="BJ34" i="9" s="1"/>
  <c r="BJ35" i="9" s="1"/>
  <c r="BJ36" i="9" s="1"/>
  <c r="BJ37" i="9" s="1"/>
  <c r="BJ38" i="9" s="1"/>
  <c r="BJ39" i="9" s="1"/>
  <c r="BJ40" i="9" s="1"/>
  <c r="BI27" i="9"/>
  <c r="BI28" i="9" s="1"/>
  <c r="BI29" i="9" s="1"/>
  <c r="BI30" i="9" s="1"/>
  <c r="BI31" i="9" s="1"/>
  <c r="BI32" i="9" s="1"/>
  <c r="BI33" i="9" s="1"/>
  <c r="BI34" i="9" s="1"/>
  <c r="BI35" i="9" s="1"/>
  <c r="BI36" i="9" s="1"/>
  <c r="BI37" i="9" s="1"/>
  <c r="BI38" i="9" s="1"/>
  <c r="BI39" i="9" s="1"/>
  <c r="BI40" i="9" s="1"/>
  <c r="BH27" i="9"/>
  <c r="BH28" i="9" s="1"/>
  <c r="BH29" i="9" s="1"/>
  <c r="BH30" i="9" s="1"/>
  <c r="BH31" i="9" s="1"/>
  <c r="BH32" i="9" s="1"/>
  <c r="BH33" i="9" s="1"/>
  <c r="BH34" i="9" s="1"/>
  <c r="BH35" i="9" s="1"/>
  <c r="BH36" i="9" s="1"/>
  <c r="BH37" i="9" s="1"/>
  <c r="BH38" i="9" s="1"/>
  <c r="BH39" i="9" s="1"/>
  <c r="BH40" i="9" s="1"/>
  <c r="BG27" i="9"/>
  <c r="BG28" i="9" s="1"/>
  <c r="BG29" i="9" s="1"/>
  <c r="BG30" i="9" s="1"/>
  <c r="BG31" i="9" s="1"/>
  <c r="BG32" i="9" s="1"/>
  <c r="BG33" i="9" s="1"/>
  <c r="BG34" i="9" s="1"/>
  <c r="BG35" i="9" s="1"/>
  <c r="BG36" i="9" s="1"/>
  <c r="BG37" i="9" s="1"/>
  <c r="BG38" i="9" s="1"/>
  <c r="BG39" i="9" s="1"/>
  <c r="BG40" i="9" s="1"/>
  <c r="BF27" i="9"/>
  <c r="BF28" i="9" s="1"/>
  <c r="BF29" i="9" s="1"/>
  <c r="BF30" i="9" s="1"/>
  <c r="BF31" i="9" s="1"/>
  <c r="BF32" i="9" s="1"/>
  <c r="BF33" i="9" s="1"/>
  <c r="BF34" i="9" s="1"/>
  <c r="BF35" i="9" s="1"/>
  <c r="BF36" i="9" s="1"/>
  <c r="BF37" i="9" s="1"/>
  <c r="BF38" i="9" s="1"/>
  <c r="BF39" i="9" s="1"/>
  <c r="BF40" i="9" s="1"/>
  <c r="BE27" i="9"/>
  <c r="BE28" i="9" s="1"/>
  <c r="BE29" i="9" s="1"/>
  <c r="BE30" i="9" s="1"/>
  <c r="BE31" i="9" s="1"/>
  <c r="BE32" i="9" s="1"/>
  <c r="BE33" i="9" s="1"/>
  <c r="BE34" i="9" s="1"/>
  <c r="BE35" i="9" s="1"/>
  <c r="BE36" i="9" s="1"/>
  <c r="BE37" i="9" s="1"/>
  <c r="BE38" i="9" s="1"/>
  <c r="BE39" i="9" s="1"/>
  <c r="BE40" i="9" s="1"/>
  <c r="BD27" i="9"/>
  <c r="BD28" i="9" s="1"/>
  <c r="BD29" i="9" s="1"/>
  <c r="BD30" i="9" s="1"/>
  <c r="BD31" i="9" s="1"/>
  <c r="BD32" i="9" s="1"/>
  <c r="BD33" i="9" s="1"/>
  <c r="BD34" i="9" s="1"/>
  <c r="BD35" i="9" s="1"/>
  <c r="BD36" i="9" s="1"/>
  <c r="BD37" i="9" s="1"/>
  <c r="BD38" i="9" s="1"/>
  <c r="BD39" i="9" s="1"/>
  <c r="BD40" i="9" s="1"/>
  <c r="BC27" i="9"/>
  <c r="BC28" i="9" s="1"/>
  <c r="BC29" i="9" s="1"/>
  <c r="BC30" i="9" s="1"/>
  <c r="BC31" i="9" s="1"/>
  <c r="BC32" i="9" s="1"/>
  <c r="BC33" i="9" s="1"/>
  <c r="BC34" i="9" s="1"/>
  <c r="BC35" i="9" s="1"/>
  <c r="BC36" i="9" s="1"/>
  <c r="BC37" i="9" s="1"/>
  <c r="BC38" i="9" s="1"/>
  <c r="BC39" i="9" s="1"/>
  <c r="BC40" i="9" s="1"/>
  <c r="BK12" i="9"/>
  <c r="BK13" i="9" s="1"/>
  <c r="BK14" i="9" s="1"/>
  <c r="BK15" i="9" s="1"/>
  <c r="BK16" i="9" s="1"/>
  <c r="BK17" i="9" s="1"/>
  <c r="BK18" i="9" s="1"/>
  <c r="BK19" i="9" s="1"/>
  <c r="BK20" i="9" s="1"/>
  <c r="BK21" i="9" s="1"/>
  <c r="BK22" i="9" s="1"/>
  <c r="BK23" i="9" s="1"/>
  <c r="BK24" i="9" s="1"/>
  <c r="BK25" i="9" s="1"/>
  <c r="BJ12" i="9"/>
  <c r="BJ13" i="9" s="1"/>
  <c r="BJ14" i="9" s="1"/>
  <c r="BJ15" i="9" s="1"/>
  <c r="BJ16" i="9" s="1"/>
  <c r="BJ17" i="9" s="1"/>
  <c r="BJ18" i="9" s="1"/>
  <c r="BJ19" i="9" s="1"/>
  <c r="BJ20" i="9" s="1"/>
  <c r="BJ21" i="9" s="1"/>
  <c r="BJ22" i="9" s="1"/>
  <c r="BJ23" i="9" s="1"/>
  <c r="BJ24" i="9" s="1"/>
  <c r="BJ25" i="9" s="1"/>
  <c r="BI12" i="9"/>
  <c r="BI13" i="9" s="1"/>
  <c r="BI14" i="9" s="1"/>
  <c r="BI15" i="9" s="1"/>
  <c r="BI16" i="9" s="1"/>
  <c r="BI17" i="9" s="1"/>
  <c r="BI18" i="9" s="1"/>
  <c r="BI19" i="9" s="1"/>
  <c r="BI20" i="9" s="1"/>
  <c r="BI21" i="9" s="1"/>
  <c r="BI22" i="9" s="1"/>
  <c r="BI23" i="9" s="1"/>
  <c r="BI24" i="9" s="1"/>
  <c r="BI25" i="9" s="1"/>
  <c r="BH12" i="9"/>
  <c r="BH13" i="9" s="1"/>
  <c r="BH14" i="9" s="1"/>
  <c r="BH15" i="9" s="1"/>
  <c r="BH16" i="9" s="1"/>
  <c r="BH17" i="9" s="1"/>
  <c r="BH18" i="9" s="1"/>
  <c r="BH19" i="9" s="1"/>
  <c r="BH20" i="9" s="1"/>
  <c r="BH21" i="9" s="1"/>
  <c r="BH22" i="9" s="1"/>
  <c r="BH23" i="9" s="1"/>
  <c r="BH24" i="9" s="1"/>
  <c r="BH25" i="9" s="1"/>
  <c r="BG12" i="9"/>
  <c r="BG13" i="9" s="1"/>
  <c r="BG14" i="9" s="1"/>
  <c r="BG15" i="9" s="1"/>
  <c r="BG16" i="9" s="1"/>
  <c r="BG17" i="9" s="1"/>
  <c r="BG18" i="9" s="1"/>
  <c r="BG19" i="9" s="1"/>
  <c r="BG20" i="9" s="1"/>
  <c r="BG21" i="9" s="1"/>
  <c r="BG22" i="9" s="1"/>
  <c r="BG23" i="9" s="1"/>
  <c r="BG24" i="9" s="1"/>
  <c r="BG25" i="9" s="1"/>
  <c r="BF12" i="9"/>
  <c r="BF13" i="9" s="1"/>
  <c r="BF14" i="9" s="1"/>
  <c r="BF15" i="9" s="1"/>
  <c r="BF16" i="9" s="1"/>
  <c r="BF17" i="9" s="1"/>
  <c r="BF18" i="9" s="1"/>
  <c r="BF19" i="9" s="1"/>
  <c r="BF20" i="9" s="1"/>
  <c r="BF21" i="9" s="1"/>
  <c r="BF22" i="9" s="1"/>
  <c r="BF23" i="9" s="1"/>
  <c r="BF24" i="9" s="1"/>
  <c r="BF25" i="9" s="1"/>
  <c r="BE12" i="9"/>
  <c r="BE13" i="9" s="1"/>
  <c r="BE14" i="9" s="1"/>
  <c r="BE15" i="9" s="1"/>
  <c r="BE16" i="9" s="1"/>
  <c r="BE17" i="9" s="1"/>
  <c r="BE18" i="9" s="1"/>
  <c r="BE19" i="9" s="1"/>
  <c r="BE20" i="9" s="1"/>
  <c r="BE21" i="9" s="1"/>
  <c r="BE22" i="9" s="1"/>
  <c r="BE23" i="9" s="1"/>
  <c r="BE24" i="9" s="1"/>
  <c r="BE25" i="9" s="1"/>
  <c r="BD12" i="9"/>
  <c r="BD13" i="9" s="1"/>
  <c r="BD14" i="9" s="1"/>
  <c r="BD15" i="9" s="1"/>
  <c r="BD16" i="9" s="1"/>
  <c r="BD17" i="9" s="1"/>
  <c r="BD18" i="9" s="1"/>
  <c r="BD19" i="9" s="1"/>
  <c r="BD20" i="9" s="1"/>
  <c r="BD21" i="9" s="1"/>
  <c r="BD22" i="9" s="1"/>
  <c r="BD23" i="9" s="1"/>
  <c r="BD24" i="9" s="1"/>
  <c r="BD25" i="9" s="1"/>
  <c r="BC12" i="9"/>
  <c r="BC13" i="9" s="1"/>
  <c r="BC14" i="9" s="1"/>
  <c r="BC15" i="9" s="1"/>
  <c r="BC16" i="9" s="1"/>
  <c r="BC17" i="9" s="1"/>
  <c r="BC18" i="9" s="1"/>
  <c r="BC19" i="9" s="1"/>
  <c r="BC20" i="9" s="1"/>
  <c r="BC21" i="9" s="1"/>
  <c r="BC22" i="9" s="1"/>
  <c r="BC23" i="9" s="1"/>
  <c r="BC24" i="9" s="1"/>
  <c r="BC25" i="9" s="1"/>
  <c r="BA55" i="8"/>
  <c r="BA56" i="8" s="1"/>
  <c r="BA57" i="8" s="1"/>
  <c r="BA58" i="8" s="1"/>
  <c r="BA59" i="8" s="1"/>
  <c r="BA60" i="8" s="1"/>
  <c r="BA61" i="8" s="1"/>
  <c r="BA62" i="8" s="1"/>
  <c r="AZ165" i="8"/>
  <c r="AZ166" i="8" s="1"/>
  <c r="AZ167" i="8" s="1"/>
  <c r="AZ168" i="8" s="1"/>
  <c r="AZ169" i="8" s="1"/>
  <c r="AZ170" i="8" s="1"/>
  <c r="AZ171" i="8" s="1"/>
  <c r="AZ172" i="8" s="1"/>
  <c r="AZ173" i="8" s="1"/>
  <c r="AY165" i="8"/>
  <c r="AY166" i="8" s="1"/>
  <c r="AY167" i="8" s="1"/>
  <c r="AY168" i="8" s="1"/>
  <c r="AY169" i="8" s="1"/>
  <c r="AY170" i="8" s="1"/>
  <c r="AY171" i="8" s="1"/>
  <c r="AY172" i="8" s="1"/>
  <c r="AY173" i="8" s="1"/>
  <c r="AX165" i="8"/>
  <c r="AX166" i="8" s="1"/>
  <c r="AX167" i="8" s="1"/>
  <c r="AX168" i="8" s="1"/>
  <c r="AX169" i="8" s="1"/>
  <c r="AX170" i="8" s="1"/>
  <c r="AX171" i="8" s="1"/>
  <c r="AX172" i="8" s="1"/>
  <c r="AX173" i="8" s="1"/>
  <c r="AW165" i="8"/>
  <c r="AW166" i="8" s="1"/>
  <c r="AW167" i="8" s="1"/>
  <c r="AW168" i="8" s="1"/>
  <c r="AW169" i="8" s="1"/>
  <c r="AW170" i="8" s="1"/>
  <c r="AW171" i="8" s="1"/>
  <c r="AW172" i="8" s="1"/>
  <c r="AW173" i="8" s="1"/>
  <c r="BA175" i="8"/>
  <c r="BA176" i="8" s="1"/>
  <c r="BA177" i="8" s="1"/>
  <c r="BA178" i="8" s="1"/>
  <c r="BA179" i="8" s="1"/>
  <c r="BA180" i="8" s="1"/>
  <c r="BA181" i="8" s="1"/>
  <c r="BA182" i="8" s="1"/>
  <c r="AZ175" i="8"/>
  <c r="AZ176" i="8" s="1"/>
  <c r="AZ177" i="8" s="1"/>
  <c r="AZ178" i="8" s="1"/>
  <c r="AZ179" i="8" s="1"/>
  <c r="AZ180" i="8" s="1"/>
  <c r="AZ181" i="8" s="1"/>
  <c r="AZ182" i="8" s="1"/>
  <c r="AY175" i="8"/>
  <c r="AY176" i="8" s="1"/>
  <c r="AY177" i="8" s="1"/>
  <c r="AY178" i="8" s="1"/>
  <c r="AY179" i="8" s="1"/>
  <c r="AY180" i="8" s="1"/>
  <c r="AY181" i="8" s="1"/>
  <c r="AY182" i="8" s="1"/>
  <c r="AX175" i="8"/>
  <c r="AX176" i="8" s="1"/>
  <c r="AX177" i="8" s="1"/>
  <c r="AX178" i="8" s="1"/>
  <c r="AX179" i="8" s="1"/>
  <c r="AX180" i="8" s="1"/>
  <c r="AX181" i="8" s="1"/>
  <c r="AX182" i="8" s="1"/>
  <c r="AZ150" i="8"/>
  <c r="AZ151" i="8" s="1"/>
  <c r="AZ152" i="8" s="1"/>
  <c r="AZ153" i="8" s="1"/>
  <c r="AZ154" i="8" s="1"/>
  <c r="AZ155" i="8" s="1"/>
  <c r="AZ156" i="8" s="1"/>
  <c r="AZ157" i="8" s="1"/>
  <c r="AZ158" i="8" s="1"/>
  <c r="AZ159" i="8" s="1"/>
  <c r="AZ160" i="8" s="1"/>
  <c r="AZ161" i="8" s="1"/>
  <c r="AZ162" i="8" s="1"/>
  <c r="AZ163" i="8" s="1"/>
  <c r="AY150" i="8"/>
  <c r="AY151" i="8" s="1"/>
  <c r="AY152" i="8" s="1"/>
  <c r="AY153" i="8" s="1"/>
  <c r="AY154" i="8" s="1"/>
  <c r="AY155" i="8" s="1"/>
  <c r="AY156" i="8" s="1"/>
  <c r="AY157" i="8" s="1"/>
  <c r="AY158" i="8" s="1"/>
  <c r="AY159" i="8" s="1"/>
  <c r="AY160" i="8" s="1"/>
  <c r="AY161" i="8" s="1"/>
  <c r="AY162" i="8" s="1"/>
  <c r="AY163" i="8" s="1"/>
  <c r="AX150" i="8"/>
  <c r="AX151" i="8" s="1"/>
  <c r="AX152" i="8" s="1"/>
  <c r="AX153" i="8" s="1"/>
  <c r="AX154" i="8" s="1"/>
  <c r="AX155" i="8" s="1"/>
  <c r="AX156" i="8" s="1"/>
  <c r="AX157" i="8" s="1"/>
  <c r="AX158" i="8" s="1"/>
  <c r="AX159" i="8" s="1"/>
  <c r="AX160" i="8" s="1"/>
  <c r="AX161" i="8" s="1"/>
  <c r="AX162" i="8" s="1"/>
  <c r="AX163" i="8" s="1"/>
  <c r="AW150" i="8"/>
  <c r="AW151" i="8" s="1"/>
  <c r="AW152" i="8" s="1"/>
  <c r="AW153" i="8" s="1"/>
  <c r="AW154" i="8" s="1"/>
  <c r="AW155" i="8" s="1"/>
  <c r="AW156" i="8" s="1"/>
  <c r="AW157" i="8" s="1"/>
  <c r="AW158" i="8" s="1"/>
  <c r="AW159" i="8" s="1"/>
  <c r="AW160" i="8" s="1"/>
  <c r="AW161" i="8" s="1"/>
  <c r="AW162" i="8" s="1"/>
  <c r="AW163" i="8" s="1"/>
  <c r="BA135" i="8"/>
  <c r="BA136" i="8" s="1"/>
  <c r="BA137" i="8" s="1"/>
  <c r="BA138" i="8" s="1"/>
  <c r="BA139" i="8" s="1"/>
  <c r="BA140" i="8" s="1"/>
  <c r="BA141" i="8" s="1"/>
  <c r="BA142" i="8" s="1"/>
  <c r="BA143" i="8" s="1"/>
  <c r="BA144" i="8" s="1"/>
  <c r="BA145" i="8" s="1"/>
  <c r="BA146" i="8" s="1"/>
  <c r="BA147" i="8" s="1"/>
  <c r="BA148" i="8" s="1"/>
  <c r="AZ135" i="8"/>
  <c r="AZ136" i="8" s="1"/>
  <c r="AZ137" i="8" s="1"/>
  <c r="AZ138" i="8" s="1"/>
  <c r="AZ139" i="8" s="1"/>
  <c r="AZ140" i="8" s="1"/>
  <c r="AZ141" i="8" s="1"/>
  <c r="AZ142" i="8" s="1"/>
  <c r="AZ143" i="8" s="1"/>
  <c r="AZ144" i="8" s="1"/>
  <c r="AZ145" i="8" s="1"/>
  <c r="AZ146" i="8" s="1"/>
  <c r="AZ147" i="8" s="1"/>
  <c r="AZ148" i="8" s="1"/>
  <c r="AY135" i="8"/>
  <c r="AY136" i="8" s="1"/>
  <c r="AY137" i="8" s="1"/>
  <c r="AY138" i="8" s="1"/>
  <c r="AY139" i="8" s="1"/>
  <c r="AY140" i="8" s="1"/>
  <c r="AY141" i="8" s="1"/>
  <c r="AY142" i="8" s="1"/>
  <c r="AY143" i="8" s="1"/>
  <c r="AY144" i="8" s="1"/>
  <c r="AY145" i="8" s="1"/>
  <c r="AY146" i="8" s="1"/>
  <c r="AY147" i="8" s="1"/>
  <c r="AY148" i="8" s="1"/>
  <c r="AX135" i="8"/>
  <c r="AX136" i="8" s="1"/>
  <c r="AX137" i="8" s="1"/>
  <c r="AX138" i="8" s="1"/>
  <c r="AX139" i="8" s="1"/>
  <c r="AX140" i="8" s="1"/>
  <c r="AX141" i="8" s="1"/>
  <c r="AX142" i="8" s="1"/>
  <c r="AX143" i="8" s="1"/>
  <c r="AX144" i="8" s="1"/>
  <c r="AX145" i="8" s="1"/>
  <c r="AX146" i="8" s="1"/>
  <c r="AX147" i="8" s="1"/>
  <c r="AX148" i="8" s="1"/>
  <c r="AW135" i="8"/>
  <c r="AW136" i="8" s="1"/>
  <c r="AW137" i="8" s="1"/>
  <c r="AW138" i="8" s="1"/>
  <c r="AW139" i="8" s="1"/>
  <c r="AW140" i="8" s="1"/>
  <c r="AW141" i="8" s="1"/>
  <c r="AW142" i="8" s="1"/>
  <c r="AW143" i="8" s="1"/>
  <c r="AW144" i="8" s="1"/>
  <c r="AW145" i="8" s="1"/>
  <c r="AW146" i="8" s="1"/>
  <c r="AW147" i="8" s="1"/>
  <c r="AW148" i="8" s="1"/>
  <c r="BA104" i="8"/>
  <c r="BA105" i="8" s="1"/>
  <c r="BA106" i="8" s="1"/>
  <c r="BA107" i="8" s="1"/>
  <c r="BA108" i="8" s="1"/>
  <c r="BA109" i="8" s="1"/>
  <c r="BA110" i="8" s="1"/>
  <c r="BA111" i="8" s="1"/>
  <c r="BA112" i="8" s="1"/>
  <c r="BA113" i="8" s="1"/>
  <c r="BA114" i="8" s="1"/>
  <c r="BA115" i="8" s="1"/>
  <c r="BA116" i="8" s="1"/>
  <c r="BA117" i="8" s="1"/>
  <c r="AZ104" i="8"/>
  <c r="AZ105" i="8" s="1"/>
  <c r="AZ106" i="8" s="1"/>
  <c r="AZ107" i="8" s="1"/>
  <c r="AZ108" i="8" s="1"/>
  <c r="AZ109" i="8" s="1"/>
  <c r="AZ110" i="8" s="1"/>
  <c r="AZ111" i="8" s="1"/>
  <c r="AZ112" i="8" s="1"/>
  <c r="AZ113" i="8" s="1"/>
  <c r="AZ114" i="8" s="1"/>
  <c r="AZ115" i="8" s="1"/>
  <c r="AZ116" i="8" s="1"/>
  <c r="AZ117" i="8" s="1"/>
  <c r="AY104" i="8"/>
  <c r="AY105" i="8" s="1"/>
  <c r="AY106" i="8" s="1"/>
  <c r="AY107" i="8" s="1"/>
  <c r="AY108" i="8" s="1"/>
  <c r="AY109" i="8" s="1"/>
  <c r="AY110" i="8" s="1"/>
  <c r="AY111" i="8" s="1"/>
  <c r="AY112" i="8" s="1"/>
  <c r="AY113" i="8" s="1"/>
  <c r="AY114" i="8" s="1"/>
  <c r="AY115" i="8" s="1"/>
  <c r="AY116" i="8" s="1"/>
  <c r="AY117" i="8" s="1"/>
  <c r="AX104" i="8"/>
  <c r="AX105" i="8" s="1"/>
  <c r="AX106" i="8" s="1"/>
  <c r="AX107" i="8" s="1"/>
  <c r="AX108" i="8" s="1"/>
  <c r="AX109" i="8" s="1"/>
  <c r="AX110" i="8" s="1"/>
  <c r="AX111" i="8" s="1"/>
  <c r="AX112" i="8" s="1"/>
  <c r="AX113" i="8" s="1"/>
  <c r="AX114" i="8" s="1"/>
  <c r="AX115" i="8" s="1"/>
  <c r="AX116" i="8" s="1"/>
  <c r="AX117" i="8" s="1"/>
  <c r="AW104" i="8"/>
  <c r="AW105" i="8" s="1"/>
  <c r="AW106" i="8" s="1"/>
  <c r="AW107" i="8" s="1"/>
  <c r="AW108" i="8" s="1"/>
  <c r="AW109" i="8" s="1"/>
  <c r="AW110" i="8" s="1"/>
  <c r="AW111" i="8" s="1"/>
  <c r="AW112" i="8" s="1"/>
  <c r="AW113" i="8" s="1"/>
  <c r="AW114" i="8" s="1"/>
  <c r="AW115" i="8" s="1"/>
  <c r="AW116" i="8" s="1"/>
  <c r="AW117" i="8" s="1"/>
  <c r="BA119" i="8"/>
  <c r="BA120" i="8" s="1"/>
  <c r="BA121" i="8" s="1"/>
  <c r="BA122" i="8" s="1"/>
  <c r="BA123" i="8" s="1"/>
  <c r="BA124" i="8" s="1"/>
  <c r="BA125" i="8" s="1"/>
  <c r="BA126" i="8" s="1"/>
  <c r="BA127" i="8" s="1"/>
  <c r="BA128" i="8" s="1"/>
  <c r="BA129" i="8" s="1"/>
  <c r="BA130" i="8" s="1"/>
  <c r="BA131" i="8" s="1"/>
  <c r="BA132" i="8" s="1"/>
  <c r="AZ119" i="8"/>
  <c r="AZ120" i="8" s="1"/>
  <c r="AZ121" i="8" s="1"/>
  <c r="AZ122" i="8" s="1"/>
  <c r="AZ123" i="8" s="1"/>
  <c r="AZ124" i="8" s="1"/>
  <c r="AZ125" i="8" s="1"/>
  <c r="AZ126" i="8" s="1"/>
  <c r="AZ127" i="8" s="1"/>
  <c r="AZ128" i="8" s="1"/>
  <c r="AZ129" i="8" s="1"/>
  <c r="AZ130" i="8" s="1"/>
  <c r="AZ131" i="8" s="1"/>
  <c r="AZ132" i="8" s="1"/>
  <c r="AY119" i="8"/>
  <c r="AY120" i="8" s="1"/>
  <c r="AY121" i="8" s="1"/>
  <c r="AY122" i="8" s="1"/>
  <c r="AY123" i="8" s="1"/>
  <c r="AY124" i="8" s="1"/>
  <c r="AY125" i="8" s="1"/>
  <c r="AY126" i="8" s="1"/>
  <c r="AY127" i="8" s="1"/>
  <c r="AY128" i="8" s="1"/>
  <c r="AY129" i="8" s="1"/>
  <c r="AY130" i="8" s="1"/>
  <c r="AY131" i="8" s="1"/>
  <c r="AY132" i="8" s="1"/>
  <c r="AX119" i="8"/>
  <c r="AX120" i="8" s="1"/>
  <c r="AX121" i="8" s="1"/>
  <c r="AX122" i="8" s="1"/>
  <c r="AX123" i="8" s="1"/>
  <c r="AX124" i="8" s="1"/>
  <c r="AX125" i="8" s="1"/>
  <c r="AX126" i="8" s="1"/>
  <c r="AX127" i="8" s="1"/>
  <c r="AX128" i="8" s="1"/>
  <c r="AX129" i="8" s="1"/>
  <c r="AX130" i="8" s="1"/>
  <c r="AX131" i="8" s="1"/>
  <c r="AX132" i="8" s="1"/>
  <c r="AW119" i="8"/>
  <c r="AW120" i="8" s="1"/>
  <c r="AW121" i="8" s="1"/>
  <c r="AW122" i="8" s="1"/>
  <c r="AW123" i="8" s="1"/>
  <c r="AW124" i="8" s="1"/>
  <c r="AW125" i="8" s="1"/>
  <c r="AW126" i="8" s="1"/>
  <c r="AW127" i="8" s="1"/>
  <c r="AW128" i="8" s="1"/>
  <c r="AW129" i="8" s="1"/>
  <c r="AW130" i="8" s="1"/>
  <c r="AW131" i="8" s="1"/>
  <c r="AW132" i="8" s="1"/>
  <c r="BA45" i="8"/>
  <c r="BA46" i="8" s="1"/>
  <c r="BA47" i="8" s="1"/>
  <c r="BA48" i="8" s="1"/>
  <c r="BA49" i="8" s="1"/>
  <c r="BA50" i="8" s="1"/>
  <c r="BA51" i="8" s="1"/>
  <c r="BA52" i="8" s="1"/>
  <c r="BA53" i="8" s="1"/>
  <c r="AZ45" i="8"/>
  <c r="AZ46" i="8" s="1"/>
  <c r="AZ47" i="8" s="1"/>
  <c r="AZ48" i="8" s="1"/>
  <c r="AZ49" i="8" s="1"/>
  <c r="AZ50" i="8" s="1"/>
  <c r="AZ51" i="8" s="1"/>
  <c r="AZ52" i="8" s="1"/>
  <c r="AZ53" i="8" s="1"/>
  <c r="AY45" i="8"/>
  <c r="AY46" i="8" s="1"/>
  <c r="AY47" i="8" s="1"/>
  <c r="AY48" i="8" s="1"/>
  <c r="AY49" i="8" s="1"/>
  <c r="AY50" i="8" s="1"/>
  <c r="AY51" i="8" s="1"/>
  <c r="AY52" i="8" s="1"/>
  <c r="AY53" i="8" s="1"/>
  <c r="AX45" i="8"/>
  <c r="AX46" i="8" s="1"/>
  <c r="AX47" i="8" s="1"/>
  <c r="AX48" i="8" s="1"/>
  <c r="AX49" i="8" s="1"/>
  <c r="AX50" i="8" s="1"/>
  <c r="AX51" i="8" s="1"/>
  <c r="AX52" i="8" s="1"/>
  <c r="AX53" i="8" s="1"/>
  <c r="AW45" i="8"/>
  <c r="AW46" i="8" s="1"/>
  <c r="AW47" i="8" s="1"/>
  <c r="AW48" i="8" s="1"/>
  <c r="AW49" i="8" s="1"/>
  <c r="AW50" i="8" s="1"/>
  <c r="AW51" i="8" s="1"/>
  <c r="AW52" i="8" s="1"/>
  <c r="AW53" i="8" s="1"/>
  <c r="BA30" i="8"/>
  <c r="BA31" i="8" s="1"/>
  <c r="BA32" i="8" s="1"/>
  <c r="BA33" i="8" s="1"/>
  <c r="BA34" i="8" s="1"/>
  <c r="BA35" i="8" s="1"/>
  <c r="BA36" i="8" s="1"/>
  <c r="BA37" i="8" s="1"/>
  <c r="BA38" i="8" s="1"/>
  <c r="BA39" i="8" s="1"/>
  <c r="BA40" i="8" s="1"/>
  <c r="BA41" i="8" s="1"/>
  <c r="BA42" i="8" s="1"/>
  <c r="BA43" i="8" s="1"/>
  <c r="AZ30" i="8"/>
  <c r="AZ31" i="8" s="1"/>
  <c r="AZ32" i="8" s="1"/>
  <c r="AZ33" i="8" s="1"/>
  <c r="AZ34" i="8" s="1"/>
  <c r="AZ35" i="8" s="1"/>
  <c r="AZ36" i="8" s="1"/>
  <c r="AZ37" i="8" s="1"/>
  <c r="AZ38" i="8" s="1"/>
  <c r="AZ39" i="8" s="1"/>
  <c r="AZ40" i="8" s="1"/>
  <c r="AZ41" i="8" s="1"/>
  <c r="AZ42" i="8" s="1"/>
  <c r="AZ43" i="8" s="1"/>
  <c r="AY30" i="8"/>
  <c r="AY31" i="8" s="1"/>
  <c r="AY32" i="8" s="1"/>
  <c r="AY33" i="8" s="1"/>
  <c r="AY34" i="8" s="1"/>
  <c r="AY35" i="8" s="1"/>
  <c r="AY36" i="8" s="1"/>
  <c r="AY37" i="8" s="1"/>
  <c r="AY38" i="8" s="1"/>
  <c r="AY39" i="8" s="1"/>
  <c r="AY40" i="8" s="1"/>
  <c r="AY41" i="8" s="1"/>
  <c r="AY42" i="8" s="1"/>
  <c r="AY43" i="8" s="1"/>
  <c r="AX30" i="8"/>
  <c r="AX31" i="8" s="1"/>
  <c r="AX32" i="8" s="1"/>
  <c r="AX33" i="8" s="1"/>
  <c r="AX34" i="8" s="1"/>
  <c r="AX35" i="8" s="1"/>
  <c r="AX36" i="8" s="1"/>
  <c r="AX37" i="8" s="1"/>
  <c r="AX38" i="8" s="1"/>
  <c r="AX39" i="8" s="1"/>
  <c r="AX40" i="8" s="1"/>
  <c r="AX41" i="8" s="1"/>
  <c r="AX42" i="8" s="1"/>
  <c r="AX43" i="8" s="1"/>
  <c r="AW30" i="8"/>
  <c r="AW31" i="8" s="1"/>
  <c r="AW32" i="8" s="1"/>
  <c r="AW33" i="8" s="1"/>
  <c r="AW34" i="8" s="1"/>
  <c r="AW35" i="8" s="1"/>
  <c r="AW36" i="8" s="1"/>
  <c r="AW37" i="8" s="1"/>
  <c r="AW38" i="8" s="1"/>
  <c r="AW39" i="8" s="1"/>
  <c r="AW40" i="8" s="1"/>
  <c r="AW41" i="8" s="1"/>
  <c r="AW42" i="8" s="1"/>
  <c r="AW43" i="8" s="1"/>
  <c r="BA15" i="8"/>
  <c r="BA16" i="8" s="1"/>
  <c r="BA17" i="8" s="1"/>
  <c r="BA18" i="8" s="1"/>
  <c r="BA19" i="8" s="1"/>
  <c r="BA20" i="8" s="1"/>
  <c r="BA21" i="8" s="1"/>
  <c r="BA22" i="8" s="1"/>
  <c r="BA23" i="8" s="1"/>
  <c r="BA24" i="8" s="1"/>
  <c r="BA25" i="8" s="1"/>
  <c r="BA26" i="8" s="1"/>
  <c r="BA27" i="8" s="1"/>
  <c r="BA28" i="8" s="1"/>
  <c r="AZ15" i="8"/>
  <c r="AZ16" i="8" s="1"/>
  <c r="AZ17" i="8" s="1"/>
  <c r="AZ18" i="8" s="1"/>
  <c r="AZ19" i="8" s="1"/>
  <c r="AZ20" i="8" s="1"/>
  <c r="AZ21" i="8" s="1"/>
  <c r="AZ22" i="8" s="1"/>
  <c r="AZ23" i="8" s="1"/>
  <c r="AZ24" i="8" s="1"/>
  <c r="AZ25" i="8" s="1"/>
  <c r="AZ26" i="8" s="1"/>
  <c r="AZ27" i="8" s="1"/>
  <c r="AZ28" i="8" s="1"/>
  <c r="AY15" i="8"/>
  <c r="AY16" i="8" s="1"/>
  <c r="AY17" i="8" s="1"/>
  <c r="AY18" i="8" s="1"/>
  <c r="AY19" i="8" s="1"/>
  <c r="AY20" i="8" s="1"/>
  <c r="AY21" i="8" s="1"/>
  <c r="AY22" i="8" s="1"/>
  <c r="AY23" i="8" s="1"/>
  <c r="AY24" i="8" s="1"/>
  <c r="AY25" i="8" s="1"/>
  <c r="AY26" i="8" s="1"/>
  <c r="AY27" i="8" s="1"/>
  <c r="AY28" i="8" s="1"/>
  <c r="AX15" i="8"/>
  <c r="AX16" i="8" s="1"/>
  <c r="AX17" i="8" s="1"/>
  <c r="AX18" i="8" s="1"/>
  <c r="AX19" i="8" s="1"/>
  <c r="AX20" i="8" s="1"/>
  <c r="AX21" i="8" s="1"/>
  <c r="AX22" i="8" s="1"/>
  <c r="AX23" i="8" s="1"/>
  <c r="AX24" i="8" s="1"/>
  <c r="AX25" i="8" s="1"/>
  <c r="AX26" i="8" s="1"/>
  <c r="AX27" i="8" s="1"/>
  <c r="AX28" i="8" s="1"/>
  <c r="AW15" i="8"/>
  <c r="AW16" i="8" s="1"/>
  <c r="AW17" i="8" s="1"/>
  <c r="AW18" i="8" s="1"/>
  <c r="AW19" i="8" s="1"/>
  <c r="AW20" i="8" s="1"/>
  <c r="AW21" i="8" s="1"/>
  <c r="AW22" i="8" s="1"/>
  <c r="AW23" i="8" s="1"/>
  <c r="AW24" i="8" s="1"/>
  <c r="AW25" i="8" s="1"/>
  <c r="AW26" i="8" s="1"/>
  <c r="AW27" i="8" s="1"/>
  <c r="AW28" i="8" s="1"/>
  <c r="BA183" i="7"/>
  <c r="BA184" i="7" s="1"/>
  <c r="BA185" i="7" s="1"/>
  <c r="BA186" i="7" s="1"/>
  <c r="BA187" i="7" s="1"/>
  <c r="BA188" i="7" s="1"/>
  <c r="BA189" i="7" s="1"/>
  <c r="BA190" i="7" s="1"/>
  <c r="BA191" i="7" s="1"/>
  <c r="BA192" i="7" s="1"/>
  <c r="BA193" i="7" s="1"/>
  <c r="BA194" i="7" s="1"/>
  <c r="BA195" i="7" s="1"/>
  <c r="BA196" i="7" s="1"/>
  <c r="AZ183" i="7"/>
  <c r="AZ184" i="7" s="1"/>
  <c r="AZ185" i="7" s="1"/>
  <c r="AZ186" i="7" s="1"/>
  <c r="AZ187" i="7" s="1"/>
  <c r="AZ188" i="7" s="1"/>
  <c r="AZ189" i="7" s="1"/>
  <c r="AZ190" i="7" s="1"/>
  <c r="AZ191" i="7" s="1"/>
  <c r="AZ192" i="7" s="1"/>
  <c r="AZ193" i="7" s="1"/>
  <c r="AZ194" i="7" s="1"/>
  <c r="AZ195" i="7" s="1"/>
  <c r="AZ196" i="7" s="1"/>
  <c r="AY183" i="7"/>
  <c r="AY184" i="7" s="1"/>
  <c r="AY185" i="7" s="1"/>
  <c r="AY186" i="7" s="1"/>
  <c r="AY187" i="7" s="1"/>
  <c r="AY188" i="7" s="1"/>
  <c r="AY189" i="7" s="1"/>
  <c r="AY190" i="7" s="1"/>
  <c r="AY191" i="7" s="1"/>
  <c r="AY192" i="7" s="1"/>
  <c r="AY193" i="7" s="1"/>
  <c r="AY194" i="7" s="1"/>
  <c r="AY195" i="7" s="1"/>
  <c r="AY196" i="7" s="1"/>
  <c r="BA168" i="7"/>
  <c r="BA169" i="7" s="1"/>
  <c r="BA170" i="7" s="1"/>
  <c r="BA171" i="7" s="1"/>
  <c r="BA172" i="7" s="1"/>
  <c r="BA173" i="7" s="1"/>
  <c r="BA174" i="7" s="1"/>
  <c r="BA175" i="7" s="1"/>
  <c r="BA176" i="7" s="1"/>
  <c r="BA177" i="7" s="1"/>
  <c r="BA178" i="7" s="1"/>
  <c r="BA179" i="7" s="1"/>
  <c r="BA180" i="7" s="1"/>
  <c r="BA181" i="7" s="1"/>
  <c r="AZ168" i="7"/>
  <c r="AZ169" i="7" s="1"/>
  <c r="AZ170" i="7" s="1"/>
  <c r="AZ171" i="7" s="1"/>
  <c r="AZ172" i="7" s="1"/>
  <c r="AZ173" i="7" s="1"/>
  <c r="AZ174" i="7" s="1"/>
  <c r="AZ175" i="7" s="1"/>
  <c r="AZ176" i="7" s="1"/>
  <c r="AZ177" i="7" s="1"/>
  <c r="AZ178" i="7" s="1"/>
  <c r="AZ179" i="7" s="1"/>
  <c r="AZ180" i="7" s="1"/>
  <c r="AZ181" i="7" s="1"/>
  <c r="AY168" i="7"/>
  <c r="AY169" i="7" s="1"/>
  <c r="AY170" i="7" s="1"/>
  <c r="AY171" i="7" s="1"/>
  <c r="AY172" i="7" s="1"/>
  <c r="AY173" i="7" s="1"/>
  <c r="AY174" i="7" s="1"/>
  <c r="AY175" i="7" s="1"/>
  <c r="AY176" i="7" s="1"/>
  <c r="AY177" i="7" s="1"/>
  <c r="AY178" i="7" s="1"/>
  <c r="AY179" i="7" s="1"/>
  <c r="AY180" i="7" s="1"/>
  <c r="AY181" i="7" s="1"/>
  <c r="AZ158" i="7"/>
  <c r="AZ159" i="7" s="1"/>
  <c r="AZ160" i="7" s="1"/>
  <c r="AZ161" i="7" s="1"/>
  <c r="AZ162" i="7" s="1"/>
  <c r="AZ163" i="7" s="1"/>
  <c r="AZ164" i="7" s="1"/>
  <c r="AZ165" i="7" s="1"/>
  <c r="AZ166" i="7" s="1"/>
  <c r="AY158" i="7"/>
  <c r="AY159" i="7" s="1"/>
  <c r="AY160" i="7" s="1"/>
  <c r="AY161" i="7" s="1"/>
  <c r="AY162" i="7" s="1"/>
  <c r="AY163" i="7" s="1"/>
  <c r="AY164" i="7" s="1"/>
  <c r="AY165" i="7" s="1"/>
  <c r="AY166" i="7" s="1"/>
  <c r="AN4" i="9"/>
  <c r="AR38" i="17" l="1"/>
  <c r="AR36" i="17"/>
  <c r="AR37" i="17"/>
  <c r="AP14" i="17"/>
  <c r="AL38" i="17" s="1"/>
  <c r="AO38" i="17" s="1"/>
  <c r="AQ38" i="17" s="1"/>
  <c r="Y28" i="5"/>
  <c r="AT24" i="5"/>
  <c r="S38" i="5" s="1"/>
  <c r="AT23" i="5"/>
  <c r="S37" i="5" s="1"/>
  <c r="AP24" i="5"/>
  <c r="G38" i="5" s="1"/>
  <c r="AP23" i="5"/>
  <c r="AR24" i="5"/>
  <c r="AR23" i="5"/>
  <c r="AQ23" i="5"/>
  <c r="I37" i="5" s="1"/>
  <c r="AQ24" i="5"/>
  <c r="I38" i="5" s="1"/>
  <c r="AS23" i="5"/>
  <c r="Q37" i="5" s="1"/>
  <c r="AS24" i="5"/>
  <c r="Q38" i="5" s="1"/>
  <c r="S35" i="5"/>
  <c r="G35" i="5"/>
  <c r="K38" i="5"/>
  <c r="Y27" i="5"/>
  <c r="AK36" i="17"/>
  <c r="AK37" i="17"/>
  <c r="I35" i="5"/>
  <c r="Q35" i="5"/>
  <c r="K35" i="5"/>
  <c r="AZ239" i="17"/>
  <c r="BO239" i="17" s="1"/>
  <c r="BA238" i="17"/>
  <c r="BB238" i="17" s="1"/>
  <c r="BC238" i="17" s="1"/>
  <c r="BD238" i="17" s="1"/>
  <c r="BE238" i="17" s="1"/>
  <c r="BF238" i="17" s="1"/>
  <c r="BG238" i="17" s="1"/>
  <c r="BH238" i="17" s="1"/>
  <c r="BI238" i="17" s="1"/>
  <c r="BJ238" i="17" s="1"/>
  <c r="BK238" i="17" s="1"/>
  <c r="BL238" i="17" s="1"/>
  <c r="BM238" i="17"/>
  <c r="AZ298" i="17"/>
  <c r="BO298" i="17" s="1"/>
  <c r="BA297" i="17"/>
  <c r="BB297" i="17" s="1"/>
  <c r="BC297" i="17" s="1"/>
  <c r="BD297" i="17" s="1"/>
  <c r="BE297" i="17" s="1"/>
  <c r="BF297" i="17" s="1"/>
  <c r="BG297" i="17" s="1"/>
  <c r="BH297" i="17" s="1"/>
  <c r="BI297" i="17" s="1"/>
  <c r="BJ297" i="17" s="1"/>
  <c r="BK297" i="17" s="1"/>
  <c r="BL297" i="17" s="1"/>
  <c r="BM297" i="17"/>
  <c r="AZ268" i="17"/>
  <c r="BO268" i="17" s="1"/>
  <c r="BA267" i="17"/>
  <c r="BB267" i="17" s="1"/>
  <c r="BC267" i="17" s="1"/>
  <c r="BD267" i="17" s="1"/>
  <c r="BE267" i="17" s="1"/>
  <c r="BF267" i="17" s="1"/>
  <c r="BG267" i="17" s="1"/>
  <c r="BH267" i="17" s="1"/>
  <c r="BI267" i="17" s="1"/>
  <c r="BJ267" i="17" s="1"/>
  <c r="BK267" i="17" s="1"/>
  <c r="BL267" i="17" s="1"/>
  <c r="BM267" i="17"/>
  <c r="AK68" i="12"/>
  <c r="AK65" i="12"/>
  <c r="AK66" i="12"/>
  <c r="AK64" i="12"/>
  <c r="AK67" i="12"/>
  <c r="AK62" i="12"/>
  <c r="J44" i="11"/>
  <c r="AI6" i="9"/>
  <c r="C44" i="9" s="1"/>
  <c r="N39" i="11"/>
  <c r="U39" i="11"/>
  <c r="AK69" i="12"/>
  <c r="AK8" i="11"/>
  <c r="F40" i="11" s="1"/>
  <c r="J54" i="11"/>
  <c r="K39" i="11"/>
  <c r="J40" i="11"/>
  <c r="AJ44" i="11"/>
  <c r="AJ40" i="11"/>
  <c r="AJ42" i="11"/>
  <c r="AJ39" i="11"/>
  <c r="AJ45" i="11"/>
  <c r="AJ43" i="11"/>
  <c r="AI7" i="9"/>
  <c r="C69" i="17" s="1"/>
  <c r="AN6" i="9"/>
  <c r="BC56" i="9"/>
  <c r="BC57" i="9" s="1"/>
  <c r="BC58" i="9" s="1"/>
  <c r="BC59" i="9" s="1"/>
  <c r="BC60" i="9" s="1"/>
  <c r="M23" i="9"/>
  <c r="AL36" i="17" l="1"/>
  <c r="AM36" i="17" s="1"/>
  <c r="AN36" i="17" s="1"/>
  <c r="AL37" i="17"/>
  <c r="AM37" i="17" s="1"/>
  <c r="AN37" i="17" s="1"/>
  <c r="AO37" i="17" s="1"/>
  <c r="AQ37" i="17" s="1"/>
  <c r="T23" i="5"/>
  <c r="U50" i="5" s="1"/>
  <c r="V23" i="5"/>
  <c r="X50" i="5" s="1"/>
  <c r="AO36" i="17"/>
  <c r="R23" i="5"/>
  <c r="R50" i="5" s="1"/>
  <c r="K37" i="5"/>
  <c r="X23" i="5"/>
  <c r="E45" i="5" s="1"/>
  <c r="G37" i="5"/>
  <c r="Z23" i="5"/>
  <c r="J50" i="5" s="1"/>
  <c r="AQ36" i="17"/>
  <c r="AZ299" i="17"/>
  <c r="BO299" i="17" s="1"/>
  <c r="BA298" i="17"/>
  <c r="BB298" i="17" s="1"/>
  <c r="BC298" i="17" s="1"/>
  <c r="BD298" i="17" s="1"/>
  <c r="BE298" i="17" s="1"/>
  <c r="BF298" i="17" s="1"/>
  <c r="BG298" i="17" s="1"/>
  <c r="BH298" i="17" s="1"/>
  <c r="BI298" i="17" s="1"/>
  <c r="BJ298" i="17" s="1"/>
  <c r="BK298" i="17" s="1"/>
  <c r="BL298" i="17" s="1"/>
  <c r="BM298" i="17"/>
  <c r="AZ269" i="17"/>
  <c r="BO269" i="17" s="1"/>
  <c r="BA268" i="17"/>
  <c r="BB268" i="17" s="1"/>
  <c r="BC268" i="17" s="1"/>
  <c r="BD268" i="17" s="1"/>
  <c r="BE268" i="17" s="1"/>
  <c r="BF268" i="17" s="1"/>
  <c r="BG268" i="17" s="1"/>
  <c r="BH268" i="17" s="1"/>
  <c r="BI268" i="17" s="1"/>
  <c r="BJ268" i="17" s="1"/>
  <c r="BK268" i="17" s="1"/>
  <c r="BL268" i="17" s="1"/>
  <c r="BM268" i="17"/>
  <c r="AZ240" i="17"/>
  <c r="BO240" i="17" s="1"/>
  <c r="BA239" i="17"/>
  <c r="BB239" i="17" s="1"/>
  <c r="BC239" i="17" s="1"/>
  <c r="BD239" i="17" s="1"/>
  <c r="BE239" i="17" s="1"/>
  <c r="BF239" i="17" s="1"/>
  <c r="BG239" i="17" s="1"/>
  <c r="BH239" i="17" s="1"/>
  <c r="BI239" i="17" s="1"/>
  <c r="BJ239" i="17" s="1"/>
  <c r="BK239" i="17" s="1"/>
  <c r="BL239" i="17" s="1"/>
  <c r="BM239" i="17"/>
  <c r="AJ2" i="11"/>
  <c r="AJ3" i="11"/>
  <c r="AH3" i="11" s="1"/>
  <c r="AI131" i="9"/>
  <c r="AI130" i="9"/>
  <c r="AI129" i="9"/>
  <c r="AI128" i="9"/>
  <c r="AI127" i="9"/>
  <c r="AI126" i="9"/>
  <c r="AI125" i="9"/>
  <c r="AI124" i="9"/>
  <c r="AI123" i="9"/>
  <c r="AI122" i="9"/>
  <c r="AI121" i="9"/>
  <c r="AI120" i="9"/>
  <c r="AI119" i="9"/>
  <c r="AI118" i="9"/>
  <c r="AI117" i="9"/>
  <c r="AI116" i="9"/>
  <c r="AI115" i="9"/>
  <c r="AI114" i="9"/>
  <c r="AI113" i="9"/>
  <c r="AI112" i="9"/>
  <c r="AI111" i="9"/>
  <c r="AI110" i="9"/>
  <c r="AI109" i="9"/>
  <c r="AI108" i="9"/>
  <c r="AI107" i="9"/>
  <c r="AI106" i="9"/>
  <c r="AI105" i="9"/>
  <c r="AI104" i="9"/>
  <c r="AI103" i="9"/>
  <c r="AI102" i="9"/>
  <c r="AI101" i="9"/>
  <c r="AI100" i="9"/>
  <c r="AI99" i="9"/>
  <c r="AI98" i="9"/>
  <c r="AI97" i="9"/>
  <c r="AI96" i="9"/>
  <c r="AI95" i="9"/>
  <c r="AI94" i="9"/>
  <c r="AI93" i="9"/>
  <c r="AI92" i="9"/>
  <c r="AI91" i="9"/>
  <c r="AI90" i="9"/>
  <c r="AI89" i="9"/>
  <c r="AI88" i="9"/>
  <c r="AI87" i="9"/>
  <c r="AI86" i="9"/>
  <c r="AI85" i="9"/>
  <c r="AI84" i="9"/>
  <c r="AI83" i="9"/>
  <c r="AI82" i="9"/>
  <c r="AI81" i="9"/>
  <c r="AI80" i="9"/>
  <c r="AI79" i="9"/>
  <c r="AI78" i="9"/>
  <c r="AI77" i="9"/>
  <c r="AI76" i="9"/>
  <c r="AI75" i="9"/>
  <c r="AI74" i="9"/>
  <c r="AI73" i="9"/>
  <c r="AI72" i="9"/>
  <c r="AI71" i="9"/>
  <c r="AI70" i="9"/>
  <c r="AI69" i="9"/>
  <c r="AI68" i="9"/>
  <c r="AI67" i="9"/>
  <c r="AI66" i="9"/>
  <c r="AI65" i="9"/>
  <c r="AI64" i="9"/>
  <c r="AI63" i="9"/>
  <c r="AI62" i="9"/>
  <c r="AI61" i="9"/>
  <c r="AI60" i="9"/>
  <c r="AI59" i="9"/>
  <c r="AI58" i="9"/>
  <c r="AI57" i="9"/>
  <c r="AI55" i="9"/>
  <c r="AI54" i="9"/>
  <c r="AI53" i="9"/>
  <c r="AI52" i="9"/>
  <c r="AI51" i="9"/>
  <c r="AI50" i="9"/>
  <c r="AI49" i="9"/>
  <c r="AI48" i="9"/>
  <c r="AI47" i="9"/>
  <c r="AI46" i="9"/>
  <c r="AI45" i="9"/>
  <c r="AI44" i="9"/>
  <c r="AI43" i="9"/>
  <c r="AI42" i="9"/>
  <c r="AI41" i="9"/>
  <c r="AI40" i="9"/>
  <c r="AI39" i="9"/>
  <c r="AI38" i="9"/>
  <c r="AI37" i="9"/>
  <c r="AI36" i="9"/>
  <c r="AI35" i="9"/>
  <c r="AI34" i="9"/>
  <c r="AI33" i="9"/>
  <c r="AI32" i="9"/>
  <c r="AI31" i="9"/>
  <c r="AI30" i="9"/>
  <c r="AI29" i="9"/>
  <c r="AI28" i="9"/>
  <c r="AI27" i="9"/>
  <c r="AI26" i="9"/>
  <c r="AI25" i="9"/>
  <c r="AI24" i="9"/>
  <c r="AI23" i="9"/>
  <c r="AI22" i="9"/>
  <c r="AI21" i="9"/>
  <c r="AI20" i="9"/>
  <c r="AI19" i="9"/>
  <c r="AI18" i="9"/>
  <c r="AI17" i="9"/>
  <c r="AI16" i="9"/>
  <c r="AI15" i="9"/>
  <c r="AI14" i="9"/>
  <c r="AI13" i="9"/>
  <c r="AI12" i="9"/>
  <c r="AI11" i="9"/>
  <c r="AQ39" i="17" l="1"/>
  <c r="AL43" i="17"/>
  <c r="M27" i="5" s="1"/>
  <c r="AL44" i="17"/>
  <c r="M28" i="5" s="1"/>
  <c r="AZ270" i="17"/>
  <c r="BO270" i="17" s="1"/>
  <c r="BA269" i="17"/>
  <c r="BB269" i="17" s="1"/>
  <c r="BC269" i="17" s="1"/>
  <c r="BD269" i="17" s="1"/>
  <c r="BE269" i="17" s="1"/>
  <c r="BF269" i="17" s="1"/>
  <c r="BG269" i="17" s="1"/>
  <c r="BH269" i="17" s="1"/>
  <c r="BI269" i="17" s="1"/>
  <c r="BJ269" i="17" s="1"/>
  <c r="BK269" i="17" s="1"/>
  <c r="BL269" i="17" s="1"/>
  <c r="BM269" i="17"/>
  <c r="AZ241" i="17"/>
  <c r="BO241" i="17" s="1"/>
  <c r="BA240" i="17"/>
  <c r="BB240" i="17" s="1"/>
  <c r="BC240" i="17" s="1"/>
  <c r="BD240" i="17" s="1"/>
  <c r="BE240" i="17" s="1"/>
  <c r="BF240" i="17" s="1"/>
  <c r="BG240" i="17" s="1"/>
  <c r="BH240" i="17" s="1"/>
  <c r="BI240" i="17" s="1"/>
  <c r="BJ240" i="17" s="1"/>
  <c r="BK240" i="17" s="1"/>
  <c r="BL240" i="17" s="1"/>
  <c r="BM240" i="17"/>
  <c r="AZ300" i="17"/>
  <c r="BO300" i="17" s="1"/>
  <c r="BA299" i="17"/>
  <c r="BB299" i="17" s="1"/>
  <c r="BC299" i="17" s="1"/>
  <c r="BD299" i="17" s="1"/>
  <c r="BE299" i="17" s="1"/>
  <c r="BF299" i="17" s="1"/>
  <c r="BG299" i="17" s="1"/>
  <c r="BH299" i="17" s="1"/>
  <c r="BI299" i="17" s="1"/>
  <c r="BJ299" i="17" s="1"/>
  <c r="BK299" i="17" s="1"/>
  <c r="BL299" i="17" s="1"/>
  <c r="BM299" i="17"/>
  <c r="AI45" i="11"/>
  <c r="AK45" i="11" s="1"/>
  <c r="AI43" i="11"/>
  <c r="AK43" i="11" s="1"/>
  <c r="AI41" i="11"/>
  <c r="AK41" i="11" s="1"/>
  <c r="AI39" i="11"/>
  <c r="AK39" i="11" s="1"/>
  <c r="AI44" i="11"/>
  <c r="AK44" i="11" s="1"/>
  <c r="AI42" i="11"/>
  <c r="AK42" i="11" s="1"/>
  <c r="AI40" i="11"/>
  <c r="AK40" i="11" s="1"/>
  <c r="AY6" i="9"/>
  <c r="V30" i="9" s="1"/>
  <c r="AW6" i="9"/>
  <c r="R30" i="9" s="1"/>
  <c r="AX6" i="9"/>
  <c r="T30" i="9" s="1"/>
  <c r="AJ8" i="8"/>
  <c r="R38" i="8"/>
  <c r="R37" i="8"/>
  <c r="AI9" i="8"/>
  <c r="AZ242" i="17" l="1"/>
  <c r="BO242" i="17" s="1"/>
  <c r="BA241" i="17"/>
  <c r="BB241" i="17" s="1"/>
  <c r="BC241" i="17" s="1"/>
  <c r="BD241" i="17" s="1"/>
  <c r="BE241" i="17" s="1"/>
  <c r="BF241" i="17" s="1"/>
  <c r="BG241" i="17" s="1"/>
  <c r="BH241" i="17" s="1"/>
  <c r="BI241" i="17" s="1"/>
  <c r="BJ241" i="17" s="1"/>
  <c r="BK241" i="17" s="1"/>
  <c r="BL241" i="17" s="1"/>
  <c r="BM241" i="17"/>
  <c r="AZ301" i="17"/>
  <c r="BO301" i="17" s="1"/>
  <c r="BA300" i="17"/>
  <c r="BB300" i="17" s="1"/>
  <c r="BC300" i="17" s="1"/>
  <c r="BD300" i="17" s="1"/>
  <c r="BE300" i="17" s="1"/>
  <c r="BF300" i="17" s="1"/>
  <c r="BG300" i="17" s="1"/>
  <c r="BH300" i="17" s="1"/>
  <c r="BI300" i="17" s="1"/>
  <c r="BJ300" i="17" s="1"/>
  <c r="BK300" i="17" s="1"/>
  <c r="BL300" i="17" s="1"/>
  <c r="BM300" i="17"/>
  <c r="BA270" i="17"/>
  <c r="BB270" i="17" s="1"/>
  <c r="BC270" i="17" s="1"/>
  <c r="BD270" i="17" s="1"/>
  <c r="BE270" i="17" s="1"/>
  <c r="BF270" i="17" s="1"/>
  <c r="BG270" i="17" s="1"/>
  <c r="BH270" i="17" s="1"/>
  <c r="BI270" i="17" s="1"/>
  <c r="BJ270" i="17" s="1"/>
  <c r="BK270" i="17" s="1"/>
  <c r="BL270" i="17" s="1"/>
  <c r="AZ271" i="17"/>
  <c r="BO271" i="17" s="1"/>
  <c r="BM270" i="17"/>
  <c r="R48" i="8"/>
  <c r="V48" i="8"/>
  <c r="L43" i="8"/>
  <c r="L49" i="8"/>
  <c r="AJ7" i="8"/>
  <c r="L52" i="8"/>
  <c r="H47" i="8"/>
  <c r="R36" i="8"/>
  <c r="R35" i="8"/>
  <c r="AI11" i="7"/>
  <c r="H43" i="7" s="1"/>
  <c r="AZ272" i="17" l="1"/>
  <c r="BO272" i="17" s="1"/>
  <c r="BA271" i="17"/>
  <c r="BB271" i="17" s="1"/>
  <c r="BC271" i="17" s="1"/>
  <c r="BD271" i="17" s="1"/>
  <c r="BE271" i="17" s="1"/>
  <c r="BF271" i="17" s="1"/>
  <c r="BG271" i="17" s="1"/>
  <c r="BH271" i="17" s="1"/>
  <c r="BI271" i="17" s="1"/>
  <c r="BJ271" i="17" s="1"/>
  <c r="BK271" i="17" s="1"/>
  <c r="BL271" i="17" s="1"/>
  <c r="BM271" i="17"/>
  <c r="AZ302" i="17"/>
  <c r="BO302" i="17" s="1"/>
  <c r="BA301" i="17"/>
  <c r="BB301" i="17" s="1"/>
  <c r="BC301" i="17" s="1"/>
  <c r="BD301" i="17" s="1"/>
  <c r="BE301" i="17" s="1"/>
  <c r="BF301" i="17" s="1"/>
  <c r="BG301" i="17" s="1"/>
  <c r="BH301" i="17" s="1"/>
  <c r="BI301" i="17" s="1"/>
  <c r="BJ301" i="17" s="1"/>
  <c r="BK301" i="17" s="1"/>
  <c r="BL301" i="17" s="1"/>
  <c r="BM301" i="17"/>
  <c r="AZ243" i="17"/>
  <c r="BO243" i="17" s="1"/>
  <c r="BA242" i="17"/>
  <c r="BB242" i="17" s="1"/>
  <c r="BC242" i="17" s="1"/>
  <c r="BD242" i="17" s="1"/>
  <c r="BE242" i="17" s="1"/>
  <c r="BF242" i="17" s="1"/>
  <c r="BG242" i="17" s="1"/>
  <c r="BH242" i="17" s="1"/>
  <c r="BI242" i="17" s="1"/>
  <c r="BJ242" i="17" s="1"/>
  <c r="BK242" i="17" s="1"/>
  <c r="BL242" i="17" s="1"/>
  <c r="BM242" i="17"/>
  <c r="G48" i="7"/>
  <c r="AI9" i="7"/>
  <c r="AI10" i="7"/>
  <c r="G54" i="7"/>
  <c r="AI12" i="7"/>
  <c r="Z19" i="7"/>
  <c r="G44" i="7"/>
  <c r="AO30" i="6"/>
  <c r="AN30" i="6"/>
  <c r="AM30" i="6"/>
  <c r="AL30" i="6"/>
  <c r="AO28" i="6"/>
  <c r="AN28" i="6"/>
  <c r="AM28" i="6"/>
  <c r="AL28" i="6"/>
  <c r="AK31" i="6"/>
  <c r="AK30" i="6"/>
  <c r="AK29" i="6"/>
  <c r="AK28" i="6"/>
  <c r="AK27" i="6"/>
  <c r="AH16" i="6"/>
  <c r="AH17" i="6"/>
  <c r="AH22" i="6"/>
  <c r="AH27" i="6"/>
  <c r="AK11" i="6"/>
  <c r="H43" i="6" s="1"/>
  <c r="AJ3" i="6"/>
  <c r="AJ31" i="6" s="1"/>
  <c r="E55" i="5" l="1"/>
  <c r="BA302" i="17"/>
  <c r="BB302" i="17" s="1"/>
  <c r="BC302" i="17" s="1"/>
  <c r="BD302" i="17" s="1"/>
  <c r="BE302" i="17" s="1"/>
  <c r="BF302" i="17" s="1"/>
  <c r="BG302" i="17" s="1"/>
  <c r="BH302" i="17" s="1"/>
  <c r="BI302" i="17" s="1"/>
  <c r="BJ302" i="17" s="1"/>
  <c r="BK302" i="17" s="1"/>
  <c r="BL302" i="17" s="1"/>
  <c r="BM302" i="17"/>
  <c r="AZ244" i="17"/>
  <c r="BO244" i="17" s="1"/>
  <c r="BA243" i="17"/>
  <c r="BB243" i="17" s="1"/>
  <c r="BC243" i="17" s="1"/>
  <c r="BD243" i="17" s="1"/>
  <c r="BE243" i="17" s="1"/>
  <c r="BF243" i="17" s="1"/>
  <c r="BG243" i="17" s="1"/>
  <c r="BH243" i="17" s="1"/>
  <c r="BI243" i="17" s="1"/>
  <c r="BJ243" i="17" s="1"/>
  <c r="BK243" i="17" s="1"/>
  <c r="BL243" i="17" s="1"/>
  <c r="BM243" i="17"/>
  <c r="AZ273" i="17"/>
  <c r="BO273" i="17" s="1"/>
  <c r="BA272" i="17"/>
  <c r="BB272" i="17" s="1"/>
  <c r="BC272" i="17" s="1"/>
  <c r="BD272" i="17" s="1"/>
  <c r="BE272" i="17" s="1"/>
  <c r="BF272" i="17" s="1"/>
  <c r="BG272" i="17" s="1"/>
  <c r="BH272" i="17" s="1"/>
  <c r="BI272" i="17" s="1"/>
  <c r="BJ272" i="17" s="1"/>
  <c r="BK272" i="17" s="1"/>
  <c r="BL272" i="17" s="1"/>
  <c r="BM272" i="17"/>
  <c r="AJ9" i="6"/>
  <c r="AJ24" i="6"/>
  <c r="AJ18" i="6"/>
  <c r="AJ28" i="6"/>
  <c r="AI28" i="6" s="1"/>
  <c r="R44" i="7"/>
  <c r="R43" i="7"/>
  <c r="L57" i="7"/>
  <c r="L43" i="7"/>
  <c r="R57" i="7"/>
  <c r="L44" i="7"/>
  <c r="H44" i="7"/>
  <c r="AJ23" i="6"/>
  <c r="AJ26" i="6"/>
  <c r="AJ30" i="6"/>
  <c r="AI30" i="6" s="1"/>
  <c r="AJ20" i="6"/>
  <c r="AJ22" i="6"/>
  <c r="AJ25" i="6"/>
  <c r="AJ27" i="6"/>
  <c r="AI27" i="6" s="1"/>
  <c r="AJ29" i="6"/>
  <c r="AI29" i="6" s="1"/>
  <c r="G44" i="6"/>
  <c r="G54" i="6"/>
  <c r="G48" i="6"/>
  <c r="AK12" i="6"/>
  <c r="Z19" i="6"/>
  <c r="BA273" i="17" l="1"/>
  <c r="BB273" i="17" s="1"/>
  <c r="BC273" i="17" s="1"/>
  <c r="BD273" i="17" s="1"/>
  <c r="BE273" i="17" s="1"/>
  <c r="BF273" i="17" s="1"/>
  <c r="BG273" i="17" s="1"/>
  <c r="BH273" i="17" s="1"/>
  <c r="BI273" i="17" s="1"/>
  <c r="BJ273" i="17" s="1"/>
  <c r="BK273" i="17" s="1"/>
  <c r="BL273" i="17" s="1"/>
  <c r="BM273" i="17"/>
  <c r="BA244" i="17"/>
  <c r="BB244" i="17" s="1"/>
  <c r="BC244" i="17" s="1"/>
  <c r="BD244" i="17" s="1"/>
  <c r="BE244" i="17" s="1"/>
  <c r="BF244" i="17" s="1"/>
  <c r="BG244" i="17" s="1"/>
  <c r="BH244" i="17" s="1"/>
  <c r="BI244" i="17" s="1"/>
  <c r="BJ244" i="17" s="1"/>
  <c r="BK244" i="17" s="1"/>
  <c r="BL244" i="17" s="1"/>
  <c r="BM244" i="17"/>
  <c r="R43" i="6"/>
  <c r="L43" i="6"/>
  <c r="R44" i="6"/>
  <c r="AH9" i="4" l="1"/>
  <c r="AK26" i="4" s="1"/>
  <c r="AM26" i="4" s="1"/>
  <c r="AK22" i="4" l="1"/>
  <c r="AK23" i="4"/>
  <c r="AK24" i="4"/>
  <c r="AK25" i="4"/>
  <c r="AK27" i="4"/>
  <c r="AM27" i="4" s="1"/>
  <c r="AK21" i="4"/>
  <c r="Z18" i="8" l="1"/>
  <c r="M29" i="4"/>
  <c r="AI17" i="4"/>
  <c r="AI23" i="4"/>
  <c r="P12" i="4"/>
  <c r="AL25" i="4"/>
  <c r="AM25" i="4" s="1"/>
  <c r="AL23" i="4"/>
  <c r="AM23" i="4" s="1"/>
  <c r="AL21" i="4"/>
  <c r="AL24" i="4"/>
  <c r="AL22" i="4"/>
  <c r="M37" i="4" l="1"/>
  <c r="U43" i="4"/>
  <c r="I43" i="4"/>
  <c r="O43" i="4"/>
  <c r="AS26" i="4"/>
  <c r="AQ26" i="4"/>
  <c r="AR26" i="4"/>
  <c r="AP26" i="4"/>
  <c r="M21" i="9"/>
  <c r="M21" i="8"/>
  <c r="M21" i="7"/>
  <c r="Z27" i="6"/>
  <c r="O44" i="4"/>
  <c r="I44" i="4"/>
  <c r="U44" i="4"/>
  <c r="AM24" i="4"/>
  <c r="AO24" i="4"/>
  <c r="AQ24" i="4" s="1"/>
  <c r="AM22" i="4"/>
  <c r="AO22" i="4"/>
  <c r="AR22" i="4" s="1"/>
  <c r="AM21" i="4"/>
  <c r="Z17" i="9" l="1"/>
  <c r="AP22" i="4"/>
  <c r="AQ22" i="4"/>
  <c r="AP24" i="4"/>
  <c r="AS22" i="4"/>
  <c r="AS24" i="4"/>
  <c r="AR24" i="4"/>
  <c r="AJ61" i="12"/>
  <c r="AI61" i="12"/>
  <c r="AJ60" i="12"/>
  <c r="AI60" i="12"/>
  <c r="AJ59" i="12"/>
  <c r="AI59" i="12"/>
  <c r="AJ58" i="12"/>
  <c r="AI58" i="12"/>
  <c r="AJ57" i="12"/>
  <c r="AI57" i="12"/>
  <c r="AJ56" i="12"/>
  <c r="AI56" i="12"/>
  <c r="AJ55" i="12"/>
  <c r="AI55" i="12"/>
  <c r="AJ54" i="12"/>
  <c r="AI54" i="12"/>
  <c r="AJ53" i="12"/>
  <c r="AI53" i="12"/>
  <c r="AJ52" i="12"/>
  <c r="AI52" i="12"/>
  <c r="AJ51" i="12"/>
  <c r="AI51" i="12"/>
  <c r="AJ50" i="12"/>
  <c r="AI50" i="12"/>
  <c r="AJ49" i="12"/>
  <c r="AI49" i="12"/>
  <c r="AJ48" i="12"/>
  <c r="AI48" i="12"/>
  <c r="AJ47" i="12"/>
  <c r="AI47" i="12"/>
  <c r="AJ46" i="12"/>
  <c r="AI46" i="12"/>
  <c r="AJ45" i="12"/>
  <c r="AI45" i="12"/>
  <c r="AJ44" i="12"/>
  <c r="AI44" i="12"/>
  <c r="AJ43" i="12"/>
  <c r="AI43" i="12"/>
  <c r="AJ42" i="12"/>
  <c r="AI42" i="12"/>
  <c r="AI37" i="12"/>
  <c r="AK37" i="12" s="1"/>
  <c r="AI36" i="12"/>
  <c r="AK36" i="12" s="1"/>
  <c r="AI35" i="12"/>
  <c r="AK35" i="12" s="1"/>
  <c r="AI34" i="12"/>
  <c r="AK34" i="12" s="1"/>
  <c r="AI33" i="12"/>
  <c r="AK33" i="12" s="1"/>
  <c r="AI32" i="12"/>
  <c r="AK32" i="12" s="1"/>
  <c r="AI31" i="12"/>
  <c r="AK31" i="12" s="1"/>
  <c r="AI30" i="12"/>
  <c r="AK30" i="12" s="1"/>
  <c r="AI29" i="12"/>
  <c r="AK29" i="12" s="1"/>
  <c r="AI28" i="12"/>
  <c r="AK28" i="12" s="1"/>
  <c r="Z17" i="12"/>
  <c r="AJ38" i="11"/>
  <c r="AI38" i="11"/>
  <c r="AJ37" i="11"/>
  <c r="AI37" i="11"/>
  <c r="AJ36" i="11"/>
  <c r="AI36" i="11"/>
  <c r="AJ35" i="11"/>
  <c r="AI35" i="11"/>
  <c r="AJ34" i="11"/>
  <c r="AI34" i="11"/>
  <c r="AJ33" i="11"/>
  <c r="AI33" i="11"/>
  <c r="AJ32" i="11"/>
  <c r="AI32" i="11"/>
  <c r="AJ31" i="11"/>
  <c r="AI31" i="11"/>
  <c r="AJ30" i="11"/>
  <c r="AI30" i="11"/>
  <c r="AJ29" i="11"/>
  <c r="AI29" i="11"/>
  <c r="AJ28" i="11"/>
  <c r="AI28" i="11"/>
  <c r="AJ27" i="11"/>
  <c r="AI27" i="11"/>
  <c r="AJ26" i="11"/>
  <c r="AI26" i="11"/>
  <c r="AJ25" i="11"/>
  <c r="AI25" i="11"/>
  <c r="AI20" i="11"/>
  <c r="AK20" i="11" s="1"/>
  <c r="AI19" i="11"/>
  <c r="AK19" i="11" s="1"/>
  <c r="AI18" i="11"/>
  <c r="AK18" i="11" s="1"/>
  <c r="AI17" i="11"/>
  <c r="AK17" i="11" s="1"/>
  <c r="AI16" i="11"/>
  <c r="AK16" i="11" s="1"/>
  <c r="AI15" i="11"/>
  <c r="AK15" i="11" s="1"/>
  <c r="AI14" i="11"/>
  <c r="AK14" i="11" s="1"/>
  <c r="M21" i="11"/>
  <c r="AR117" i="9"/>
  <c r="AR118" i="9" s="1"/>
  <c r="AR119" i="9" s="1"/>
  <c r="AR120" i="9" s="1"/>
  <c r="AR121" i="9" s="1"/>
  <c r="AR122" i="9" s="1"/>
  <c r="AR123" i="9" s="1"/>
  <c r="AR124" i="9" s="1"/>
  <c r="AR125" i="9" s="1"/>
  <c r="AR126" i="9" s="1"/>
  <c r="AR127" i="9" s="1"/>
  <c r="AR128" i="9" s="1"/>
  <c r="AR129" i="9" s="1"/>
  <c r="AR130" i="9" s="1"/>
  <c r="AQ117" i="9"/>
  <c r="AQ118" i="9" s="1"/>
  <c r="AQ119" i="9" s="1"/>
  <c r="AQ120" i="9" s="1"/>
  <c r="AQ121" i="9" s="1"/>
  <c r="AQ122" i="9" s="1"/>
  <c r="AQ123" i="9" s="1"/>
  <c r="AQ124" i="9" s="1"/>
  <c r="AQ125" i="9" s="1"/>
  <c r="AQ126" i="9" s="1"/>
  <c r="AQ127" i="9" s="1"/>
  <c r="AQ128" i="9" s="1"/>
  <c r="AQ129" i="9" s="1"/>
  <c r="AQ130" i="9" s="1"/>
  <c r="AP117" i="9"/>
  <c r="AP118" i="9" s="1"/>
  <c r="AP119" i="9" s="1"/>
  <c r="AP120" i="9" s="1"/>
  <c r="AP121" i="9" s="1"/>
  <c r="AP122" i="9" s="1"/>
  <c r="AP123" i="9" s="1"/>
  <c r="AP124" i="9" s="1"/>
  <c r="AP125" i="9" s="1"/>
  <c r="AP126" i="9" s="1"/>
  <c r="AP127" i="9" s="1"/>
  <c r="AP128" i="9" s="1"/>
  <c r="AP129" i="9" s="1"/>
  <c r="AP130" i="9" s="1"/>
  <c r="AO117" i="9"/>
  <c r="AO118" i="9" s="1"/>
  <c r="AO119" i="9" s="1"/>
  <c r="AO120" i="9" s="1"/>
  <c r="AO121" i="9" s="1"/>
  <c r="AO122" i="9" s="1"/>
  <c r="AO123" i="9" s="1"/>
  <c r="AO124" i="9" s="1"/>
  <c r="AO125" i="9" s="1"/>
  <c r="AO126" i="9" s="1"/>
  <c r="AO127" i="9" s="1"/>
  <c r="AO128" i="9" s="1"/>
  <c r="AO129" i="9" s="1"/>
  <c r="AO130" i="9" s="1"/>
  <c r="AN117" i="9"/>
  <c r="AN118" i="9" s="1"/>
  <c r="AN119" i="9" s="1"/>
  <c r="AN120" i="9" s="1"/>
  <c r="AN121" i="9" s="1"/>
  <c r="AN122" i="9" s="1"/>
  <c r="AN123" i="9" s="1"/>
  <c r="AN124" i="9" s="1"/>
  <c r="AN125" i="9" s="1"/>
  <c r="AN126" i="9" s="1"/>
  <c r="AN127" i="9" s="1"/>
  <c r="AN128" i="9" s="1"/>
  <c r="AN129" i="9" s="1"/>
  <c r="AN130" i="9" s="1"/>
  <c r="AM117" i="9"/>
  <c r="AM118" i="9" s="1"/>
  <c r="AM119" i="9" s="1"/>
  <c r="AM120" i="9" s="1"/>
  <c r="AM121" i="9" s="1"/>
  <c r="AM122" i="9" s="1"/>
  <c r="AM123" i="9" s="1"/>
  <c r="AM124" i="9" s="1"/>
  <c r="AM125" i="9" s="1"/>
  <c r="AM126" i="9" s="1"/>
  <c r="AM127" i="9" s="1"/>
  <c r="AM128" i="9" s="1"/>
  <c r="AM129" i="9" s="1"/>
  <c r="AM130" i="9" s="1"/>
  <c r="AL117" i="9"/>
  <c r="AL118" i="9" s="1"/>
  <c r="AL119" i="9" s="1"/>
  <c r="AL120" i="9" s="1"/>
  <c r="AL121" i="9" s="1"/>
  <c r="AL122" i="9" s="1"/>
  <c r="AL123" i="9" s="1"/>
  <c r="AL124" i="9" s="1"/>
  <c r="AL125" i="9" s="1"/>
  <c r="AL126" i="9" s="1"/>
  <c r="AL127" i="9" s="1"/>
  <c r="AL128" i="9" s="1"/>
  <c r="AL129" i="9" s="1"/>
  <c r="AL130" i="9" s="1"/>
  <c r="AK117" i="9"/>
  <c r="AK118" i="9" s="1"/>
  <c r="AK119" i="9" s="1"/>
  <c r="AK120" i="9" s="1"/>
  <c r="AK121" i="9" s="1"/>
  <c r="AK122" i="9" s="1"/>
  <c r="AK123" i="9" s="1"/>
  <c r="AK124" i="9" s="1"/>
  <c r="AK125" i="9" s="1"/>
  <c r="AK126" i="9" s="1"/>
  <c r="AK127" i="9" s="1"/>
  <c r="AK128" i="9" s="1"/>
  <c r="AK129" i="9" s="1"/>
  <c r="AK130" i="9" s="1"/>
  <c r="AJ117" i="9"/>
  <c r="AJ118" i="9" s="1"/>
  <c r="AJ119" i="9" s="1"/>
  <c r="AJ120" i="9" s="1"/>
  <c r="AJ121" i="9" s="1"/>
  <c r="AJ122" i="9" s="1"/>
  <c r="AJ123" i="9" s="1"/>
  <c r="AJ124" i="9" s="1"/>
  <c r="AJ125" i="9" s="1"/>
  <c r="AJ126" i="9" s="1"/>
  <c r="AJ127" i="9" s="1"/>
  <c r="AJ128" i="9" s="1"/>
  <c r="AJ129" i="9" s="1"/>
  <c r="AJ130" i="9" s="1"/>
  <c r="AR102" i="9"/>
  <c r="AR103" i="9" s="1"/>
  <c r="AR104" i="9" s="1"/>
  <c r="AR105" i="9" s="1"/>
  <c r="AR106" i="9" s="1"/>
  <c r="AR107" i="9" s="1"/>
  <c r="AR108" i="9" s="1"/>
  <c r="AR109" i="9" s="1"/>
  <c r="AR110" i="9" s="1"/>
  <c r="AR111" i="9" s="1"/>
  <c r="AR112" i="9" s="1"/>
  <c r="AR113" i="9" s="1"/>
  <c r="AR114" i="9" s="1"/>
  <c r="AR115" i="9" s="1"/>
  <c r="AQ102" i="9"/>
  <c r="AQ103" i="9" s="1"/>
  <c r="AQ104" i="9" s="1"/>
  <c r="AQ105" i="9" s="1"/>
  <c r="AQ106" i="9" s="1"/>
  <c r="AQ107" i="9" s="1"/>
  <c r="AQ108" i="9" s="1"/>
  <c r="AQ109" i="9" s="1"/>
  <c r="AQ110" i="9" s="1"/>
  <c r="AQ111" i="9" s="1"/>
  <c r="AQ112" i="9" s="1"/>
  <c r="AQ113" i="9" s="1"/>
  <c r="AQ114" i="9" s="1"/>
  <c r="AQ115" i="9" s="1"/>
  <c r="AP102" i="9"/>
  <c r="AP103" i="9" s="1"/>
  <c r="AP104" i="9" s="1"/>
  <c r="AP105" i="9" s="1"/>
  <c r="AP106" i="9" s="1"/>
  <c r="AP107" i="9" s="1"/>
  <c r="AP108" i="9" s="1"/>
  <c r="AP109" i="9" s="1"/>
  <c r="AP110" i="9" s="1"/>
  <c r="AP111" i="9" s="1"/>
  <c r="AP112" i="9" s="1"/>
  <c r="AP113" i="9" s="1"/>
  <c r="AP114" i="9" s="1"/>
  <c r="AP115" i="9" s="1"/>
  <c r="AO102" i="9"/>
  <c r="AO103" i="9" s="1"/>
  <c r="AO104" i="9" s="1"/>
  <c r="AO105" i="9" s="1"/>
  <c r="AO106" i="9" s="1"/>
  <c r="AO107" i="9" s="1"/>
  <c r="AO108" i="9" s="1"/>
  <c r="AO109" i="9" s="1"/>
  <c r="AO110" i="9" s="1"/>
  <c r="AO111" i="9" s="1"/>
  <c r="AO112" i="9" s="1"/>
  <c r="AO113" i="9" s="1"/>
  <c r="AO114" i="9" s="1"/>
  <c r="AO115" i="9" s="1"/>
  <c r="AN102" i="9"/>
  <c r="AN103" i="9" s="1"/>
  <c r="AN104" i="9" s="1"/>
  <c r="AN105" i="9" s="1"/>
  <c r="AN106" i="9" s="1"/>
  <c r="AN107" i="9" s="1"/>
  <c r="AN108" i="9" s="1"/>
  <c r="AN109" i="9" s="1"/>
  <c r="AN110" i="9" s="1"/>
  <c r="AN111" i="9" s="1"/>
  <c r="AN112" i="9" s="1"/>
  <c r="AN113" i="9" s="1"/>
  <c r="AN114" i="9" s="1"/>
  <c r="AN115" i="9" s="1"/>
  <c r="AM102" i="9"/>
  <c r="AM103" i="9" s="1"/>
  <c r="AM104" i="9" s="1"/>
  <c r="AM105" i="9" s="1"/>
  <c r="AM106" i="9" s="1"/>
  <c r="AM107" i="9" s="1"/>
  <c r="AM108" i="9" s="1"/>
  <c r="AM109" i="9" s="1"/>
  <c r="AM110" i="9" s="1"/>
  <c r="AM111" i="9" s="1"/>
  <c r="AM112" i="9" s="1"/>
  <c r="AM113" i="9" s="1"/>
  <c r="AM114" i="9" s="1"/>
  <c r="AM115" i="9" s="1"/>
  <c r="AL102" i="9"/>
  <c r="AL103" i="9" s="1"/>
  <c r="AL104" i="9" s="1"/>
  <c r="AL105" i="9" s="1"/>
  <c r="AL106" i="9" s="1"/>
  <c r="AL107" i="9" s="1"/>
  <c r="AL108" i="9" s="1"/>
  <c r="AL109" i="9" s="1"/>
  <c r="AL110" i="9" s="1"/>
  <c r="AL111" i="9" s="1"/>
  <c r="AL112" i="9" s="1"/>
  <c r="AL113" i="9" s="1"/>
  <c r="AL114" i="9" s="1"/>
  <c r="AL115" i="9" s="1"/>
  <c r="AK102" i="9"/>
  <c r="AK103" i="9" s="1"/>
  <c r="AK104" i="9" s="1"/>
  <c r="AK105" i="9" s="1"/>
  <c r="AK106" i="9" s="1"/>
  <c r="AK107" i="9" s="1"/>
  <c r="AK108" i="9" s="1"/>
  <c r="AK109" i="9" s="1"/>
  <c r="AK110" i="9" s="1"/>
  <c r="AK111" i="9" s="1"/>
  <c r="AK112" i="9" s="1"/>
  <c r="AK113" i="9" s="1"/>
  <c r="AK114" i="9" s="1"/>
  <c r="AK115" i="9" s="1"/>
  <c r="AJ102" i="9"/>
  <c r="AJ103" i="9" s="1"/>
  <c r="AJ104" i="9" s="1"/>
  <c r="AJ105" i="9" s="1"/>
  <c r="AJ106" i="9" s="1"/>
  <c r="AJ107" i="9" s="1"/>
  <c r="AJ108" i="9" s="1"/>
  <c r="AJ109" i="9" s="1"/>
  <c r="AJ110" i="9" s="1"/>
  <c r="AJ111" i="9" s="1"/>
  <c r="AJ112" i="9" s="1"/>
  <c r="AJ113" i="9" s="1"/>
  <c r="AJ114" i="9" s="1"/>
  <c r="AJ115" i="9" s="1"/>
  <c r="BH87" i="9"/>
  <c r="BH88" i="9" s="1"/>
  <c r="BH89" i="9" s="1"/>
  <c r="BH90" i="9" s="1"/>
  <c r="BH91" i="9" s="1"/>
  <c r="BH92" i="9" s="1"/>
  <c r="BH93" i="9" s="1"/>
  <c r="BH94" i="9" s="1"/>
  <c r="BH95" i="9" s="1"/>
  <c r="BH96" i="9" s="1"/>
  <c r="BH97" i="9" s="1"/>
  <c r="BH98" i="9" s="1"/>
  <c r="BH99" i="9" s="1"/>
  <c r="BH100" i="9" s="1"/>
  <c r="BG87" i="9"/>
  <c r="BG88" i="9" s="1"/>
  <c r="BG89" i="9" s="1"/>
  <c r="BG90" i="9" s="1"/>
  <c r="BG91" i="9" s="1"/>
  <c r="BG92" i="9" s="1"/>
  <c r="BG93" i="9" s="1"/>
  <c r="BG94" i="9" s="1"/>
  <c r="BG95" i="9" s="1"/>
  <c r="BG96" i="9" s="1"/>
  <c r="BG97" i="9" s="1"/>
  <c r="BG98" i="9" s="1"/>
  <c r="BG99" i="9" s="1"/>
  <c r="BG100" i="9" s="1"/>
  <c r="BF87" i="9"/>
  <c r="BF88" i="9" s="1"/>
  <c r="BF89" i="9" s="1"/>
  <c r="BF90" i="9" s="1"/>
  <c r="BF91" i="9" s="1"/>
  <c r="BF92" i="9" s="1"/>
  <c r="BF93" i="9" s="1"/>
  <c r="BF94" i="9" s="1"/>
  <c r="BF95" i="9" s="1"/>
  <c r="BF96" i="9" s="1"/>
  <c r="BF97" i="9" s="1"/>
  <c r="BF98" i="9" s="1"/>
  <c r="BF99" i="9" s="1"/>
  <c r="BF100" i="9" s="1"/>
  <c r="BE87" i="9"/>
  <c r="BE88" i="9" s="1"/>
  <c r="BE89" i="9" s="1"/>
  <c r="BE90" i="9" s="1"/>
  <c r="BE91" i="9" s="1"/>
  <c r="BE92" i="9" s="1"/>
  <c r="BE93" i="9" s="1"/>
  <c r="BE94" i="9" s="1"/>
  <c r="BE95" i="9" s="1"/>
  <c r="BE96" i="9" s="1"/>
  <c r="BE97" i="9" s="1"/>
  <c r="BE98" i="9" s="1"/>
  <c r="BE99" i="9" s="1"/>
  <c r="BE100" i="9" s="1"/>
  <c r="BD87" i="9"/>
  <c r="BD88" i="9" s="1"/>
  <c r="BD89" i="9" s="1"/>
  <c r="BD90" i="9" s="1"/>
  <c r="BD91" i="9" s="1"/>
  <c r="BD92" i="9" s="1"/>
  <c r="BD93" i="9" s="1"/>
  <c r="BD94" i="9" s="1"/>
  <c r="BD95" i="9" s="1"/>
  <c r="BD96" i="9" s="1"/>
  <c r="BD97" i="9" s="1"/>
  <c r="BD98" i="9" s="1"/>
  <c r="BD99" i="9" s="1"/>
  <c r="BD100" i="9" s="1"/>
  <c r="BC87" i="9"/>
  <c r="BC88" i="9" s="1"/>
  <c r="BC89" i="9" s="1"/>
  <c r="BC90" i="9" s="1"/>
  <c r="BC91" i="9" s="1"/>
  <c r="BC92" i="9" s="1"/>
  <c r="BC93" i="9" s="1"/>
  <c r="BC94" i="9" s="1"/>
  <c r="BC95" i="9" s="1"/>
  <c r="BC96" i="9" s="1"/>
  <c r="BC97" i="9" s="1"/>
  <c r="BC98" i="9" s="1"/>
  <c r="BC99" i="9" s="1"/>
  <c r="BC100" i="9" s="1"/>
  <c r="AR87" i="9"/>
  <c r="AR88" i="9" s="1"/>
  <c r="AR89" i="9" s="1"/>
  <c r="AR90" i="9" s="1"/>
  <c r="AR91" i="9" s="1"/>
  <c r="AR92" i="9" s="1"/>
  <c r="AR93" i="9" s="1"/>
  <c r="AR94" i="9" s="1"/>
  <c r="AR95" i="9" s="1"/>
  <c r="AR96" i="9" s="1"/>
  <c r="AR97" i="9" s="1"/>
  <c r="AR98" i="9" s="1"/>
  <c r="AR99" i="9" s="1"/>
  <c r="AR100" i="9" s="1"/>
  <c r="AQ87" i="9"/>
  <c r="AQ88" i="9" s="1"/>
  <c r="AQ89" i="9" s="1"/>
  <c r="AQ90" i="9" s="1"/>
  <c r="AQ91" i="9" s="1"/>
  <c r="AQ92" i="9" s="1"/>
  <c r="AQ93" i="9" s="1"/>
  <c r="AQ94" i="9" s="1"/>
  <c r="AQ95" i="9" s="1"/>
  <c r="AQ96" i="9" s="1"/>
  <c r="AQ97" i="9" s="1"/>
  <c r="AQ98" i="9" s="1"/>
  <c r="AQ99" i="9" s="1"/>
  <c r="AQ100" i="9" s="1"/>
  <c r="AP87" i="9"/>
  <c r="AP88" i="9" s="1"/>
  <c r="AP89" i="9" s="1"/>
  <c r="AP90" i="9" s="1"/>
  <c r="AP91" i="9" s="1"/>
  <c r="AP92" i="9" s="1"/>
  <c r="AP93" i="9" s="1"/>
  <c r="AP94" i="9" s="1"/>
  <c r="AP95" i="9" s="1"/>
  <c r="AP96" i="9" s="1"/>
  <c r="AP97" i="9" s="1"/>
  <c r="AP98" i="9" s="1"/>
  <c r="AP99" i="9" s="1"/>
  <c r="AP100" i="9" s="1"/>
  <c r="AO87" i="9"/>
  <c r="AO88" i="9" s="1"/>
  <c r="AO89" i="9" s="1"/>
  <c r="AO90" i="9" s="1"/>
  <c r="AO91" i="9" s="1"/>
  <c r="AO92" i="9" s="1"/>
  <c r="AO93" i="9" s="1"/>
  <c r="AO94" i="9" s="1"/>
  <c r="AO95" i="9" s="1"/>
  <c r="AO96" i="9" s="1"/>
  <c r="AO97" i="9" s="1"/>
  <c r="AO98" i="9" s="1"/>
  <c r="AO99" i="9" s="1"/>
  <c r="AO100" i="9" s="1"/>
  <c r="AN87" i="9"/>
  <c r="AN88" i="9" s="1"/>
  <c r="AN89" i="9" s="1"/>
  <c r="AN90" i="9" s="1"/>
  <c r="AN91" i="9" s="1"/>
  <c r="AN92" i="9" s="1"/>
  <c r="AN93" i="9" s="1"/>
  <c r="AN94" i="9" s="1"/>
  <c r="AN95" i="9" s="1"/>
  <c r="AN96" i="9" s="1"/>
  <c r="AN97" i="9" s="1"/>
  <c r="AN98" i="9" s="1"/>
  <c r="AN99" i="9" s="1"/>
  <c r="AN100" i="9" s="1"/>
  <c r="AM87" i="9"/>
  <c r="AM88" i="9" s="1"/>
  <c r="AM89" i="9" s="1"/>
  <c r="AM90" i="9" s="1"/>
  <c r="AM91" i="9" s="1"/>
  <c r="AM92" i="9" s="1"/>
  <c r="AM93" i="9" s="1"/>
  <c r="AM94" i="9" s="1"/>
  <c r="AM95" i="9" s="1"/>
  <c r="AM96" i="9" s="1"/>
  <c r="AM97" i="9" s="1"/>
  <c r="AM98" i="9" s="1"/>
  <c r="AM99" i="9" s="1"/>
  <c r="AM100" i="9" s="1"/>
  <c r="AL87" i="9"/>
  <c r="AL88" i="9" s="1"/>
  <c r="AL89" i="9" s="1"/>
  <c r="AL90" i="9" s="1"/>
  <c r="AL91" i="9" s="1"/>
  <c r="AL92" i="9" s="1"/>
  <c r="AL93" i="9" s="1"/>
  <c r="AL94" i="9" s="1"/>
  <c r="AL95" i="9" s="1"/>
  <c r="AL96" i="9" s="1"/>
  <c r="AL97" i="9" s="1"/>
  <c r="AL98" i="9" s="1"/>
  <c r="AL99" i="9" s="1"/>
  <c r="AL100" i="9" s="1"/>
  <c r="AK87" i="9"/>
  <c r="AK88" i="9" s="1"/>
  <c r="AK89" i="9" s="1"/>
  <c r="AK90" i="9" s="1"/>
  <c r="AK91" i="9" s="1"/>
  <c r="AK92" i="9" s="1"/>
  <c r="AK93" i="9" s="1"/>
  <c r="AK94" i="9" s="1"/>
  <c r="AK95" i="9" s="1"/>
  <c r="AK96" i="9" s="1"/>
  <c r="AK97" i="9" s="1"/>
  <c r="AK98" i="9" s="1"/>
  <c r="AK99" i="9" s="1"/>
  <c r="AK100" i="9" s="1"/>
  <c r="AJ87" i="9"/>
  <c r="AJ88" i="9" s="1"/>
  <c r="AJ89" i="9" s="1"/>
  <c r="AJ90" i="9" s="1"/>
  <c r="AJ91" i="9" s="1"/>
  <c r="AJ92" i="9" s="1"/>
  <c r="AJ93" i="9" s="1"/>
  <c r="AJ94" i="9" s="1"/>
  <c r="AJ95" i="9" s="1"/>
  <c r="AJ96" i="9" s="1"/>
  <c r="AJ97" i="9" s="1"/>
  <c r="AJ98" i="9" s="1"/>
  <c r="AJ99" i="9" s="1"/>
  <c r="AJ100" i="9" s="1"/>
  <c r="BH72" i="9"/>
  <c r="BH73" i="9" s="1"/>
  <c r="BH74" i="9" s="1"/>
  <c r="BH75" i="9" s="1"/>
  <c r="BH76" i="9" s="1"/>
  <c r="BG72" i="9"/>
  <c r="BG73" i="9" s="1"/>
  <c r="BG74" i="9" s="1"/>
  <c r="BG75" i="9" s="1"/>
  <c r="BG76" i="9" s="1"/>
  <c r="BF72" i="9"/>
  <c r="BF73" i="9" s="1"/>
  <c r="BF74" i="9" s="1"/>
  <c r="BF75" i="9" s="1"/>
  <c r="BF76" i="9" s="1"/>
  <c r="BE72" i="9"/>
  <c r="BE73" i="9" s="1"/>
  <c r="BE74" i="9" s="1"/>
  <c r="BE75" i="9" s="1"/>
  <c r="BE76" i="9" s="1"/>
  <c r="BD72" i="9"/>
  <c r="BD73" i="9" s="1"/>
  <c r="BD74" i="9" s="1"/>
  <c r="BD75" i="9" s="1"/>
  <c r="BD76" i="9" s="1"/>
  <c r="BC72" i="9"/>
  <c r="BC73" i="9" s="1"/>
  <c r="BC74" i="9" s="1"/>
  <c r="BC75" i="9" s="1"/>
  <c r="BC76" i="9" s="1"/>
  <c r="AR72" i="9"/>
  <c r="AR73" i="9" s="1"/>
  <c r="AR74" i="9" s="1"/>
  <c r="AR75" i="9" s="1"/>
  <c r="AR76" i="9" s="1"/>
  <c r="AQ72" i="9"/>
  <c r="AQ73" i="9" s="1"/>
  <c r="AQ74" i="9" s="1"/>
  <c r="AQ75" i="9" s="1"/>
  <c r="AQ76" i="9" s="1"/>
  <c r="AP72" i="9"/>
  <c r="AP73" i="9" s="1"/>
  <c r="AP74" i="9" s="1"/>
  <c r="AP75" i="9" s="1"/>
  <c r="AP76" i="9" s="1"/>
  <c r="AO72" i="9"/>
  <c r="AO73" i="9" s="1"/>
  <c r="AO74" i="9" s="1"/>
  <c r="AO75" i="9" s="1"/>
  <c r="AO76" i="9" s="1"/>
  <c r="AN72" i="9"/>
  <c r="AN73" i="9" s="1"/>
  <c r="AN74" i="9" s="1"/>
  <c r="AN75" i="9" s="1"/>
  <c r="AN76" i="9" s="1"/>
  <c r="AM72" i="9"/>
  <c r="AM73" i="9" s="1"/>
  <c r="AM74" i="9" s="1"/>
  <c r="AM75" i="9" s="1"/>
  <c r="AM76" i="9" s="1"/>
  <c r="AL72" i="9"/>
  <c r="AL73" i="9" s="1"/>
  <c r="AL74" i="9" s="1"/>
  <c r="AL75" i="9" s="1"/>
  <c r="AL76" i="9" s="1"/>
  <c r="AK72" i="9"/>
  <c r="AK73" i="9" s="1"/>
  <c r="AK74" i="9" s="1"/>
  <c r="AK75" i="9" s="1"/>
  <c r="AK76" i="9" s="1"/>
  <c r="AJ72" i="9"/>
  <c r="AJ73" i="9" s="1"/>
  <c r="AJ74" i="9" s="1"/>
  <c r="AJ75" i="9" s="1"/>
  <c r="AJ76" i="9" s="1"/>
  <c r="BH62" i="9"/>
  <c r="BH63" i="9" s="1"/>
  <c r="BH64" i="9" s="1"/>
  <c r="BH65" i="9" s="1"/>
  <c r="BH66" i="9" s="1"/>
  <c r="BH67" i="9" s="1"/>
  <c r="BH68" i="9" s="1"/>
  <c r="BH69" i="9" s="1"/>
  <c r="BH70" i="9" s="1"/>
  <c r="BG62" i="9"/>
  <c r="BG63" i="9" s="1"/>
  <c r="BG64" i="9" s="1"/>
  <c r="BG65" i="9" s="1"/>
  <c r="BG66" i="9" s="1"/>
  <c r="BG67" i="9" s="1"/>
  <c r="BG68" i="9" s="1"/>
  <c r="BG69" i="9" s="1"/>
  <c r="BG70" i="9" s="1"/>
  <c r="BF62" i="9"/>
  <c r="BF63" i="9" s="1"/>
  <c r="BF64" i="9" s="1"/>
  <c r="BF65" i="9" s="1"/>
  <c r="BF66" i="9" s="1"/>
  <c r="BF67" i="9" s="1"/>
  <c r="BF68" i="9" s="1"/>
  <c r="BF69" i="9" s="1"/>
  <c r="BF70" i="9" s="1"/>
  <c r="BE62" i="9"/>
  <c r="BE63" i="9" s="1"/>
  <c r="BE64" i="9" s="1"/>
  <c r="BE65" i="9" s="1"/>
  <c r="BE66" i="9" s="1"/>
  <c r="BE67" i="9" s="1"/>
  <c r="BE68" i="9" s="1"/>
  <c r="BE69" i="9" s="1"/>
  <c r="BE70" i="9" s="1"/>
  <c r="BD62" i="9"/>
  <c r="BD63" i="9" s="1"/>
  <c r="BD64" i="9" s="1"/>
  <c r="BD65" i="9" s="1"/>
  <c r="BD66" i="9" s="1"/>
  <c r="BD67" i="9" s="1"/>
  <c r="BD68" i="9" s="1"/>
  <c r="BD69" i="9" s="1"/>
  <c r="BD70" i="9" s="1"/>
  <c r="BC62" i="9"/>
  <c r="BC63" i="9" s="1"/>
  <c r="BC64" i="9" s="1"/>
  <c r="BC65" i="9" s="1"/>
  <c r="BC66" i="9" s="1"/>
  <c r="BC67" i="9" s="1"/>
  <c r="BC68" i="9" s="1"/>
  <c r="BC69" i="9" s="1"/>
  <c r="BC70" i="9" s="1"/>
  <c r="AR62" i="9"/>
  <c r="AR63" i="9" s="1"/>
  <c r="AR64" i="9" s="1"/>
  <c r="AR65" i="9" s="1"/>
  <c r="AR66" i="9" s="1"/>
  <c r="AR67" i="9" s="1"/>
  <c r="AR68" i="9" s="1"/>
  <c r="AR69" i="9" s="1"/>
  <c r="AR70" i="9" s="1"/>
  <c r="AQ62" i="9"/>
  <c r="AQ63" i="9" s="1"/>
  <c r="AQ64" i="9" s="1"/>
  <c r="AQ65" i="9" s="1"/>
  <c r="AQ66" i="9" s="1"/>
  <c r="AQ67" i="9" s="1"/>
  <c r="AQ68" i="9" s="1"/>
  <c r="AQ69" i="9" s="1"/>
  <c r="AQ70" i="9" s="1"/>
  <c r="AP62" i="9"/>
  <c r="AP63" i="9" s="1"/>
  <c r="AP64" i="9" s="1"/>
  <c r="AP65" i="9" s="1"/>
  <c r="AP66" i="9" s="1"/>
  <c r="AP67" i="9" s="1"/>
  <c r="AP68" i="9" s="1"/>
  <c r="AP69" i="9" s="1"/>
  <c r="AP70" i="9" s="1"/>
  <c r="AO62" i="9"/>
  <c r="AO63" i="9" s="1"/>
  <c r="AO64" i="9" s="1"/>
  <c r="AO65" i="9" s="1"/>
  <c r="AO66" i="9" s="1"/>
  <c r="AO67" i="9" s="1"/>
  <c r="AO68" i="9" s="1"/>
  <c r="AO69" i="9" s="1"/>
  <c r="AO70" i="9" s="1"/>
  <c r="AN62" i="9"/>
  <c r="AN63" i="9" s="1"/>
  <c r="AN64" i="9" s="1"/>
  <c r="AN65" i="9" s="1"/>
  <c r="AN66" i="9" s="1"/>
  <c r="AN67" i="9" s="1"/>
  <c r="AN68" i="9" s="1"/>
  <c r="AN69" i="9" s="1"/>
  <c r="AN70" i="9" s="1"/>
  <c r="AM62" i="9"/>
  <c r="AM63" i="9" s="1"/>
  <c r="AM64" i="9" s="1"/>
  <c r="AM65" i="9" s="1"/>
  <c r="AM66" i="9" s="1"/>
  <c r="AM67" i="9" s="1"/>
  <c r="AM68" i="9" s="1"/>
  <c r="AM69" i="9" s="1"/>
  <c r="AM70" i="9" s="1"/>
  <c r="AL62" i="9"/>
  <c r="AL63" i="9" s="1"/>
  <c r="AL64" i="9" s="1"/>
  <c r="AL65" i="9" s="1"/>
  <c r="AL66" i="9" s="1"/>
  <c r="AL67" i="9" s="1"/>
  <c r="AL68" i="9" s="1"/>
  <c r="AL69" i="9" s="1"/>
  <c r="AL70" i="9" s="1"/>
  <c r="AK62" i="9"/>
  <c r="AK63" i="9" s="1"/>
  <c r="AK64" i="9" s="1"/>
  <c r="AK65" i="9" s="1"/>
  <c r="AK66" i="9" s="1"/>
  <c r="AK67" i="9" s="1"/>
  <c r="AK68" i="9" s="1"/>
  <c r="AK69" i="9" s="1"/>
  <c r="AK70" i="9" s="1"/>
  <c r="AJ62" i="9"/>
  <c r="AJ63" i="9" s="1"/>
  <c r="AJ64" i="9" s="1"/>
  <c r="AJ65" i="9" s="1"/>
  <c r="AJ66" i="9" s="1"/>
  <c r="AJ67" i="9" s="1"/>
  <c r="AJ68" i="9" s="1"/>
  <c r="AJ69" i="9" s="1"/>
  <c r="AJ70" i="9" s="1"/>
  <c r="AR52" i="9"/>
  <c r="AR53" i="9" s="1"/>
  <c r="AR54" i="9" s="1"/>
  <c r="AR55" i="9" s="1"/>
  <c r="AQ52" i="9"/>
  <c r="AQ53" i="9" s="1"/>
  <c r="AQ54" i="9" s="1"/>
  <c r="AQ55" i="9" s="1"/>
  <c r="AP52" i="9"/>
  <c r="AP53" i="9" s="1"/>
  <c r="AP54" i="9" s="1"/>
  <c r="AP55" i="9" s="1"/>
  <c r="AO52" i="9"/>
  <c r="AO53" i="9" s="1"/>
  <c r="AO54" i="9" s="1"/>
  <c r="AO55" i="9" s="1"/>
  <c r="AN52" i="9"/>
  <c r="AN53" i="9" s="1"/>
  <c r="AN54" i="9" s="1"/>
  <c r="AN55" i="9" s="1"/>
  <c r="AM52" i="9"/>
  <c r="AM53" i="9" s="1"/>
  <c r="AM54" i="9" s="1"/>
  <c r="AM55" i="9" s="1"/>
  <c r="AL52" i="9"/>
  <c r="AL53" i="9" s="1"/>
  <c r="AL54" i="9" s="1"/>
  <c r="AL55" i="9" s="1"/>
  <c r="AK52" i="9"/>
  <c r="AK53" i="9" s="1"/>
  <c r="AK54" i="9" s="1"/>
  <c r="AK55" i="9" s="1"/>
  <c r="AJ52" i="9"/>
  <c r="AJ53" i="9" s="1"/>
  <c r="AJ54" i="9" s="1"/>
  <c r="AJ55" i="9" s="1"/>
  <c r="AR42" i="9"/>
  <c r="AR43" i="9" s="1"/>
  <c r="AR44" i="9" s="1"/>
  <c r="AR45" i="9" s="1"/>
  <c r="AR46" i="9" s="1"/>
  <c r="AR47" i="9" s="1"/>
  <c r="AR48" i="9" s="1"/>
  <c r="AR49" i="9" s="1"/>
  <c r="AR50" i="9" s="1"/>
  <c r="AQ42" i="9"/>
  <c r="AQ43" i="9" s="1"/>
  <c r="AQ44" i="9" s="1"/>
  <c r="AQ45" i="9" s="1"/>
  <c r="AQ46" i="9" s="1"/>
  <c r="AQ47" i="9" s="1"/>
  <c r="AQ48" i="9" s="1"/>
  <c r="AQ49" i="9" s="1"/>
  <c r="AQ50" i="9" s="1"/>
  <c r="AP42" i="9"/>
  <c r="AP43" i="9" s="1"/>
  <c r="AP44" i="9" s="1"/>
  <c r="AP45" i="9" s="1"/>
  <c r="AP46" i="9" s="1"/>
  <c r="AP47" i="9" s="1"/>
  <c r="AP48" i="9" s="1"/>
  <c r="AP49" i="9" s="1"/>
  <c r="AP50" i="9" s="1"/>
  <c r="AO42" i="9"/>
  <c r="AO43" i="9" s="1"/>
  <c r="AO44" i="9" s="1"/>
  <c r="AO45" i="9" s="1"/>
  <c r="AO46" i="9" s="1"/>
  <c r="AO47" i="9" s="1"/>
  <c r="AO48" i="9" s="1"/>
  <c r="AO49" i="9" s="1"/>
  <c r="AO50" i="9" s="1"/>
  <c r="AN42" i="9"/>
  <c r="AN43" i="9" s="1"/>
  <c r="AN44" i="9" s="1"/>
  <c r="AN45" i="9" s="1"/>
  <c r="AN46" i="9" s="1"/>
  <c r="AN47" i="9" s="1"/>
  <c r="AN48" i="9" s="1"/>
  <c r="AN49" i="9" s="1"/>
  <c r="AN50" i="9" s="1"/>
  <c r="AM42" i="9"/>
  <c r="AM43" i="9" s="1"/>
  <c r="AM44" i="9" s="1"/>
  <c r="AM45" i="9" s="1"/>
  <c r="AM46" i="9" s="1"/>
  <c r="AM47" i="9" s="1"/>
  <c r="AM48" i="9" s="1"/>
  <c r="AM49" i="9" s="1"/>
  <c r="AM50" i="9" s="1"/>
  <c r="AL42" i="9"/>
  <c r="AL43" i="9" s="1"/>
  <c r="AL44" i="9" s="1"/>
  <c r="AL45" i="9" s="1"/>
  <c r="AL46" i="9" s="1"/>
  <c r="AL47" i="9" s="1"/>
  <c r="AL48" i="9" s="1"/>
  <c r="AL49" i="9" s="1"/>
  <c r="AL50" i="9" s="1"/>
  <c r="AK42" i="9"/>
  <c r="AK43" i="9" s="1"/>
  <c r="AK44" i="9" s="1"/>
  <c r="AK45" i="9" s="1"/>
  <c r="AK46" i="9" s="1"/>
  <c r="AK47" i="9" s="1"/>
  <c r="AK48" i="9" s="1"/>
  <c r="AK49" i="9" s="1"/>
  <c r="AK50" i="9" s="1"/>
  <c r="AJ42" i="9"/>
  <c r="AJ43" i="9" s="1"/>
  <c r="AJ44" i="9" s="1"/>
  <c r="AJ45" i="9" s="1"/>
  <c r="AJ46" i="9" s="1"/>
  <c r="AJ47" i="9" s="1"/>
  <c r="AJ48" i="9" s="1"/>
  <c r="AJ49" i="9" s="1"/>
  <c r="AJ50" i="9" s="1"/>
  <c r="AR27" i="9"/>
  <c r="AR28" i="9" s="1"/>
  <c r="AR29" i="9" s="1"/>
  <c r="AR30" i="9" s="1"/>
  <c r="AR31" i="9" s="1"/>
  <c r="AR32" i="9" s="1"/>
  <c r="AR33" i="9" s="1"/>
  <c r="AR34" i="9" s="1"/>
  <c r="AR35" i="9" s="1"/>
  <c r="AR36" i="9" s="1"/>
  <c r="AR37" i="9" s="1"/>
  <c r="AR38" i="9" s="1"/>
  <c r="AR39" i="9" s="1"/>
  <c r="AR40" i="9" s="1"/>
  <c r="AQ27" i="9"/>
  <c r="AQ28" i="9" s="1"/>
  <c r="AQ29" i="9" s="1"/>
  <c r="AQ30" i="9" s="1"/>
  <c r="AQ31" i="9" s="1"/>
  <c r="AQ32" i="9" s="1"/>
  <c r="AQ33" i="9" s="1"/>
  <c r="AQ34" i="9" s="1"/>
  <c r="AQ35" i="9" s="1"/>
  <c r="AQ36" i="9" s="1"/>
  <c r="AQ37" i="9" s="1"/>
  <c r="AQ38" i="9" s="1"/>
  <c r="AQ39" i="9" s="1"/>
  <c r="AQ40" i="9" s="1"/>
  <c r="AP27" i="9"/>
  <c r="AP28" i="9" s="1"/>
  <c r="AP29" i="9" s="1"/>
  <c r="AP30" i="9" s="1"/>
  <c r="AP31" i="9" s="1"/>
  <c r="AP32" i="9" s="1"/>
  <c r="AP33" i="9" s="1"/>
  <c r="AP34" i="9" s="1"/>
  <c r="AP35" i="9" s="1"/>
  <c r="AP36" i="9" s="1"/>
  <c r="AP37" i="9" s="1"/>
  <c r="AP38" i="9" s="1"/>
  <c r="AP39" i="9" s="1"/>
  <c r="AP40" i="9" s="1"/>
  <c r="AO27" i="9"/>
  <c r="AO28" i="9" s="1"/>
  <c r="AO29" i="9" s="1"/>
  <c r="AO30" i="9" s="1"/>
  <c r="AO31" i="9" s="1"/>
  <c r="AO32" i="9" s="1"/>
  <c r="AO33" i="9" s="1"/>
  <c r="AO34" i="9" s="1"/>
  <c r="AO35" i="9" s="1"/>
  <c r="AO36" i="9" s="1"/>
  <c r="AO37" i="9" s="1"/>
  <c r="AO38" i="9" s="1"/>
  <c r="AO39" i="9" s="1"/>
  <c r="AO40" i="9" s="1"/>
  <c r="AN27" i="9"/>
  <c r="AN28" i="9" s="1"/>
  <c r="AN29" i="9" s="1"/>
  <c r="AN30" i="9" s="1"/>
  <c r="AN31" i="9" s="1"/>
  <c r="AN32" i="9" s="1"/>
  <c r="AN33" i="9" s="1"/>
  <c r="AN34" i="9" s="1"/>
  <c r="AN35" i="9" s="1"/>
  <c r="AN36" i="9" s="1"/>
  <c r="AN37" i="9" s="1"/>
  <c r="AN38" i="9" s="1"/>
  <c r="AN39" i="9" s="1"/>
  <c r="AN40" i="9" s="1"/>
  <c r="AM27" i="9"/>
  <c r="AM28" i="9" s="1"/>
  <c r="AM29" i="9" s="1"/>
  <c r="AM30" i="9" s="1"/>
  <c r="AM31" i="9" s="1"/>
  <c r="AM32" i="9" s="1"/>
  <c r="AM33" i="9" s="1"/>
  <c r="AM34" i="9" s="1"/>
  <c r="AM35" i="9" s="1"/>
  <c r="AM36" i="9" s="1"/>
  <c r="AM37" i="9" s="1"/>
  <c r="AM38" i="9" s="1"/>
  <c r="AM39" i="9" s="1"/>
  <c r="AM40" i="9" s="1"/>
  <c r="AL27" i="9"/>
  <c r="AL28" i="9" s="1"/>
  <c r="AL29" i="9" s="1"/>
  <c r="AL30" i="9" s="1"/>
  <c r="AL31" i="9" s="1"/>
  <c r="AL32" i="9" s="1"/>
  <c r="AL33" i="9" s="1"/>
  <c r="AL34" i="9" s="1"/>
  <c r="AL35" i="9" s="1"/>
  <c r="AL36" i="9" s="1"/>
  <c r="AL37" i="9" s="1"/>
  <c r="AL38" i="9" s="1"/>
  <c r="AL39" i="9" s="1"/>
  <c r="AL40" i="9" s="1"/>
  <c r="AK27" i="9"/>
  <c r="AK28" i="9" s="1"/>
  <c r="AK29" i="9" s="1"/>
  <c r="AK30" i="9" s="1"/>
  <c r="AK31" i="9" s="1"/>
  <c r="AK32" i="9" s="1"/>
  <c r="AK33" i="9" s="1"/>
  <c r="AK34" i="9" s="1"/>
  <c r="AK35" i="9" s="1"/>
  <c r="AK36" i="9" s="1"/>
  <c r="AK37" i="9" s="1"/>
  <c r="AK38" i="9" s="1"/>
  <c r="AK39" i="9" s="1"/>
  <c r="AK40" i="9" s="1"/>
  <c r="AJ27" i="9"/>
  <c r="AJ28" i="9" s="1"/>
  <c r="AJ29" i="9" s="1"/>
  <c r="AJ30" i="9" s="1"/>
  <c r="AJ31" i="9" s="1"/>
  <c r="AJ32" i="9" s="1"/>
  <c r="AJ33" i="9" s="1"/>
  <c r="AJ34" i="9" s="1"/>
  <c r="AJ35" i="9" s="1"/>
  <c r="AJ36" i="9" s="1"/>
  <c r="AJ37" i="9" s="1"/>
  <c r="AJ38" i="9" s="1"/>
  <c r="AJ39" i="9" s="1"/>
  <c r="AJ40" i="9" s="1"/>
  <c r="AR15" i="9"/>
  <c r="AR16" i="9" s="1"/>
  <c r="AR17" i="9" s="1"/>
  <c r="AR18" i="9" s="1"/>
  <c r="AR19" i="9" s="1"/>
  <c r="AR20" i="9" s="1"/>
  <c r="AR21" i="9" s="1"/>
  <c r="AR22" i="9" s="1"/>
  <c r="AR23" i="9" s="1"/>
  <c r="AR24" i="9" s="1"/>
  <c r="AR25" i="9" s="1"/>
  <c r="AQ15" i="9"/>
  <c r="AQ16" i="9" s="1"/>
  <c r="AQ17" i="9" s="1"/>
  <c r="AQ18" i="9" s="1"/>
  <c r="AQ19" i="9" s="1"/>
  <c r="AQ20" i="9" s="1"/>
  <c r="AQ21" i="9" s="1"/>
  <c r="AQ22" i="9" s="1"/>
  <c r="AQ23" i="9" s="1"/>
  <c r="AQ24" i="9" s="1"/>
  <c r="AQ25" i="9" s="1"/>
  <c r="AP15" i="9"/>
  <c r="AP16" i="9" s="1"/>
  <c r="AP17" i="9" s="1"/>
  <c r="AP18" i="9" s="1"/>
  <c r="AP19" i="9" s="1"/>
  <c r="AP20" i="9" s="1"/>
  <c r="AP21" i="9" s="1"/>
  <c r="AP22" i="9" s="1"/>
  <c r="AP23" i="9" s="1"/>
  <c r="AP24" i="9" s="1"/>
  <c r="AP25" i="9" s="1"/>
  <c r="AO15" i="9"/>
  <c r="AO16" i="9" s="1"/>
  <c r="AO17" i="9" s="1"/>
  <c r="AO18" i="9" s="1"/>
  <c r="AO19" i="9" s="1"/>
  <c r="AO20" i="9" s="1"/>
  <c r="AO21" i="9" s="1"/>
  <c r="AO22" i="9" s="1"/>
  <c r="AO23" i="9" s="1"/>
  <c r="AO24" i="9" s="1"/>
  <c r="AO25" i="9" s="1"/>
  <c r="AN15" i="9"/>
  <c r="AN16" i="9" s="1"/>
  <c r="AN17" i="9" s="1"/>
  <c r="AN18" i="9" s="1"/>
  <c r="AN19" i="9" s="1"/>
  <c r="AN20" i="9" s="1"/>
  <c r="AN21" i="9" s="1"/>
  <c r="AN22" i="9" s="1"/>
  <c r="AN23" i="9" s="1"/>
  <c r="AN24" i="9" s="1"/>
  <c r="AN25" i="9" s="1"/>
  <c r="AM15" i="9"/>
  <c r="AM16" i="9" s="1"/>
  <c r="AM17" i="9" s="1"/>
  <c r="AM18" i="9" s="1"/>
  <c r="AM19" i="9" s="1"/>
  <c r="AM20" i="9" s="1"/>
  <c r="AM21" i="9" s="1"/>
  <c r="AM22" i="9" s="1"/>
  <c r="AM23" i="9" s="1"/>
  <c r="AM24" i="9" s="1"/>
  <c r="AM25" i="9" s="1"/>
  <c r="AL15" i="9"/>
  <c r="AL16" i="9" s="1"/>
  <c r="AL17" i="9" s="1"/>
  <c r="AL18" i="9" s="1"/>
  <c r="AL19" i="9" s="1"/>
  <c r="AL20" i="9" s="1"/>
  <c r="AL21" i="9" s="1"/>
  <c r="AL22" i="9" s="1"/>
  <c r="AL23" i="9" s="1"/>
  <c r="AL24" i="9" s="1"/>
  <c r="AL25" i="9" s="1"/>
  <c r="AK15" i="9"/>
  <c r="AK16" i="9" s="1"/>
  <c r="AK17" i="9" s="1"/>
  <c r="AK18" i="9" s="1"/>
  <c r="AK19" i="9" s="1"/>
  <c r="AK20" i="9" s="1"/>
  <c r="AK21" i="9" s="1"/>
  <c r="AK22" i="9" s="1"/>
  <c r="AK23" i="9" s="1"/>
  <c r="AK24" i="9" s="1"/>
  <c r="AK25" i="9" s="1"/>
  <c r="AJ15" i="9"/>
  <c r="AJ16" i="9" s="1"/>
  <c r="AJ17" i="9" s="1"/>
  <c r="AJ18" i="9" s="1"/>
  <c r="AJ19" i="9" s="1"/>
  <c r="AJ20" i="9" s="1"/>
  <c r="AJ21" i="9" s="1"/>
  <c r="AJ22" i="9" s="1"/>
  <c r="AJ23" i="9" s="1"/>
  <c r="AJ24" i="9" s="1"/>
  <c r="AJ25" i="9" s="1"/>
  <c r="AL3" i="9"/>
  <c r="AJ253" i="8"/>
  <c r="AI253" i="8"/>
  <c r="AJ252" i="8"/>
  <c r="AI252" i="8"/>
  <c r="AJ251" i="8"/>
  <c r="AI251" i="8"/>
  <c r="AJ250" i="8"/>
  <c r="AI250" i="8"/>
  <c r="AJ249" i="8"/>
  <c r="AI249" i="8"/>
  <c r="AJ248" i="8"/>
  <c r="AI248" i="8"/>
  <c r="AJ247" i="8"/>
  <c r="AI247" i="8"/>
  <c r="AJ246" i="8"/>
  <c r="AI246" i="8"/>
  <c r="AJ245" i="8"/>
  <c r="AI245" i="8"/>
  <c r="AJ244" i="8"/>
  <c r="AI244" i="8"/>
  <c r="AJ243" i="8"/>
  <c r="AI243" i="8"/>
  <c r="AJ242" i="8"/>
  <c r="AI242" i="8"/>
  <c r="AJ241" i="8"/>
  <c r="AI241" i="8"/>
  <c r="AJ240" i="8"/>
  <c r="AI240" i="8"/>
  <c r="AZ239" i="8"/>
  <c r="AZ240" i="8" s="1"/>
  <c r="AZ241" i="8" s="1"/>
  <c r="AZ242" i="8" s="1"/>
  <c r="AZ243" i="8" s="1"/>
  <c r="AZ244" i="8" s="1"/>
  <c r="AZ245" i="8" s="1"/>
  <c r="AZ246" i="8" s="1"/>
  <c r="AZ247" i="8" s="1"/>
  <c r="AZ248" i="8" s="1"/>
  <c r="AZ249" i="8" s="1"/>
  <c r="AZ250" i="8" s="1"/>
  <c r="AZ251" i="8" s="1"/>
  <c r="AZ252" i="8" s="1"/>
  <c r="AY239" i="8"/>
  <c r="AY240" i="8" s="1"/>
  <c r="AY241" i="8" s="1"/>
  <c r="AY242" i="8" s="1"/>
  <c r="AY243" i="8" s="1"/>
  <c r="AY244" i="8" s="1"/>
  <c r="AY245" i="8" s="1"/>
  <c r="AY246" i="8" s="1"/>
  <c r="AY247" i="8" s="1"/>
  <c r="AY248" i="8" s="1"/>
  <c r="AY249" i="8" s="1"/>
  <c r="AY250" i="8" s="1"/>
  <c r="AY251" i="8" s="1"/>
  <c r="AY252" i="8" s="1"/>
  <c r="AX239" i="8"/>
  <c r="AX240" i="8" s="1"/>
  <c r="AX241" i="8" s="1"/>
  <c r="AX242" i="8" s="1"/>
  <c r="AX243" i="8" s="1"/>
  <c r="AX244" i="8" s="1"/>
  <c r="AX245" i="8" s="1"/>
  <c r="AX246" i="8" s="1"/>
  <c r="AX247" i="8" s="1"/>
  <c r="AX248" i="8" s="1"/>
  <c r="AX249" i="8" s="1"/>
  <c r="AX250" i="8" s="1"/>
  <c r="AX251" i="8" s="1"/>
  <c r="AX252" i="8" s="1"/>
  <c r="AW239" i="8"/>
  <c r="AW240" i="8" s="1"/>
  <c r="AW241" i="8" s="1"/>
  <c r="AW242" i="8" s="1"/>
  <c r="AW243" i="8" s="1"/>
  <c r="AW244" i="8" s="1"/>
  <c r="AW245" i="8" s="1"/>
  <c r="AW246" i="8" s="1"/>
  <c r="AW247" i="8" s="1"/>
  <c r="AW248" i="8" s="1"/>
  <c r="AW249" i="8" s="1"/>
  <c r="AW250" i="8" s="1"/>
  <c r="AW251" i="8" s="1"/>
  <c r="AW252" i="8" s="1"/>
  <c r="AO239" i="8"/>
  <c r="AO240" i="8" s="1"/>
  <c r="AO241" i="8" s="1"/>
  <c r="AO242" i="8" s="1"/>
  <c r="AO243" i="8" s="1"/>
  <c r="AO244" i="8" s="1"/>
  <c r="AO245" i="8" s="1"/>
  <c r="AO246" i="8" s="1"/>
  <c r="AO247" i="8" s="1"/>
  <c r="AO248" i="8" s="1"/>
  <c r="AO249" i="8" s="1"/>
  <c r="AO250" i="8" s="1"/>
  <c r="AO251" i="8" s="1"/>
  <c r="AO252" i="8" s="1"/>
  <c r="AN239" i="8"/>
  <c r="AN240" i="8" s="1"/>
  <c r="AN241" i="8" s="1"/>
  <c r="AN242" i="8" s="1"/>
  <c r="AN243" i="8" s="1"/>
  <c r="AN244" i="8" s="1"/>
  <c r="AN245" i="8" s="1"/>
  <c r="AN246" i="8" s="1"/>
  <c r="AN247" i="8" s="1"/>
  <c r="AN248" i="8" s="1"/>
  <c r="AN249" i="8" s="1"/>
  <c r="AN250" i="8" s="1"/>
  <c r="AN251" i="8" s="1"/>
  <c r="AN252" i="8" s="1"/>
  <c r="AM239" i="8"/>
  <c r="AM240" i="8" s="1"/>
  <c r="AM241" i="8" s="1"/>
  <c r="AM242" i="8" s="1"/>
  <c r="AM243" i="8" s="1"/>
  <c r="AM244" i="8" s="1"/>
  <c r="AM245" i="8" s="1"/>
  <c r="AM246" i="8" s="1"/>
  <c r="AM247" i="8" s="1"/>
  <c r="AM248" i="8" s="1"/>
  <c r="AM249" i="8" s="1"/>
  <c r="AM250" i="8" s="1"/>
  <c r="AM251" i="8" s="1"/>
  <c r="AM252" i="8" s="1"/>
  <c r="AL239" i="8"/>
  <c r="AL240" i="8" s="1"/>
  <c r="AL241" i="8" s="1"/>
  <c r="AL242" i="8" s="1"/>
  <c r="AL243" i="8" s="1"/>
  <c r="AL244" i="8" s="1"/>
  <c r="AL245" i="8" s="1"/>
  <c r="AL246" i="8" s="1"/>
  <c r="AL247" i="8" s="1"/>
  <c r="AL248" i="8" s="1"/>
  <c r="AL249" i="8" s="1"/>
  <c r="AL250" i="8" s="1"/>
  <c r="AL251" i="8" s="1"/>
  <c r="AL252" i="8" s="1"/>
  <c r="AJ239" i="8"/>
  <c r="AI239" i="8"/>
  <c r="AJ238" i="8"/>
  <c r="AI238" i="8"/>
  <c r="AJ237" i="8"/>
  <c r="AI237" i="8"/>
  <c r="AJ236" i="8"/>
  <c r="AI236" i="8"/>
  <c r="AJ235" i="8"/>
  <c r="AI235" i="8"/>
  <c r="AJ234" i="8"/>
  <c r="AI234" i="8"/>
  <c r="AJ233" i="8"/>
  <c r="AI233" i="8"/>
  <c r="AJ232" i="8"/>
  <c r="AI232" i="8"/>
  <c r="AJ231" i="8"/>
  <c r="AI231" i="8"/>
  <c r="AJ230" i="8"/>
  <c r="AI230" i="8"/>
  <c r="AJ229" i="8"/>
  <c r="AI229" i="8"/>
  <c r="AJ228" i="8"/>
  <c r="AI228" i="8"/>
  <c r="AJ227" i="8"/>
  <c r="AI227" i="8"/>
  <c r="AJ226" i="8"/>
  <c r="AI226" i="8"/>
  <c r="AJ225" i="8"/>
  <c r="AI225" i="8"/>
  <c r="AZ224" i="8"/>
  <c r="AZ225" i="8" s="1"/>
  <c r="AZ226" i="8" s="1"/>
  <c r="AZ227" i="8" s="1"/>
  <c r="AZ228" i="8" s="1"/>
  <c r="AZ229" i="8" s="1"/>
  <c r="AZ230" i="8" s="1"/>
  <c r="AZ231" i="8" s="1"/>
  <c r="AZ232" i="8" s="1"/>
  <c r="AZ233" i="8" s="1"/>
  <c r="AZ234" i="8" s="1"/>
  <c r="AZ235" i="8" s="1"/>
  <c r="AZ236" i="8" s="1"/>
  <c r="AZ237" i="8" s="1"/>
  <c r="AY224" i="8"/>
  <c r="AY225" i="8" s="1"/>
  <c r="AY226" i="8" s="1"/>
  <c r="AY227" i="8" s="1"/>
  <c r="AY228" i="8" s="1"/>
  <c r="AY229" i="8" s="1"/>
  <c r="AY230" i="8" s="1"/>
  <c r="AY231" i="8" s="1"/>
  <c r="AY232" i="8" s="1"/>
  <c r="AY233" i="8" s="1"/>
  <c r="AY234" i="8" s="1"/>
  <c r="AY235" i="8" s="1"/>
  <c r="AY236" i="8" s="1"/>
  <c r="AY237" i="8" s="1"/>
  <c r="AX224" i="8"/>
  <c r="AX225" i="8" s="1"/>
  <c r="AX226" i="8" s="1"/>
  <c r="AX227" i="8" s="1"/>
  <c r="AX228" i="8" s="1"/>
  <c r="AX229" i="8" s="1"/>
  <c r="AX230" i="8" s="1"/>
  <c r="AX231" i="8" s="1"/>
  <c r="AX232" i="8" s="1"/>
  <c r="AX233" i="8" s="1"/>
  <c r="AX234" i="8" s="1"/>
  <c r="AX235" i="8" s="1"/>
  <c r="AX236" i="8" s="1"/>
  <c r="AX237" i="8" s="1"/>
  <c r="AW224" i="8"/>
  <c r="AW225" i="8" s="1"/>
  <c r="AW226" i="8" s="1"/>
  <c r="AW227" i="8" s="1"/>
  <c r="AW228" i="8" s="1"/>
  <c r="AW229" i="8" s="1"/>
  <c r="AW230" i="8" s="1"/>
  <c r="AW231" i="8" s="1"/>
  <c r="AW232" i="8" s="1"/>
  <c r="AW233" i="8" s="1"/>
  <c r="AW234" i="8" s="1"/>
  <c r="AW235" i="8" s="1"/>
  <c r="AW236" i="8" s="1"/>
  <c r="AW237" i="8" s="1"/>
  <c r="AO224" i="8"/>
  <c r="AO225" i="8" s="1"/>
  <c r="AO226" i="8" s="1"/>
  <c r="AO227" i="8" s="1"/>
  <c r="AO228" i="8" s="1"/>
  <c r="AO229" i="8" s="1"/>
  <c r="AO230" i="8" s="1"/>
  <c r="AO231" i="8" s="1"/>
  <c r="AO232" i="8" s="1"/>
  <c r="AO233" i="8" s="1"/>
  <c r="AO234" i="8" s="1"/>
  <c r="AO235" i="8" s="1"/>
  <c r="AO236" i="8" s="1"/>
  <c r="AO237" i="8" s="1"/>
  <c r="AN224" i="8"/>
  <c r="AN225" i="8" s="1"/>
  <c r="AN226" i="8" s="1"/>
  <c r="AN227" i="8" s="1"/>
  <c r="AN228" i="8" s="1"/>
  <c r="AN229" i="8" s="1"/>
  <c r="AN230" i="8" s="1"/>
  <c r="AN231" i="8" s="1"/>
  <c r="AN232" i="8" s="1"/>
  <c r="AN233" i="8" s="1"/>
  <c r="AN234" i="8" s="1"/>
  <c r="AN235" i="8" s="1"/>
  <c r="AN236" i="8" s="1"/>
  <c r="AN237" i="8" s="1"/>
  <c r="AM224" i="8"/>
  <c r="AM225" i="8" s="1"/>
  <c r="AM226" i="8" s="1"/>
  <c r="AM227" i="8" s="1"/>
  <c r="AM228" i="8" s="1"/>
  <c r="AM229" i="8" s="1"/>
  <c r="AM230" i="8" s="1"/>
  <c r="AM231" i="8" s="1"/>
  <c r="AM232" i="8" s="1"/>
  <c r="AM233" i="8" s="1"/>
  <c r="AM234" i="8" s="1"/>
  <c r="AM235" i="8" s="1"/>
  <c r="AM236" i="8" s="1"/>
  <c r="AM237" i="8" s="1"/>
  <c r="AL224" i="8"/>
  <c r="AL225" i="8" s="1"/>
  <c r="AL226" i="8" s="1"/>
  <c r="AL227" i="8" s="1"/>
  <c r="AL228" i="8" s="1"/>
  <c r="AL229" i="8" s="1"/>
  <c r="AL230" i="8" s="1"/>
  <c r="AL231" i="8" s="1"/>
  <c r="AL232" i="8" s="1"/>
  <c r="AL233" i="8" s="1"/>
  <c r="AL234" i="8" s="1"/>
  <c r="AL235" i="8" s="1"/>
  <c r="AL236" i="8" s="1"/>
  <c r="AL237" i="8" s="1"/>
  <c r="AJ224" i="8"/>
  <c r="AI224" i="8"/>
  <c r="AJ223" i="8"/>
  <c r="AI223" i="8"/>
  <c r="AJ222" i="8"/>
  <c r="AI222" i="8"/>
  <c r="AJ221" i="8"/>
  <c r="AI221" i="8"/>
  <c r="AJ220" i="8"/>
  <c r="AI220" i="8"/>
  <c r="AJ219" i="8"/>
  <c r="AI219" i="8"/>
  <c r="AJ218" i="8"/>
  <c r="AI218" i="8"/>
  <c r="AJ217" i="8"/>
  <c r="AI217" i="8"/>
  <c r="AJ216" i="8"/>
  <c r="AI216" i="8"/>
  <c r="AJ215" i="8"/>
  <c r="AI215" i="8"/>
  <c r="AJ214" i="8"/>
  <c r="AI214" i="8"/>
  <c r="AJ213" i="8"/>
  <c r="AI213" i="8"/>
  <c r="AJ212" i="8"/>
  <c r="AI212" i="8"/>
  <c r="AJ211" i="8"/>
  <c r="AI211" i="8"/>
  <c r="AJ210" i="8"/>
  <c r="AI210" i="8"/>
  <c r="AZ209" i="8"/>
  <c r="AZ210" i="8" s="1"/>
  <c r="AZ211" i="8" s="1"/>
  <c r="AZ212" i="8" s="1"/>
  <c r="AZ213" i="8" s="1"/>
  <c r="AZ214" i="8" s="1"/>
  <c r="AZ215" i="8" s="1"/>
  <c r="AZ216" i="8" s="1"/>
  <c r="AZ217" i="8" s="1"/>
  <c r="AZ218" i="8" s="1"/>
  <c r="AZ219" i="8" s="1"/>
  <c r="AZ220" i="8" s="1"/>
  <c r="AZ221" i="8" s="1"/>
  <c r="AZ222" i="8" s="1"/>
  <c r="AY209" i="8"/>
  <c r="AY210" i="8" s="1"/>
  <c r="AY211" i="8" s="1"/>
  <c r="AY212" i="8" s="1"/>
  <c r="AY213" i="8" s="1"/>
  <c r="AY214" i="8" s="1"/>
  <c r="AY215" i="8" s="1"/>
  <c r="AY216" i="8" s="1"/>
  <c r="AY217" i="8" s="1"/>
  <c r="AY218" i="8" s="1"/>
  <c r="AY219" i="8" s="1"/>
  <c r="AY220" i="8" s="1"/>
  <c r="AY221" i="8" s="1"/>
  <c r="AY222" i="8" s="1"/>
  <c r="AX209" i="8"/>
  <c r="AX210" i="8" s="1"/>
  <c r="AX211" i="8" s="1"/>
  <c r="AX212" i="8" s="1"/>
  <c r="AX213" i="8" s="1"/>
  <c r="AX214" i="8" s="1"/>
  <c r="AX215" i="8" s="1"/>
  <c r="AX216" i="8" s="1"/>
  <c r="AX217" i="8" s="1"/>
  <c r="AX218" i="8" s="1"/>
  <c r="AX219" i="8" s="1"/>
  <c r="AX220" i="8" s="1"/>
  <c r="AX221" i="8" s="1"/>
  <c r="AX222" i="8" s="1"/>
  <c r="AW209" i="8"/>
  <c r="AW210" i="8" s="1"/>
  <c r="AW211" i="8" s="1"/>
  <c r="AW212" i="8" s="1"/>
  <c r="AW213" i="8" s="1"/>
  <c r="AW214" i="8" s="1"/>
  <c r="AW215" i="8" s="1"/>
  <c r="AW216" i="8" s="1"/>
  <c r="AW217" i="8" s="1"/>
  <c r="AW218" i="8" s="1"/>
  <c r="AW219" i="8" s="1"/>
  <c r="AW220" i="8" s="1"/>
  <c r="AW221" i="8" s="1"/>
  <c r="AW222" i="8" s="1"/>
  <c r="AO209" i="8"/>
  <c r="AO210" i="8" s="1"/>
  <c r="AO211" i="8" s="1"/>
  <c r="AO212" i="8" s="1"/>
  <c r="AO213" i="8" s="1"/>
  <c r="AO214" i="8" s="1"/>
  <c r="AO215" i="8" s="1"/>
  <c r="AO216" i="8" s="1"/>
  <c r="AO217" i="8" s="1"/>
  <c r="AO218" i="8" s="1"/>
  <c r="AO219" i="8" s="1"/>
  <c r="AO220" i="8" s="1"/>
  <c r="AO221" i="8" s="1"/>
  <c r="AO222" i="8" s="1"/>
  <c r="AN209" i="8"/>
  <c r="AN210" i="8" s="1"/>
  <c r="AN211" i="8" s="1"/>
  <c r="AN212" i="8" s="1"/>
  <c r="AN213" i="8" s="1"/>
  <c r="AN214" i="8" s="1"/>
  <c r="AN215" i="8" s="1"/>
  <c r="AN216" i="8" s="1"/>
  <c r="AN217" i="8" s="1"/>
  <c r="AN218" i="8" s="1"/>
  <c r="AN219" i="8" s="1"/>
  <c r="AN220" i="8" s="1"/>
  <c r="AN221" i="8" s="1"/>
  <c r="AN222" i="8" s="1"/>
  <c r="AM209" i="8"/>
  <c r="AM210" i="8" s="1"/>
  <c r="AM211" i="8" s="1"/>
  <c r="AM212" i="8" s="1"/>
  <c r="AM213" i="8" s="1"/>
  <c r="AM214" i="8" s="1"/>
  <c r="AM215" i="8" s="1"/>
  <c r="AM216" i="8" s="1"/>
  <c r="AM217" i="8" s="1"/>
  <c r="AM218" i="8" s="1"/>
  <c r="AM219" i="8" s="1"/>
  <c r="AM220" i="8" s="1"/>
  <c r="AM221" i="8" s="1"/>
  <c r="AM222" i="8" s="1"/>
  <c r="AL209" i="8"/>
  <c r="AL210" i="8" s="1"/>
  <c r="AL211" i="8" s="1"/>
  <c r="AL212" i="8" s="1"/>
  <c r="AL213" i="8" s="1"/>
  <c r="AL214" i="8" s="1"/>
  <c r="AL215" i="8" s="1"/>
  <c r="AL216" i="8" s="1"/>
  <c r="AL217" i="8" s="1"/>
  <c r="AL218" i="8" s="1"/>
  <c r="AL219" i="8" s="1"/>
  <c r="AL220" i="8" s="1"/>
  <c r="AL221" i="8" s="1"/>
  <c r="AL222" i="8" s="1"/>
  <c r="AJ209" i="8"/>
  <c r="AI209" i="8"/>
  <c r="AJ208" i="8"/>
  <c r="AI208" i="8"/>
  <c r="AJ207" i="8"/>
  <c r="AI207" i="8"/>
  <c r="AJ206" i="8"/>
  <c r="AI206" i="8"/>
  <c r="AJ205" i="8"/>
  <c r="AI205" i="8"/>
  <c r="AJ204" i="8"/>
  <c r="AI204" i="8"/>
  <c r="AJ203" i="8"/>
  <c r="AI203" i="8"/>
  <c r="AJ202" i="8"/>
  <c r="AI202" i="8"/>
  <c r="AJ201" i="8"/>
  <c r="AI201" i="8"/>
  <c r="AJ200" i="8"/>
  <c r="AI200" i="8"/>
  <c r="AJ199" i="8"/>
  <c r="AI199" i="8"/>
  <c r="AJ198" i="8"/>
  <c r="AI198" i="8"/>
  <c r="AJ197" i="8"/>
  <c r="AI197" i="8"/>
  <c r="AJ196" i="8"/>
  <c r="AI196" i="8"/>
  <c r="AJ195" i="8"/>
  <c r="AI195" i="8"/>
  <c r="AZ194" i="8"/>
  <c r="AZ195" i="8" s="1"/>
  <c r="AZ196" i="8" s="1"/>
  <c r="AZ197" i="8" s="1"/>
  <c r="AZ198" i="8" s="1"/>
  <c r="AZ199" i="8" s="1"/>
  <c r="AZ200" i="8" s="1"/>
  <c r="AZ201" i="8" s="1"/>
  <c r="AZ202" i="8" s="1"/>
  <c r="AZ203" i="8" s="1"/>
  <c r="AZ204" i="8" s="1"/>
  <c r="AZ205" i="8" s="1"/>
  <c r="AZ206" i="8" s="1"/>
  <c r="AZ207" i="8" s="1"/>
  <c r="AY194" i="8"/>
  <c r="AY195" i="8" s="1"/>
  <c r="AY196" i="8" s="1"/>
  <c r="AY197" i="8" s="1"/>
  <c r="AY198" i="8" s="1"/>
  <c r="AY199" i="8" s="1"/>
  <c r="AY200" i="8" s="1"/>
  <c r="AY201" i="8" s="1"/>
  <c r="AY202" i="8" s="1"/>
  <c r="AY203" i="8" s="1"/>
  <c r="AY204" i="8" s="1"/>
  <c r="AY205" i="8" s="1"/>
  <c r="AY206" i="8" s="1"/>
  <c r="AY207" i="8" s="1"/>
  <c r="AX194" i="8"/>
  <c r="AX195" i="8" s="1"/>
  <c r="AX196" i="8" s="1"/>
  <c r="AX197" i="8" s="1"/>
  <c r="AX198" i="8" s="1"/>
  <c r="AX199" i="8" s="1"/>
  <c r="AX200" i="8" s="1"/>
  <c r="AX201" i="8" s="1"/>
  <c r="AX202" i="8" s="1"/>
  <c r="AX203" i="8" s="1"/>
  <c r="AX204" i="8" s="1"/>
  <c r="AX205" i="8" s="1"/>
  <c r="AX206" i="8" s="1"/>
  <c r="AX207" i="8" s="1"/>
  <c r="AW194" i="8"/>
  <c r="AW195" i="8" s="1"/>
  <c r="AW196" i="8" s="1"/>
  <c r="AW197" i="8" s="1"/>
  <c r="AW198" i="8" s="1"/>
  <c r="AW199" i="8" s="1"/>
  <c r="AW200" i="8" s="1"/>
  <c r="AW201" i="8" s="1"/>
  <c r="AW202" i="8" s="1"/>
  <c r="AW203" i="8" s="1"/>
  <c r="AW204" i="8" s="1"/>
  <c r="AW205" i="8" s="1"/>
  <c r="AW206" i="8" s="1"/>
  <c r="AW207" i="8" s="1"/>
  <c r="AO194" i="8"/>
  <c r="AO195" i="8" s="1"/>
  <c r="AO196" i="8" s="1"/>
  <c r="AO197" i="8" s="1"/>
  <c r="AO198" i="8" s="1"/>
  <c r="AO199" i="8" s="1"/>
  <c r="AO200" i="8" s="1"/>
  <c r="AO201" i="8" s="1"/>
  <c r="AO202" i="8" s="1"/>
  <c r="AO203" i="8" s="1"/>
  <c r="AO204" i="8" s="1"/>
  <c r="AO205" i="8" s="1"/>
  <c r="AO206" i="8" s="1"/>
  <c r="AO207" i="8" s="1"/>
  <c r="AN194" i="8"/>
  <c r="AN195" i="8" s="1"/>
  <c r="AN196" i="8" s="1"/>
  <c r="AN197" i="8" s="1"/>
  <c r="AN198" i="8" s="1"/>
  <c r="AN199" i="8" s="1"/>
  <c r="AN200" i="8" s="1"/>
  <c r="AN201" i="8" s="1"/>
  <c r="AN202" i="8" s="1"/>
  <c r="AN203" i="8" s="1"/>
  <c r="AN204" i="8" s="1"/>
  <c r="AN205" i="8" s="1"/>
  <c r="AN206" i="8" s="1"/>
  <c r="AN207" i="8" s="1"/>
  <c r="AM194" i="8"/>
  <c r="AM195" i="8" s="1"/>
  <c r="AM196" i="8" s="1"/>
  <c r="AM197" i="8" s="1"/>
  <c r="AM198" i="8" s="1"/>
  <c r="AM199" i="8" s="1"/>
  <c r="AM200" i="8" s="1"/>
  <c r="AM201" i="8" s="1"/>
  <c r="AM202" i="8" s="1"/>
  <c r="AM203" i="8" s="1"/>
  <c r="AM204" i="8" s="1"/>
  <c r="AM205" i="8" s="1"/>
  <c r="AM206" i="8" s="1"/>
  <c r="AM207" i="8" s="1"/>
  <c r="AL194" i="8"/>
  <c r="AL195" i="8" s="1"/>
  <c r="AL196" i="8" s="1"/>
  <c r="AL197" i="8" s="1"/>
  <c r="AL198" i="8" s="1"/>
  <c r="AL199" i="8" s="1"/>
  <c r="AL200" i="8" s="1"/>
  <c r="AL201" i="8" s="1"/>
  <c r="AL202" i="8" s="1"/>
  <c r="AL203" i="8" s="1"/>
  <c r="AL204" i="8" s="1"/>
  <c r="AL205" i="8" s="1"/>
  <c r="AL206" i="8" s="1"/>
  <c r="AL207" i="8" s="1"/>
  <c r="AJ194" i="8"/>
  <c r="AI194" i="8"/>
  <c r="AJ193" i="8"/>
  <c r="AI193" i="8"/>
  <c r="AJ192" i="8"/>
  <c r="AI192" i="8"/>
  <c r="AJ191" i="8"/>
  <c r="AI191" i="8"/>
  <c r="AJ190" i="8"/>
  <c r="AI190" i="8"/>
  <c r="AJ189" i="8"/>
  <c r="AI189" i="8"/>
  <c r="AJ188" i="8"/>
  <c r="AI188" i="8"/>
  <c r="AJ187" i="8"/>
  <c r="AI187" i="8"/>
  <c r="AJ186" i="8"/>
  <c r="AI186" i="8"/>
  <c r="AJ185" i="8"/>
  <c r="AI185" i="8"/>
  <c r="AZ184" i="8"/>
  <c r="AZ185" i="8" s="1"/>
  <c r="AZ186" i="8" s="1"/>
  <c r="AZ187" i="8" s="1"/>
  <c r="AZ188" i="8" s="1"/>
  <c r="AZ189" i="8" s="1"/>
  <c r="AZ190" i="8" s="1"/>
  <c r="AZ191" i="8" s="1"/>
  <c r="AZ192" i="8" s="1"/>
  <c r="AY184" i="8"/>
  <c r="AY185" i="8" s="1"/>
  <c r="AY186" i="8" s="1"/>
  <c r="AY187" i="8" s="1"/>
  <c r="AY188" i="8" s="1"/>
  <c r="AY189" i="8" s="1"/>
  <c r="AY190" i="8" s="1"/>
  <c r="AY191" i="8" s="1"/>
  <c r="AY192" i="8" s="1"/>
  <c r="AX184" i="8"/>
  <c r="AX185" i="8" s="1"/>
  <c r="AX186" i="8" s="1"/>
  <c r="AX187" i="8" s="1"/>
  <c r="AX188" i="8" s="1"/>
  <c r="AX189" i="8" s="1"/>
  <c r="AX190" i="8" s="1"/>
  <c r="AX191" i="8" s="1"/>
  <c r="AX192" i="8" s="1"/>
  <c r="AO184" i="8"/>
  <c r="AO185" i="8" s="1"/>
  <c r="AO186" i="8" s="1"/>
  <c r="AO187" i="8" s="1"/>
  <c r="AO188" i="8" s="1"/>
  <c r="AO189" i="8" s="1"/>
  <c r="AO190" i="8" s="1"/>
  <c r="AO191" i="8" s="1"/>
  <c r="AO192" i="8" s="1"/>
  <c r="AN184" i="8"/>
  <c r="AN185" i="8" s="1"/>
  <c r="AN186" i="8" s="1"/>
  <c r="AN187" i="8" s="1"/>
  <c r="AN188" i="8" s="1"/>
  <c r="AN189" i="8" s="1"/>
  <c r="AN190" i="8" s="1"/>
  <c r="AN191" i="8" s="1"/>
  <c r="AN192" i="8" s="1"/>
  <c r="AM184" i="8"/>
  <c r="AM185" i="8" s="1"/>
  <c r="AM186" i="8" s="1"/>
  <c r="AM187" i="8" s="1"/>
  <c r="AM188" i="8" s="1"/>
  <c r="AM189" i="8" s="1"/>
  <c r="AM190" i="8" s="1"/>
  <c r="AM191" i="8" s="1"/>
  <c r="AM192" i="8" s="1"/>
  <c r="AL184" i="8"/>
  <c r="AL185" i="8" s="1"/>
  <c r="AL186" i="8" s="1"/>
  <c r="AL187" i="8" s="1"/>
  <c r="AL188" i="8" s="1"/>
  <c r="AL189" i="8" s="1"/>
  <c r="AL190" i="8" s="1"/>
  <c r="AL191" i="8" s="1"/>
  <c r="AL192" i="8" s="1"/>
  <c r="AJ184" i="8"/>
  <c r="AI184" i="8"/>
  <c r="AJ183" i="8"/>
  <c r="AI183" i="8"/>
  <c r="AJ182" i="8"/>
  <c r="AI182" i="8"/>
  <c r="AJ181" i="8"/>
  <c r="AI181" i="8"/>
  <c r="AJ180" i="8"/>
  <c r="AI180" i="8"/>
  <c r="AJ179" i="8"/>
  <c r="AI179" i="8"/>
  <c r="AJ178" i="8"/>
  <c r="AI178" i="8"/>
  <c r="AJ177" i="8"/>
  <c r="AI177" i="8"/>
  <c r="AJ176" i="8"/>
  <c r="AI176" i="8"/>
  <c r="AO175" i="8"/>
  <c r="AO176" i="8" s="1"/>
  <c r="AO177" i="8" s="1"/>
  <c r="AO178" i="8" s="1"/>
  <c r="AO179" i="8" s="1"/>
  <c r="AO180" i="8" s="1"/>
  <c r="AO181" i="8" s="1"/>
  <c r="AO182" i="8" s="1"/>
  <c r="AN175" i="8"/>
  <c r="AN176" i="8" s="1"/>
  <c r="AN177" i="8" s="1"/>
  <c r="AN178" i="8" s="1"/>
  <c r="AN179" i="8" s="1"/>
  <c r="AN180" i="8" s="1"/>
  <c r="AN181" i="8" s="1"/>
  <c r="AN182" i="8" s="1"/>
  <c r="AM175" i="8"/>
  <c r="AM176" i="8" s="1"/>
  <c r="AM177" i="8" s="1"/>
  <c r="AM178" i="8" s="1"/>
  <c r="AM179" i="8" s="1"/>
  <c r="AM180" i="8" s="1"/>
  <c r="AM181" i="8" s="1"/>
  <c r="AM182" i="8" s="1"/>
  <c r="AL175" i="8"/>
  <c r="AL176" i="8" s="1"/>
  <c r="AL177" i="8" s="1"/>
  <c r="AL178" i="8" s="1"/>
  <c r="AL179" i="8" s="1"/>
  <c r="AL180" i="8" s="1"/>
  <c r="AL181" i="8" s="1"/>
  <c r="AL182" i="8" s="1"/>
  <c r="AJ175" i="8"/>
  <c r="AI175" i="8"/>
  <c r="AJ174" i="8"/>
  <c r="AI174" i="8"/>
  <c r="AJ173" i="8"/>
  <c r="AI173" i="8"/>
  <c r="AJ172" i="8"/>
  <c r="AI172" i="8"/>
  <c r="AJ171" i="8"/>
  <c r="AI171" i="8"/>
  <c r="AJ170" i="8"/>
  <c r="AI170" i="8"/>
  <c r="AJ169" i="8"/>
  <c r="AI169" i="8"/>
  <c r="AJ168" i="8"/>
  <c r="AI168" i="8"/>
  <c r="AJ167" i="8"/>
  <c r="AI167" i="8"/>
  <c r="AJ166" i="8"/>
  <c r="AI166" i="8"/>
  <c r="AO165" i="8"/>
  <c r="AO166" i="8" s="1"/>
  <c r="AO167" i="8" s="1"/>
  <c r="AO168" i="8" s="1"/>
  <c r="AO169" i="8" s="1"/>
  <c r="AO170" i="8" s="1"/>
  <c r="AO171" i="8" s="1"/>
  <c r="AO172" i="8" s="1"/>
  <c r="AO173" i="8" s="1"/>
  <c r="AN165" i="8"/>
  <c r="AN166" i="8" s="1"/>
  <c r="AN167" i="8" s="1"/>
  <c r="AN168" i="8" s="1"/>
  <c r="AN169" i="8" s="1"/>
  <c r="AN170" i="8" s="1"/>
  <c r="AN171" i="8" s="1"/>
  <c r="AN172" i="8" s="1"/>
  <c r="AN173" i="8" s="1"/>
  <c r="AM165" i="8"/>
  <c r="AM166" i="8" s="1"/>
  <c r="AM167" i="8" s="1"/>
  <c r="AM168" i="8" s="1"/>
  <c r="AM169" i="8" s="1"/>
  <c r="AM170" i="8" s="1"/>
  <c r="AM171" i="8" s="1"/>
  <c r="AM172" i="8" s="1"/>
  <c r="AM173" i="8" s="1"/>
  <c r="AL165" i="8"/>
  <c r="AL166" i="8" s="1"/>
  <c r="AL167" i="8" s="1"/>
  <c r="AL168" i="8" s="1"/>
  <c r="AL169" i="8" s="1"/>
  <c r="AL170" i="8" s="1"/>
  <c r="AL171" i="8" s="1"/>
  <c r="AL172" i="8" s="1"/>
  <c r="AL173" i="8" s="1"/>
  <c r="AJ165" i="8"/>
  <c r="AI165" i="8"/>
  <c r="AJ164" i="8"/>
  <c r="AI164" i="8"/>
  <c r="AJ163" i="8"/>
  <c r="AI163" i="8"/>
  <c r="AJ162" i="8"/>
  <c r="AI162" i="8"/>
  <c r="AJ161" i="8"/>
  <c r="AI161" i="8"/>
  <c r="AJ160" i="8"/>
  <c r="AI160" i="8"/>
  <c r="AJ159" i="8"/>
  <c r="AI159" i="8"/>
  <c r="AJ158" i="8"/>
  <c r="AI158" i="8"/>
  <c r="AJ157" i="8"/>
  <c r="AI157" i="8"/>
  <c r="AJ156" i="8"/>
  <c r="AI156" i="8"/>
  <c r="AJ155" i="8"/>
  <c r="AI155" i="8"/>
  <c r="AJ154" i="8"/>
  <c r="AI154" i="8"/>
  <c r="AJ153" i="8"/>
  <c r="AI153" i="8"/>
  <c r="AJ152" i="8"/>
  <c r="AI152" i="8"/>
  <c r="AJ151" i="8"/>
  <c r="AI151" i="8"/>
  <c r="AO150" i="8"/>
  <c r="AO151" i="8" s="1"/>
  <c r="AO152" i="8" s="1"/>
  <c r="AO153" i="8" s="1"/>
  <c r="AO154" i="8" s="1"/>
  <c r="AO155" i="8" s="1"/>
  <c r="AO156" i="8" s="1"/>
  <c r="AO157" i="8" s="1"/>
  <c r="AO158" i="8" s="1"/>
  <c r="AO159" i="8" s="1"/>
  <c r="AO160" i="8" s="1"/>
  <c r="AO161" i="8" s="1"/>
  <c r="AO162" i="8" s="1"/>
  <c r="AO163" i="8" s="1"/>
  <c r="AN150" i="8"/>
  <c r="AN151" i="8" s="1"/>
  <c r="AN152" i="8" s="1"/>
  <c r="AN153" i="8" s="1"/>
  <c r="AN154" i="8" s="1"/>
  <c r="AN155" i="8" s="1"/>
  <c r="AN156" i="8" s="1"/>
  <c r="AN157" i="8" s="1"/>
  <c r="AN158" i="8" s="1"/>
  <c r="AN159" i="8" s="1"/>
  <c r="AN160" i="8" s="1"/>
  <c r="AN161" i="8" s="1"/>
  <c r="AN162" i="8" s="1"/>
  <c r="AN163" i="8" s="1"/>
  <c r="AM150" i="8"/>
  <c r="AM151" i="8" s="1"/>
  <c r="AM152" i="8" s="1"/>
  <c r="AM153" i="8" s="1"/>
  <c r="AM154" i="8" s="1"/>
  <c r="AM155" i="8" s="1"/>
  <c r="AM156" i="8" s="1"/>
  <c r="AM157" i="8" s="1"/>
  <c r="AM158" i="8" s="1"/>
  <c r="AM159" i="8" s="1"/>
  <c r="AM160" i="8" s="1"/>
  <c r="AM161" i="8" s="1"/>
  <c r="AM162" i="8" s="1"/>
  <c r="AM163" i="8" s="1"/>
  <c r="AL150" i="8"/>
  <c r="AL151" i="8" s="1"/>
  <c r="AL152" i="8" s="1"/>
  <c r="AL153" i="8" s="1"/>
  <c r="AL154" i="8" s="1"/>
  <c r="AL155" i="8" s="1"/>
  <c r="AL156" i="8" s="1"/>
  <c r="AL157" i="8" s="1"/>
  <c r="AL158" i="8" s="1"/>
  <c r="AL159" i="8" s="1"/>
  <c r="AL160" i="8" s="1"/>
  <c r="AL161" i="8" s="1"/>
  <c r="AL162" i="8" s="1"/>
  <c r="AL163" i="8" s="1"/>
  <c r="AJ150" i="8"/>
  <c r="AI150" i="8"/>
  <c r="AJ149" i="8"/>
  <c r="AI149" i="8"/>
  <c r="AJ148" i="8"/>
  <c r="AI148" i="8"/>
  <c r="AJ147" i="8"/>
  <c r="AI147" i="8"/>
  <c r="AJ146" i="8"/>
  <c r="AI146" i="8"/>
  <c r="AJ145" i="8"/>
  <c r="AI145" i="8"/>
  <c r="AJ144" i="8"/>
  <c r="AI144" i="8"/>
  <c r="AJ143" i="8"/>
  <c r="AI143" i="8"/>
  <c r="AJ142" i="8"/>
  <c r="AI142" i="8"/>
  <c r="AJ141" i="8"/>
  <c r="AI141" i="8"/>
  <c r="AJ140" i="8"/>
  <c r="AI140" i="8"/>
  <c r="AJ139" i="8"/>
  <c r="AI139" i="8"/>
  <c r="AJ138" i="8"/>
  <c r="AI138" i="8"/>
  <c r="AJ137" i="8"/>
  <c r="AI137" i="8"/>
  <c r="AJ136" i="8"/>
  <c r="AI136" i="8"/>
  <c r="AP135" i="8"/>
  <c r="AP136" i="8" s="1"/>
  <c r="AP137" i="8" s="1"/>
  <c r="AP138" i="8" s="1"/>
  <c r="AP139" i="8" s="1"/>
  <c r="AP140" i="8" s="1"/>
  <c r="AP141" i="8" s="1"/>
  <c r="AP142" i="8" s="1"/>
  <c r="AP143" i="8" s="1"/>
  <c r="AP144" i="8" s="1"/>
  <c r="AP145" i="8" s="1"/>
  <c r="AP146" i="8" s="1"/>
  <c r="AP147" i="8" s="1"/>
  <c r="AP148" i="8" s="1"/>
  <c r="AO135" i="8"/>
  <c r="AO136" i="8" s="1"/>
  <c r="AO137" i="8" s="1"/>
  <c r="AO138" i="8" s="1"/>
  <c r="AO139" i="8" s="1"/>
  <c r="AO140" i="8" s="1"/>
  <c r="AO141" i="8" s="1"/>
  <c r="AO142" i="8" s="1"/>
  <c r="AO143" i="8" s="1"/>
  <c r="AO144" i="8" s="1"/>
  <c r="AO145" i="8" s="1"/>
  <c r="AO146" i="8" s="1"/>
  <c r="AO147" i="8" s="1"/>
  <c r="AO148" i="8" s="1"/>
  <c r="AN135" i="8"/>
  <c r="AN136" i="8" s="1"/>
  <c r="AN137" i="8" s="1"/>
  <c r="AN138" i="8" s="1"/>
  <c r="AN139" i="8" s="1"/>
  <c r="AN140" i="8" s="1"/>
  <c r="AN141" i="8" s="1"/>
  <c r="AN142" i="8" s="1"/>
  <c r="AN143" i="8" s="1"/>
  <c r="AN144" i="8" s="1"/>
  <c r="AN145" i="8" s="1"/>
  <c r="AN146" i="8" s="1"/>
  <c r="AN147" i="8" s="1"/>
  <c r="AN148" i="8" s="1"/>
  <c r="AM135" i="8"/>
  <c r="AM136" i="8" s="1"/>
  <c r="AM137" i="8" s="1"/>
  <c r="AM138" i="8" s="1"/>
  <c r="AM139" i="8" s="1"/>
  <c r="AM140" i="8" s="1"/>
  <c r="AM141" i="8" s="1"/>
  <c r="AM142" i="8" s="1"/>
  <c r="AM143" i="8" s="1"/>
  <c r="AM144" i="8" s="1"/>
  <c r="AM145" i="8" s="1"/>
  <c r="AM146" i="8" s="1"/>
  <c r="AM147" i="8" s="1"/>
  <c r="AM148" i="8" s="1"/>
  <c r="AL135" i="8"/>
  <c r="AL136" i="8" s="1"/>
  <c r="AL137" i="8" s="1"/>
  <c r="AL138" i="8" s="1"/>
  <c r="AL139" i="8" s="1"/>
  <c r="AL140" i="8" s="1"/>
  <c r="AL141" i="8" s="1"/>
  <c r="AL142" i="8" s="1"/>
  <c r="AL143" i="8" s="1"/>
  <c r="AL144" i="8" s="1"/>
  <c r="AL145" i="8" s="1"/>
  <c r="AL146" i="8" s="1"/>
  <c r="AL147" i="8" s="1"/>
  <c r="AL148" i="8" s="1"/>
  <c r="AJ135" i="8"/>
  <c r="AI135" i="8"/>
  <c r="AJ134" i="8"/>
  <c r="AI134" i="8"/>
  <c r="AJ133" i="8"/>
  <c r="AI133" i="8"/>
  <c r="AJ132" i="8"/>
  <c r="AI132" i="8"/>
  <c r="AJ131" i="8"/>
  <c r="AI131" i="8"/>
  <c r="AJ130" i="8"/>
  <c r="AI130" i="8"/>
  <c r="AJ129" i="8"/>
  <c r="AI129" i="8"/>
  <c r="AJ128" i="8"/>
  <c r="AI128" i="8"/>
  <c r="AJ127" i="8"/>
  <c r="AI127" i="8"/>
  <c r="AJ126" i="8"/>
  <c r="AI126" i="8"/>
  <c r="AJ125" i="8"/>
  <c r="AI125" i="8"/>
  <c r="AJ124" i="8"/>
  <c r="AI124" i="8"/>
  <c r="AJ123" i="8"/>
  <c r="AI123" i="8"/>
  <c r="AJ122" i="8"/>
  <c r="AI122" i="8"/>
  <c r="AJ121" i="8"/>
  <c r="AI121" i="8"/>
  <c r="AJ120" i="8"/>
  <c r="AI120" i="8"/>
  <c r="AP119" i="8"/>
  <c r="AP120" i="8" s="1"/>
  <c r="AP121" i="8" s="1"/>
  <c r="AP122" i="8" s="1"/>
  <c r="AP123" i="8" s="1"/>
  <c r="AP124" i="8" s="1"/>
  <c r="AP125" i="8" s="1"/>
  <c r="AP126" i="8" s="1"/>
  <c r="AP127" i="8" s="1"/>
  <c r="AP128" i="8" s="1"/>
  <c r="AP129" i="8" s="1"/>
  <c r="AP130" i="8" s="1"/>
  <c r="AP131" i="8" s="1"/>
  <c r="AP132" i="8" s="1"/>
  <c r="AO119" i="8"/>
  <c r="AO120" i="8" s="1"/>
  <c r="AO121" i="8" s="1"/>
  <c r="AO122" i="8" s="1"/>
  <c r="AO123" i="8" s="1"/>
  <c r="AO124" i="8" s="1"/>
  <c r="AO125" i="8" s="1"/>
  <c r="AO126" i="8" s="1"/>
  <c r="AO127" i="8" s="1"/>
  <c r="AO128" i="8" s="1"/>
  <c r="AO129" i="8" s="1"/>
  <c r="AO130" i="8" s="1"/>
  <c r="AO131" i="8" s="1"/>
  <c r="AO132" i="8" s="1"/>
  <c r="AN119" i="8"/>
  <c r="AN120" i="8" s="1"/>
  <c r="AN121" i="8" s="1"/>
  <c r="AN122" i="8" s="1"/>
  <c r="AN123" i="8" s="1"/>
  <c r="AN124" i="8" s="1"/>
  <c r="AN125" i="8" s="1"/>
  <c r="AN126" i="8" s="1"/>
  <c r="AN127" i="8" s="1"/>
  <c r="AN128" i="8" s="1"/>
  <c r="AN129" i="8" s="1"/>
  <c r="AN130" i="8" s="1"/>
  <c r="AN131" i="8" s="1"/>
  <c r="AN132" i="8" s="1"/>
  <c r="AM119" i="8"/>
  <c r="AM120" i="8" s="1"/>
  <c r="AM121" i="8" s="1"/>
  <c r="AM122" i="8" s="1"/>
  <c r="AM123" i="8" s="1"/>
  <c r="AM124" i="8" s="1"/>
  <c r="AM125" i="8" s="1"/>
  <c r="AM126" i="8" s="1"/>
  <c r="AM127" i="8" s="1"/>
  <c r="AM128" i="8" s="1"/>
  <c r="AM129" i="8" s="1"/>
  <c r="AM130" i="8" s="1"/>
  <c r="AM131" i="8" s="1"/>
  <c r="AM132" i="8" s="1"/>
  <c r="AL119" i="8"/>
  <c r="AL120" i="8" s="1"/>
  <c r="AL121" i="8" s="1"/>
  <c r="AL122" i="8" s="1"/>
  <c r="AL123" i="8" s="1"/>
  <c r="AL124" i="8" s="1"/>
  <c r="AL125" i="8" s="1"/>
  <c r="AL126" i="8" s="1"/>
  <c r="AL127" i="8" s="1"/>
  <c r="AL128" i="8" s="1"/>
  <c r="AL129" i="8" s="1"/>
  <c r="AL130" i="8" s="1"/>
  <c r="AL131" i="8" s="1"/>
  <c r="AL132" i="8" s="1"/>
  <c r="AJ119" i="8"/>
  <c r="AI119" i="8"/>
  <c r="AJ118" i="8"/>
  <c r="AI118" i="8"/>
  <c r="AJ117" i="8"/>
  <c r="AI117" i="8"/>
  <c r="AJ116" i="8"/>
  <c r="AI116" i="8"/>
  <c r="AJ115" i="8"/>
  <c r="AI115" i="8"/>
  <c r="AJ114" i="8"/>
  <c r="AI114" i="8"/>
  <c r="AJ113" i="8"/>
  <c r="AI113" i="8"/>
  <c r="AJ112" i="8"/>
  <c r="AI112" i="8"/>
  <c r="AJ111" i="8"/>
  <c r="AI111" i="8"/>
  <c r="AJ110" i="8"/>
  <c r="AI110" i="8"/>
  <c r="AJ109" i="8"/>
  <c r="AI109" i="8"/>
  <c r="AJ108" i="8"/>
  <c r="AI108" i="8"/>
  <c r="AJ107" i="8"/>
  <c r="AI107" i="8"/>
  <c r="AJ106" i="8"/>
  <c r="AI106" i="8"/>
  <c r="AJ105" i="8"/>
  <c r="AI105" i="8"/>
  <c r="AP104" i="8"/>
  <c r="AP105" i="8" s="1"/>
  <c r="AP106" i="8" s="1"/>
  <c r="AP107" i="8" s="1"/>
  <c r="AP108" i="8" s="1"/>
  <c r="AP109" i="8" s="1"/>
  <c r="AP110" i="8" s="1"/>
  <c r="AP111" i="8" s="1"/>
  <c r="AP112" i="8" s="1"/>
  <c r="AP113" i="8" s="1"/>
  <c r="AP114" i="8" s="1"/>
  <c r="AP115" i="8" s="1"/>
  <c r="AP116" i="8" s="1"/>
  <c r="AP117" i="8" s="1"/>
  <c r="AO104" i="8"/>
  <c r="AO105" i="8" s="1"/>
  <c r="AO106" i="8" s="1"/>
  <c r="AO107" i="8" s="1"/>
  <c r="AO108" i="8" s="1"/>
  <c r="AO109" i="8" s="1"/>
  <c r="AO110" i="8" s="1"/>
  <c r="AO111" i="8" s="1"/>
  <c r="AO112" i="8" s="1"/>
  <c r="AO113" i="8" s="1"/>
  <c r="AO114" i="8" s="1"/>
  <c r="AO115" i="8" s="1"/>
  <c r="AO116" i="8" s="1"/>
  <c r="AO117" i="8" s="1"/>
  <c r="AN104" i="8"/>
  <c r="AN105" i="8" s="1"/>
  <c r="AN106" i="8" s="1"/>
  <c r="AN107" i="8" s="1"/>
  <c r="AN108" i="8" s="1"/>
  <c r="AN109" i="8" s="1"/>
  <c r="AN110" i="8" s="1"/>
  <c r="AN111" i="8" s="1"/>
  <c r="AN112" i="8" s="1"/>
  <c r="AN113" i="8" s="1"/>
  <c r="AN114" i="8" s="1"/>
  <c r="AN115" i="8" s="1"/>
  <c r="AN116" i="8" s="1"/>
  <c r="AN117" i="8" s="1"/>
  <c r="AM104" i="8"/>
  <c r="AM105" i="8" s="1"/>
  <c r="AM106" i="8" s="1"/>
  <c r="AM107" i="8" s="1"/>
  <c r="AM108" i="8" s="1"/>
  <c r="AM109" i="8" s="1"/>
  <c r="AM110" i="8" s="1"/>
  <c r="AM111" i="8" s="1"/>
  <c r="AM112" i="8" s="1"/>
  <c r="AM113" i="8" s="1"/>
  <c r="AM114" i="8" s="1"/>
  <c r="AM115" i="8" s="1"/>
  <c r="AM116" i="8" s="1"/>
  <c r="AM117" i="8" s="1"/>
  <c r="AL104" i="8"/>
  <c r="AL105" i="8" s="1"/>
  <c r="AL106" i="8" s="1"/>
  <c r="AL107" i="8" s="1"/>
  <c r="AL108" i="8" s="1"/>
  <c r="AL109" i="8" s="1"/>
  <c r="AL110" i="8" s="1"/>
  <c r="AL111" i="8" s="1"/>
  <c r="AL112" i="8" s="1"/>
  <c r="AL113" i="8" s="1"/>
  <c r="AL114" i="8" s="1"/>
  <c r="AL115" i="8" s="1"/>
  <c r="AL116" i="8" s="1"/>
  <c r="AL117" i="8" s="1"/>
  <c r="AJ104" i="8"/>
  <c r="AI104" i="8"/>
  <c r="AJ103" i="8"/>
  <c r="AI103" i="8"/>
  <c r="AJ102" i="8"/>
  <c r="AI102" i="8"/>
  <c r="AJ101" i="8"/>
  <c r="AI101" i="8"/>
  <c r="AJ100" i="8"/>
  <c r="AI100" i="8"/>
  <c r="AJ99" i="8"/>
  <c r="AI99" i="8"/>
  <c r="AJ98" i="8"/>
  <c r="AI98" i="8"/>
  <c r="AJ97" i="8"/>
  <c r="AI97" i="8"/>
  <c r="AJ96" i="8"/>
  <c r="AI96" i="8"/>
  <c r="AJ95" i="8"/>
  <c r="AI95" i="8"/>
  <c r="AJ94" i="8"/>
  <c r="AI94" i="8"/>
  <c r="AJ93" i="8"/>
  <c r="AI93" i="8"/>
  <c r="AJ92" i="8"/>
  <c r="AI92" i="8"/>
  <c r="AJ91" i="8"/>
  <c r="AI91" i="8"/>
  <c r="AJ90" i="8"/>
  <c r="AI90" i="8"/>
  <c r="BA89" i="8"/>
  <c r="BA90" i="8" s="1"/>
  <c r="BA91" i="8" s="1"/>
  <c r="BA92" i="8" s="1"/>
  <c r="BA93" i="8" s="1"/>
  <c r="BA94" i="8" s="1"/>
  <c r="BA95" i="8" s="1"/>
  <c r="BA96" i="8" s="1"/>
  <c r="BA97" i="8" s="1"/>
  <c r="BA98" i="8" s="1"/>
  <c r="BA99" i="8" s="1"/>
  <c r="BA100" i="8" s="1"/>
  <c r="BA101" i="8" s="1"/>
  <c r="BA102" i="8" s="1"/>
  <c r="AZ89" i="8"/>
  <c r="AZ90" i="8" s="1"/>
  <c r="AZ91" i="8" s="1"/>
  <c r="AZ92" i="8" s="1"/>
  <c r="AZ93" i="8" s="1"/>
  <c r="AZ94" i="8" s="1"/>
  <c r="AZ95" i="8" s="1"/>
  <c r="AZ96" i="8" s="1"/>
  <c r="AZ97" i="8" s="1"/>
  <c r="AZ98" i="8" s="1"/>
  <c r="AZ99" i="8" s="1"/>
  <c r="AZ100" i="8" s="1"/>
  <c r="AZ101" i="8" s="1"/>
  <c r="AZ102" i="8" s="1"/>
  <c r="AY89" i="8"/>
  <c r="AY90" i="8" s="1"/>
  <c r="AY91" i="8" s="1"/>
  <c r="AY92" i="8" s="1"/>
  <c r="AY93" i="8" s="1"/>
  <c r="AY94" i="8" s="1"/>
  <c r="AY95" i="8" s="1"/>
  <c r="AY96" i="8" s="1"/>
  <c r="AY97" i="8" s="1"/>
  <c r="AY98" i="8" s="1"/>
  <c r="AY99" i="8" s="1"/>
  <c r="AY100" i="8" s="1"/>
  <c r="AY101" i="8" s="1"/>
  <c r="AY102" i="8" s="1"/>
  <c r="AX89" i="8"/>
  <c r="AX90" i="8" s="1"/>
  <c r="AX91" i="8" s="1"/>
  <c r="AX92" i="8" s="1"/>
  <c r="AX93" i="8" s="1"/>
  <c r="AX94" i="8" s="1"/>
  <c r="AX95" i="8" s="1"/>
  <c r="AX96" i="8" s="1"/>
  <c r="AX97" i="8" s="1"/>
  <c r="AX98" i="8" s="1"/>
  <c r="AX99" i="8" s="1"/>
  <c r="AX100" i="8" s="1"/>
  <c r="AX101" i="8" s="1"/>
  <c r="AX102" i="8" s="1"/>
  <c r="AW89" i="8"/>
  <c r="AW90" i="8" s="1"/>
  <c r="AW91" i="8" s="1"/>
  <c r="AW92" i="8" s="1"/>
  <c r="AW93" i="8" s="1"/>
  <c r="AW94" i="8" s="1"/>
  <c r="AW95" i="8" s="1"/>
  <c r="AW96" i="8" s="1"/>
  <c r="AW97" i="8" s="1"/>
  <c r="AW98" i="8" s="1"/>
  <c r="AW99" i="8" s="1"/>
  <c r="AW100" i="8" s="1"/>
  <c r="AW101" i="8" s="1"/>
  <c r="AW102" i="8" s="1"/>
  <c r="AP89" i="8"/>
  <c r="AP90" i="8" s="1"/>
  <c r="AP91" i="8" s="1"/>
  <c r="AP92" i="8" s="1"/>
  <c r="AP93" i="8" s="1"/>
  <c r="AP94" i="8" s="1"/>
  <c r="AP95" i="8" s="1"/>
  <c r="AP96" i="8" s="1"/>
  <c r="AP97" i="8" s="1"/>
  <c r="AP98" i="8" s="1"/>
  <c r="AP99" i="8" s="1"/>
  <c r="AP100" i="8" s="1"/>
  <c r="AP101" i="8" s="1"/>
  <c r="AP102" i="8" s="1"/>
  <c r="AO89" i="8"/>
  <c r="AO90" i="8" s="1"/>
  <c r="AO91" i="8" s="1"/>
  <c r="AO92" i="8" s="1"/>
  <c r="AO93" i="8" s="1"/>
  <c r="AO94" i="8" s="1"/>
  <c r="AO95" i="8" s="1"/>
  <c r="AO96" i="8" s="1"/>
  <c r="AO97" i="8" s="1"/>
  <c r="AO98" i="8" s="1"/>
  <c r="AO99" i="8" s="1"/>
  <c r="AO100" i="8" s="1"/>
  <c r="AO101" i="8" s="1"/>
  <c r="AO102" i="8" s="1"/>
  <c r="AN89" i="8"/>
  <c r="AN90" i="8" s="1"/>
  <c r="AN91" i="8" s="1"/>
  <c r="AN92" i="8" s="1"/>
  <c r="AN93" i="8" s="1"/>
  <c r="AN94" i="8" s="1"/>
  <c r="AN95" i="8" s="1"/>
  <c r="AN96" i="8" s="1"/>
  <c r="AN97" i="8" s="1"/>
  <c r="AN98" i="8" s="1"/>
  <c r="AN99" i="8" s="1"/>
  <c r="AN100" i="8" s="1"/>
  <c r="AN101" i="8" s="1"/>
  <c r="AN102" i="8" s="1"/>
  <c r="AM89" i="8"/>
  <c r="AM90" i="8" s="1"/>
  <c r="AM91" i="8" s="1"/>
  <c r="AM92" i="8" s="1"/>
  <c r="AM93" i="8" s="1"/>
  <c r="AM94" i="8" s="1"/>
  <c r="AM95" i="8" s="1"/>
  <c r="AM96" i="8" s="1"/>
  <c r="AM97" i="8" s="1"/>
  <c r="AM98" i="8" s="1"/>
  <c r="AM99" i="8" s="1"/>
  <c r="AM100" i="8" s="1"/>
  <c r="AM101" i="8" s="1"/>
  <c r="AM102" i="8" s="1"/>
  <c r="AL89" i="8"/>
  <c r="AL90" i="8" s="1"/>
  <c r="AL91" i="8" s="1"/>
  <c r="AL92" i="8" s="1"/>
  <c r="AL93" i="8" s="1"/>
  <c r="AL94" i="8" s="1"/>
  <c r="AL95" i="8" s="1"/>
  <c r="AL96" i="8" s="1"/>
  <c r="AL97" i="8" s="1"/>
  <c r="AL98" i="8" s="1"/>
  <c r="AL99" i="8" s="1"/>
  <c r="AL100" i="8" s="1"/>
  <c r="AL101" i="8" s="1"/>
  <c r="AL102" i="8" s="1"/>
  <c r="AJ89" i="8"/>
  <c r="AI89" i="8"/>
  <c r="AJ88" i="8"/>
  <c r="AI88" i="8"/>
  <c r="AJ87" i="8"/>
  <c r="AI87" i="8"/>
  <c r="AJ86" i="8"/>
  <c r="AI86" i="8"/>
  <c r="AJ85" i="8"/>
  <c r="AI85" i="8"/>
  <c r="AJ84" i="8"/>
  <c r="AI84" i="8"/>
  <c r="AJ83" i="8"/>
  <c r="AI83" i="8"/>
  <c r="AJ82" i="8"/>
  <c r="AI82" i="8"/>
  <c r="AJ81" i="8"/>
  <c r="AI81" i="8"/>
  <c r="AJ80" i="8"/>
  <c r="AI80" i="8"/>
  <c r="AJ79" i="8"/>
  <c r="AI79" i="8"/>
  <c r="AJ78" i="8"/>
  <c r="AI78" i="8"/>
  <c r="AJ77" i="8"/>
  <c r="AI77" i="8"/>
  <c r="AJ76" i="8"/>
  <c r="AI76" i="8"/>
  <c r="AJ75" i="8"/>
  <c r="AI75" i="8"/>
  <c r="BA74" i="8"/>
  <c r="BA75" i="8" s="1"/>
  <c r="BA76" i="8" s="1"/>
  <c r="BA77" i="8" s="1"/>
  <c r="BA78" i="8" s="1"/>
  <c r="BA79" i="8" s="1"/>
  <c r="BA80" i="8" s="1"/>
  <c r="BA81" i="8" s="1"/>
  <c r="BA82" i="8" s="1"/>
  <c r="BA83" i="8" s="1"/>
  <c r="BA84" i="8" s="1"/>
  <c r="BA85" i="8" s="1"/>
  <c r="BA86" i="8" s="1"/>
  <c r="BA87" i="8" s="1"/>
  <c r="AY74" i="8"/>
  <c r="AY75" i="8" s="1"/>
  <c r="AY76" i="8" s="1"/>
  <c r="AY77" i="8" s="1"/>
  <c r="AY78" i="8" s="1"/>
  <c r="AY79" i="8" s="1"/>
  <c r="AY80" i="8" s="1"/>
  <c r="AY81" i="8" s="1"/>
  <c r="AY82" i="8" s="1"/>
  <c r="AY83" i="8" s="1"/>
  <c r="AY84" i="8" s="1"/>
  <c r="AY85" i="8" s="1"/>
  <c r="AY86" i="8" s="1"/>
  <c r="AY87" i="8" s="1"/>
  <c r="AX74" i="8"/>
  <c r="AX75" i="8" s="1"/>
  <c r="AX76" i="8" s="1"/>
  <c r="AX77" i="8" s="1"/>
  <c r="AX78" i="8" s="1"/>
  <c r="AX79" i="8" s="1"/>
  <c r="AX80" i="8" s="1"/>
  <c r="AX81" i="8" s="1"/>
  <c r="AX82" i="8" s="1"/>
  <c r="AX83" i="8" s="1"/>
  <c r="AX84" i="8" s="1"/>
  <c r="AX85" i="8" s="1"/>
  <c r="AX86" i="8" s="1"/>
  <c r="AX87" i="8" s="1"/>
  <c r="AW74" i="8"/>
  <c r="AW75" i="8" s="1"/>
  <c r="AW76" i="8" s="1"/>
  <c r="AW77" i="8" s="1"/>
  <c r="AW78" i="8" s="1"/>
  <c r="AW79" i="8" s="1"/>
  <c r="AW80" i="8" s="1"/>
  <c r="AW81" i="8" s="1"/>
  <c r="AW82" i="8" s="1"/>
  <c r="AW83" i="8" s="1"/>
  <c r="AW84" i="8" s="1"/>
  <c r="AW85" i="8" s="1"/>
  <c r="AW86" i="8" s="1"/>
  <c r="AW87" i="8" s="1"/>
  <c r="AP74" i="8"/>
  <c r="AP75" i="8" s="1"/>
  <c r="AP76" i="8" s="1"/>
  <c r="AP77" i="8" s="1"/>
  <c r="AP78" i="8" s="1"/>
  <c r="AP79" i="8" s="1"/>
  <c r="AP80" i="8" s="1"/>
  <c r="AP81" i="8" s="1"/>
  <c r="AP82" i="8" s="1"/>
  <c r="AP83" i="8" s="1"/>
  <c r="AP84" i="8" s="1"/>
  <c r="AP85" i="8" s="1"/>
  <c r="AP86" i="8" s="1"/>
  <c r="AP87" i="8" s="1"/>
  <c r="AO74" i="8"/>
  <c r="AO75" i="8" s="1"/>
  <c r="AO76" i="8" s="1"/>
  <c r="AO77" i="8" s="1"/>
  <c r="AO78" i="8" s="1"/>
  <c r="AO79" i="8" s="1"/>
  <c r="AO80" i="8" s="1"/>
  <c r="AO81" i="8" s="1"/>
  <c r="AO82" i="8" s="1"/>
  <c r="AO83" i="8" s="1"/>
  <c r="AO84" i="8" s="1"/>
  <c r="AO85" i="8" s="1"/>
  <c r="AO86" i="8" s="1"/>
  <c r="AO87" i="8" s="1"/>
  <c r="AN74" i="8"/>
  <c r="AN75" i="8" s="1"/>
  <c r="AN76" i="8" s="1"/>
  <c r="AN77" i="8" s="1"/>
  <c r="AN78" i="8" s="1"/>
  <c r="AN79" i="8" s="1"/>
  <c r="AN80" i="8" s="1"/>
  <c r="AN81" i="8" s="1"/>
  <c r="AN82" i="8" s="1"/>
  <c r="AN83" i="8" s="1"/>
  <c r="AN84" i="8" s="1"/>
  <c r="AN85" i="8" s="1"/>
  <c r="AN86" i="8" s="1"/>
  <c r="AN87" i="8" s="1"/>
  <c r="AM74" i="8"/>
  <c r="AM75" i="8" s="1"/>
  <c r="AM76" i="8" s="1"/>
  <c r="AM77" i="8" s="1"/>
  <c r="AM78" i="8" s="1"/>
  <c r="AM79" i="8" s="1"/>
  <c r="AM80" i="8" s="1"/>
  <c r="AM81" i="8" s="1"/>
  <c r="AM82" i="8" s="1"/>
  <c r="AM83" i="8" s="1"/>
  <c r="AM84" i="8" s="1"/>
  <c r="AM85" i="8" s="1"/>
  <c r="AM86" i="8" s="1"/>
  <c r="AM87" i="8" s="1"/>
  <c r="AL74" i="8"/>
  <c r="AL75" i="8" s="1"/>
  <c r="AL76" i="8" s="1"/>
  <c r="AL77" i="8" s="1"/>
  <c r="AL78" i="8" s="1"/>
  <c r="AL79" i="8" s="1"/>
  <c r="AL80" i="8" s="1"/>
  <c r="AL81" i="8" s="1"/>
  <c r="AL82" i="8" s="1"/>
  <c r="AL83" i="8" s="1"/>
  <c r="AL84" i="8" s="1"/>
  <c r="AL85" i="8" s="1"/>
  <c r="AL86" i="8" s="1"/>
  <c r="AL87" i="8" s="1"/>
  <c r="AJ74" i="8"/>
  <c r="AI74" i="8"/>
  <c r="AJ73" i="8"/>
  <c r="AI73" i="8"/>
  <c r="AJ72" i="8"/>
  <c r="AI72" i="8"/>
  <c r="AJ71" i="8"/>
  <c r="AI71" i="8"/>
  <c r="AJ70" i="8"/>
  <c r="AI70" i="8"/>
  <c r="AJ69" i="8"/>
  <c r="AI69" i="8"/>
  <c r="AJ68" i="8"/>
  <c r="AI68" i="8"/>
  <c r="AJ67" i="8"/>
  <c r="AI67" i="8"/>
  <c r="AJ66" i="8"/>
  <c r="AI66" i="8"/>
  <c r="AJ65" i="8"/>
  <c r="AI65" i="8"/>
  <c r="BA64" i="8"/>
  <c r="BA65" i="8" s="1"/>
  <c r="BA66" i="8" s="1"/>
  <c r="BA67" i="8" s="1"/>
  <c r="BA68" i="8" s="1"/>
  <c r="BA69" i="8" s="1"/>
  <c r="BA70" i="8" s="1"/>
  <c r="BA71" i="8" s="1"/>
  <c r="BA72" i="8" s="1"/>
  <c r="AZ64" i="8"/>
  <c r="AY64" i="8"/>
  <c r="AX64" i="8"/>
  <c r="AW64" i="8"/>
  <c r="AP64" i="8"/>
  <c r="AP65" i="8" s="1"/>
  <c r="AP66" i="8" s="1"/>
  <c r="AP67" i="8" s="1"/>
  <c r="AP68" i="8" s="1"/>
  <c r="AP69" i="8" s="1"/>
  <c r="AP70" i="8" s="1"/>
  <c r="AP71" i="8" s="1"/>
  <c r="AP72" i="8" s="1"/>
  <c r="AO64" i="8"/>
  <c r="AO65" i="8" s="1"/>
  <c r="AO66" i="8" s="1"/>
  <c r="AO67" i="8" s="1"/>
  <c r="AO68" i="8" s="1"/>
  <c r="AO69" i="8" s="1"/>
  <c r="AO70" i="8" s="1"/>
  <c r="AO71" i="8" s="1"/>
  <c r="AO72" i="8" s="1"/>
  <c r="AN64" i="8"/>
  <c r="AN65" i="8" s="1"/>
  <c r="AN66" i="8" s="1"/>
  <c r="AN67" i="8" s="1"/>
  <c r="AN68" i="8" s="1"/>
  <c r="AN69" i="8" s="1"/>
  <c r="AN70" i="8" s="1"/>
  <c r="AN71" i="8" s="1"/>
  <c r="AN72" i="8" s="1"/>
  <c r="AM64" i="8"/>
  <c r="AM65" i="8" s="1"/>
  <c r="AM66" i="8" s="1"/>
  <c r="AM67" i="8" s="1"/>
  <c r="AM68" i="8" s="1"/>
  <c r="AM69" i="8" s="1"/>
  <c r="AM70" i="8" s="1"/>
  <c r="AM71" i="8" s="1"/>
  <c r="AM72" i="8" s="1"/>
  <c r="AL64" i="8"/>
  <c r="AL65" i="8" s="1"/>
  <c r="AL66" i="8" s="1"/>
  <c r="AL67" i="8" s="1"/>
  <c r="AL68" i="8" s="1"/>
  <c r="AL69" i="8" s="1"/>
  <c r="AL70" i="8" s="1"/>
  <c r="AL71" i="8" s="1"/>
  <c r="AL72" i="8" s="1"/>
  <c r="AJ64" i="8"/>
  <c r="AI64" i="8"/>
  <c r="AJ63" i="8"/>
  <c r="AI63" i="8"/>
  <c r="AJ62" i="8"/>
  <c r="AI62" i="8"/>
  <c r="AJ61" i="8"/>
  <c r="AI61" i="8"/>
  <c r="M23" i="8"/>
  <c r="M24" i="8" s="1"/>
  <c r="AJ60" i="8"/>
  <c r="AI60" i="8"/>
  <c r="AJ59" i="8"/>
  <c r="AI59" i="8"/>
  <c r="AJ58" i="8"/>
  <c r="AI58" i="8"/>
  <c r="AJ57" i="8"/>
  <c r="AI57" i="8"/>
  <c r="AJ56" i="8"/>
  <c r="AI56" i="8"/>
  <c r="AP55" i="8"/>
  <c r="AP56" i="8" s="1"/>
  <c r="AP57" i="8" s="1"/>
  <c r="AP58" i="8" s="1"/>
  <c r="AP59" i="8" s="1"/>
  <c r="AP60" i="8" s="1"/>
  <c r="AP61" i="8" s="1"/>
  <c r="AP62" i="8" s="1"/>
  <c r="AO55" i="8"/>
  <c r="AO56" i="8" s="1"/>
  <c r="AO57" i="8" s="1"/>
  <c r="AO58" i="8" s="1"/>
  <c r="AO59" i="8" s="1"/>
  <c r="AO60" i="8" s="1"/>
  <c r="AO61" i="8" s="1"/>
  <c r="AO62" i="8" s="1"/>
  <c r="AN55" i="8"/>
  <c r="AN56" i="8" s="1"/>
  <c r="AN57" i="8" s="1"/>
  <c r="AN58" i="8" s="1"/>
  <c r="AN59" i="8" s="1"/>
  <c r="AN60" i="8" s="1"/>
  <c r="AN61" i="8" s="1"/>
  <c r="AN62" i="8" s="1"/>
  <c r="AM55" i="8"/>
  <c r="AM56" i="8" s="1"/>
  <c r="AM57" i="8" s="1"/>
  <c r="AM58" i="8" s="1"/>
  <c r="AM59" i="8" s="1"/>
  <c r="AM60" i="8" s="1"/>
  <c r="AM61" i="8" s="1"/>
  <c r="AM62" i="8" s="1"/>
  <c r="AL55" i="8"/>
  <c r="AL56" i="8" s="1"/>
  <c r="AL57" i="8" s="1"/>
  <c r="AL58" i="8" s="1"/>
  <c r="AL59" i="8" s="1"/>
  <c r="AL60" i="8" s="1"/>
  <c r="AL61" i="8" s="1"/>
  <c r="AL62" i="8" s="1"/>
  <c r="AJ55" i="8"/>
  <c r="AI55" i="8"/>
  <c r="AJ54" i="8"/>
  <c r="AI54" i="8"/>
  <c r="AJ53" i="8"/>
  <c r="AI53" i="8"/>
  <c r="AJ52" i="8"/>
  <c r="AI52" i="8"/>
  <c r="AJ51" i="8"/>
  <c r="AI51" i="8"/>
  <c r="AJ50" i="8"/>
  <c r="AI50" i="8"/>
  <c r="AJ49" i="8"/>
  <c r="AI49" i="8"/>
  <c r="AJ48" i="8"/>
  <c r="AI48" i="8"/>
  <c r="AJ47" i="8"/>
  <c r="AI47" i="8"/>
  <c r="AJ46" i="8"/>
  <c r="AI46" i="8"/>
  <c r="AP45" i="8"/>
  <c r="AP46" i="8" s="1"/>
  <c r="AP47" i="8" s="1"/>
  <c r="AP48" i="8" s="1"/>
  <c r="AP49" i="8" s="1"/>
  <c r="AP50" i="8" s="1"/>
  <c r="AP51" i="8" s="1"/>
  <c r="AP52" i="8" s="1"/>
  <c r="AP53" i="8" s="1"/>
  <c r="AO45" i="8"/>
  <c r="AO46" i="8" s="1"/>
  <c r="AO47" i="8" s="1"/>
  <c r="AO48" i="8" s="1"/>
  <c r="AO49" i="8" s="1"/>
  <c r="AO50" i="8" s="1"/>
  <c r="AO51" i="8" s="1"/>
  <c r="AO52" i="8" s="1"/>
  <c r="AO53" i="8" s="1"/>
  <c r="AN45" i="8"/>
  <c r="AN46" i="8" s="1"/>
  <c r="AN47" i="8" s="1"/>
  <c r="AN48" i="8" s="1"/>
  <c r="AN49" i="8" s="1"/>
  <c r="AN50" i="8" s="1"/>
  <c r="AN51" i="8" s="1"/>
  <c r="AN52" i="8" s="1"/>
  <c r="AN53" i="8" s="1"/>
  <c r="AM45" i="8"/>
  <c r="AM46" i="8" s="1"/>
  <c r="AM47" i="8" s="1"/>
  <c r="AM48" i="8" s="1"/>
  <c r="AM49" i="8" s="1"/>
  <c r="AM50" i="8" s="1"/>
  <c r="AM51" i="8" s="1"/>
  <c r="AM52" i="8" s="1"/>
  <c r="AM53" i="8" s="1"/>
  <c r="AL45" i="8"/>
  <c r="AL46" i="8" s="1"/>
  <c r="AL47" i="8" s="1"/>
  <c r="AL48" i="8" s="1"/>
  <c r="AL49" i="8" s="1"/>
  <c r="AL50" i="8" s="1"/>
  <c r="AL51" i="8" s="1"/>
  <c r="AL52" i="8" s="1"/>
  <c r="AL53" i="8" s="1"/>
  <c r="AJ45" i="8"/>
  <c r="AI45" i="8"/>
  <c r="AJ44" i="8"/>
  <c r="AI44" i="8"/>
  <c r="AJ43" i="8"/>
  <c r="AI43" i="8"/>
  <c r="AJ42" i="8"/>
  <c r="AI42" i="8"/>
  <c r="AJ41" i="8"/>
  <c r="AI41" i="8"/>
  <c r="AJ40" i="8"/>
  <c r="AI40" i="8"/>
  <c r="AJ39" i="8"/>
  <c r="AI39" i="8"/>
  <c r="AJ38" i="8"/>
  <c r="AI38" i="8"/>
  <c r="AJ37" i="8"/>
  <c r="AI37" i="8"/>
  <c r="AJ36" i="8"/>
  <c r="AI36" i="8"/>
  <c r="AJ35" i="8"/>
  <c r="AI35" i="8"/>
  <c r="AJ34" i="8"/>
  <c r="AI34" i="8"/>
  <c r="AJ33" i="8"/>
  <c r="AI33" i="8"/>
  <c r="AJ32" i="8"/>
  <c r="AI32" i="8"/>
  <c r="AJ31" i="8"/>
  <c r="AI31" i="8"/>
  <c r="AP30" i="8"/>
  <c r="AP31" i="8" s="1"/>
  <c r="AP32" i="8" s="1"/>
  <c r="AP33" i="8" s="1"/>
  <c r="AP34" i="8" s="1"/>
  <c r="AP35" i="8" s="1"/>
  <c r="AP36" i="8" s="1"/>
  <c r="AP37" i="8" s="1"/>
  <c r="AP38" i="8" s="1"/>
  <c r="AP39" i="8" s="1"/>
  <c r="AP40" i="8" s="1"/>
  <c r="AP41" i="8" s="1"/>
  <c r="AP42" i="8" s="1"/>
  <c r="AP43" i="8" s="1"/>
  <c r="AO30" i="8"/>
  <c r="AO31" i="8" s="1"/>
  <c r="AO32" i="8" s="1"/>
  <c r="AO33" i="8" s="1"/>
  <c r="AO34" i="8" s="1"/>
  <c r="AO35" i="8" s="1"/>
  <c r="AO36" i="8" s="1"/>
  <c r="AO37" i="8" s="1"/>
  <c r="AO38" i="8" s="1"/>
  <c r="AO39" i="8" s="1"/>
  <c r="AO40" i="8" s="1"/>
  <c r="AO41" i="8" s="1"/>
  <c r="AO42" i="8" s="1"/>
  <c r="AO43" i="8" s="1"/>
  <c r="AN30" i="8"/>
  <c r="AN31" i="8" s="1"/>
  <c r="AN32" i="8" s="1"/>
  <c r="AN33" i="8" s="1"/>
  <c r="AN34" i="8" s="1"/>
  <c r="AN35" i="8" s="1"/>
  <c r="AN36" i="8" s="1"/>
  <c r="AN37" i="8" s="1"/>
  <c r="AN38" i="8" s="1"/>
  <c r="AN39" i="8" s="1"/>
  <c r="AN40" i="8" s="1"/>
  <c r="AN41" i="8" s="1"/>
  <c r="AN42" i="8" s="1"/>
  <c r="AN43" i="8" s="1"/>
  <c r="AM30" i="8"/>
  <c r="AM31" i="8" s="1"/>
  <c r="AM32" i="8" s="1"/>
  <c r="AM33" i="8" s="1"/>
  <c r="AM34" i="8" s="1"/>
  <c r="AM35" i="8" s="1"/>
  <c r="AM36" i="8" s="1"/>
  <c r="AM37" i="8" s="1"/>
  <c r="AM38" i="8" s="1"/>
  <c r="AM39" i="8" s="1"/>
  <c r="AM40" i="8" s="1"/>
  <c r="AM41" i="8" s="1"/>
  <c r="AM42" i="8" s="1"/>
  <c r="AM43" i="8" s="1"/>
  <c r="AL30" i="8"/>
  <c r="AL31" i="8" s="1"/>
  <c r="AL32" i="8" s="1"/>
  <c r="AL33" i="8" s="1"/>
  <c r="AL34" i="8" s="1"/>
  <c r="AL35" i="8" s="1"/>
  <c r="AL36" i="8" s="1"/>
  <c r="AL37" i="8" s="1"/>
  <c r="AL38" i="8" s="1"/>
  <c r="AL39" i="8" s="1"/>
  <c r="AL40" i="8" s="1"/>
  <c r="AL41" i="8" s="1"/>
  <c r="AL42" i="8" s="1"/>
  <c r="AL43" i="8" s="1"/>
  <c r="AJ30" i="8"/>
  <c r="AI30" i="8"/>
  <c r="AJ29" i="8"/>
  <c r="AI29" i="8"/>
  <c r="AJ28" i="8"/>
  <c r="AI28" i="8"/>
  <c r="AJ27" i="8"/>
  <c r="AI27" i="8"/>
  <c r="AJ26" i="8"/>
  <c r="AI26" i="8"/>
  <c r="AJ25" i="8"/>
  <c r="AI25" i="8"/>
  <c r="AJ24" i="8"/>
  <c r="AI24" i="8"/>
  <c r="AJ23" i="8"/>
  <c r="AI23" i="8"/>
  <c r="AJ22" i="8"/>
  <c r="AI22" i="8"/>
  <c r="AJ21" i="8"/>
  <c r="AI21" i="8"/>
  <c r="AJ20" i="8"/>
  <c r="AI20" i="8"/>
  <c r="AJ19" i="8"/>
  <c r="AI19" i="8"/>
  <c r="AJ18" i="8"/>
  <c r="AI18" i="8"/>
  <c r="AJ17" i="8"/>
  <c r="AI17" i="8"/>
  <c r="AJ16" i="8"/>
  <c r="AI16" i="8"/>
  <c r="AP15" i="8"/>
  <c r="AP16" i="8" s="1"/>
  <c r="AP17" i="8" s="1"/>
  <c r="AP18" i="8" s="1"/>
  <c r="AP19" i="8" s="1"/>
  <c r="AP20" i="8" s="1"/>
  <c r="AP21" i="8" s="1"/>
  <c r="AP22" i="8" s="1"/>
  <c r="AP23" i="8" s="1"/>
  <c r="AP24" i="8" s="1"/>
  <c r="AP25" i="8" s="1"/>
  <c r="AP26" i="8" s="1"/>
  <c r="AP27" i="8" s="1"/>
  <c r="AP28" i="8" s="1"/>
  <c r="AO15" i="8"/>
  <c r="AO16" i="8" s="1"/>
  <c r="AO17" i="8" s="1"/>
  <c r="AO18" i="8" s="1"/>
  <c r="AO19" i="8" s="1"/>
  <c r="AO20" i="8" s="1"/>
  <c r="AO21" i="8" s="1"/>
  <c r="AO22" i="8" s="1"/>
  <c r="AO23" i="8" s="1"/>
  <c r="AO24" i="8" s="1"/>
  <c r="AO25" i="8" s="1"/>
  <c r="AO26" i="8" s="1"/>
  <c r="AO27" i="8" s="1"/>
  <c r="AO28" i="8" s="1"/>
  <c r="AN15" i="8"/>
  <c r="AN16" i="8" s="1"/>
  <c r="AN17" i="8" s="1"/>
  <c r="AN18" i="8" s="1"/>
  <c r="AN19" i="8" s="1"/>
  <c r="AN20" i="8" s="1"/>
  <c r="AN21" i="8" s="1"/>
  <c r="AN22" i="8" s="1"/>
  <c r="AN23" i="8" s="1"/>
  <c r="AN24" i="8" s="1"/>
  <c r="AN25" i="8" s="1"/>
  <c r="AN26" i="8" s="1"/>
  <c r="AN27" i="8" s="1"/>
  <c r="AN28" i="8" s="1"/>
  <c r="AM15" i="8"/>
  <c r="AM16" i="8" s="1"/>
  <c r="AM17" i="8" s="1"/>
  <c r="AM18" i="8" s="1"/>
  <c r="AM19" i="8" s="1"/>
  <c r="AM20" i="8" s="1"/>
  <c r="AM21" i="8" s="1"/>
  <c r="AM22" i="8" s="1"/>
  <c r="AM23" i="8" s="1"/>
  <c r="AM24" i="8" s="1"/>
  <c r="AM25" i="8" s="1"/>
  <c r="AM26" i="8" s="1"/>
  <c r="AM27" i="8" s="1"/>
  <c r="AM28" i="8" s="1"/>
  <c r="AL15" i="8"/>
  <c r="AL16" i="8" s="1"/>
  <c r="AL17" i="8" s="1"/>
  <c r="AL18" i="8" s="1"/>
  <c r="AL19" i="8" s="1"/>
  <c r="AL20" i="8" s="1"/>
  <c r="AL21" i="8" s="1"/>
  <c r="AL22" i="8" s="1"/>
  <c r="AL23" i="8" s="1"/>
  <c r="AL24" i="8" s="1"/>
  <c r="AL25" i="8" s="1"/>
  <c r="AL26" i="8" s="1"/>
  <c r="AL27" i="8" s="1"/>
  <c r="AL28" i="8" s="1"/>
  <c r="AJ15" i="8"/>
  <c r="AI15" i="8"/>
  <c r="AJ14" i="8"/>
  <c r="AI14" i="8"/>
  <c r="AI10" i="8"/>
  <c r="AM5" i="8"/>
  <c r="AM4" i="8"/>
  <c r="AJ227" i="7"/>
  <c r="AI227" i="7"/>
  <c r="AJ226" i="7"/>
  <c r="AI226" i="7"/>
  <c r="AJ225" i="7"/>
  <c r="AI225" i="7"/>
  <c r="AJ224" i="7"/>
  <c r="AI224" i="7"/>
  <c r="AJ223" i="7"/>
  <c r="AI223" i="7"/>
  <c r="AJ222" i="7"/>
  <c r="AI222" i="7"/>
  <c r="AJ221" i="7"/>
  <c r="AI221" i="7"/>
  <c r="AJ220" i="7"/>
  <c r="AI220" i="7"/>
  <c r="AJ219" i="7"/>
  <c r="AI219" i="7"/>
  <c r="AJ218" i="7"/>
  <c r="AI218" i="7"/>
  <c r="AJ217" i="7"/>
  <c r="AI217" i="7"/>
  <c r="AJ216" i="7"/>
  <c r="AI216" i="7"/>
  <c r="AJ215" i="7"/>
  <c r="AI215" i="7"/>
  <c r="AJ214" i="7"/>
  <c r="AI214" i="7"/>
  <c r="AJ213" i="7"/>
  <c r="AI213" i="7"/>
  <c r="AJ212" i="7"/>
  <c r="AI212" i="7"/>
  <c r="AJ211" i="7"/>
  <c r="AI211" i="7"/>
  <c r="AJ210" i="7"/>
  <c r="AI210" i="7"/>
  <c r="AJ209" i="7"/>
  <c r="AI209" i="7"/>
  <c r="AJ208" i="7"/>
  <c r="AI208" i="7"/>
  <c r="AJ207" i="7"/>
  <c r="AI207" i="7"/>
  <c r="AJ206" i="7"/>
  <c r="AI206" i="7"/>
  <c r="AJ205" i="7"/>
  <c r="AI205" i="7"/>
  <c r="AJ204" i="7"/>
  <c r="AI204" i="7"/>
  <c r="AJ203" i="7"/>
  <c r="AI203" i="7"/>
  <c r="AJ202" i="7"/>
  <c r="AI202" i="7"/>
  <c r="AJ201" i="7"/>
  <c r="AI201" i="7"/>
  <c r="AJ200" i="7"/>
  <c r="AI200" i="7"/>
  <c r="AJ199" i="7"/>
  <c r="AI199" i="7"/>
  <c r="AJ198" i="7"/>
  <c r="AI198" i="7"/>
  <c r="AJ197" i="7"/>
  <c r="AI197" i="7"/>
  <c r="AJ196" i="7"/>
  <c r="AI196" i="7"/>
  <c r="AJ195" i="7"/>
  <c r="AI195" i="7"/>
  <c r="AJ194" i="7"/>
  <c r="AI194" i="7"/>
  <c r="AJ193" i="7"/>
  <c r="AI193" i="7"/>
  <c r="AJ192" i="7"/>
  <c r="AI192" i="7"/>
  <c r="AJ191" i="7"/>
  <c r="AI191" i="7"/>
  <c r="AJ190" i="7"/>
  <c r="AI190" i="7"/>
  <c r="AJ189" i="7"/>
  <c r="AI189" i="7"/>
  <c r="AJ188" i="7"/>
  <c r="AI188" i="7"/>
  <c r="AJ187" i="7"/>
  <c r="AI187" i="7"/>
  <c r="AJ186" i="7"/>
  <c r="AI186" i="7"/>
  <c r="AJ185" i="7"/>
  <c r="AI185" i="7"/>
  <c r="AJ184" i="7"/>
  <c r="AI184" i="7"/>
  <c r="AN183" i="7"/>
  <c r="AN184" i="7" s="1"/>
  <c r="AN185" i="7" s="1"/>
  <c r="AN186" i="7" s="1"/>
  <c r="AN187" i="7" s="1"/>
  <c r="AN188" i="7" s="1"/>
  <c r="AN189" i="7" s="1"/>
  <c r="AN190" i="7" s="1"/>
  <c r="AN191" i="7" s="1"/>
  <c r="AN192" i="7" s="1"/>
  <c r="AN193" i="7" s="1"/>
  <c r="AN194" i="7" s="1"/>
  <c r="AN195" i="7" s="1"/>
  <c r="AN196" i="7" s="1"/>
  <c r="AM183" i="7"/>
  <c r="AM184" i="7" s="1"/>
  <c r="AM185" i="7" s="1"/>
  <c r="AM186" i="7" s="1"/>
  <c r="AM187" i="7" s="1"/>
  <c r="AM188" i="7" s="1"/>
  <c r="AM189" i="7" s="1"/>
  <c r="AM190" i="7" s="1"/>
  <c r="AM191" i="7" s="1"/>
  <c r="AM192" i="7" s="1"/>
  <c r="AM193" i="7" s="1"/>
  <c r="AM194" i="7" s="1"/>
  <c r="AM195" i="7" s="1"/>
  <c r="AM196" i="7" s="1"/>
  <c r="AL183" i="7"/>
  <c r="AL184" i="7" s="1"/>
  <c r="AL185" i="7" s="1"/>
  <c r="AL186" i="7" s="1"/>
  <c r="AL187" i="7" s="1"/>
  <c r="AL188" i="7" s="1"/>
  <c r="AL189" i="7" s="1"/>
  <c r="AL190" i="7" s="1"/>
  <c r="AL191" i="7" s="1"/>
  <c r="AL192" i="7" s="1"/>
  <c r="AL193" i="7" s="1"/>
  <c r="AL194" i="7" s="1"/>
  <c r="AL195" i="7" s="1"/>
  <c r="AL196" i="7" s="1"/>
  <c r="AJ183" i="7"/>
  <c r="AI183" i="7"/>
  <c r="AJ182" i="7"/>
  <c r="AI182" i="7"/>
  <c r="AJ181" i="7"/>
  <c r="AI181" i="7"/>
  <c r="AJ180" i="7"/>
  <c r="AI180" i="7"/>
  <c r="AJ179" i="7"/>
  <c r="AI179" i="7"/>
  <c r="AJ178" i="7"/>
  <c r="AI178" i="7"/>
  <c r="AJ177" i="7"/>
  <c r="AI177" i="7"/>
  <c r="AJ176" i="7"/>
  <c r="AI176" i="7"/>
  <c r="AJ175" i="7"/>
  <c r="AI175" i="7"/>
  <c r="AJ174" i="7"/>
  <c r="AI174" i="7"/>
  <c r="AJ173" i="7"/>
  <c r="AI173" i="7"/>
  <c r="AJ172" i="7"/>
  <c r="AI172" i="7"/>
  <c r="AJ171" i="7"/>
  <c r="AI171" i="7"/>
  <c r="AJ170" i="7"/>
  <c r="AI170" i="7"/>
  <c r="AJ169" i="7"/>
  <c r="AI169" i="7"/>
  <c r="AN168" i="7"/>
  <c r="AN169" i="7" s="1"/>
  <c r="AN170" i="7" s="1"/>
  <c r="AN171" i="7" s="1"/>
  <c r="AN172" i="7" s="1"/>
  <c r="AN173" i="7" s="1"/>
  <c r="AN174" i="7" s="1"/>
  <c r="AN175" i="7" s="1"/>
  <c r="AN176" i="7" s="1"/>
  <c r="AN177" i="7" s="1"/>
  <c r="AN178" i="7" s="1"/>
  <c r="AN179" i="7" s="1"/>
  <c r="AN180" i="7" s="1"/>
  <c r="AN181" i="7" s="1"/>
  <c r="AM168" i="7"/>
  <c r="AM169" i="7" s="1"/>
  <c r="AM170" i="7" s="1"/>
  <c r="AM171" i="7" s="1"/>
  <c r="AM172" i="7" s="1"/>
  <c r="AM173" i="7" s="1"/>
  <c r="AM174" i="7" s="1"/>
  <c r="AM175" i="7" s="1"/>
  <c r="AM176" i="7" s="1"/>
  <c r="AM177" i="7" s="1"/>
  <c r="AM178" i="7" s="1"/>
  <c r="AM179" i="7" s="1"/>
  <c r="AM180" i="7" s="1"/>
  <c r="AM181" i="7" s="1"/>
  <c r="AL168" i="7"/>
  <c r="AL169" i="7" s="1"/>
  <c r="AL170" i="7" s="1"/>
  <c r="AL171" i="7" s="1"/>
  <c r="AL172" i="7" s="1"/>
  <c r="AL173" i="7" s="1"/>
  <c r="AL174" i="7" s="1"/>
  <c r="AL175" i="7" s="1"/>
  <c r="AL176" i="7" s="1"/>
  <c r="AL177" i="7" s="1"/>
  <c r="AL178" i="7" s="1"/>
  <c r="AL179" i="7" s="1"/>
  <c r="AL180" i="7" s="1"/>
  <c r="AL181" i="7" s="1"/>
  <c r="AJ168" i="7"/>
  <c r="AI168" i="7"/>
  <c r="AJ167" i="7"/>
  <c r="AI167" i="7"/>
  <c r="AJ166" i="7"/>
  <c r="AI166" i="7"/>
  <c r="AJ165" i="7"/>
  <c r="AI165" i="7"/>
  <c r="AJ164" i="7"/>
  <c r="AI164" i="7"/>
  <c r="AJ163" i="7"/>
  <c r="AI163" i="7"/>
  <c r="AJ162" i="7"/>
  <c r="AI162" i="7"/>
  <c r="AJ161" i="7"/>
  <c r="AI161" i="7"/>
  <c r="AJ160" i="7"/>
  <c r="AI160" i="7"/>
  <c r="AJ159" i="7"/>
  <c r="AI159" i="7"/>
  <c r="AM158" i="7"/>
  <c r="AM159" i="7" s="1"/>
  <c r="AM160" i="7" s="1"/>
  <c r="AM161" i="7" s="1"/>
  <c r="AM162" i="7" s="1"/>
  <c r="AM163" i="7" s="1"/>
  <c r="AM164" i="7" s="1"/>
  <c r="AM165" i="7" s="1"/>
  <c r="AM166" i="7" s="1"/>
  <c r="AL158" i="7"/>
  <c r="AL159" i="7" s="1"/>
  <c r="AL160" i="7" s="1"/>
  <c r="AL161" i="7" s="1"/>
  <c r="AL162" i="7" s="1"/>
  <c r="AL163" i="7" s="1"/>
  <c r="AL164" i="7" s="1"/>
  <c r="AL165" i="7" s="1"/>
  <c r="AL166" i="7" s="1"/>
  <c r="AJ158" i="7"/>
  <c r="AI158" i="7"/>
  <c r="AJ157" i="7"/>
  <c r="AI157" i="7"/>
  <c r="AJ156" i="7"/>
  <c r="AI156" i="7"/>
  <c r="AJ155" i="7"/>
  <c r="AI155" i="7"/>
  <c r="AJ154" i="7"/>
  <c r="AI154" i="7"/>
  <c r="AJ153" i="7"/>
  <c r="AI153" i="7"/>
  <c r="AJ152" i="7"/>
  <c r="AI152" i="7"/>
  <c r="AJ151" i="7"/>
  <c r="AI151" i="7"/>
  <c r="AJ150" i="7"/>
  <c r="AI150" i="7"/>
  <c r="AJ149" i="7"/>
  <c r="AI149" i="7"/>
  <c r="AJ148" i="7"/>
  <c r="AI148" i="7"/>
  <c r="AJ147" i="7"/>
  <c r="AI147" i="7"/>
  <c r="AJ146" i="7"/>
  <c r="AI146" i="7"/>
  <c r="AJ145" i="7"/>
  <c r="AI145" i="7"/>
  <c r="AJ144" i="7"/>
  <c r="AI144" i="7"/>
  <c r="AJ143" i="7"/>
  <c r="AI143" i="7"/>
  <c r="BC142" i="7"/>
  <c r="BC143" i="7" s="1"/>
  <c r="BC144" i="7" s="1"/>
  <c r="BC145" i="7" s="1"/>
  <c r="BC146" i="7" s="1"/>
  <c r="BC147" i="7" s="1"/>
  <c r="BC148" i="7" s="1"/>
  <c r="BC149" i="7" s="1"/>
  <c r="BC150" i="7" s="1"/>
  <c r="BC151" i="7" s="1"/>
  <c r="BC152" i="7" s="1"/>
  <c r="BC153" i="7" s="1"/>
  <c r="BC154" i="7" s="1"/>
  <c r="BC155" i="7" s="1"/>
  <c r="BB142" i="7"/>
  <c r="BB143" i="7" s="1"/>
  <c r="BB144" i="7" s="1"/>
  <c r="BB145" i="7" s="1"/>
  <c r="BB146" i="7" s="1"/>
  <c r="BB147" i="7" s="1"/>
  <c r="BB148" i="7" s="1"/>
  <c r="BB149" i="7" s="1"/>
  <c r="BB150" i="7" s="1"/>
  <c r="BB151" i="7" s="1"/>
  <c r="BB152" i="7" s="1"/>
  <c r="BB153" i="7" s="1"/>
  <c r="BB154" i="7" s="1"/>
  <c r="BB155" i="7" s="1"/>
  <c r="BA142" i="7"/>
  <c r="BA143" i="7" s="1"/>
  <c r="BA144" i="7" s="1"/>
  <c r="BA145" i="7" s="1"/>
  <c r="BA146" i="7" s="1"/>
  <c r="BA147" i="7" s="1"/>
  <c r="BA148" i="7" s="1"/>
  <c r="BA149" i="7" s="1"/>
  <c r="BA150" i="7" s="1"/>
  <c r="BA151" i="7" s="1"/>
  <c r="BA152" i="7" s="1"/>
  <c r="BA153" i="7" s="1"/>
  <c r="BA154" i="7" s="1"/>
  <c r="BA155" i="7" s="1"/>
  <c r="AZ142" i="7"/>
  <c r="AZ143" i="7" s="1"/>
  <c r="AZ144" i="7" s="1"/>
  <c r="AZ145" i="7" s="1"/>
  <c r="AZ146" i="7" s="1"/>
  <c r="AZ147" i="7" s="1"/>
  <c r="AZ148" i="7" s="1"/>
  <c r="AZ149" i="7" s="1"/>
  <c r="AZ150" i="7" s="1"/>
  <c r="AZ151" i="7" s="1"/>
  <c r="AZ152" i="7" s="1"/>
  <c r="AZ153" i="7" s="1"/>
  <c r="AZ154" i="7" s="1"/>
  <c r="AZ155" i="7" s="1"/>
  <c r="AY142" i="7"/>
  <c r="AY143" i="7" s="1"/>
  <c r="AY144" i="7" s="1"/>
  <c r="AY145" i="7" s="1"/>
  <c r="AY146" i="7" s="1"/>
  <c r="AY147" i="7" s="1"/>
  <c r="AY148" i="7" s="1"/>
  <c r="AY149" i="7" s="1"/>
  <c r="AY150" i="7" s="1"/>
  <c r="AY151" i="7" s="1"/>
  <c r="AY152" i="7" s="1"/>
  <c r="AY153" i="7" s="1"/>
  <c r="AY154" i="7" s="1"/>
  <c r="AY155" i="7" s="1"/>
  <c r="AJ142" i="7"/>
  <c r="AI142" i="7"/>
  <c r="AJ141" i="7"/>
  <c r="AI141" i="7"/>
  <c r="AJ140" i="7"/>
  <c r="AI140" i="7"/>
  <c r="AJ139" i="7"/>
  <c r="AI139" i="7"/>
  <c r="AJ138" i="7"/>
  <c r="AI138" i="7"/>
  <c r="AJ137" i="7"/>
  <c r="AI137" i="7"/>
  <c r="AJ136" i="7"/>
  <c r="AI136" i="7"/>
  <c r="AJ135" i="7"/>
  <c r="AI135" i="7"/>
  <c r="AJ134" i="7"/>
  <c r="AI134" i="7"/>
  <c r="AJ133" i="7"/>
  <c r="AI133" i="7"/>
  <c r="AJ132" i="7"/>
  <c r="AI132" i="7"/>
  <c r="AJ131" i="7"/>
  <c r="AI131" i="7"/>
  <c r="AJ130" i="7"/>
  <c r="AI130" i="7"/>
  <c r="AJ129" i="7"/>
  <c r="AI129" i="7"/>
  <c r="AJ128" i="7"/>
  <c r="AI128" i="7"/>
  <c r="BC127" i="7"/>
  <c r="BC128" i="7" s="1"/>
  <c r="BC129" i="7" s="1"/>
  <c r="BC130" i="7" s="1"/>
  <c r="BC131" i="7" s="1"/>
  <c r="BC132" i="7" s="1"/>
  <c r="BC133" i="7" s="1"/>
  <c r="BC134" i="7" s="1"/>
  <c r="BC135" i="7" s="1"/>
  <c r="BC136" i="7" s="1"/>
  <c r="BC137" i="7" s="1"/>
  <c r="BC138" i="7" s="1"/>
  <c r="BC139" i="7" s="1"/>
  <c r="BC140" i="7" s="1"/>
  <c r="BB127" i="7"/>
  <c r="BB128" i="7" s="1"/>
  <c r="BB129" i="7" s="1"/>
  <c r="BB130" i="7" s="1"/>
  <c r="BB131" i="7" s="1"/>
  <c r="BB132" i="7" s="1"/>
  <c r="BB133" i="7" s="1"/>
  <c r="BB134" i="7" s="1"/>
  <c r="BB135" i="7" s="1"/>
  <c r="BB136" i="7" s="1"/>
  <c r="BB137" i="7" s="1"/>
  <c r="BB138" i="7" s="1"/>
  <c r="BB139" i="7" s="1"/>
  <c r="BB140" i="7" s="1"/>
  <c r="BA127" i="7"/>
  <c r="BA128" i="7" s="1"/>
  <c r="BA129" i="7" s="1"/>
  <c r="BA130" i="7" s="1"/>
  <c r="BA131" i="7" s="1"/>
  <c r="BA132" i="7" s="1"/>
  <c r="BA133" i="7" s="1"/>
  <c r="BA134" i="7" s="1"/>
  <c r="BA135" i="7" s="1"/>
  <c r="BA136" i="7" s="1"/>
  <c r="BA137" i="7" s="1"/>
  <c r="BA138" i="7" s="1"/>
  <c r="BA139" i="7" s="1"/>
  <c r="BA140" i="7" s="1"/>
  <c r="AZ127" i="7"/>
  <c r="AZ128" i="7" s="1"/>
  <c r="AZ129" i="7" s="1"/>
  <c r="AZ130" i="7" s="1"/>
  <c r="AZ131" i="7" s="1"/>
  <c r="AZ132" i="7" s="1"/>
  <c r="AZ133" i="7" s="1"/>
  <c r="AZ134" i="7" s="1"/>
  <c r="AZ135" i="7" s="1"/>
  <c r="AZ136" i="7" s="1"/>
  <c r="AZ137" i="7" s="1"/>
  <c r="AZ138" i="7" s="1"/>
  <c r="AZ139" i="7" s="1"/>
  <c r="AZ140" i="7" s="1"/>
  <c r="AY127" i="7"/>
  <c r="AY128" i="7" s="1"/>
  <c r="AY129" i="7" s="1"/>
  <c r="AY130" i="7" s="1"/>
  <c r="AY131" i="7" s="1"/>
  <c r="AY132" i="7" s="1"/>
  <c r="AY133" i="7" s="1"/>
  <c r="AY134" i="7" s="1"/>
  <c r="AY135" i="7" s="1"/>
  <c r="AY136" i="7" s="1"/>
  <c r="AY137" i="7" s="1"/>
  <c r="AY138" i="7" s="1"/>
  <c r="AY139" i="7" s="1"/>
  <c r="AY140" i="7" s="1"/>
  <c r="AP127" i="7"/>
  <c r="AP128" i="7" s="1"/>
  <c r="AP129" i="7" s="1"/>
  <c r="AP130" i="7" s="1"/>
  <c r="AP131" i="7" s="1"/>
  <c r="AP132" i="7" s="1"/>
  <c r="AP133" i="7" s="1"/>
  <c r="AP134" i="7" s="1"/>
  <c r="AP135" i="7" s="1"/>
  <c r="AP136" i="7" s="1"/>
  <c r="AP137" i="7" s="1"/>
  <c r="AP138" i="7" s="1"/>
  <c r="AP139" i="7" s="1"/>
  <c r="AP140" i="7" s="1"/>
  <c r="AO127" i="7"/>
  <c r="AO128" i="7" s="1"/>
  <c r="AO129" i="7" s="1"/>
  <c r="AO130" i="7" s="1"/>
  <c r="AO131" i="7" s="1"/>
  <c r="AO132" i="7" s="1"/>
  <c r="AO133" i="7" s="1"/>
  <c r="AO134" i="7" s="1"/>
  <c r="AO135" i="7" s="1"/>
  <c r="AO136" i="7" s="1"/>
  <c r="AO137" i="7" s="1"/>
  <c r="AO138" i="7" s="1"/>
  <c r="AO139" i="7" s="1"/>
  <c r="AO140" i="7" s="1"/>
  <c r="AN127" i="7"/>
  <c r="AN128" i="7" s="1"/>
  <c r="AN129" i="7" s="1"/>
  <c r="AN130" i="7" s="1"/>
  <c r="AN131" i="7" s="1"/>
  <c r="AN132" i="7" s="1"/>
  <c r="AN133" i="7" s="1"/>
  <c r="AN134" i="7" s="1"/>
  <c r="AN135" i="7" s="1"/>
  <c r="AN136" i="7" s="1"/>
  <c r="AN137" i="7" s="1"/>
  <c r="AN138" i="7" s="1"/>
  <c r="AN139" i="7" s="1"/>
  <c r="AN140" i="7" s="1"/>
  <c r="AM127" i="7"/>
  <c r="AM128" i="7" s="1"/>
  <c r="AM129" i="7" s="1"/>
  <c r="AM130" i="7" s="1"/>
  <c r="AM131" i="7" s="1"/>
  <c r="AM132" i="7" s="1"/>
  <c r="AM133" i="7" s="1"/>
  <c r="AM134" i="7" s="1"/>
  <c r="AM135" i="7" s="1"/>
  <c r="AM136" i="7" s="1"/>
  <c r="AM137" i="7" s="1"/>
  <c r="AM138" i="7" s="1"/>
  <c r="AM139" i="7" s="1"/>
  <c r="AM140" i="7" s="1"/>
  <c r="AL127" i="7"/>
  <c r="AL128" i="7" s="1"/>
  <c r="AL129" i="7" s="1"/>
  <c r="AL130" i="7" s="1"/>
  <c r="AL131" i="7" s="1"/>
  <c r="AL132" i="7" s="1"/>
  <c r="AL133" i="7" s="1"/>
  <c r="AL134" i="7" s="1"/>
  <c r="AL135" i="7" s="1"/>
  <c r="AL136" i="7" s="1"/>
  <c r="AL137" i="7" s="1"/>
  <c r="AL138" i="7" s="1"/>
  <c r="AL139" i="7" s="1"/>
  <c r="AL140" i="7" s="1"/>
  <c r="AJ127" i="7"/>
  <c r="AI127" i="7"/>
  <c r="AJ126" i="7"/>
  <c r="AI126" i="7"/>
  <c r="AJ125" i="7"/>
  <c r="AI125" i="7"/>
  <c r="AJ124" i="7"/>
  <c r="AI124" i="7"/>
  <c r="AJ123" i="7"/>
  <c r="AI123" i="7"/>
  <c r="AJ122" i="7"/>
  <c r="AI122" i="7"/>
  <c r="AJ121" i="7"/>
  <c r="AI121" i="7"/>
  <c r="AJ120" i="7"/>
  <c r="AI120" i="7"/>
  <c r="AJ119" i="7"/>
  <c r="AI119" i="7"/>
  <c r="AJ118" i="7"/>
  <c r="AI118" i="7"/>
  <c r="AJ117" i="7"/>
  <c r="AI117" i="7"/>
  <c r="AJ116" i="7"/>
  <c r="AI116" i="7"/>
  <c r="AJ115" i="7"/>
  <c r="AI115" i="7"/>
  <c r="AJ114" i="7"/>
  <c r="AI114" i="7"/>
  <c r="AJ113" i="7"/>
  <c r="AI113" i="7"/>
  <c r="BC112" i="7"/>
  <c r="BC113" i="7" s="1"/>
  <c r="BC114" i="7" s="1"/>
  <c r="BC115" i="7" s="1"/>
  <c r="BC116" i="7" s="1"/>
  <c r="BC117" i="7" s="1"/>
  <c r="BC118" i="7" s="1"/>
  <c r="BC119" i="7" s="1"/>
  <c r="BC120" i="7" s="1"/>
  <c r="BC121" i="7" s="1"/>
  <c r="BC122" i="7" s="1"/>
  <c r="BC123" i="7" s="1"/>
  <c r="BC124" i="7" s="1"/>
  <c r="BC125" i="7" s="1"/>
  <c r="BB112" i="7"/>
  <c r="BB113" i="7" s="1"/>
  <c r="BB114" i="7" s="1"/>
  <c r="BB115" i="7" s="1"/>
  <c r="BB116" i="7" s="1"/>
  <c r="BB117" i="7" s="1"/>
  <c r="BB118" i="7" s="1"/>
  <c r="BB119" i="7" s="1"/>
  <c r="BB120" i="7" s="1"/>
  <c r="BB121" i="7" s="1"/>
  <c r="BB122" i="7" s="1"/>
  <c r="BB123" i="7" s="1"/>
  <c r="BB124" i="7" s="1"/>
  <c r="BB125" i="7" s="1"/>
  <c r="BA112" i="7"/>
  <c r="BA113" i="7" s="1"/>
  <c r="BA114" i="7" s="1"/>
  <c r="BA115" i="7" s="1"/>
  <c r="BA116" i="7" s="1"/>
  <c r="BA117" i="7" s="1"/>
  <c r="BA118" i="7" s="1"/>
  <c r="BA119" i="7" s="1"/>
  <c r="BA120" i="7" s="1"/>
  <c r="BA121" i="7" s="1"/>
  <c r="BA122" i="7" s="1"/>
  <c r="BA123" i="7" s="1"/>
  <c r="BA124" i="7" s="1"/>
  <c r="BA125" i="7" s="1"/>
  <c r="AZ112" i="7"/>
  <c r="AZ113" i="7" s="1"/>
  <c r="AZ114" i="7" s="1"/>
  <c r="AZ115" i="7" s="1"/>
  <c r="AZ116" i="7" s="1"/>
  <c r="AZ117" i="7" s="1"/>
  <c r="AZ118" i="7" s="1"/>
  <c r="AZ119" i="7" s="1"/>
  <c r="AZ120" i="7" s="1"/>
  <c r="AZ121" i="7" s="1"/>
  <c r="AZ122" i="7" s="1"/>
  <c r="AZ123" i="7" s="1"/>
  <c r="AZ124" i="7" s="1"/>
  <c r="AZ125" i="7" s="1"/>
  <c r="AY112" i="7"/>
  <c r="AY113" i="7" s="1"/>
  <c r="AY114" i="7" s="1"/>
  <c r="AY115" i="7" s="1"/>
  <c r="AY116" i="7" s="1"/>
  <c r="AY117" i="7" s="1"/>
  <c r="AY118" i="7" s="1"/>
  <c r="AY119" i="7" s="1"/>
  <c r="AY120" i="7" s="1"/>
  <c r="AY121" i="7" s="1"/>
  <c r="AY122" i="7" s="1"/>
  <c r="AY123" i="7" s="1"/>
  <c r="AY124" i="7" s="1"/>
  <c r="AY125" i="7" s="1"/>
  <c r="AP112" i="7"/>
  <c r="AP113" i="7" s="1"/>
  <c r="AP114" i="7" s="1"/>
  <c r="AP115" i="7" s="1"/>
  <c r="AP116" i="7" s="1"/>
  <c r="AP117" i="7" s="1"/>
  <c r="AP118" i="7" s="1"/>
  <c r="AP119" i="7" s="1"/>
  <c r="AP120" i="7" s="1"/>
  <c r="AP121" i="7" s="1"/>
  <c r="AP122" i="7" s="1"/>
  <c r="AP123" i="7" s="1"/>
  <c r="AP124" i="7" s="1"/>
  <c r="AP125" i="7" s="1"/>
  <c r="AO112" i="7"/>
  <c r="AO113" i="7" s="1"/>
  <c r="AO114" i="7" s="1"/>
  <c r="AO115" i="7" s="1"/>
  <c r="AO116" i="7" s="1"/>
  <c r="AO117" i="7" s="1"/>
  <c r="AO118" i="7" s="1"/>
  <c r="AO119" i="7" s="1"/>
  <c r="AO120" i="7" s="1"/>
  <c r="AO121" i="7" s="1"/>
  <c r="AO122" i="7" s="1"/>
  <c r="AO123" i="7" s="1"/>
  <c r="AO124" i="7" s="1"/>
  <c r="AO125" i="7" s="1"/>
  <c r="AN112" i="7"/>
  <c r="AN113" i="7" s="1"/>
  <c r="AN114" i="7" s="1"/>
  <c r="AN115" i="7" s="1"/>
  <c r="AN116" i="7" s="1"/>
  <c r="AN117" i="7" s="1"/>
  <c r="AN118" i="7" s="1"/>
  <c r="AN119" i="7" s="1"/>
  <c r="AN120" i="7" s="1"/>
  <c r="AN121" i="7" s="1"/>
  <c r="AN122" i="7" s="1"/>
  <c r="AN123" i="7" s="1"/>
  <c r="AN124" i="7" s="1"/>
  <c r="AN125" i="7" s="1"/>
  <c r="AM112" i="7"/>
  <c r="AM113" i="7" s="1"/>
  <c r="AM114" i="7" s="1"/>
  <c r="AM115" i="7" s="1"/>
  <c r="AM116" i="7" s="1"/>
  <c r="AM117" i="7" s="1"/>
  <c r="AM118" i="7" s="1"/>
  <c r="AM119" i="7" s="1"/>
  <c r="AM120" i="7" s="1"/>
  <c r="AM121" i="7" s="1"/>
  <c r="AM122" i="7" s="1"/>
  <c r="AM123" i="7" s="1"/>
  <c r="AM124" i="7" s="1"/>
  <c r="AM125" i="7" s="1"/>
  <c r="AL112" i="7"/>
  <c r="AL113" i="7" s="1"/>
  <c r="AL114" i="7" s="1"/>
  <c r="AL115" i="7" s="1"/>
  <c r="AL116" i="7" s="1"/>
  <c r="AL117" i="7" s="1"/>
  <c r="AL118" i="7" s="1"/>
  <c r="AL119" i="7" s="1"/>
  <c r="AL120" i="7" s="1"/>
  <c r="AL121" i="7" s="1"/>
  <c r="AL122" i="7" s="1"/>
  <c r="AL123" i="7" s="1"/>
  <c r="AL124" i="7" s="1"/>
  <c r="AL125" i="7" s="1"/>
  <c r="AJ112" i="7"/>
  <c r="AI112" i="7"/>
  <c r="AJ111" i="7"/>
  <c r="AI111" i="7"/>
  <c r="AJ110" i="7"/>
  <c r="AI110" i="7"/>
  <c r="AJ109" i="7"/>
  <c r="AI109" i="7"/>
  <c r="AJ108" i="7"/>
  <c r="AI108" i="7"/>
  <c r="AJ107" i="7"/>
  <c r="AI107" i="7"/>
  <c r="AJ106" i="7"/>
  <c r="AI106" i="7"/>
  <c r="AJ105" i="7"/>
  <c r="AI105" i="7"/>
  <c r="AJ104" i="7"/>
  <c r="AI104" i="7"/>
  <c r="AJ103" i="7"/>
  <c r="AI103" i="7"/>
  <c r="AJ102" i="7"/>
  <c r="AI102" i="7"/>
  <c r="AJ101" i="7"/>
  <c r="AI101" i="7"/>
  <c r="AJ100" i="7"/>
  <c r="AI100" i="7"/>
  <c r="AJ99" i="7"/>
  <c r="AI99" i="7"/>
  <c r="AJ98" i="7"/>
  <c r="AI98" i="7"/>
  <c r="BC97" i="7"/>
  <c r="BC98" i="7" s="1"/>
  <c r="BC99" i="7" s="1"/>
  <c r="BC100" i="7" s="1"/>
  <c r="BC101" i="7" s="1"/>
  <c r="BC102" i="7" s="1"/>
  <c r="BC103" i="7" s="1"/>
  <c r="BC104" i="7" s="1"/>
  <c r="BC105" i="7" s="1"/>
  <c r="BC106" i="7" s="1"/>
  <c r="BC107" i="7" s="1"/>
  <c r="BC108" i="7" s="1"/>
  <c r="BC109" i="7" s="1"/>
  <c r="BC110" i="7" s="1"/>
  <c r="BB97" i="7"/>
  <c r="BB98" i="7" s="1"/>
  <c r="BB99" i="7" s="1"/>
  <c r="BB100" i="7" s="1"/>
  <c r="BB101" i="7" s="1"/>
  <c r="BB102" i="7" s="1"/>
  <c r="BB103" i="7" s="1"/>
  <c r="BB104" i="7" s="1"/>
  <c r="BB105" i="7" s="1"/>
  <c r="BB106" i="7" s="1"/>
  <c r="BB107" i="7" s="1"/>
  <c r="BB108" i="7" s="1"/>
  <c r="BB109" i="7" s="1"/>
  <c r="BB110" i="7" s="1"/>
  <c r="BA97" i="7"/>
  <c r="BA98" i="7" s="1"/>
  <c r="BA99" i="7" s="1"/>
  <c r="BA100" i="7" s="1"/>
  <c r="BA101" i="7" s="1"/>
  <c r="BA102" i="7" s="1"/>
  <c r="BA103" i="7" s="1"/>
  <c r="BA104" i="7" s="1"/>
  <c r="BA105" i="7" s="1"/>
  <c r="BA106" i="7" s="1"/>
  <c r="BA107" i="7" s="1"/>
  <c r="BA108" i="7" s="1"/>
  <c r="BA109" i="7" s="1"/>
  <c r="BA110" i="7" s="1"/>
  <c r="AZ97" i="7"/>
  <c r="AZ98" i="7" s="1"/>
  <c r="AZ99" i="7" s="1"/>
  <c r="AZ100" i="7" s="1"/>
  <c r="AZ101" i="7" s="1"/>
  <c r="AZ102" i="7" s="1"/>
  <c r="AZ103" i="7" s="1"/>
  <c r="AZ104" i="7" s="1"/>
  <c r="AZ105" i="7" s="1"/>
  <c r="AZ106" i="7" s="1"/>
  <c r="AZ107" i="7" s="1"/>
  <c r="AZ108" i="7" s="1"/>
  <c r="AZ109" i="7" s="1"/>
  <c r="AZ110" i="7" s="1"/>
  <c r="AY97" i="7"/>
  <c r="AY98" i="7" s="1"/>
  <c r="AY99" i="7" s="1"/>
  <c r="AY100" i="7" s="1"/>
  <c r="AY101" i="7" s="1"/>
  <c r="AY102" i="7" s="1"/>
  <c r="AY103" i="7" s="1"/>
  <c r="AY104" i="7" s="1"/>
  <c r="AY105" i="7" s="1"/>
  <c r="AY106" i="7" s="1"/>
  <c r="AY107" i="7" s="1"/>
  <c r="AY108" i="7" s="1"/>
  <c r="AY109" i="7" s="1"/>
  <c r="AY110" i="7" s="1"/>
  <c r="AP97" i="7"/>
  <c r="AP98" i="7" s="1"/>
  <c r="AP99" i="7" s="1"/>
  <c r="AP100" i="7" s="1"/>
  <c r="AP101" i="7" s="1"/>
  <c r="AP102" i="7" s="1"/>
  <c r="AP103" i="7" s="1"/>
  <c r="AP104" i="7" s="1"/>
  <c r="AP105" i="7" s="1"/>
  <c r="AP106" i="7" s="1"/>
  <c r="AP107" i="7" s="1"/>
  <c r="AP108" i="7" s="1"/>
  <c r="AP109" i="7" s="1"/>
  <c r="AP110" i="7" s="1"/>
  <c r="AO97" i="7"/>
  <c r="AO98" i="7" s="1"/>
  <c r="AO99" i="7" s="1"/>
  <c r="AO100" i="7" s="1"/>
  <c r="AO101" i="7" s="1"/>
  <c r="AO102" i="7" s="1"/>
  <c r="AO103" i="7" s="1"/>
  <c r="AO104" i="7" s="1"/>
  <c r="AO105" i="7" s="1"/>
  <c r="AO106" i="7" s="1"/>
  <c r="AO107" i="7" s="1"/>
  <c r="AO108" i="7" s="1"/>
  <c r="AO109" i="7" s="1"/>
  <c r="AO110" i="7" s="1"/>
  <c r="AN97" i="7"/>
  <c r="AN98" i="7" s="1"/>
  <c r="AN99" i="7" s="1"/>
  <c r="AN100" i="7" s="1"/>
  <c r="AN101" i="7" s="1"/>
  <c r="AN102" i="7" s="1"/>
  <c r="AN103" i="7" s="1"/>
  <c r="AN104" i="7" s="1"/>
  <c r="AN105" i="7" s="1"/>
  <c r="AN106" i="7" s="1"/>
  <c r="AN107" i="7" s="1"/>
  <c r="AN108" i="7" s="1"/>
  <c r="AN109" i="7" s="1"/>
  <c r="AN110" i="7" s="1"/>
  <c r="AM97" i="7"/>
  <c r="AM98" i="7" s="1"/>
  <c r="AM99" i="7" s="1"/>
  <c r="AM100" i="7" s="1"/>
  <c r="AM101" i="7" s="1"/>
  <c r="AM102" i="7" s="1"/>
  <c r="AM103" i="7" s="1"/>
  <c r="AM104" i="7" s="1"/>
  <c r="AM105" i="7" s="1"/>
  <c r="AM106" i="7" s="1"/>
  <c r="AM107" i="7" s="1"/>
  <c r="AM108" i="7" s="1"/>
  <c r="AM109" i="7" s="1"/>
  <c r="AM110" i="7" s="1"/>
  <c r="AL97" i="7"/>
  <c r="AL98" i="7" s="1"/>
  <c r="AL99" i="7" s="1"/>
  <c r="AL100" i="7" s="1"/>
  <c r="AL101" i="7" s="1"/>
  <c r="AL102" i="7" s="1"/>
  <c r="AL103" i="7" s="1"/>
  <c r="AL104" i="7" s="1"/>
  <c r="AL105" i="7" s="1"/>
  <c r="AL106" i="7" s="1"/>
  <c r="AL107" i="7" s="1"/>
  <c r="AL108" i="7" s="1"/>
  <c r="AL109" i="7" s="1"/>
  <c r="AL110" i="7" s="1"/>
  <c r="AJ97" i="7"/>
  <c r="AI97" i="7"/>
  <c r="AJ96" i="7"/>
  <c r="AI96" i="7"/>
  <c r="AJ95" i="7"/>
  <c r="AI95" i="7"/>
  <c r="AJ94" i="7"/>
  <c r="AI94" i="7"/>
  <c r="AJ93" i="7"/>
  <c r="AI93" i="7"/>
  <c r="AJ92" i="7"/>
  <c r="AI92" i="7"/>
  <c r="AJ91" i="7"/>
  <c r="AI91" i="7"/>
  <c r="AJ90" i="7"/>
  <c r="AI90" i="7"/>
  <c r="AJ89" i="7"/>
  <c r="AI89" i="7"/>
  <c r="AJ88" i="7"/>
  <c r="AI88" i="7"/>
  <c r="BC87" i="7"/>
  <c r="BC88" i="7" s="1"/>
  <c r="BC89" i="7" s="1"/>
  <c r="BC90" i="7" s="1"/>
  <c r="BC91" i="7" s="1"/>
  <c r="BC92" i="7" s="1"/>
  <c r="BC93" i="7" s="1"/>
  <c r="BC94" i="7" s="1"/>
  <c r="BC95" i="7" s="1"/>
  <c r="BB87" i="7"/>
  <c r="BB88" i="7" s="1"/>
  <c r="BB89" i="7" s="1"/>
  <c r="BB90" i="7" s="1"/>
  <c r="BB91" i="7" s="1"/>
  <c r="BB92" i="7" s="1"/>
  <c r="BB93" i="7" s="1"/>
  <c r="BB94" i="7" s="1"/>
  <c r="BB95" i="7" s="1"/>
  <c r="BA87" i="7"/>
  <c r="BA88" i="7" s="1"/>
  <c r="BA89" i="7" s="1"/>
  <c r="BA90" i="7" s="1"/>
  <c r="BA91" i="7" s="1"/>
  <c r="BA92" i="7" s="1"/>
  <c r="BA93" i="7" s="1"/>
  <c r="BA94" i="7" s="1"/>
  <c r="BA95" i="7" s="1"/>
  <c r="AZ87" i="7"/>
  <c r="AZ88" i="7" s="1"/>
  <c r="AZ89" i="7" s="1"/>
  <c r="AZ90" i="7" s="1"/>
  <c r="AZ91" i="7" s="1"/>
  <c r="AZ92" i="7" s="1"/>
  <c r="AZ93" i="7" s="1"/>
  <c r="AZ94" i="7" s="1"/>
  <c r="AZ95" i="7" s="1"/>
  <c r="AY87" i="7"/>
  <c r="AY88" i="7" s="1"/>
  <c r="AY89" i="7" s="1"/>
  <c r="AY90" i="7" s="1"/>
  <c r="AY91" i="7" s="1"/>
  <c r="AY92" i="7" s="1"/>
  <c r="AY93" i="7" s="1"/>
  <c r="AY94" i="7" s="1"/>
  <c r="AY95" i="7" s="1"/>
  <c r="AP87" i="7"/>
  <c r="AP88" i="7" s="1"/>
  <c r="AP89" i="7" s="1"/>
  <c r="AP90" i="7" s="1"/>
  <c r="AP91" i="7" s="1"/>
  <c r="AP92" i="7" s="1"/>
  <c r="AP93" i="7" s="1"/>
  <c r="AP94" i="7" s="1"/>
  <c r="AP95" i="7" s="1"/>
  <c r="AM87" i="7"/>
  <c r="AM88" i="7" s="1"/>
  <c r="AM89" i="7" s="1"/>
  <c r="AM90" i="7" s="1"/>
  <c r="AM91" i="7" s="1"/>
  <c r="AM92" i="7" s="1"/>
  <c r="AM93" i="7" s="1"/>
  <c r="AM94" i="7" s="1"/>
  <c r="AM95" i="7" s="1"/>
  <c r="AL87" i="7"/>
  <c r="AL88" i="7" s="1"/>
  <c r="AL89" i="7" s="1"/>
  <c r="AL90" i="7" s="1"/>
  <c r="AL91" i="7" s="1"/>
  <c r="AL92" i="7" s="1"/>
  <c r="AL93" i="7" s="1"/>
  <c r="AL94" i="7" s="1"/>
  <c r="AL95" i="7" s="1"/>
  <c r="AJ87" i="7"/>
  <c r="AI87" i="7"/>
  <c r="AJ86" i="7"/>
  <c r="AI86" i="7"/>
  <c r="AJ85" i="7"/>
  <c r="AI85" i="7"/>
  <c r="AJ84" i="7"/>
  <c r="AI84" i="7"/>
  <c r="AJ83" i="7"/>
  <c r="AI83" i="7"/>
  <c r="AJ82" i="7"/>
  <c r="AI82" i="7"/>
  <c r="AJ81" i="7"/>
  <c r="AI81" i="7"/>
  <c r="AJ80" i="7"/>
  <c r="AI80" i="7"/>
  <c r="AJ79" i="7"/>
  <c r="AI79" i="7"/>
  <c r="AJ78" i="7"/>
  <c r="AI78" i="7"/>
  <c r="AJ77" i="7"/>
  <c r="AI77" i="7"/>
  <c r="AJ76" i="7"/>
  <c r="AI76" i="7"/>
  <c r="AJ75" i="7"/>
  <c r="AI75" i="7"/>
  <c r="AJ74" i="7"/>
  <c r="AI74" i="7"/>
  <c r="AJ73" i="7"/>
  <c r="AI73" i="7"/>
  <c r="AJ72" i="7"/>
  <c r="AI72" i="7"/>
  <c r="AJ71" i="7"/>
  <c r="AI71" i="7"/>
  <c r="AJ70" i="7"/>
  <c r="AI70" i="7"/>
  <c r="AJ69" i="7"/>
  <c r="AI69" i="7"/>
  <c r="AJ68" i="7"/>
  <c r="AI68" i="7"/>
  <c r="AJ67" i="7"/>
  <c r="AI67" i="7"/>
  <c r="AJ66" i="7"/>
  <c r="AI66" i="7"/>
  <c r="AJ65" i="7"/>
  <c r="AI65" i="7"/>
  <c r="AJ64" i="7"/>
  <c r="AI64" i="7"/>
  <c r="AJ63" i="7"/>
  <c r="AI63" i="7"/>
  <c r="AJ62" i="7"/>
  <c r="AI62" i="7"/>
  <c r="AJ61" i="7"/>
  <c r="AI61" i="7"/>
  <c r="AJ60" i="7"/>
  <c r="AI60" i="7"/>
  <c r="AJ59" i="7"/>
  <c r="AI59" i="7"/>
  <c r="AJ58" i="7"/>
  <c r="AI58" i="7"/>
  <c r="M23" i="7"/>
  <c r="AJ57" i="7"/>
  <c r="AI57" i="7"/>
  <c r="BA56" i="7"/>
  <c r="BA57" i="7" s="1"/>
  <c r="BA58" i="7" s="1"/>
  <c r="BA59" i="7" s="1"/>
  <c r="BA60" i="7" s="1"/>
  <c r="BA61" i="7" s="1"/>
  <c r="BA62" i="7" s="1"/>
  <c r="BA63" i="7" s="1"/>
  <c r="BA64" i="7" s="1"/>
  <c r="BA65" i="7" s="1"/>
  <c r="BA66" i="7" s="1"/>
  <c r="BA67" i="7" s="1"/>
  <c r="BA68" i="7" s="1"/>
  <c r="BA69" i="7" s="1"/>
  <c r="AZ56" i="7"/>
  <c r="AZ57" i="7" s="1"/>
  <c r="AZ58" i="7" s="1"/>
  <c r="AZ59" i="7" s="1"/>
  <c r="AZ60" i="7" s="1"/>
  <c r="AZ61" i="7" s="1"/>
  <c r="AZ62" i="7" s="1"/>
  <c r="AZ63" i="7" s="1"/>
  <c r="AZ64" i="7" s="1"/>
  <c r="AZ65" i="7" s="1"/>
  <c r="AZ66" i="7" s="1"/>
  <c r="AZ67" i="7" s="1"/>
  <c r="AZ68" i="7" s="1"/>
  <c r="AZ69" i="7" s="1"/>
  <c r="AY56" i="7"/>
  <c r="AY57" i="7" s="1"/>
  <c r="AY58" i="7" s="1"/>
  <c r="AY59" i="7" s="1"/>
  <c r="AY60" i="7" s="1"/>
  <c r="AY61" i="7" s="1"/>
  <c r="AY62" i="7" s="1"/>
  <c r="AY63" i="7" s="1"/>
  <c r="AY64" i="7" s="1"/>
  <c r="AY65" i="7" s="1"/>
  <c r="AY66" i="7" s="1"/>
  <c r="AY67" i="7" s="1"/>
  <c r="AY68" i="7" s="1"/>
  <c r="AY69" i="7" s="1"/>
  <c r="AN56" i="7"/>
  <c r="AN57" i="7" s="1"/>
  <c r="AN58" i="7" s="1"/>
  <c r="AN59" i="7" s="1"/>
  <c r="AN60" i="7" s="1"/>
  <c r="AN61" i="7" s="1"/>
  <c r="AN62" i="7" s="1"/>
  <c r="AN63" i="7" s="1"/>
  <c r="AN64" i="7" s="1"/>
  <c r="AN65" i="7" s="1"/>
  <c r="AN66" i="7" s="1"/>
  <c r="AN67" i="7" s="1"/>
  <c r="AN68" i="7" s="1"/>
  <c r="AN69" i="7" s="1"/>
  <c r="AM56" i="7"/>
  <c r="AM57" i="7" s="1"/>
  <c r="AM58" i="7" s="1"/>
  <c r="AM59" i="7" s="1"/>
  <c r="AM60" i="7" s="1"/>
  <c r="AM61" i="7" s="1"/>
  <c r="AM62" i="7" s="1"/>
  <c r="AM63" i="7" s="1"/>
  <c r="AM64" i="7" s="1"/>
  <c r="AM65" i="7" s="1"/>
  <c r="AM66" i="7" s="1"/>
  <c r="AM67" i="7" s="1"/>
  <c r="AM68" i="7" s="1"/>
  <c r="AM69" i="7" s="1"/>
  <c r="AL56" i="7"/>
  <c r="AL57" i="7" s="1"/>
  <c r="AL58" i="7" s="1"/>
  <c r="AL59" i="7" s="1"/>
  <c r="AL60" i="7" s="1"/>
  <c r="AL61" i="7" s="1"/>
  <c r="AL62" i="7" s="1"/>
  <c r="AL63" i="7" s="1"/>
  <c r="AL64" i="7" s="1"/>
  <c r="AL65" i="7" s="1"/>
  <c r="AL66" i="7" s="1"/>
  <c r="AL67" i="7" s="1"/>
  <c r="AL68" i="7" s="1"/>
  <c r="AL69" i="7" s="1"/>
  <c r="AJ56" i="7"/>
  <c r="AI56" i="7"/>
  <c r="AJ55" i="7"/>
  <c r="AI55" i="7"/>
  <c r="AJ54" i="7"/>
  <c r="AI54" i="7"/>
  <c r="AJ53" i="7"/>
  <c r="AI53" i="7"/>
  <c r="AJ52" i="7"/>
  <c r="AI52" i="7"/>
  <c r="AJ51" i="7"/>
  <c r="AI51" i="7"/>
  <c r="AJ50" i="7"/>
  <c r="AI50" i="7"/>
  <c r="AJ49" i="7"/>
  <c r="AI49" i="7"/>
  <c r="AJ48" i="7"/>
  <c r="AI48" i="7"/>
  <c r="AJ47" i="7"/>
  <c r="AI47" i="7"/>
  <c r="AJ46" i="7"/>
  <c r="AI46" i="7"/>
  <c r="AJ45" i="7"/>
  <c r="AI45" i="7"/>
  <c r="AJ44" i="7"/>
  <c r="AI44" i="7"/>
  <c r="AJ43" i="7"/>
  <c r="AI43" i="7"/>
  <c r="AJ42" i="7"/>
  <c r="AI42" i="7"/>
  <c r="BA41" i="7"/>
  <c r="BA42" i="7" s="1"/>
  <c r="BA43" i="7" s="1"/>
  <c r="BA44" i="7" s="1"/>
  <c r="BA45" i="7" s="1"/>
  <c r="BA46" i="7" s="1"/>
  <c r="BA47" i="7" s="1"/>
  <c r="BA48" i="7" s="1"/>
  <c r="BA49" i="7" s="1"/>
  <c r="BA50" i="7" s="1"/>
  <c r="BA51" i="7" s="1"/>
  <c r="BA52" i="7" s="1"/>
  <c r="BA53" i="7" s="1"/>
  <c r="BA54" i="7" s="1"/>
  <c r="AZ41" i="7"/>
  <c r="AZ42" i="7" s="1"/>
  <c r="AZ43" i="7" s="1"/>
  <c r="AZ44" i="7" s="1"/>
  <c r="AZ45" i="7" s="1"/>
  <c r="AZ46" i="7" s="1"/>
  <c r="AZ47" i="7" s="1"/>
  <c r="AZ48" i="7" s="1"/>
  <c r="AZ49" i="7" s="1"/>
  <c r="AZ50" i="7" s="1"/>
  <c r="AZ51" i="7" s="1"/>
  <c r="AZ52" i="7" s="1"/>
  <c r="AZ53" i="7" s="1"/>
  <c r="AZ54" i="7" s="1"/>
  <c r="AY41" i="7"/>
  <c r="AY42" i="7" s="1"/>
  <c r="AY43" i="7" s="1"/>
  <c r="AY44" i="7" s="1"/>
  <c r="AY45" i="7" s="1"/>
  <c r="AY46" i="7" s="1"/>
  <c r="AY47" i="7" s="1"/>
  <c r="AY48" i="7" s="1"/>
  <c r="AY49" i="7" s="1"/>
  <c r="AY50" i="7" s="1"/>
  <c r="AY51" i="7" s="1"/>
  <c r="AY52" i="7" s="1"/>
  <c r="AY53" i="7" s="1"/>
  <c r="AY54" i="7" s="1"/>
  <c r="AN41" i="7"/>
  <c r="AN42" i="7" s="1"/>
  <c r="AN43" i="7" s="1"/>
  <c r="AN44" i="7" s="1"/>
  <c r="AN45" i="7" s="1"/>
  <c r="AN46" i="7" s="1"/>
  <c r="AN47" i="7" s="1"/>
  <c r="AN48" i="7" s="1"/>
  <c r="AN49" i="7" s="1"/>
  <c r="AN50" i="7" s="1"/>
  <c r="AN51" i="7" s="1"/>
  <c r="AN52" i="7" s="1"/>
  <c r="AN53" i="7" s="1"/>
  <c r="AN54" i="7" s="1"/>
  <c r="AM41" i="7"/>
  <c r="AM42" i="7" s="1"/>
  <c r="AM43" i="7" s="1"/>
  <c r="AM44" i="7" s="1"/>
  <c r="AM45" i="7" s="1"/>
  <c r="AM46" i="7" s="1"/>
  <c r="AM47" i="7" s="1"/>
  <c r="AM48" i="7" s="1"/>
  <c r="AM49" i="7" s="1"/>
  <c r="AM50" i="7" s="1"/>
  <c r="AM51" i="7" s="1"/>
  <c r="AM52" i="7" s="1"/>
  <c r="AM53" i="7" s="1"/>
  <c r="AM54" i="7" s="1"/>
  <c r="AL41" i="7"/>
  <c r="AL42" i="7" s="1"/>
  <c r="AL43" i="7" s="1"/>
  <c r="AL44" i="7" s="1"/>
  <c r="AL45" i="7" s="1"/>
  <c r="AL46" i="7" s="1"/>
  <c r="AL47" i="7" s="1"/>
  <c r="AL48" i="7" s="1"/>
  <c r="AL49" i="7" s="1"/>
  <c r="AL50" i="7" s="1"/>
  <c r="AL51" i="7" s="1"/>
  <c r="AL52" i="7" s="1"/>
  <c r="AL53" i="7" s="1"/>
  <c r="AL54" i="7" s="1"/>
  <c r="AJ41" i="7"/>
  <c r="AI41" i="7"/>
  <c r="AJ40" i="7"/>
  <c r="AI40" i="7"/>
  <c r="AJ39" i="7"/>
  <c r="AI39" i="7"/>
  <c r="AJ38" i="7"/>
  <c r="AI38" i="7"/>
  <c r="AJ37" i="7"/>
  <c r="AI37" i="7"/>
  <c r="AJ36" i="7"/>
  <c r="AI36" i="7"/>
  <c r="AJ35" i="7"/>
  <c r="AI35" i="7"/>
  <c r="AJ34" i="7"/>
  <c r="AI34" i="7"/>
  <c r="AJ33" i="7"/>
  <c r="AI33" i="7"/>
  <c r="AJ32" i="7"/>
  <c r="AI32" i="7"/>
  <c r="AJ31" i="7"/>
  <c r="AI31" i="7"/>
  <c r="AJ30" i="7"/>
  <c r="AI30" i="7"/>
  <c r="AJ29" i="7"/>
  <c r="AI29" i="7"/>
  <c r="AJ28" i="7"/>
  <c r="AI28" i="7"/>
  <c r="AJ27" i="7"/>
  <c r="AI27" i="7"/>
  <c r="BA26" i="7"/>
  <c r="BA27" i="7" s="1"/>
  <c r="BA28" i="7" s="1"/>
  <c r="BA29" i="7" s="1"/>
  <c r="BA30" i="7" s="1"/>
  <c r="BA31" i="7" s="1"/>
  <c r="BA32" i="7" s="1"/>
  <c r="BA33" i="7" s="1"/>
  <c r="BA34" i="7" s="1"/>
  <c r="BA35" i="7" s="1"/>
  <c r="BA36" i="7" s="1"/>
  <c r="BA37" i="7" s="1"/>
  <c r="BA38" i="7" s="1"/>
  <c r="BA39" i="7" s="1"/>
  <c r="AZ26" i="7"/>
  <c r="AZ27" i="7" s="1"/>
  <c r="AZ28" i="7" s="1"/>
  <c r="AZ29" i="7" s="1"/>
  <c r="AZ30" i="7" s="1"/>
  <c r="AZ31" i="7" s="1"/>
  <c r="AZ32" i="7" s="1"/>
  <c r="AZ33" i="7" s="1"/>
  <c r="AZ34" i="7" s="1"/>
  <c r="AZ35" i="7" s="1"/>
  <c r="AZ36" i="7" s="1"/>
  <c r="AZ37" i="7" s="1"/>
  <c r="AZ38" i="7" s="1"/>
  <c r="AZ39" i="7" s="1"/>
  <c r="AY26" i="7"/>
  <c r="AY27" i="7" s="1"/>
  <c r="AY28" i="7" s="1"/>
  <c r="AY29" i="7" s="1"/>
  <c r="AY30" i="7" s="1"/>
  <c r="AY31" i="7" s="1"/>
  <c r="AY32" i="7" s="1"/>
  <c r="AY33" i="7" s="1"/>
  <c r="AY34" i="7" s="1"/>
  <c r="AY35" i="7" s="1"/>
  <c r="AY36" i="7" s="1"/>
  <c r="AY37" i="7" s="1"/>
  <c r="AY38" i="7" s="1"/>
  <c r="AY39" i="7" s="1"/>
  <c r="AN26" i="7"/>
  <c r="AN27" i="7" s="1"/>
  <c r="AN28" i="7" s="1"/>
  <c r="AN29" i="7" s="1"/>
  <c r="AN30" i="7" s="1"/>
  <c r="AN31" i="7" s="1"/>
  <c r="AN32" i="7" s="1"/>
  <c r="AN33" i="7" s="1"/>
  <c r="AN34" i="7" s="1"/>
  <c r="AN35" i="7" s="1"/>
  <c r="AN36" i="7" s="1"/>
  <c r="AN37" i="7" s="1"/>
  <c r="AN38" i="7" s="1"/>
  <c r="AN39" i="7" s="1"/>
  <c r="AM26" i="7"/>
  <c r="AM27" i="7" s="1"/>
  <c r="AM28" i="7" s="1"/>
  <c r="AM29" i="7" s="1"/>
  <c r="AM30" i="7" s="1"/>
  <c r="AM31" i="7" s="1"/>
  <c r="AM32" i="7" s="1"/>
  <c r="AM33" i="7" s="1"/>
  <c r="AM34" i="7" s="1"/>
  <c r="AM35" i="7" s="1"/>
  <c r="AM36" i="7" s="1"/>
  <c r="AM37" i="7" s="1"/>
  <c r="AM38" i="7" s="1"/>
  <c r="AM39" i="7" s="1"/>
  <c r="AL26" i="7"/>
  <c r="AL27" i="7" s="1"/>
  <c r="AL28" i="7" s="1"/>
  <c r="AL29" i="7" s="1"/>
  <c r="AL30" i="7" s="1"/>
  <c r="AL31" i="7" s="1"/>
  <c r="AL32" i="7" s="1"/>
  <c r="AL33" i="7" s="1"/>
  <c r="AL34" i="7" s="1"/>
  <c r="AL35" i="7" s="1"/>
  <c r="AL36" i="7" s="1"/>
  <c r="AL37" i="7" s="1"/>
  <c r="AL38" i="7" s="1"/>
  <c r="AL39" i="7" s="1"/>
  <c r="AJ26" i="7"/>
  <c r="AI26" i="7"/>
  <c r="AJ25" i="7"/>
  <c r="AI25" i="7"/>
  <c r="AJ24" i="7"/>
  <c r="AI24" i="7"/>
  <c r="AJ23" i="7"/>
  <c r="AI23" i="7"/>
  <c r="AJ22" i="7"/>
  <c r="AI22" i="7"/>
  <c r="AJ21" i="7"/>
  <c r="AI21" i="7"/>
  <c r="AJ20" i="7"/>
  <c r="AI20" i="7"/>
  <c r="AJ19" i="7"/>
  <c r="AI19" i="7"/>
  <c r="AJ18" i="7"/>
  <c r="AI18" i="7"/>
  <c r="AJ17" i="7"/>
  <c r="AI17" i="7"/>
  <c r="BA16" i="7"/>
  <c r="BA17" i="7" s="1"/>
  <c r="BA18" i="7" s="1"/>
  <c r="BA19" i="7" s="1"/>
  <c r="BA20" i="7" s="1"/>
  <c r="BA21" i="7" s="1"/>
  <c r="BA22" i="7" s="1"/>
  <c r="BA23" i="7" s="1"/>
  <c r="BA24" i="7" s="1"/>
  <c r="AZ16" i="7"/>
  <c r="AZ17" i="7" s="1"/>
  <c r="AZ18" i="7" s="1"/>
  <c r="AZ19" i="7" s="1"/>
  <c r="AZ20" i="7" s="1"/>
  <c r="AZ21" i="7" s="1"/>
  <c r="AZ22" i="7" s="1"/>
  <c r="AZ23" i="7" s="1"/>
  <c r="AZ24" i="7" s="1"/>
  <c r="AY16" i="7"/>
  <c r="AY17" i="7" s="1"/>
  <c r="AY18" i="7" s="1"/>
  <c r="AY19" i="7" s="1"/>
  <c r="AY20" i="7" s="1"/>
  <c r="AY21" i="7" s="1"/>
  <c r="AY22" i="7" s="1"/>
  <c r="AY23" i="7" s="1"/>
  <c r="AY24" i="7" s="1"/>
  <c r="AN16" i="7"/>
  <c r="AN17" i="7" s="1"/>
  <c r="AN18" i="7" s="1"/>
  <c r="AN19" i="7" s="1"/>
  <c r="AN20" i="7" s="1"/>
  <c r="AN21" i="7" s="1"/>
  <c r="AN22" i="7" s="1"/>
  <c r="AN23" i="7" s="1"/>
  <c r="AN24" i="7" s="1"/>
  <c r="AM16" i="7"/>
  <c r="AM17" i="7" s="1"/>
  <c r="AM18" i="7" s="1"/>
  <c r="AM19" i="7" s="1"/>
  <c r="AM20" i="7" s="1"/>
  <c r="AM21" i="7" s="1"/>
  <c r="AM22" i="7" s="1"/>
  <c r="AM23" i="7" s="1"/>
  <c r="AM24" i="7" s="1"/>
  <c r="AL16" i="7"/>
  <c r="AL17" i="7" s="1"/>
  <c r="AL18" i="7" s="1"/>
  <c r="AL19" i="7" s="1"/>
  <c r="AL20" i="7" s="1"/>
  <c r="AL21" i="7" s="1"/>
  <c r="AL22" i="7" s="1"/>
  <c r="AL23" i="7" s="1"/>
  <c r="AL24" i="7" s="1"/>
  <c r="AJ16" i="7"/>
  <c r="AI16" i="7"/>
  <c r="AJ15" i="7"/>
  <c r="AI15" i="7"/>
  <c r="AK11" i="7"/>
  <c r="Z31" i="6"/>
  <c r="O37" i="6"/>
  <c r="O36" i="6"/>
  <c r="AJ21" i="6"/>
  <c r="AJ19" i="6"/>
  <c r="AJ17" i="6"/>
  <c r="AJ16" i="6"/>
  <c r="AI16" i="6" s="1"/>
  <c r="Z18" i="7"/>
  <c r="W26" i="10"/>
  <c r="W25" i="10"/>
  <c r="W24" i="10"/>
  <c r="W23" i="10"/>
  <c r="W22" i="10"/>
  <c r="O14" i="10"/>
  <c r="O9" i="10"/>
  <c r="W21" i="10"/>
  <c r="M24" i="7" l="1"/>
  <c r="AI68" i="14"/>
  <c r="AL58" i="14"/>
  <c r="AO44" i="14"/>
  <c r="AJ68" i="14"/>
  <c r="AI54" i="14"/>
  <c r="AI58" i="14"/>
  <c r="AL44" i="14"/>
  <c r="AJ54" i="14"/>
  <c r="AI44" i="14"/>
  <c r="AO58" i="14"/>
  <c r="W84" i="17"/>
  <c r="H84" i="17"/>
  <c r="E84" i="17"/>
  <c r="T68" i="17"/>
  <c r="Z73" i="17"/>
  <c r="K68" i="17"/>
  <c r="Z69" i="17"/>
  <c r="E68" i="17"/>
  <c r="K59" i="9"/>
  <c r="Z48" i="9"/>
  <c r="G55" i="9"/>
  <c r="H43" i="9"/>
  <c r="H59" i="9"/>
  <c r="G48" i="9"/>
  <c r="O43" i="9"/>
  <c r="Z55" i="9"/>
  <c r="Z44" i="9"/>
  <c r="K43" i="9"/>
  <c r="G44" i="9"/>
  <c r="AK77" i="9"/>
  <c r="AK78" i="9" s="1"/>
  <c r="AK79" i="9" s="1"/>
  <c r="AK80" i="9" s="1"/>
  <c r="AK81" i="9" s="1"/>
  <c r="AK82" i="9" s="1"/>
  <c r="AK83" i="9" s="1"/>
  <c r="AK84" i="9" s="1"/>
  <c r="AK85" i="9" s="1"/>
  <c r="AR5" i="9"/>
  <c r="H29" i="9" s="1"/>
  <c r="AM77" i="9"/>
  <c r="AM78" i="9" s="1"/>
  <c r="AM79" i="9" s="1"/>
  <c r="AM80" i="9" s="1"/>
  <c r="AM81" i="9" s="1"/>
  <c r="AM82" i="9" s="1"/>
  <c r="AM83" i="9" s="1"/>
  <c r="AM84" i="9" s="1"/>
  <c r="AM85" i="9" s="1"/>
  <c r="AT5" i="9"/>
  <c r="L29" i="9" s="1"/>
  <c r="AO77" i="9"/>
  <c r="AO78" i="9" s="1"/>
  <c r="AO79" i="9" s="1"/>
  <c r="AO80" i="9" s="1"/>
  <c r="AO81" i="9" s="1"/>
  <c r="AO82" i="9" s="1"/>
  <c r="AO83" i="9" s="1"/>
  <c r="AO84" i="9" s="1"/>
  <c r="AO85" i="9" s="1"/>
  <c r="AV5" i="9"/>
  <c r="P29" i="9" s="1"/>
  <c r="AQ77" i="9"/>
  <c r="AQ78" i="9" s="1"/>
  <c r="AQ79" i="9" s="1"/>
  <c r="AQ80" i="9" s="1"/>
  <c r="AQ81" i="9" s="1"/>
  <c r="AQ82" i="9" s="1"/>
  <c r="AQ83" i="9" s="1"/>
  <c r="AQ84" i="9" s="1"/>
  <c r="AQ85" i="9" s="1"/>
  <c r="AX5" i="9"/>
  <c r="T29" i="9" s="1"/>
  <c r="BC77" i="9"/>
  <c r="BC78" i="9" s="1"/>
  <c r="BC79" i="9" s="1"/>
  <c r="BC80" i="9" s="1"/>
  <c r="BC81" i="9" s="1"/>
  <c r="BC82" i="9" s="1"/>
  <c r="BC83" i="9" s="1"/>
  <c r="BC84" i="9" s="1"/>
  <c r="BC85" i="9" s="1"/>
  <c r="AQ6" i="9"/>
  <c r="F30" i="9" s="1"/>
  <c r="BE77" i="9"/>
  <c r="BE78" i="9" s="1"/>
  <c r="BE79" i="9" s="1"/>
  <c r="BE80" i="9" s="1"/>
  <c r="BE81" i="9" s="1"/>
  <c r="BE82" i="9" s="1"/>
  <c r="BE83" i="9" s="1"/>
  <c r="BE84" i="9" s="1"/>
  <c r="BE85" i="9" s="1"/>
  <c r="AS6" i="9"/>
  <c r="J30" i="9" s="1"/>
  <c r="BG77" i="9"/>
  <c r="BG78" i="9" s="1"/>
  <c r="BG79" i="9" s="1"/>
  <c r="BG80" i="9" s="1"/>
  <c r="BG81" i="9" s="1"/>
  <c r="BG82" i="9" s="1"/>
  <c r="BG83" i="9" s="1"/>
  <c r="BG84" i="9" s="1"/>
  <c r="BG85" i="9" s="1"/>
  <c r="AU6" i="9"/>
  <c r="N30" i="9" s="1"/>
  <c r="AJ77" i="9"/>
  <c r="AJ78" i="9" s="1"/>
  <c r="AJ79" i="9" s="1"/>
  <c r="AJ80" i="9" s="1"/>
  <c r="AJ81" i="9" s="1"/>
  <c r="AJ82" i="9" s="1"/>
  <c r="AJ83" i="9" s="1"/>
  <c r="AJ84" i="9" s="1"/>
  <c r="AJ85" i="9" s="1"/>
  <c r="AQ5" i="9"/>
  <c r="F29" i="9" s="1"/>
  <c r="AL77" i="9"/>
  <c r="AL78" i="9" s="1"/>
  <c r="AL79" i="9" s="1"/>
  <c r="AL80" i="9" s="1"/>
  <c r="AL81" i="9" s="1"/>
  <c r="AL82" i="9" s="1"/>
  <c r="AL83" i="9" s="1"/>
  <c r="AL84" i="9" s="1"/>
  <c r="AL85" i="9" s="1"/>
  <c r="AS5" i="9"/>
  <c r="J29" i="9" s="1"/>
  <c r="AN77" i="9"/>
  <c r="AN78" i="9" s="1"/>
  <c r="AN79" i="9" s="1"/>
  <c r="AN80" i="9" s="1"/>
  <c r="AN81" i="9" s="1"/>
  <c r="AN82" i="9" s="1"/>
  <c r="AN83" i="9" s="1"/>
  <c r="AN84" i="9" s="1"/>
  <c r="AN85" i="9" s="1"/>
  <c r="AU5" i="9"/>
  <c r="N29" i="9" s="1"/>
  <c r="AP77" i="9"/>
  <c r="AP78" i="9" s="1"/>
  <c r="AP79" i="9" s="1"/>
  <c r="AP80" i="9" s="1"/>
  <c r="AP81" i="9" s="1"/>
  <c r="AP82" i="9" s="1"/>
  <c r="AP83" i="9" s="1"/>
  <c r="AP84" i="9" s="1"/>
  <c r="AP85" i="9" s="1"/>
  <c r="AW5" i="9"/>
  <c r="R29" i="9" s="1"/>
  <c r="AR77" i="9"/>
  <c r="AR78" i="9" s="1"/>
  <c r="AR79" i="9" s="1"/>
  <c r="AR80" i="9" s="1"/>
  <c r="AR81" i="9" s="1"/>
  <c r="AR82" i="9" s="1"/>
  <c r="AR83" i="9" s="1"/>
  <c r="AR84" i="9" s="1"/>
  <c r="AR85" i="9" s="1"/>
  <c r="AY5" i="9"/>
  <c r="V29" i="9" s="1"/>
  <c r="BD77" i="9"/>
  <c r="BD78" i="9" s="1"/>
  <c r="BD79" i="9" s="1"/>
  <c r="BD80" i="9" s="1"/>
  <c r="BD81" i="9" s="1"/>
  <c r="BD82" i="9" s="1"/>
  <c r="BD83" i="9" s="1"/>
  <c r="BD84" i="9" s="1"/>
  <c r="BD85" i="9" s="1"/>
  <c r="AR6" i="9"/>
  <c r="H30" i="9" s="1"/>
  <c r="BF77" i="9"/>
  <c r="BF78" i="9" s="1"/>
  <c r="BF79" i="9" s="1"/>
  <c r="BF80" i="9" s="1"/>
  <c r="BF81" i="9" s="1"/>
  <c r="BF82" i="9" s="1"/>
  <c r="BF83" i="9" s="1"/>
  <c r="BF84" i="9" s="1"/>
  <c r="BF85" i="9" s="1"/>
  <c r="AT6" i="9"/>
  <c r="L30" i="9" s="1"/>
  <c r="BH77" i="9"/>
  <c r="BH78" i="9" s="1"/>
  <c r="BH79" i="9" s="1"/>
  <c r="BH80" i="9" s="1"/>
  <c r="BH81" i="9" s="1"/>
  <c r="BH82" i="9" s="1"/>
  <c r="BH83" i="9" s="1"/>
  <c r="BH84" i="9" s="1"/>
  <c r="BH85" i="9" s="1"/>
  <c r="AV6" i="9"/>
  <c r="P30" i="9" s="1"/>
  <c r="M22" i="8"/>
  <c r="Z28" i="6"/>
  <c r="O22" i="10"/>
  <c r="Z16" i="7"/>
  <c r="Z16" i="9"/>
  <c r="Z16" i="8"/>
  <c r="Z17" i="8"/>
  <c r="L23" i="12"/>
  <c r="J23" i="12"/>
  <c r="F23" i="12"/>
  <c r="O23" i="12"/>
  <c r="H23" i="12"/>
  <c r="AW65" i="8"/>
  <c r="AW66" i="8" s="1"/>
  <c r="AW67" i="8" s="1"/>
  <c r="AW68" i="8" s="1"/>
  <c r="AW69" i="8" s="1"/>
  <c r="AW70" i="8" s="1"/>
  <c r="AW71" i="8" s="1"/>
  <c r="AW72" i="8" s="1"/>
  <c r="AW55" i="8"/>
  <c r="AW56" i="8" s="1"/>
  <c r="AW57" i="8" s="1"/>
  <c r="AW58" i="8" s="1"/>
  <c r="AW59" i="8" s="1"/>
  <c r="AW60" i="8" s="1"/>
  <c r="AW61" i="8" s="1"/>
  <c r="AW62" i="8" s="1"/>
  <c r="AY65" i="8"/>
  <c r="AY66" i="8" s="1"/>
  <c r="AY67" i="8" s="1"/>
  <c r="AY68" i="8" s="1"/>
  <c r="AY69" i="8" s="1"/>
  <c r="AY70" i="8" s="1"/>
  <c r="AY71" i="8" s="1"/>
  <c r="AY72" i="8" s="1"/>
  <c r="AY55" i="8"/>
  <c r="AY56" i="8" s="1"/>
  <c r="AY57" i="8" s="1"/>
  <c r="AY58" i="8" s="1"/>
  <c r="AY59" i="8" s="1"/>
  <c r="AY60" i="8" s="1"/>
  <c r="AY61" i="8" s="1"/>
  <c r="AY62" i="8" s="1"/>
  <c r="AX65" i="8"/>
  <c r="AX66" i="8" s="1"/>
  <c r="AX67" i="8" s="1"/>
  <c r="AX68" i="8" s="1"/>
  <c r="AX69" i="8" s="1"/>
  <c r="AX70" i="8" s="1"/>
  <c r="AX71" i="8" s="1"/>
  <c r="AX72" i="8" s="1"/>
  <c r="AX55" i="8"/>
  <c r="AX56" i="8" s="1"/>
  <c r="AX57" i="8" s="1"/>
  <c r="AX58" i="8" s="1"/>
  <c r="AX59" i="8" s="1"/>
  <c r="AX60" i="8" s="1"/>
  <c r="AX61" i="8" s="1"/>
  <c r="AX62" i="8" s="1"/>
  <c r="AZ65" i="8"/>
  <c r="AZ66" i="8" s="1"/>
  <c r="AZ67" i="8" s="1"/>
  <c r="AZ68" i="8" s="1"/>
  <c r="AZ69" i="8" s="1"/>
  <c r="AZ70" i="8" s="1"/>
  <c r="AZ71" i="8" s="1"/>
  <c r="AZ72" i="8" s="1"/>
  <c r="AZ55" i="8"/>
  <c r="AZ56" i="8" s="1"/>
  <c r="AZ57" i="8" s="1"/>
  <c r="AZ58" i="8" s="1"/>
  <c r="AZ59" i="8" s="1"/>
  <c r="AZ60" i="8" s="1"/>
  <c r="AZ61" i="8" s="1"/>
  <c r="AZ62" i="8" s="1"/>
  <c r="AK42" i="12"/>
  <c r="AK44" i="12"/>
  <c r="AK46" i="12"/>
  <c r="AK48" i="12"/>
  <c r="AK50" i="12"/>
  <c r="AK52" i="12"/>
  <c r="AK54" i="12"/>
  <c r="AK56" i="12"/>
  <c r="AK58" i="12"/>
  <c r="AK60" i="12"/>
  <c r="H32" i="11"/>
  <c r="J27" i="11"/>
  <c r="M27" i="11"/>
  <c r="J32" i="11"/>
  <c r="V10" i="11" s="1"/>
  <c r="F32" i="11"/>
  <c r="M32" i="11"/>
  <c r="Z10" i="11" s="1"/>
  <c r="H27" i="11"/>
  <c r="F27" i="11"/>
  <c r="AK27" i="11"/>
  <c r="AK28" i="11"/>
  <c r="AK29" i="11"/>
  <c r="AK30" i="11"/>
  <c r="AK31" i="11"/>
  <c r="AK32" i="11"/>
  <c r="AK33" i="11"/>
  <c r="AK34" i="11"/>
  <c r="AK35" i="11"/>
  <c r="AK36" i="11"/>
  <c r="AK37" i="11"/>
  <c r="X36" i="9"/>
  <c r="X34" i="9"/>
  <c r="Z19" i="9"/>
  <c r="AL5" i="9"/>
  <c r="AL6" i="9"/>
  <c r="X37" i="9"/>
  <c r="X35" i="9"/>
  <c r="AJ56" i="9"/>
  <c r="AL56" i="9"/>
  <c r="AN56" i="9"/>
  <c r="AP56" i="9"/>
  <c r="AR56" i="9"/>
  <c r="AK56" i="9"/>
  <c r="AK57" i="9" s="1"/>
  <c r="AK58" i="9" s="1"/>
  <c r="AK59" i="9" s="1"/>
  <c r="AK60" i="9" s="1"/>
  <c r="AM56" i="9"/>
  <c r="AM57" i="9" s="1"/>
  <c r="AM58" i="9" s="1"/>
  <c r="AM59" i="9" s="1"/>
  <c r="AM60" i="9" s="1"/>
  <c r="AO56" i="9"/>
  <c r="AO57" i="9" s="1"/>
  <c r="AO58" i="9" s="1"/>
  <c r="AO59" i="9" s="1"/>
  <c r="AO60" i="9" s="1"/>
  <c r="AQ56" i="9"/>
  <c r="AQ57" i="9" s="1"/>
  <c r="AQ58" i="9" s="1"/>
  <c r="AQ59" i="9" s="1"/>
  <c r="AQ60" i="9" s="1"/>
  <c r="AK25" i="11"/>
  <c r="AK26" i="11"/>
  <c r="AK38" i="11"/>
  <c r="AT11" i="12"/>
  <c r="L28" i="12" s="1"/>
  <c r="AK43" i="12"/>
  <c r="AK45" i="12"/>
  <c r="AK47" i="12"/>
  <c r="AK49" i="12"/>
  <c r="AK51" i="12"/>
  <c r="AK53" i="12"/>
  <c r="AK55" i="12"/>
  <c r="AK57" i="12"/>
  <c r="AK59" i="12"/>
  <c r="AK61" i="12"/>
  <c r="H42" i="8"/>
  <c r="G47" i="8"/>
  <c r="G55" i="8"/>
  <c r="G43" i="8"/>
  <c r="AI11" i="8"/>
  <c r="R42" i="8" s="1"/>
  <c r="Z19" i="8"/>
  <c r="AK17" i="8"/>
  <c r="AK18" i="8"/>
  <c r="AK19" i="8"/>
  <c r="AK20" i="8"/>
  <c r="AK21" i="8"/>
  <c r="AK22" i="8"/>
  <c r="AK23" i="8"/>
  <c r="AK24" i="8"/>
  <c r="AK25" i="8"/>
  <c r="AK26" i="8"/>
  <c r="AK27" i="8"/>
  <c r="AK28" i="8"/>
  <c r="AK31" i="8"/>
  <c r="AK33" i="8"/>
  <c r="AK34" i="8"/>
  <c r="AK36" i="8"/>
  <c r="AK37" i="8"/>
  <c r="AK38" i="8"/>
  <c r="AK39" i="8"/>
  <c r="AK40" i="8"/>
  <c r="AK46" i="8"/>
  <c r="AK61" i="8"/>
  <c r="AK62" i="8"/>
  <c r="AK63" i="8"/>
  <c r="AK64" i="8"/>
  <c r="AK65" i="8"/>
  <c r="AK67" i="8"/>
  <c r="AK68" i="8"/>
  <c r="AK69" i="8"/>
  <c r="AK72" i="8"/>
  <c r="AK73" i="8"/>
  <c r="AK74" i="8"/>
  <c r="AK91" i="8"/>
  <c r="AK120" i="8"/>
  <c r="AK121" i="8"/>
  <c r="AK122" i="8"/>
  <c r="AK123" i="8"/>
  <c r="AK124" i="8"/>
  <c r="AK125" i="8"/>
  <c r="AK126" i="8"/>
  <c r="AK127" i="8"/>
  <c r="AK128" i="8"/>
  <c r="AK129" i="8"/>
  <c r="AK130" i="8"/>
  <c r="AK131" i="8"/>
  <c r="AK132" i="8"/>
  <c r="AK133" i="8"/>
  <c r="AK135" i="8"/>
  <c r="AK179" i="8"/>
  <c r="AK180" i="8"/>
  <c r="AK181" i="8"/>
  <c r="AK183" i="8"/>
  <c r="AK184" i="8"/>
  <c r="AK185" i="8"/>
  <c r="AK187" i="8"/>
  <c r="AK188" i="8"/>
  <c r="AK189" i="8"/>
  <c r="AK191" i="8"/>
  <c r="AK192" i="8"/>
  <c r="AK193" i="8"/>
  <c r="AK195" i="8"/>
  <c r="AK211" i="8"/>
  <c r="AK228" i="8"/>
  <c r="AK229" i="8"/>
  <c r="AK232" i="8"/>
  <c r="AK233" i="8"/>
  <c r="AK234" i="8"/>
  <c r="AK236" i="8"/>
  <c r="AK237" i="8"/>
  <c r="AK238" i="8"/>
  <c r="AK240" i="8"/>
  <c r="AK48" i="8"/>
  <c r="AK153" i="8"/>
  <c r="AK14" i="8"/>
  <c r="AK15" i="8"/>
  <c r="AK56" i="8"/>
  <c r="AK60" i="8"/>
  <c r="AK76" i="8"/>
  <c r="AK77" i="8"/>
  <c r="AK78" i="8"/>
  <c r="AK79" i="8"/>
  <c r="AK80" i="8"/>
  <c r="AK81" i="8"/>
  <c r="AK82" i="8"/>
  <c r="AK83" i="8"/>
  <c r="AK84" i="8"/>
  <c r="AK85" i="8"/>
  <c r="AK86" i="8"/>
  <c r="AK87" i="8"/>
  <c r="AK88" i="8"/>
  <c r="AK89" i="8"/>
  <c r="AK90" i="8"/>
  <c r="AK95" i="8"/>
  <c r="AK97" i="8"/>
  <c r="AK98" i="8"/>
  <c r="AK99" i="8"/>
  <c r="AK101" i="8"/>
  <c r="AK102" i="8"/>
  <c r="AK103" i="8"/>
  <c r="AK104" i="8"/>
  <c r="AK105" i="8"/>
  <c r="AK107" i="8"/>
  <c r="AK108" i="8"/>
  <c r="AK109" i="8"/>
  <c r="AK111" i="8"/>
  <c r="AK168" i="8"/>
  <c r="AK196" i="8"/>
  <c r="AK197" i="8"/>
  <c r="AK199" i="8"/>
  <c r="AK200" i="8"/>
  <c r="AK201" i="8"/>
  <c r="AK203" i="8"/>
  <c r="AK204" i="8"/>
  <c r="AK205" i="8"/>
  <c r="AK207" i="8"/>
  <c r="AK208" i="8"/>
  <c r="AK209" i="8"/>
  <c r="AK241" i="8"/>
  <c r="AK242" i="8"/>
  <c r="AK244" i="8"/>
  <c r="AK245" i="8"/>
  <c r="AM6" i="8"/>
  <c r="AK16" i="8"/>
  <c r="AK30" i="8"/>
  <c r="AK32" i="8"/>
  <c r="AK35" i="8"/>
  <c r="AK45" i="8"/>
  <c r="AK47" i="8"/>
  <c r="AK49" i="8"/>
  <c r="AK50" i="8"/>
  <c r="AK51" i="8"/>
  <c r="AK52" i="8"/>
  <c r="AK54" i="8"/>
  <c r="AK55" i="8"/>
  <c r="AK71" i="8"/>
  <c r="AK75" i="8"/>
  <c r="AK93" i="8"/>
  <c r="AK94" i="8"/>
  <c r="AK112" i="8"/>
  <c r="AK113" i="8"/>
  <c r="AK115" i="8"/>
  <c r="AK116" i="8"/>
  <c r="AK117" i="8"/>
  <c r="AK119" i="8"/>
  <c r="AK136" i="8"/>
  <c r="AK137" i="8"/>
  <c r="AK138" i="8"/>
  <c r="AK139" i="8"/>
  <c r="AK140" i="8"/>
  <c r="AK141" i="8"/>
  <c r="AK142" i="8"/>
  <c r="AK143" i="8"/>
  <c r="AK144" i="8"/>
  <c r="AK145" i="8"/>
  <c r="AK146" i="8"/>
  <c r="AK147" i="8"/>
  <c r="AK148" i="8"/>
  <c r="AK149" i="8"/>
  <c r="AK151" i="8"/>
  <c r="AK152" i="8"/>
  <c r="AK155" i="8"/>
  <c r="AK156" i="8"/>
  <c r="AK157" i="8"/>
  <c r="AK159" i="8"/>
  <c r="AK160" i="8"/>
  <c r="AK161" i="8"/>
  <c r="AK163" i="8"/>
  <c r="AK164" i="8"/>
  <c r="AK165" i="8"/>
  <c r="AK167" i="8"/>
  <c r="AK169" i="8"/>
  <c r="AK171" i="8"/>
  <c r="AK172" i="8"/>
  <c r="AK173" i="8"/>
  <c r="AK175" i="8"/>
  <c r="AK176" i="8"/>
  <c r="AK177" i="8"/>
  <c r="AK212" i="8"/>
  <c r="AK213" i="8"/>
  <c r="AK215" i="8"/>
  <c r="AK216" i="8"/>
  <c r="AK217" i="8"/>
  <c r="AK219" i="8"/>
  <c r="AK220" i="8"/>
  <c r="AK221" i="8"/>
  <c r="AK222" i="8"/>
  <c r="AK224" i="8"/>
  <c r="AK225" i="8"/>
  <c r="AK226" i="8"/>
  <c r="AK230" i="8"/>
  <c r="AK246" i="8"/>
  <c r="AK248" i="8"/>
  <c r="AK249" i="8"/>
  <c r="AK250" i="8"/>
  <c r="AK252" i="8"/>
  <c r="AK253" i="8"/>
  <c r="Q37" i="7"/>
  <c r="Q35" i="7"/>
  <c r="Q38" i="7"/>
  <c r="Q36" i="7"/>
  <c r="AI31" i="6"/>
  <c r="Z16" i="6"/>
  <c r="AK39" i="7"/>
  <c r="AK41" i="7"/>
  <c r="AK43" i="7"/>
  <c r="AK44" i="7"/>
  <c r="AK45" i="7"/>
  <c r="AK46" i="7"/>
  <c r="AK47" i="7"/>
  <c r="AK49" i="7"/>
  <c r="AK51" i="7"/>
  <c r="AK52" i="7"/>
  <c r="AK53" i="7"/>
  <c r="AK55" i="7"/>
  <c r="AK57" i="7"/>
  <c r="AK59" i="7"/>
  <c r="AK60" i="7"/>
  <c r="AK62" i="7"/>
  <c r="AK63" i="7"/>
  <c r="AK64" i="7"/>
  <c r="AK66" i="7"/>
  <c r="AK67" i="7"/>
  <c r="AK68" i="7"/>
  <c r="AK70" i="7"/>
  <c r="AK72" i="7"/>
  <c r="AK73" i="7"/>
  <c r="AK74" i="7"/>
  <c r="AK76" i="7"/>
  <c r="AK77" i="7"/>
  <c r="AK78" i="7"/>
  <c r="AK80" i="7"/>
  <c r="AK81" i="7"/>
  <c r="AK82" i="7"/>
  <c r="AK84" i="7"/>
  <c r="AK85" i="7"/>
  <c r="AK86" i="7"/>
  <c r="AK88" i="7"/>
  <c r="AK90" i="7"/>
  <c r="AK116" i="7"/>
  <c r="AK117" i="7"/>
  <c r="AK118" i="7"/>
  <c r="AK120" i="7"/>
  <c r="AK121" i="7"/>
  <c r="AK122" i="7"/>
  <c r="AK124" i="7"/>
  <c r="AK125" i="7"/>
  <c r="AK126" i="7"/>
  <c r="AK127" i="7"/>
  <c r="AK128" i="7"/>
  <c r="AK130" i="7"/>
  <c r="AK131" i="7"/>
  <c r="AK132" i="7"/>
  <c r="AK134" i="7"/>
  <c r="AK135" i="7"/>
  <c r="AK136" i="7"/>
  <c r="AK138" i="7"/>
  <c r="AK139" i="7"/>
  <c r="AK140" i="7"/>
  <c r="AK142" i="7"/>
  <c r="AK144" i="7"/>
  <c r="AK145" i="7"/>
  <c r="AK146" i="7"/>
  <c r="AK147" i="7"/>
  <c r="AK148" i="7"/>
  <c r="AK149" i="7"/>
  <c r="AK150" i="7"/>
  <c r="AK151" i="7"/>
  <c r="AK152" i="7"/>
  <c r="AK153" i="7"/>
  <c r="AK154" i="7"/>
  <c r="AK155" i="7"/>
  <c r="AK156" i="7"/>
  <c r="AK157" i="7"/>
  <c r="AK159" i="7"/>
  <c r="AK160" i="7"/>
  <c r="AK162" i="7"/>
  <c r="AK164" i="7"/>
  <c r="AK166" i="7"/>
  <c r="AK168" i="7"/>
  <c r="AK169" i="7"/>
  <c r="AK171" i="7"/>
  <c r="AK173" i="7"/>
  <c r="AK175" i="7"/>
  <c r="AK177" i="7"/>
  <c r="AK179" i="7"/>
  <c r="AK181" i="7"/>
  <c r="AK183" i="7"/>
  <c r="AK184" i="7"/>
  <c r="AK186" i="7"/>
  <c r="AK188" i="7"/>
  <c r="AK190" i="7"/>
  <c r="AK192" i="7"/>
  <c r="AK194" i="7"/>
  <c r="AK196" i="7"/>
  <c r="AK198" i="7"/>
  <c r="AK200" i="7"/>
  <c r="AK202" i="7"/>
  <c r="AK204" i="7"/>
  <c r="AK206" i="7"/>
  <c r="AK208" i="7"/>
  <c r="AK210" i="7"/>
  <c r="AK212" i="7"/>
  <c r="AK214" i="7"/>
  <c r="AK216" i="7"/>
  <c r="AK218" i="7"/>
  <c r="AK220" i="7"/>
  <c r="AK222" i="7"/>
  <c r="AK224" i="7"/>
  <c r="AK226" i="7"/>
  <c r="AK15" i="7"/>
  <c r="AK16" i="7"/>
  <c r="AK17" i="7"/>
  <c r="AK27" i="7"/>
  <c r="AK28" i="7"/>
  <c r="AK37" i="7"/>
  <c r="AK38" i="7"/>
  <c r="AK50" i="7"/>
  <c r="AK91" i="7"/>
  <c r="AK92" i="7"/>
  <c r="AK94" i="7"/>
  <c r="AK95" i="7"/>
  <c r="AK96" i="7"/>
  <c r="AK98" i="7"/>
  <c r="AK99" i="7"/>
  <c r="AK100" i="7"/>
  <c r="AK102" i="7"/>
  <c r="AK103" i="7"/>
  <c r="AK104" i="7"/>
  <c r="AK106" i="7"/>
  <c r="AK107" i="7"/>
  <c r="AK108" i="7"/>
  <c r="AK110" i="7"/>
  <c r="AK111" i="7"/>
  <c r="AK112" i="7"/>
  <c r="AK113" i="7"/>
  <c r="AK114" i="7"/>
  <c r="AK143" i="7"/>
  <c r="AK158" i="7"/>
  <c r="AK161" i="7"/>
  <c r="AK163" i="7"/>
  <c r="AK165" i="7"/>
  <c r="AK167" i="7"/>
  <c r="AK170" i="7"/>
  <c r="AK172" i="7"/>
  <c r="AK174" i="7"/>
  <c r="AK176" i="7"/>
  <c r="AK178" i="7"/>
  <c r="AK180" i="7"/>
  <c r="AK182" i="7"/>
  <c r="AK19" i="7"/>
  <c r="AK20" i="7"/>
  <c r="AK21" i="7"/>
  <c r="AK23" i="7"/>
  <c r="AK24" i="7"/>
  <c r="AK25" i="7"/>
  <c r="AK30" i="7"/>
  <c r="AK31" i="7"/>
  <c r="AK32" i="7"/>
  <c r="AK34" i="7"/>
  <c r="AK35" i="7"/>
  <c r="AQ4" i="6"/>
  <c r="AQ5" i="6"/>
  <c r="AN28" i="4"/>
  <c r="T22" i="10"/>
  <c r="M22" i="9"/>
  <c r="M22" i="7"/>
  <c r="Q22" i="10"/>
  <c r="P22" i="10"/>
  <c r="R22" i="10"/>
  <c r="AK18" i="7"/>
  <c r="AK22" i="7"/>
  <c r="AK26" i="7"/>
  <c r="AK29" i="7"/>
  <c r="AK33" i="7"/>
  <c r="AK36" i="7"/>
  <c r="AK40" i="7"/>
  <c r="AK42" i="7"/>
  <c r="AK48" i="7"/>
  <c r="AK54" i="7"/>
  <c r="AK56" i="7"/>
  <c r="AK58" i="7"/>
  <c r="AK61" i="7"/>
  <c r="AK65" i="7"/>
  <c r="AK69" i="7"/>
  <c r="AK71" i="7"/>
  <c r="AK75" i="7"/>
  <c r="AK79" i="7"/>
  <c r="AK83" i="7"/>
  <c r="AK87" i="7"/>
  <c r="AK89" i="7"/>
  <c r="AK93" i="7"/>
  <c r="AK97" i="7"/>
  <c r="AK101" i="7"/>
  <c r="AK105" i="7"/>
  <c r="AK109" i="7"/>
  <c r="AK115" i="7"/>
  <c r="AK119" i="7"/>
  <c r="AK123" i="7"/>
  <c r="AK129" i="7"/>
  <c r="AK133" i="7"/>
  <c r="AK137" i="7"/>
  <c r="AK141" i="7"/>
  <c r="AL4" i="9"/>
  <c r="M20" i="11"/>
  <c r="M22" i="11" s="1"/>
  <c r="Z16" i="12"/>
  <c r="Z18" i="12" s="1"/>
  <c r="Z18" i="9"/>
  <c r="M24" i="9" s="1"/>
  <c r="M22" i="4"/>
  <c r="M24" i="4" s="1"/>
  <c r="Z18" i="6"/>
  <c r="Z32" i="6" s="1"/>
  <c r="AK185" i="7"/>
  <c r="AK187" i="7"/>
  <c r="AK189" i="7"/>
  <c r="AK191" i="7"/>
  <c r="AK193" i="7"/>
  <c r="AK195" i="7"/>
  <c r="AK197" i="7"/>
  <c r="AK199" i="7"/>
  <c r="AK201" i="7"/>
  <c r="AK203" i="7"/>
  <c r="AK205" i="7"/>
  <c r="AK207" i="7"/>
  <c r="AK209" i="7"/>
  <c r="AK211" i="7"/>
  <c r="AK213" i="7"/>
  <c r="AK215" i="7"/>
  <c r="AK217" i="7"/>
  <c r="AK219" i="7"/>
  <c r="AK221" i="7"/>
  <c r="AK223" i="7"/>
  <c r="AK225" i="7"/>
  <c r="AK227" i="7"/>
  <c r="AK29" i="8"/>
  <c r="AK41" i="8"/>
  <c r="AK42" i="8"/>
  <c r="AK43" i="8"/>
  <c r="AK44" i="8"/>
  <c r="AK53" i="8"/>
  <c r="AK57" i="8"/>
  <c r="AK58" i="8"/>
  <c r="AK59" i="8"/>
  <c r="AK66" i="8"/>
  <c r="AK70" i="8"/>
  <c r="AK92" i="8"/>
  <c r="AK96" i="8"/>
  <c r="AK100" i="8"/>
  <c r="AK106" i="8"/>
  <c r="AK110" i="8"/>
  <c r="AK114" i="8"/>
  <c r="AK118" i="8"/>
  <c r="AK134" i="8"/>
  <c r="AK150" i="8"/>
  <c r="AK154" i="8"/>
  <c r="AK158" i="8"/>
  <c r="AK162" i="8"/>
  <c r="AK166" i="8"/>
  <c r="AK170" i="8"/>
  <c r="AK174" i="8"/>
  <c r="AK178" i="8"/>
  <c r="AK182" i="8"/>
  <c r="AK186" i="8"/>
  <c r="AK190" i="8"/>
  <c r="AK194" i="8"/>
  <c r="AK198" i="8"/>
  <c r="AK202" i="8"/>
  <c r="AK206" i="8"/>
  <c r="AK210" i="8"/>
  <c r="AK214" i="8"/>
  <c r="AK218" i="8"/>
  <c r="AK223" i="8"/>
  <c r="AK227" i="8"/>
  <c r="AK231" i="8"/>
  <c r="AK235" i="8"/>
  <c r="AK239" i="8"/>
  <c r="AK243" i="8"/>
  <c r="AK247" i="8"/>
  <c r="AK251" i="8"/>
  <c r="AQ11" i="12"/>
  <c r="F28" i="12" s="1"/>
  <c r="AS11" i="12"/>
  <c r="J28" i="12" s="1"/>
  <c r="V10" i="12" s="1"/>
  <c r="AP11" i="12"/>
  <c r="O28" i="12" s="1"/>
  <c r="Z10" i="12" s="1"/>
  <c r="AR11" i="12"/>
  <c r="H28" i="12" s="1"/>
  <c r="AL51" i="14" l="1"/>
  <c r="AR49" i="14" s="1"/>
  <c r="AM51" i="14"/>
  <c r="AR50" i="14" s="1"/>
  <c r="AO51" i="14"/>
  <c r="AR51" i="14" s="1"/>
  <c r="AP51" i="14"/>
  <c r="AR52" i="14" s="1"/>
  <c r="AO65" i="14"/>
  <c r="AR65" i="14" s="1"/>
  <c r="AP65" i="14"/>
  <c r="AR66" i="14" s="1"/>
  <c r="AJ65" i="14"/>
  <c r="AR62" i="14" s="1"/>
  <c r="AI65" i="14"/>
  <c r="AR61" i="14" s="1"/>
  <c r="AT60" i="14" s="1"/>
  <c r="AL65" i="14"/>
  <c r="AR63" i="14" s="1"/>
  <c r="AM65" i="14"/>
  <c r="AR64" i="14" s="1"/>
  <c r="AI51" i="14"/>
  <c r="AR47" i="14" s="1"/>
  <c r="AT46" i="14" s="1"/>
  <c r="AJ51" i="14"/>
  <c r="AR48" i="14" s="1"/>
  <c r="AK54" i="14"/>
  <c r="AK68" i="14"/>
  <c r="AV11" i="9"/>
  <c r="AZ11" i="9"/>
  <c r="BN11" i="9"/>
  <c r="BR11" i="9"/>
  <c r="AT12" i="9"/>
  <c r="AX12" i="9"/>
  <c r="BL12" i="9"/>
  <c r="BP12" i="9"/>
  <c r="BT12" i="9"/>
  <c r="AV13" i="9"/>
  <c r="AZ13" i="9"/>
  <c r="BN13" i="9"/>
  <c r="BR13" i="9"/>
  <c r="AT14" i="9"/>
  <c r="AX14" i="9"/>
  <c r="BL14" i="9"/>
  <c r="BP14" i="9"/>
  <c r="BT14" i="9"/>
  <c r="AV15" i="9"/>
  <c r="AZ15" i="9"/>
  <c r="BN15" i="9"/>
  <c r="BR15" i="9"/>
  <c r="AT16" i="9"/>
  <c r="AX16" i="9"/>
  <c r="BL16" i="9"/>
  <c r="BP16" i="9"/>
  <c r="BT16" i="9"/>
  <c r="AV17" i="9"/>
  <c r="AZ17" i="9"/>
  <c r="BN17" i="9"/>
  <c r="BR17" i="9"/>
  <c r="AT18" i="9"/>
  <c r="AX18" i="9"/>
  <c r="BL18" i="9"/>
  <c r="BP18" i="9"/>
  <c r="BT18" i="9"/>
  <c r="AV19" i="9"/>
  <c r="AZ19" i="9"/>
  <c r="BN19" i="9"/>
  <c r="BR19" i="9"/>
  <c r="AT20" i="9"/>
  <c r="AX20" i="9"/>
  <c r="BL20" i="9"/>
  <c r="BP20" i="9"/>
  <c r="BT20" i="9"/>
  <c r="AV21" i="9"/>
  <c r="AZ21" i="9"/>
  <c r="BN21" i="9"/>
  <c r="BR21" i="9"/>
  <c r="AT22" i="9"/>
  <c r="AX22" i="9"/>
  <c r="BL22" i="9"/>
  <c r="BR22" i="9"/>
  <c r="AX23" i="9"/>
  <c r="BP23" i="9"/>
  <c r="AV24" i="9"/>
  <c r="BN24" i="9"/>
  <c r="AT25" i="9"/>
  <c r="BL25" i="9"/>
  <c r="BT25" i="9"/>
  <c r="AZ26" i="9"/>
  <c r="BR26" i="9"/>
  <c r="AX27" i="9"/>
  <c r="BP27" i="9"/>
  <c r="AV28" i="9"/>
  <c r="BN28" i="9"/>
  <c r="AT29" i="9"/>
  <c r="BL29" i="9"/>
  <c r="BT29" i="9"/>
  <c r="AZ30" i="9"/>
  <c r="BR30" i="9"/>
  <c r="AX31" i="9"/>
  <c r="BP31" i="9"/>
  <c r="AV32" i="9"/>
  <c r="BN32" i="9"/>
  <c r="AT33" i="9"/>
  <c r="BL33" i="9"/>
  <c r="BT33" i="9"/>
  <c r="AZ34" i="9"/>
  <c r="BR34" i="9"/>
  <c r="AX35" i="9"/>
  <c r="BP35" i="9"/>
  <c r="AV36" i="9"/>
  <c r="BN36" i="9"/>
  <c r="AT37" i="9"/>
  <c r="BL37" i="9"/>
  <c r="BT37" i="9"/>
  <c r="AZ38" i="9"/>
  <c r="BR38" i="9"/>
  <c r="AX39" i="9"/>
  <c r="BP39" i="9"/>
  <c r="AV40" i="9"/>
  <c r="BN40" i="9"/>
  <c r="AT41" i="9"/>
  <c r="BL41" i="9"/>
  <c r="BT41" i="9"/>
  <c r="AZ42" i="9"/>
  <c r="BR42" i="9"/>
  <c r="AX43" i="9"/>
  <c r="BP43" i="9"/>
  <c r="AV44" i="9"/>
  <c r="BN44" i="9"/>
  <c r="AT45" i="9"/>
  <c r="BL45" i="9"/>
  <c r="BT45" i="9"/>
  <c r="AZ46" i="9"/>
  <c r="BR46" i="9"/>
  <c r="AX47" i="9"/>
  <c r="BP47" i="9"/>
  <c r="AV48" i="9"/>
  <c r="BN48" i="9"/>
  <c r="AT49" i="9"/>
  <c r="BL49" i="9"/>
  <c r="BT49" i="9"/>
  <c r="AZ50" i="9"/>
  <c r="BR50" i="9"/>
  <c r="AX51" i="9"/>
  <c r="BP51" i="9"/>
  <c r="AV52" i="9"/>
  <c r="BN52" i="9"/>
  <c r="AT53" i="9"/>
  <c r="BL53" i="9"/>
  <c r="BT53" i="9"/>
  <c r="AZ54" i="9"/>
  <c r="BR54" i="9"/>
  <c r="AX55" i="9"/>
  <c r="BP55" i="9"/>
  <c r="AV56" i="9"/>
  <c r="BM57" i="9"/>
  <c r="BS58" i="9"/>
  <c r="BQ59" i="9"/>
  <c r="BO60" i="9"/>
  <c r="AU61" i="9"/>
  <c r="BM61" i="9"/>
  <c r="AS62" i="9"/>
  <c r="BA62" i="9"/>
  <c r="BS62" i="9"/>
  <c r="AY63" i="9"/>
  <c r="BQ63" i="9"/>
  <c r="AW64" i="9"/>
  <c r="BO64" i="9"/>
  <c r="AU65" i="9"/>
  <c r="BM65" i="9"/>
  <c r="AS66" i="9"/>
  <c r="BA66" i="9"/>
  <c r="BS66" i="9"/>
  <c r="AY67" i="9"/>
  <c r="BQ67" i="9"/>
  <c r="AW68" i="9"/>
  <c r="BO68" i="9"/>
  <c r="AU69" i="9"/>
  <c r="BM69" i="9"/>
  <c r="AS70" i="9"/>
  <c r="BA70" i="9"/>
  <c r="BS70" i="9"/>
  <c r="AY71" i="9"/>
  <c r="BQ71" i="9"/>
  <c r="AW72" i="9"/>
  <c r="BO72" i="9"/>
  <c r="AU73" i="9"/>
  <c r="BM73" i="9"/>
  <c r="AS74" i="9"/>
  <c r="BA74" i="9"/>
  <c r="BS74" i="9"/>
  <c r="AY75" i="9"/>
  <c r="BQ75" i="9"/>
  <c r="AW76" i="9"/>
  <c r="BO76" i="9"/>
  <c r="AU77" i="9"/>
  <c r="BM77" i="9"/>
  <c r="AS78" i="9"/>
  <c r="BA78" i="9"/>
  <c r="BS78" i="9"/>
  <c r="AY79" i="9"/>
  <c r="BQ79" i="9"/>
  <c r="BL80" i="9"/>
  <c r="AZ81" i="9"/>
  <c r="AX82" i="9"/>
  <c r="AV83" i="9"/>
  <c r="AT84" i="9"/>
  <c r="BT84" i="9"/>
  <c r="BR85" i="9"/>
  <c r="BP86" i="9"/>
  <c r="BN87" i="9"/>
  <c r="BL88" i="9"/>
  <c r="AZ89" i="9"/>
  <c r="AX90" i="9"/>
  <c r="AV91" i="9"/>
  <c r="AT92" i="9"/>
  <c r="BT92" i="9"/>
  <c r="BR93" i="9"/>
  <c r="BP94" i="9"/>
  <c r="BN95" i="9"/>
  <c r="BL96" i="9"/>
  <c r="AZ97" i="9"/>
  <c r="AX98" i="9"/>
  <c r="AV99" i="9"/>
  <c r="AT100" i="9"/>
  <c r="BT100" i="9"/>
  <c r="BR101" i="9"/>
  <c r="BP102" i="9"/>
  <c r="BN103" i="9"/>
  <c r="BL104" i="9"/>
  <c r="AZ105" i="9"/>
  <c r="AX106" i="9"/>
  <c r="AV107" i="9"/>
  <c r="AT108" i="9"/>
  <c r="BL109" i="9"/>
  <c r="AX111" i="9"/>
  <c r="AT113" i="9"/>
  <c r="BR114" i="9"/>
  <c r="BN116" i="9"/>
  <c r="AZ118" i="9"/>
  <c r="AV120" i="9"/>
  <c r="BT121" i="9"/>
  <c r="BS124" i="9"/>
  <c r="BA128" i="9"/>
  <c r="AS11" i="9"/>
  <c r="AW11" i="9"/>
  <c r="BA11" i="9"/>
  <c r="BO11" i="9"/>
  <c r="BS11" i="9"/>
  <c r="AU12" i="9"/>
  <c r="AY12" i="9"/>
  <c r="BM12" i="9"/>
  <c r="BQ12" i="9"/>
  <c r="AS13" i="9"/>
  <c r="AW13" i="9"/>
  <c r="BA13" i="9"/>
  <c r="BO13" i="9"/>
  <c r="BS13" i="9"/>
  <c r="AU14" i="9"/>
  <c r="AY14" i="9"/>
  <c r="BM14" i="9"/>
  <c r="BQ14" i="9"/>
  <c r="AS15" i="9"/>
  <c r="AW15" i="9"/>
  <c r="BA15" i="9"/>
  <c r="BO15" i="9"/>
  <c r="BS15" i="9"/>
  <c r="AU16" i="9"/>
  <c r="AY16" i="9"/>
  <c r="BM16" i="9"/>
  <c r="BQ16" i="9"/>
  <c r="AS17" i="9"/>
  <c r="AW17" i="9"/>
  <c r="BA17" i="9"/>
  <c r="BO17" i="9"/>
  <c r="BS17" i="9"/>
  <c r="AU18" i="9"/>
  <c r="AY18" i="9"/>
  <c r="BM18" i="9"/>
  <c r="BQ18" i="9"/>
  <c r="AS19" i="9"/>
  <c r="AW19" i="9"/>
  <c r="BA19" i="9"/>
  <c r="BO19" i="9"/>
  <c r="BS19" i="9"/>
  <c r="AU20" i="9"/>
  <c r="AY20" i="9"/>
  <c r="BM20" i="9"/>
  <c r="BQ20" i="9"/>
  <c r="AS21" i="9"/>
  <c r="AW21" i="9"/>
  <c r="BA21" i="9"/>
  <c r="BO21" i="9"/>
  <c r="BS21" i="9"/>
  <c r="AU22" i="9"/>
  <c r="AY22" i="9"/>
  <c r="BM22" i="9"/>
  <c r="BT22" i="9"/>
  <c r="AZ23" i="9"/>
  <c r="BR23" i="9"/>
  <c r="AX24" i="9"/>
  <c r="BP24" i="9"/>
  <c r="AV25" i="9"/>
  <c r="BN25" i="9"/>
  <c r="AT26" i="9"/>
  <c r="BL26" i="9"/>
  <c r="BT26" i="9"/>
  <c r="AZ27" i="9"/>
  <c r="BR27" i="9"/>
  <c r="AX28" i="9"/>
  <c r="BP28" i="9"/>
  <c r="AV29" i="9"/>
  <c r="BN29" i="9"/>
  <c r="AT30" i="9"/>
  <c r="BL30" i="9"/>
  <c r="BT30" i="9"/>
  <c r="AZ31" i="9"/>
  <c r="BR31" i="9"/>
  <c r="AX32" i="9"/>
  <c r="BP32" i="9"/>
  <c r="AV33" i="9"/>
  <c r="BN33" i="9"/>
  <c r="AT34" i="9"/>
  <c r="BL34" i="9"/>
  <c r="BT34" i="9"/>
  <c r="AZ35" i="9"/>
  <c r="BR35" i="9"/>
  <c r="AX36" i="9"/>
  <c r="BP36" i="9"/>
  <c r="AV37" i="9"/>
  <c r="BN37" i="9"/>
  <c r="AT38" i="9"/>
  <c r="BL38" i="9"/>
  <c r="BT38" i="9"/>
  <c r="AZ39" i="9"/>
  <c r="BR39" i="9"/>
  <c r="AX40" i="9"/>
  <c r="BP40" i="9"/>
  <c r="AV41" i="9"/>
  <c r="BN41" i="9"/>
  <c r="AT42" i="9"/>
  <c r="BL42" i="9"/>
  <c r="BT42" i="9"/>
  <c r="AZ43" i="9"/>
  <c r="BR43" i="9"/>
  <c r="AX44" i="9"/>
  <c r="BP44" i="9"/>
  <c r="AV45" i="9"/>
  <c r="BN45" i="9"/>
  <c r="AT46" i="9"/>
  <c r="BL46" i="9"/>
  <c r="BT46" i="9"/>
  <c r="AZ47" i="9"/>
  <c r="BR47" i="9"/>
  <c r="AX48" i="9"/>
  <c r="BP48" i="9"/>
  <c r="AV49" i="9"/>
  <c r="BN49" i="9"/>
  <c r="AT50" i="9"/>
  <c r="BL50" i="9"/>
  <c r="BT50" i="9"/>
  <c r="AZ51" i="9"/>
  <c r="BR51" i="9"/>
  <c r="AX52" i="9"/>
  <c r="BP52" i="9"/>
  <c r="AV53" i="9"/>
  <c r="BN53" i="9"/>
  <c r="AT54" i="9"/>
  <c r="BT54" i="9"/>
  <c r="BR55" i="9"/>
  <c r="BR131" i="9"/>
  <c r="BN131" i="9"/>
  <c r="AZ131" i="9"/>
  <c r="AV131" i="9"/>
  <c r="BT130" i="9"/>
  <c r="BP130" i="9"/>
  <c r="BL130" i="9"/>
  <c r="AX130" i="9"/>
  <c r="AT130" i="9"/>
  <c r="BR129" i="9"/>
  <c r="BN129" i="9"/>
  <c r="AZ129" i="9"/>
  <c r="AV129" i="9"/>
  <c r="BT128" i="9"/>
  <c r="BP128" i="9"/>
  <c r="BL128" i="9"/>
  <c r="AX128" i="9"/>
  <c r="AT128" i="9"/>
  <c r="BR127" i="9"/>
  <c r="BN127" i="9"/>
  <c r="AZ127" i="9"/>
  <c r="AV127" i="9"/>
  <c r="BT126" i="9"/>
  <c r="BP126" i="9"/>
  <c r="BL126" i="9"/>
  <c r="AX126" i="9"/>
  <c r="AT126" i="9"/>
  <c r="BR125" i="9"/>
  <c r="BN125" i="9"/>
  <c r="AZ125" i="9"/>
  <c r="AV125" i="9"/>
  <c r="BT124" i="9"/>
  <c r="BP124" i="9"/>
  <c r="BL124" i="9"/>
  <c r="AX124" i="9"/>
  <c r="AT124" i="9"/>
  <c r="BR123" i="9"/>
  <c r="BN123" i="9"/>
  <c r="AZ123" i="9"/>
  <c r="AV123" i="9"/>
  <c r="BT122" i="9"/>
  <c r="BP122" i="9"/>
  <c r="BS131" i="9"/>
  <c r="BA131" i="9"/>
  <c r="AS131" i="9"/>
  <c r="BM130" i="9"/>
  <c r="AU130" i="9"/>
  <c r="BO129" i="9"/>
  <c r="AW129" i="9"/>
  <c r="BQ128" i="9"/>
  <c r="AY128" i="9"/>
  <c r="BS127" i="9"/>
  <c r="BA127" i="9"/>
  <c r="AS127" i="9"/>
  <c r="BM126" i="9"/>
  <c r="AU126" i="9"/>
  <c r="BO125" i="9"/>
  <c r="AW125" i="9"/>
  <c r="BQ124" i="9"/>
  <c r="AY124" i="9"/>
  <c r="BS123" i="9"/>
  <c r="BA123" i="9"/>
  <c r="AS123" i="9"/>
  <c r="BM122" i="9"/>
  <c r="AY122" i="9"/>
  <c r="AU122" i="9"/>
  <c r="BS121" i="9"/>
  <c r="BO121" i="9"/>
  <c r="BA121" i="9"/>
  <c r="AW121" i="9"/>
  <c r="AS121" i="9"/>
  <c r="BQ120" i="9"/>
  <c r="BM120" i="9"/>
  <c r="AY120" i="9"/>
  <c r="AU120" i="9"/>
  <c r="BS119" i="9"/>
  <c r="BO119" i="9"/>
  <c r="BA119" i="9"/>
  <c r="AW119" i="9"/>
  <c r="AS119" i="9"/>
  <c r="BQ118" i="9"/>
  <c r="BM118" i="9"/>
  <c r="AY118" i="9"/>
  <c r="AU118" i="9"/>
  <c r="BS117" i="9"/>
  <c r="BT131" i="9"/>
  <c r="BL131" i="9"/>
  <c r="AT131" i="9"/>
  <c r="BN130" i="9"/>
  <c r="AV130" i="9"/>
  <c r="BP129" i="9"/>
  <c r="AX129" i="9"/>
  <c r="BR128" i="9"/>
  <c r="AZ128" i="9"/>
  <c r="BT127" i="9"/>
  <c r="BL127" i="9"/>
  <c r="AT127" i="9"/>
  <c r="BN126" i="9"/>
  <c r="AV126" i="9"/>
  <c r="BP125" i="9"/>
  <c r="AX125" i="9"/>
  <c r="BR124" i="9"/>
  <c r="AZ124" i="9"/>
  <c r="BT123" i="9"/>
  <c r="BL123" i="9"/>
  <c r="AT123" i="9"/>
  <c r="BN122" i="9"/>
  <c r="AW131" i="9"/>
  <c r="AY130" i="9"/>
  <c r="BA129" i="9"/>
  <c r="BM128" i="9"/>
  <c r="BO127" i="9"/>
  <c r="BQ126" i="9"/>
  <c r="BS125" i="9"/>
  <c r="AS125" i="9"/>
  <c r="AU124" i="9"/>
  <c r="AW123" i="9"/>
  <c r="BA122" i="9"/>
  <c r="AS122" i="9"/>
  <c r="BM121" i="9"/>
  <c r="AU121" i="9"/>
  <c r="BO120" i="9"/>
  <c r="AW120" i="9"/>
  <c r="BQ119" i="9"/>
  <c r="AY119" i="9"/>
  <c r="BS118" i="9"/>
  <c r="BA118" i="9"/>
  <c r="AS118" i="9"/>
  <c r="BO117" i="9"/>
  <c r="BA117" i="9"/>
  <c r="AW117" i="9"/>
  <c r="AS117" i="9"/>
  <c r="BQ116" i="9"/>
  <c r="BM116" i="9"/>
  <c r="AY116" i="9"/>
  <c r="AU116" i="9"/>
  <c r="BS115" i="9"/>
  <c r="BO115" i="9"/>
  <c r="BA115" i="9"/>
  <c r="AW115" i="9"/>
  <c r="AS115" i="9"/>
  <c r="BQ114" i="9"/>
  <c r="BM114" i="9"/>
  <c r="AY114" i="9"/>
  <c r="AU114" i="9"/>
  <c r="BS113" i="9"/>
  <c r="BO113" i="9"/>
  <c r="BA113" i="9"/>
  <c r="AW113" i="9"/>
  <c r="AS113" i="9"/>
  <c r="BQ112" i="9"/>
  <c r="BM112" i="9"/>
  <c r="AY112" i="9"/>
  <c r="AU112" i="9"/>
  <c r="BS111" i="9"/>
  <c r="BO111" i="9"/>
  <c r="BA111" i="9"/>
  <c r="AW111" i="9"/>
  <c r="AS111" i="9"/>
  <c r="BQ110" i="9"/>
  <c r="BM110" i="9"/>
  <c r="AY110" i="9"/>
  <c r="AU110" i="9"/>
  <c r="BS109" i="9"/>
  <c r="BO109" i="9"/>
  <c r="BA109" i="9"/>
  <c r="AW109" i="9"/>
  <c r="AS109" i="9"/>
  <c r="BQ108" i="9"/>
  <c r="BM108" i="9"/>
  <c r="BQ131" i="9"/>
  <c r="BS130" i="9"/>
  <c r="AS130" i="9"/>
  <c r="AU129" i="9"/>
  <c r="AW128" i="9"/>
  <c r="AY127" i="9"/>
  <c r="BA126" i="9"/>
  <c r="BM125" i="9"/>
  <c r="BO124" i="9"/>
  <c r="BQ123" i="9"/>
  <c r="BS122" i="9"/>
  <c r="AX122" i="9"/>
  <c r="BR121" i="9"/>
  <c r="AZ121" i="9"/>
  <c r="BT120" i="9"/>
  <c r="BL120" i="9"/>
  <c r="AT120" i="9"/>
  <c r="BN119" i="9"/>
  <c r="AV119" i="9"/>
  <c r="BP118" i="9"/>
  <c r="AX118" i="9"/>
  <c r="BR117" i="9"/>
  <c r="AZ117" i="9"/>
  <c r="BT116" i="9"/>
  <c r="BL116" i="9"/>
  <c r="AT116" i="9"/>
  <c r="BN115" i="9"/>
  <c r="AV115" i="9"/>
  <c r="BP114" i="9"/>
  <c r="AX114" i="9"/>
  <c r="BR113" i="9"/>
  <c r="AZ113" i="9"/>
  <c r="BT112" i="9"/>
  <c r="BL112" i="9"/>
  <c r="AT112" i="9"/>
  <c r="BN111" i="9"/>
  <c r="AV111" i="9"/>
  <c r="BP110" i="9"/>
  <c r="AX110" i="9"/>
  <c r="BR109" i="9"/>
  <c r="AZ109" i="9"/>
  <c r="BT108" i="9"/>
  <c r="BL108" i="9"/>
  <c r="AW108" i="9"/>
  <c r="AS108" i="9"/>
  <c r="BQ107" i="9"/>
  <c r="BM107" i="9"/>
  <c r="AY107" i="9"/>
  <c r="AU107" i="9"/>
  <c r="BS106" i="9"/>
  <c r="BO106" i="9"/>
  <c r="BA106" i="9"/>
  <c r="AW106" i="9"/>
  <c r="AS106" i="9"/>
  <c r="BQ105" i="9"/>
  <c r="BM105" i="9"/>
  <c r="AY105" i="9"/>
  <c r="AU105" i="9"/>
  <c r="BS104" i="9"/>
  <c r="BO104" i="9"/>
  <c r="BA104" i="9"/>
  <c r="AW104" i="9"/>
  <c r="AS104" i="9"/>
  <c r="BQ103" i="9"/>
  <c r="BM103" i="9"/>
  <c r="AY103" i="9"/>
  <c r="AU103" i="9"/>
  <c r="BS102" i="9"/>
  <c r="BO102" i="9"/>
  <c r="BA102" i="9"/>
  <c r="AW102" i="9"/>
  <c r="AS102" i="9"/>
  <c r="BQ101" i="9"/>
  <c r="BM101" i="9"/>
  <c r="AY101" i="9"/>
  <c r="AU101" i="9"/>
  <c r="BS100" i="9"/>
  <c r="BO100" i="9"/>
  <c r="BA100" i="9"/>
  <c r="AW100" i="9"/>
  <c r="AS100" i="9"/>
  <c r="BQ99" i="9"/>
  <c r="BM99" i="9"/>
  <c r="AY99" i="9"/>
  <c r="AU99" i="9"/>
  <c r="BS98" i="9"/>
  <c r="BO98" i="9"/>
  <c r="BA98" i="9"/>
  <c r="AW98" i="9"/>
  <c r="AS98" i="9"/>
  <c r="BQ97" i="9"/>
  <c r="BM97" i="9"/>
  <c r="AY97" i="9"/>
  <c r="AU97" i="9"/>
  <c r="BS96" i="9"/>
  <c r="BO96" i="9"/>
  <c r="BA96" i="9"/>
  <c r="AW96" i="9"/>
  <c r="AS96" i="9"/>
  <c r="BQ95" i="9"/>
  <c r="BM95" i="9"/>
  <c r="AY95" i="9"/>
  <c r="AU95" i="9"/>
  <c r="BS94" i="9"/>
  <c r="BO94" i="9"/>
  <c r="BA94" i="9"/>
  <c r="AW94" i="9"/>
  <c r="AS94" i="9"/>
  <c r="BQ93" i="9"/>
  <c r="BM93" i="9"/>
  <c r="AY93" i="9"/>
  <c r="AU93" i="9"/>
  <c r="BS92" i="9"/>
  <c r="BO92" i="9"/>
  <c r="BA92" i="9"/>
  <c r="AW92" i="9"/>
  <c r="AS92" i="9"/>
  <c r="BQ91" i="9"/>
  <c r="BM91" i="9"/>
  <c r="AY91" i="9"/>
  <c r="AU91" i="9"/>
  <c r="BS90" i="9"/>
  <c r="BO90" i="9"/>
  <c r="BA90" i="9"/>
  <c r="AW90" i="9"/>
  <c r="AS90" i="9"/>
  <c r="BQ89" i="9"/>
  <c r="BM89" i="9"/>
  <c r="AY89" i="9"/>
  <c r="AU89" i="9"/>
  <c r="BS88" i="9"/>
  <c r="BO88" i="9"/>
  <c r="BA88" i="9"/>
  <c r="AW88" i="9"/>
  <c r="AS88" i="9"/>
  <c r="BQ87" i="9"/>
  <c r="BM87" i="9"/>
  <c r="AY87" i="9"/>
  <c r="AU87" i="9"/>
  <c r="BS86" i="9"/>
  <c r="BO86" i="9"/>
  <c r="BA86" i="9"/>
  <c r="AW86" i="9"/>
  <c r="AS86" i="9"/>
  <c r="BQ85" i="9"/>
  <c r="BM85" i="9"/>
  <c r="AY85" i="9"/>
  <c r="AU85" i="9"/>
  <c r="BS84" i="9"/>
  <c r="BO84" i="9"/>
  <c r="BA84" i="9"/>
  <c r="AW84" i="9"/>
  <c r="AS84" i="9"/>
  <c r="BQ83" i="9"/>
  <c r="BM83" i="9"/>
  <c r="AY83" i="9"/>
  <c r="AU83" i="9"/>
  <c r="BS82" i="9"/>
  <c r="BO82" i="9"/>
  <c r="BA82" i="9"/>
  <c r="AW82" i="9"/>
  <c r="AS82" i="9"/>
  <c r="BQ81" i="9"/>
  <c r="BM81" i="9"/>
  <c r="AY81" i="9"/>
  <c r="AU81" i="9"/>
  <c r="BS80" i="9"/>
  <c r="BO80" i="9"/>
  <c r="BA80" i="9"/>
  <c r="AW80" i="9"/>
  <c r="AS80" i="9"/>
  <c r="BO130" i="9"/>
  <c r="BS128" i="9"/>
  <c r="AU127" i="9"/>
  <c r="AY125" i="9"/>
  <c r="BM123" i="9"/>
  <c r="AV122" i="9"/>
  <c r="AX121" i="9"/>
  <c r="AZ120" i="9"/>
  <c r="BL119" i="9"/>
  <c r="BN118" i="9"/>
  <c r="BP117" i="9"/>
  <c r="BR116" i="9"/>
  <c r="BT115" i="9"/>
  <c r="AT115" i="9"/>
  <c r="AV114" i="9"/>
  <c r="AX113" i="9"/>
  <c r="AZ112" i="9"/>
  <c r="BL111" i="9"/>
  <c r="BN110" i="9"/>
  <c r="BP109" i="9"/>
  <c r="BR108" i="9"/>
  <c r="AV108" i="9"/>
  <c r="BP107" i="9"/>
  <c r="AX107" i="9"/>
  <c r="BR106" i="9"/>
  <c r="AZ106" i="9"/>
  <c r="BT105" i="9"/>
  <c r="BL105" i="9"/>
  <c r="AT105" i="9"/>
  <c r="BN104" i="9"/>
  <c r="AV104" i="9"/>
  <c r="BP103" i="9"/>
  <c r="AX103" i="9"/>
  <c r="BR102" i="9"/>
  <c r="AZ102" i="9"/>
  <c r="BT101" i="9"/>
  <c r="BL101" i="9"/>
  <c r="AT101" i="9"/>
  <c r="BN100" i="9"/>
  <c r="AV100" i="9"/>
  <c r="BP99" i="9"/>
  <c r="AX99" i="9"/>
  <c r="BR98" i="9"/>
  <c r="AZ98" i="9"/>
  <c r="BT97" i="9"/>
  <c r="BL97" i="9"/>
  <c r="AT97" i="9"/>
  <c r="BN96" i="9"/>
  <c r="AV96" i="9"/>
  <c r="BP95" i="9"/>
  <c r="AX95" i="9"/>
  <c r="BR94" i="9"/>
  <c r="AZ94" i="9"/>
  <c r="BT93" i="9"/>
  <c r="BL93" i="9"/>
  <c r="AT93" i="9"/>
  <c r="BN92" i="9"/>
  <c r="AV92" i="9"/>
  <c r="BP91" i="9"/>
  <c r="AX91" i="9"/>
  <c r="BR90" i="9"/>
  <c r="AZ90" i="9"/>
  <c r="BT89" i="9"/>
  <c r="BL89" i="9"/>
  <c r="AT89" i="9"/>
  <c r="BN88" i="9"/>
  <c r="AV88" i="9"/>
  <c r="BP87" i="9"/>
  <c r="AX87" i="9"/>
  <c r="BR86" i="9"/>
  <c r="AZ86" i="9"/>
  <c r="BT85" i="9"/>
  <c r="BL85" i="9"/>
  <c r="AT85" i="9"/>
  <c r="BN84" i="9"/>
  <c r="AV84" i="9"/>
  <c r="BP83" i="9"/>
  <c r="AX83" i="9"/>
  <c r="BR82" i="9"/>
  <c r="AZ82" i="9"/>
  <c r="BT81" i="9"/>
  <c r="BL81" i="9"/>
  <c r="AT81" i="9"/>
  <c r="BN80" i="9"/>
  <c r="AV80" i="9"/>
  <c r="BR79" i="9"/>
  <c r="BN79" i="9"/>
  <c r="AZ79" i="9"/>
  <c r="AV79" i="9"/>
  <c r="BT78" i="9"/>
  <c r="BP78" i="9"/>
  <c r="BL78" i="9"/>
  <c r="AX78" i="9"/>
  <c r="AT78" i="9"/>
  <c r="BR77" i="9"/>
  <c r="BN77" i="9"/>
  <c r="AZ77" i="9"/>
  <c r="AV77" i="9"/>
  <c r="BT76" i="9"/>
  <c r="BP76" i="9"/>
  <c r="BL76" i="9"/>
  <c r="AX76" i="9"/>
  <c r="AT76" i="9"/>
  <c r="BR75" i="9"/>
  <c r="BN75" i="9"/>
  <c r="AZ75" i="9"/>
  <c r="AV75" i="9"/>
  <c r="BT74" i="9"/>
  <c r="BP74" i="9"/>
  <c r="BL74" i="9"/>
  <c r="AX74" i="9"/>
  <c r="AT74" i="9"/>
  <c r="BR73" i="9"/>
  <c r="BN73" i="9"/>
  <c r="AZ73" i="9"/>
  <c r="AV73" i="9"/>
  <c r="BT72" i="9"/>
  <c r="BP72" i="9"/>
  <c r="BL72" i="9"/>
  <c r="AX72" i="9"/>
  <c r="AT72" i="9"/>
  <c r="BR71" i="9"/>
  <c r="BN71" i="9"/>
  <c r="AZ71" i="9"/>
  <c r="AV71" i="9"/>
  <c r="BT70" i="9"/>
  <c r="BP70" i="9"/>
  <c r="BL70" i="9"/>
  <c r="AX70" i="9"/>
  <c r="AT70" i="9"/>
  <c r="BR69" i="9"/>
  <c r="BN69" i="9"/>
  <c r="AZ69" i="9"/>
  <c r="AV69" i="9"/>
  <c r="BT68" i="9"/>
  <c r="BP68" i="9"/>
  <c r="BL68" i="9"/>
  <c r="AX68" i="9"/>
  <c r="AT68" i="9"/>
  <c r="BR67" i="9"/>
  <c r="BN67" i="9"/>
  <c r="AZ67" i="9"/>
  <c r="AV67" i="9"/>
  <c r="BT66" i="9"/>
  <c r="BP66" i="9"/>
  <c r="BL66" i="9"/>
  <c r="AX66" i="9"/>
  <c r="AT66" i="9"/>
  <c r="BR65" i="9"/>
  <c r="BN65" i="9"/>
  <c r="AZ65" i="9"/>
  <c r="AV65" i="9"/>
  <c r="BT64" i="9"/>
  <c r="BP64" i="9"/>
  <c r="BL64" i="9"/>
  <c r="AX64" i="9"/>
  <c r="AT64" i="9"/>
  <c r="BR63" i="9"/>
  <c r="BN63" i="9"/>
  <c r="AZ63" i="9"/>
  <c r="AV63" i="9"/>
  <c r="BT62" i="9"/>
  <c r="BP62" i="9"/>
  <c r="BL62" i="9"/>
  <c r="AX62" i="9"/>
  <c r="AT62" i="9"/>
  <c r="BR61" i="9"/>
  <c r="BN61" i="9"/>
  <c r="AZ61" i="9"/>
  <c r="AV61" i="9"/>
  <c r="BT60" i="9"/>
  <c r="BP60" i="9"/>
  <c r="BL60" i="9"/>
  <c r="AX60" i="9"/>
  <c r="AT60" i="9"/>
  <c r="BR59" i="9"/>
  <c r="BN59" i="9"/>
  <c r="AZ59" i="9"/>
  <c r="AV59" i="9"/>
  <c r="BT58" i="9"/>
  <c r="BP58" i="9"/>
  <c r="BL58" i="9"/>
  <c r="AX58" i="9"/>
  <c r="AT58" i="9"/>
  <c r="BR57" i="9"/>
  <c r="BN57" i="9"/>
  <c r="AZ57" i="9"/>
  <c r="AV57" i="9"/>
  <c r="BA56" i="9"/>
  <c r="AW56" i="9"/>
  <c r="AS56" i="9"/>
  <c r="BQ55" i="9"/>
  <c r="BM55" i="9"/>
  <c r="AY55" i="9"/>
  <c r="AU55" i="9"/>
  <c r="BS54" i="9"/>
  <c r="BO54" i="9"/>
  <c r="BA54" i="9"/>
  <c r="AW54" i="9"/>
  <c r="AS54" i="9"/>
  <c r="BQ53" i="9"/>
  <c r="BM53" i="9"/>
  <c r="AY53" i="9"/>
  <c r="AU53" i="9"/>
  <c r="BS52" i="9"/>
  <c r="BO52" i="9"/>
  <c r="BA52" i="9"/>
  <c r="AW52" i="9"/>
  <c r="AS52" i="9"/>
  <c r="BQ51" i="9"/>
  <c r="BM51" i="9"/>
  <c r="AY51" i="9"/>
  <c r="AU51" i="9"/>
  <c r="BS50" i="9"/>
  <c r="BO50" i="9"/>
  <c r="BA50" i="9"/>
  <c r="AW50" i="9"/>
  <c r="AS50" i="9"/>
  <c r="BQ49" i="9"/>
  <c r="BM49" i="9"/>
  <c r="AY49" i="9"/>
  <c r="AU49" i="9"/>
  <c r="BS48" i="9"/>
  <c r="BO48" i="9"/>
  <c r="BA48" i="9"/>
  <c r="AW48" i="9"/>
  <c r="AS48" i="9"/>
  <c r="BQ47" i="9"/>
  <c r="BM47" i="9"/>
  <c r="AY47" i="9"/>
  <c r="AU47" i="9"/>
  <c r="BS46" i="9"/>
  <c r="BO46" i="9"/>
  <c r="BA46" i="9"/>
  <c r="AW46" i="9"/>
  <c r="AS46" i="9"/>
  <c r="BQ45" i="9"/>
  <c r="BM45" i="9"/>
  <c r="AY45" i="9"/>
  <c r="AU45" i="9"/>
  <c r="BS44" i="9"/>
  <c r="BO44" i="9"/>
  <c r="BA44" i="9"/>
  <c r="AW44" i="9"/>
  <c r="AS44" i="9"/>
  <c r="BQ43" i="9"/>
  <c r="BM43" i="9"/>
  <c r="AY43" i="9"/>
  <c r="AU43" i="9"/>
  <c r="BS42" i="9"/>
  <c r="BO42" i="9"/>
  <c r="BA42" i="9"/>
  <c r="AW42" i="9"/>
  <c r="AS42" i="9"/>
  <c r="BQ41" i="9"/>
  <c r="BM41" i="9"/>
  <c r="AY41" i="9"/>
  <c r="AU41" i="9"/>
  <c r="BS40" i="9"/>
  <c r="BO40" i="9"/>
  <c r="BA40" i="9"/>
  <c r="AW40" i="9"/>
  <c r="AS40" i="9"/>
  <c r="BQ39" i="9"/>
  <c r="BM39" i="9"/>
  <c r="AY39" i="9"/>
  <c r="AU39" i="9"/>
  <c r="BS38" i="9"/>
  <c r="BO38" i="9"/>
  <c r="BP131" i="9"/>
  <c r="AX131" i="9"/>
  <c r="BR130" i="9"/>
  <c r="AZ130" i="9"/>
  <c r="BT129" i="9"/>
  <c r="BL129" i="9"/>
  <c r="AT129" i="9"/>
  <c r="BN128" i="9"/>
  <c r="AV128" i="9"/>
  <c r="BP127" i="9"/>
  <c r="AX127" i="9"/>
  <c r="BR126" i="9"/>
  <c r="AZ126" i="9"/>
  <c r="BT125" i="9"/>
  <c r="BL125" i="9"/>
  <c r="AT125" i="9"/>
  <c r="BN124" i="9"/>
  <c r="AV124" i="9"/>
  <c r="BP123" i="9"/>
  <c r="AX123" i="9"/>
  <c r="BR122" i="9"/>
  <c r="BO131" i="9"/>
  <c r="BQ130" i="9"/>
  <c r="BS129" i="9"/>
  <c r="AS129" i="9"/>
  <c r="AU128" i="9"/>
  <c r="AW127" i="9"/>
  <c r="AY126" i="9"/>
  <c r="BA125" i="9"/>
  <c r="BM124" i="9"/>
  <c r="BO123" i="9"/>
  <c r="BQ122" i="9"/>
  <c r="AW122" i="9"/>
  <c r="BQ121" i="9"/>
  <c r="AY121" i="9"/>
  <c r="BS120" i="9"/>
  <c r="BA120" i="9"/>
  <c r="AS120" i="9"/>
  <c r="BM119" i="9"/>
  <c r="AU119" i="9"/>
  <c r="BO118" i="9"/>
  <c r="AW118" i="9"/>
  <c r="BQ117" i="9"/>
  <c r="BM117" i="9"/>
  <c r="AY117" i="9"/>
  <c r="AU117" i="9"/>
  <c r="BS116" i="9"/>
  <c r="BO116" i="9"/>
  <c r="BA116" i="9"/>
  <c r="AW116" i="9"/>
  <c r="AS116" i="9"/>
  <c r="BQ115" i="9"/>
  <c r="BM115" i="9"/>
  <c r="AY115" i="9"/>
  <c r="AU115" i="9"/>
  <c r="BS114" i="9"/>
  <c r="BO114" i="9"/>
  <c r="BA114" i="9"/>
  <c r="AW114" i="9"/>
  <c r="AS114" i="9"/>
  <c r="BQ113" i="9"/>
  <c r="BM113" i="9"/>
  <c r="AY113" i="9"/>
  <c r="AU113" i="9"/>
  <c r="BS112" i="9"/>
  <c r="BO112" i="9"/>
  <c r="BA112" i="9"/>
  <c r="AW112" i="9"/>
  <c r="AS112" i="9"/>
  <c r="BQ111" i="9"/>
  <c r="BM111" i="9"/>
  <c r="AY111" i="9"/>
  <c r="AU111" i="9"/>
  <c r="BS110" i="9"/>
  <c r="BO110" i="9"/>
  <c r="BA110" i="9"/>
  <c r="AW110" i="9"/>
  <c r="AS110" i="9"/>
  <c r="BQ109" i="9"/>
  <c r="BM109" i="9"/>
  <c r="AY109" i="9"/>
  <c r="AU109" i="9"/>
  <c r="BS108" i="9"/>
  <c r="BO108" i="9"/>
  <c r="BA108" i="9"/>
  <c r="AY131" i="9"/>
  <c r="BA130" i="9"/>
  <c r="BM129" i="9"/>
  <c r="BO128" i="9"/>
  <c r="BQ127" i="9"/>
  <c r="BS126" i="9"/>
  <c r="AS126" i="9"/>
  <c r="AU125" i="9"/>
  <c r="AW124" i="9"/>
  <c r="AY123" i="9"/>
  <c r="BL122" i="9"/>
  <c r="AT122" i="9"/>
  <c r="BN121" i="9"/>
  <c r="AV121" i="9"/>
  <c r="BP120" i="9"/>
  <c r="AX120" i="9"/>
  <c r="BR119" i="9"/>
  <c r="AZ119" i="9"/>
  <c r="BT118" i="9"/>
  <c r="BL118" i="9"/>
  <c r="AT118" i="9"/>
  <c r="BN117" i="9"/>
  <c r="AV117" i="9"/>
  <c r="BP116" i="9"/>
  <c r="AX116" i="9"/>
  <c r="BR115" i="9"/>
  <c r="AZ115" i="9"/>
  <c r="BT114" i="9"/>
  <c r="BL114" i="9"/>
  <c r="AT114" i="9"/>
  <c r="BN113" i="9"/>
  <c r="AV113" i="9"/>
  <c r="BP112" i="9"/>
  <c r="AX112" i="9"/>
  <c r="BR111" i="9"/>
  <c r="AZ111" i="9"/>
  <c r="BT110" i="9"/>
  <c r="BL110" i="9"/>
  <c r="AT110" i="9"/>
  <c r="BN109" i="9"/>
  <c r="AV109" i="9"/>
  <c r="BP108" i="9"/>
  <c r="AY108" i="9"/>
  <c r="AU108" i="9"/>
  <c r="BS107" i="9"/>
  <c r="BO107" i="9"/>
  <c r="BA107" i="9"/>
  <c r="AW107" i="9"/>
  <c r="AS107" i="9"/>
  <c r="BQ106" i="9"/>
  <c r="BM106" i="9"/>
  <c r="AY106" i="9"/>
  <c r="AU106" i="9"/>
  <c r="BS105" i="9"/>
  <c r="BO105" i="9"/>
  <c r="BA105" i="9"/>
  <c r="AW105" i="9"/>
  <c r="AS105" i="9"/>
  <c r="BQ104" i="9"/>
  <c r="BM104" i="9"/>
  <c r="AY104" i="9"/>
  <c r="AU104" i="9"/>
  <c r="BS103" i="9"/>
  <c r="BO103" i="9"/>
  <c r="BA103" i="9"/>
  <c r="AW103" i="9"/>
  <c r="AS103" i="9"/>
  <c r="BQ102" i="9"/>
  <c r="BM102" i="9"/>
  <c r="AY102" i="9"/>
  <c r="AU102" i="9"/>
  <c r="BS101" i="9"/>
  <c r="BO101" i="9"/>
  <c r="BA101" i="9"/>
  <c r="AW101" i="9"/>
  <c r="AS101" i="9"/>
  <c r="BQ100" i="9"/>
  <c r="BM100" i="9"/>
  <c r="AY100" i="9"/>
  <c r="AU100" i="9"/>
  <c r="BS99" i="9"/>
  <c r="BO99" i="9"/>
  <c r="BA99" i="9"/>
  <c r="AW99" i="9"/>
  <c r="AS99" i="9"/>
  <c r="BQ98" i="9"/>
  <c r="AY98" i="9"/>
  <c r="BS97" i="9"/>
  <c r="BA97" i="9"/>
  <c r="AS97" i="9"/>
  <c r="BM96" i="9"/>
  <c r="AU96" i="9"/>
  <c r="BO95" i="9"/>
  <c r="AW95" i="9"/>
  <c r="BQ94" i="9"/>
  <c r="AY94" i="9"/>
  <c r="BS93" i="9"/>
  <c r="BA93" i="9"/>
  <c r="AS93" i="9"/>
  <c r="BM92" i="9"/>
  <c r="AU92" i="9"/>
  <c r="BO91" i="9"/>
  <c r="AW91" i="9"/>
  <c r="BQ90" i="9"/>
  <c r="AY90" i="9"/>
  <c r="BS89" i="9"/>
  <c r="BA89" i="9"/>
  <c r="AS89" i="9"/>
  <c r="BM88" i="9"/>
  <c r="AU88" i="9"/>
  <c r="BO87" i="9"/>
  <c r="AW87" i="9"/>
  <c r="BQ86" i="9"/>
  <c r="AY86" i="9"/>
  <c r="BS85" i="9"/>
  <c r="BA85" i="9"/>
  <c r="AS85" i="9"/>
  <c r="BM84" i="9"/>
  <c r="AU84" i="9"/>
  <c r="BO83" i="9"/>
  <c r="AW83" i="9"/>
  <c r="BQ82" i="9"/>
  <c r="AY82" i="9"/>
  <c r="BS81" i="9"/>
  <c r="BA81" i="9"/>
  <c r="AS81" i="9"/>
  <c r="BM80" i="9"/>
  <c r="AU80" i="9"/>
  <c r="BQ129" i="9"/>
  <c r="AW126" i="9"/>
  <c r="BO122" i="9"/>
  <c r="BR120" i="9"/>
  <c r="AT119" i="9"/>
  <c r="AX117" i="9"/>
  <c r="BL115" i="9"/>
  <c r="BP113" i="9"/>
  <c r="BT111" i="9"/>
  <c r="AV110" i="9"/>
  <c r="AZ108" i="9"/>
  <c r="BL107" i="9"/>
  <c r="BN106" i="9"/>
  <c r="BP105" i="9"/>
  <c r="BR104" i="9"/>
  <c r="BT103" i="9"/>
  <c r="AT103" i="9"/>
  <c r="AV102" i="9"/>
  <c r="AX101" i="9"/>
  <c r="AZ100" i="9"/>
  <c r="BL99" i="9"/>
  <c r="BN98" i="9"/>
  <c r="BP97" i="9"/>
  <c r="BR96" i="9"/>
  <c r="BT95" i="9"/>
  <c r="AT95" i="9"/>
  <c r="AV94" i="9"/>
  <c r="AX93" i="9"/>
  <c r="AZ92" i="9"/>
  <c r="BL91" i="9"/>
  <c r="BN90" i="9"/>
  <c r="BP89" i="9"/>
  <c r="BR88" i="9"/>
  <c r="BT87" i="9"/>
  <c r="AT87" i="9"/>
  <c r="AV86" i="9"/>
  <c r="AX85" i="9"/>
  <c r="AZ84" i="9"/>
  <c r="BL83" i="9"/>
  <c r="BN82" i="9"/>
  <c r="BP81" i="9"/>
  <c r="BR80" i="9"/>
  <c r="BT79" i="9"/>
  <c r="BL79" i="9"/>
  <c r="AT79" i="9"/>
  <c r="BN78" i="9"/>
  <c r="AV78" i="9"/>
  <c r="BP77" i="9"/>
  <c r="AX77" i="9"/>
  <c r="BR76" i="9"/>
  <c r="AZ76" i="9"/>
  <c r="BT75" i="9"/>
  <c r="BL75" i="9"/>
  <c r="AT75" i="9"/>
  <c r="BN74" i="9"/>
  <c r="AV74" i="9"/>
  <c r="BP73" i="9"/>
  <c r="AX73" i="9"/>
  <c r="BR72" i="9"/>
  <c r="AZ72" i="9"/>
  <c r="BT71" i="9"/>
  <c r="BL71" i="9"/>
  <c r="AT71" i="9"/>
  <c r="BN70" i="9"/>
  <c r="AV70" i="9"/>
  <c r="BP69" i="9"/>
  <c r="AX69" i="9"/>
  <c r="BR68" i="9"/>
  <c r="AZ68" i="9"/>
  <c r="BT67" i="9"/>
  <c r="BL67" i="9"/>
  <c r="AT67" i="9"/>
  <c r="BN66" i="9"/>
  <c r="AV66" i="9"/>
  <c r="BP65" i="9"/>
  <c r="AX65" i="9"/>
  <c r="BR64" i="9"/>
  <c r="AZ64" i="9"/>
  <c r="BT63" i="9"/>
  <c r="BL63" i="9"/>
  <c r="AT63" i="9"/>
  <c r="BN62" i="9"/>
  <c r="AV62" i="9"/>
  <c r="BP61" i="9"/>
  <c r="AX61" i="9"/>
  <c r="BR60" i="9"/>
  <c r="AZ60" i="9"/>
  <c r="BT59" i="9"/>
  <c r="BL59" i="9"/>
  <c r="AT59" i="9"/>
  <c r="BN58" i="9"/>
  <c r="AV58" i="9"/>
  <c r="BP57" i="9"/>
  <c r="AX57" i="9"/>
  <c r="AY56" i="9"/>
  <c r="BS55" i="9"/>
  <c r="BA55" i="9"/>
  <c r="AS55" i="9"/>
  <c r="BM54" i="9"/>
  <c r="AU54" i="9"/>
  <c r="BO53" i="9"/>
  <c r="AW53" i="9"/>
  <c r="BQ52" i="9"/>
  <c r="AY52" i="9"/>
  <c r="BS51" i="9"/>
  <c r="BA51" i="9"/>
  <c r="AS51" i="9"/>
  <c r="BM50" i="9"/>
  <c r="AU50" i="9"/>
  <c r="BO49" i="9"/>
  <c r="AW49" i="9"/>
  <c r="BQ48" i="9"/>
  <c r="AY48" i="9"/>
  <c r="BS47" i="9"/>
  <c r="BA47" i="9"/>
  <c r="AS47" i="9"/>
  <c r="BM46" i="9"/>
  <c r="AU46" i="9"/>
  <c r="BO45" i="9"/>
  <c r="AW45" i="9"/>
  <c r="BQ44" i="9"/>
  <c r="AY44" i="9"/>
  <c r="BS43" i="9"/>
  <c r="BA43" i="9"/>
  <c r="AS43" i="9"/>
  <c r="BM42" i="9"/>
  <c r="AU42" i="9"/>
  <c r="BO41" i="9"/>
  <c r="AW41" i="9"/>
  <c r="BQ40" i="9"/>
  <c r="AY40" i="9"/>
  <c r="BS39" i="9"/>
  <c r="BA39" i="9"/>
  <c r="AS39" i="9"/>
  <c r="BM38" i="9"/>
  <c r="AY38" i="9"/>
  <c r="AU38" i="9"/>
  <c r="BS37" i="9"/>
  <c r="BO37" i="9"/>
  <c r="BA37" i="9"/>
  <c r="AW37" i="9"/>
  <c r="AS37" i="9"/>
  <c r="BQ36" i="9"/>
  <c r="BM36" i="9"/>
  <c r="AY36" i="9"/>
  <c r="AU36" i="9"/>
  <c r="BS35" i="9"/>
  <c r="BO35" i="9"/>
  <c r="BA35" i="9"/>
  <c r="AW35" i="9"/>
  <c r="AS35" i="9"/>
  <c r="BQ34" i="9"/>
  <c r="BM34" i="9"/>
  <c r="AY34" i="9"/>
  <c r="AU34" i="9"/>
  <c r="BS33" i="9"/>
  <c r="BO33" i="9"/>
  <c r="BA33" i="9"/>
  <c r="AW33" i="9"/>
  <c r="AS33" i="9"/>
  <c r="BQ32" i="9"/>
  <c r="BM32" i="9"/>
  <c r="AY32" i="9"/>
  <c r="AU32" i="9"/>
  <c r="BS31" i="9"/>
  <c r="BO31" i="9"/>
  <c r="BA31" i="9"/>
  <c r="AW31" i="9"/>
  <c r="AS31" i="9"/>
  <c r="BQ30" i="9"/>
  <c r="BM30" i="9"/>
  <c r="AY30" i="9"/>
  <c r="AU30" i="9"/>
  <c r="BS29" i="9"/>
  <c r="BO29" i="9"/>
  <c r="BA29" i="9"/>
  <c r="AW29" i="9"/>
  <c r="AS29" i="9"/>
  <c r="BQ28" i="9"/>
  <c r="BM28" i="9"/>
  <c r="AY28" i="9"/>
  <c r="AU28" i="9"/>
  <c r="BS27" i="9"/>
  <c r="BO27" i="9"/>
  <c r="BA27" i="9"/>
  <c r="AW27" i="9"/>
  <c r="AS27" i="9"/>
  <c r="BQ26" i="9"/>
  <c r="BM26" i="9"/>
  <c r="AY26" i="9"/>
  <c r="AU26" i="9"/>
  <c r="BS25" i="9"/>
  <c r="BO25" i="9"/>
  <c r="BA25" i="9"/>
  <c r="AW25" i="9"/>
  <c r="AS25" i="9"/>
  <c r="BQ24" i="9"/>
  <c r="BM24" i="9"/>
  <c r="AY24" i="9"/>
  <c r="AU24" i="9"/>
  <c r="BS23" i="9"/>
  <c r="BO23" i="9"/>
  <c r="BA23" i="9"/>
  <c r="AW23" i="9"/>
  <c r="AS23" i="9"/>
  <c r="BQ22" i="9"/>
  <c r="AU131" i="9"/>
  <c r="BM127" i="9"/>
  <c r="AS124" i="9"/>
  <c r="BL121" i="9"/>
  <c r="BP119" i="9"/>
  <c r="BT117" i="9"/>
  <c r="AV116" i="9"/>
  <c r="AZ114" i="9"/>
  <c r="BN112" i="9"/>
  <c r="BR110" i="9"/>
  <c r="AT109" i="9"/>
  <c r="BR107" i="9"/>
  <c r="BT106" i="9"/>
  <c r="AT106" i="9"/>
  <c r="AV105" i="9"/>
  <c r="AX104" i="9"/>
  <c r="AZ103" i="9"/>
  <c r="BL102" i="9"/>
  <c r="BN101" i="9"/>
  <c r="BP100" i="9"/>
  <c r="BR99" i="9"/>
  <c r="BT98" i="9"/>
  <c r="AT98" i="9"/>
  <c r="AV97" i="9"/>
  <c r="AX96" i="9"/>
  <c r="AZ95" i="9"/>
  <c r="BL94" i="9"/>
  <c r="BN93" i="9"/>
  <c r="BP92" i="9"/>
  <c r="BR91" i="9"/>
  <c r="BT90" i="9"/>
  <c r="AT90" i="9"/>
  <c r="AV89" i="9"/>
  <c r="AX88" i="9"/>
  <c r="AZ87" i="9"/>
  <c r="BL86" i="9"/>
  <c r="BN85" i="9"/>
  <c r="BP84" i="9"/>
  <c r="BR83" i="9"/>
  <c r="BT82" i="9"/>
  <c r="AT82" i="9"/>
  <c r="AV81" i="9"/>
  <c r="AX80" i="9"/>
  <c r="BO79" i="9"/>
  <c r="AW79" i="9"/>
  <c r="BQ78" i="9"/>
  <c r="AY78" i="9"/>
  <c r="BS77" i="9"/>
  <c r="BA77" i="9"/>
  <c r="AS77" i="9"/>
  <c r="BM76" i="9"/>
  <c r="AU76" i="9"/>
  <c r="BO75" i="9"/>
  <c r="AW75" i="9"/>
  <c r="BQ74" i="9"/>
  <c r="AY74" i="9"/>
  <c r="BS73" i="9"/>
  <c r="BA73" i="9"/>
  <c r="AS73" i="9"/>
  <c r="BM72" i="9"/>
  <c r="AU72" i="9"/>
  <c r="BO71" i="9"/>
  <c r="AW71" i="9"/>
  <c r="BQ70" i="9"/>
  <c r="AY70" i="9"/>
  <c r="BS69" i="9"/>
  <c r="BA69" i="9"/>
  <c r="AS69" i="9"/>
  <c r="BM68" i="9"/>
  <c r="AU68" i="9"/>
  <c r="BO67" i="9"/>
  <c r="AW67" i="9"/>
  <c r="BQ66" i="9"/>
  <c r="AY66" i="9"/>
  <c r="BS65" i="9"/>
  <c r="BA65" i="9"/>
  <c r="AS65" i="9"/>
  <c r="BM64" i="9"/>
  <c r="AU64" i="9"/>
  <c r="BO63" i="9"/>
  <c r="AW63" i="9"/>
  <c r="BQ62" i="9"/>
  <c r="AY62" i="9"/>
  <c r="BS61" i="9"/>
  <c r="BA61" i="9"/>
  <c r="AS61" i="9"/>
  <c r="BM60" i="9"/>
  <c r="BO59" i="9"/>
  <c r="BQ58" i="9"/>
  <c r="BS57" i="9"/>
  <c r="AT56" i="9"/>
  <c r="BN55" i="9"/>
  <c r="AV55" i="9"/>
  <c r="BP54" i="9"/>
  <c r="AX54" i="9"/>
  <c r="BM98" i="9"/>
  <c r="AU98" i="9"/>
  <c r="BO97" i="9"/>
  <c r="AW97" i="9"/>
  <c r="BQ96" i="9"/>
  <c r="AY96" i="9"/>
  <c r="BS95" i="9"/>
  <c r="BA95" i="9"/>
  <c r="AS95" i="9"/>
  <c r="BM94" i="9"/>
  <c r="AU94" i="9"/>
  <c r="BO93" i="9"/>
  <c r="AW93" i="9"/>
  <c r="BQ92" i="9"/>
  <c r="AY92" i="9"/>
  <c r="BS91" i="9"/>
  <c r="BA91" i="9"/>
  <c r="AS91" i="9"/>
  <c r="BM90" i="9"/>
  <c r="AU90" i="9"/>
  <c r="BO89" i="9"/>
  <c r="AW89" i="9"/>
  <c r="BQ88" i="9"/>
  <c r="AY88" i="9"/>
  <c r="BS87" i="9"/>
  <c r="BA87" i="9"/>
  <c r="AS87" i="9"/>
  <c r="BM86" i="9"/>
  <c r="AU86" i="9"/>
  <c r="BO85" i="9"/>
  <c r="AW85" i="9"/>
  <c r="BQ84" i="9"/>
  <c r="AY84" i="9"/>
  <c r="BS83" i="9"/>
  <c r="BA83" i="9"/>
  <c r="AS83" i="9"/>
  <c r="BM82" i="9"/>
  <c r="AU82" i="9"/>
  <c r="BO81" i="9"/>
  <c r="AW81" i="9"/>
  <c r="BQ80" i="9"/>
  <c r="AY80" i="9"/>
  <c r="BM131" i="9"/>
  <c r="AS128" i="9"/>
  <c r="BA124" i="9"/>
  <c r="BP121" i="9"/>
  <c r="BT119" i="9"/>
  <c r="AV118" i="9"/>
  <c r="AZ116" i="9"/>
  <c r="BN114" i="9"/>
  <c r="BR112" i="9"/>
  <c r="AT111" i="9"/>
  <c r="AX109" i="9"/>
  <c r="BT107" i="9"/>
  <c r="AT107" i="9"/>
  <c r="AV106" i="9"/>
  <c r="AX105" i="9"/>
  <c r="AZ104" i="9"/>
  <c r="BL103" i="9"/>
  <c r="BN102" i="9"/>
  <c r="BP101" i="9"/>
  <c r="BR100" i="9"/>
  <c r="BT99" i="9"/>
  <c r="AT99" i="9"/>
  <c r="AV98" i="9"/>
  <c r="AX97" i="9"/>
  <c r="AZ96" i="9"/>
  <c r="BL95" i="9"/>
  <c r="BN94" i="9"/>
  <c r="BP93" i="9"/>
  <c r="BR92" i="9"/>
  <c r="BT91" i="9"/>
  <c r="AT91" i="9"/>
  <c r="AV90" i="9"/>
  <c r="AX89" i="9"/>
  <c r="AZ88" i="9"/>
  <c r="BL87" i="9"/>
  <c r="BN86" i="9"/>
  <c r="BP85" i="9"/>
  <c r="BR84" i="9"/>
  <c r="BT83" i="9"/>
  <c r="AT83" i="9"/>
  <c r="AV82" i="9"/>
  <c r="AX81" i="9"/>
  <c r="AZ80" i="9"/>
  <c r="BP79" i="9"/>
  <c r="AX79" i="9"/>
  <c r="BR78" i="9"/>
  <c r="AZ78" i="9"/>
  <c r="BT77" i="9"/>
  <c r="BL77" i="9"/>
  <c r="AT77" i="9"/>
  <c r="BN76" i="9"/>
  <c r="AV76" i="9"/>
  <c r="BP75" i="9"/>
  <c r="AX75" i="9"/>
  <c r="BR74" i="9"/>
  <c r="AZ74" i="9"/>
  <c r="BT73" i="9"/>
  <c r="BL73" i="9"/>
  <c r="AT73" i="9"/>
  <c r="BN72" i="9"/>
  <c r="AV72" i="9"/>
  <c r="BP71" i="9"/>
  <c r="AX71" i="9"/>
  <c r="BR70" i="9"/>
  <c r="AZ70" i="9"/>
  <c r="BT69" i="9"/>
  <c r="BL69" i="9"/>
  <c r="AT69" i="9"/>
  <c r="BN68" i="9"/>
  <c r="AV68" i="9"/>
  <c r="BP67" i="9"/>
  <c r="AX67" i="9"/>
  <c r="BR66" i="9"/>
  <c r="AZ66" i="9"/>
  <c r="BT65" i="9"/>
  <c r="BL65" i="9"/>
  <c r="AT65" i="9"/>
  <c r="BN64" i="9"/>
  <c r="AV64" i="9"/>
  <c r="BP63" i="9"/>
  <c r="AX63" i="9"/>
  <c r="BR62" i="9"/>
  <c r="AZ62" i="9"/>
  <c r="BT61" i="9"/>
  <c r="BL61" i="9"/>
  <c r="AT61" i="9"/>
  <c r="BN60" i="9"/>
  <c r="AV60" i="9"/>
  <c r="BP59" i="9"/>
  <c r="AX59" i="9"/>
  <c r="BR58" i="9"/>
  <c r="AZ58" i="9"/>
  <c r="BT57" i="9"/>
  <c r="BL57" i="9"/>
  <c r="AT57" i="9"/>
  <c r="AU56" i="9"/>
  <c r="BO55" i="9"/>
  <c r="AW55" i="9"/>
  <c r="BQ54" i="9"/>
  <c r="AY54" i="9"/>
  <c r="BS53" i="9"/>
  <c r="BA53" i="9"/>
  <c r="AS53" i="9"/>
  <c r="BM52" i="9"/>
  <c r="AU52" i="9"/>
  <c r="BO51" i="9"/>
  <c r="AW51" i="9"/>
  <c r="BQ50" i="9"/>
  <c r="AY50" i="9"/>
  <c r="BS49" i="9"/>
  <c r="BA49" i="9"/>
  <c r="AS49" i="9"/>
  <c r="BM48" i="9"/>
  <c r="AU48" i="9"/>
  <c r="BO47" i="9"/>
  <c r="AW47" i="9"/>
  <c r="BQ46" i="9"/>
  <c r="AY46" i="9"/>
  <c r="BS45" i="9"/>
  <c r="BA45" i="9"/>
  <c r="AS45" i="9"/>
  <c r="BM44" i="9"/>
  <c r="AU44" i="9"/>
  <c r="BO43" i="9"/>
  <c r="AW43" i="9"/>
  <c r="BQ42" i="9"/>
  <c r="AY42" i="9"/>
  <c r="BS41" i="9"/>
  <c r="BA41" i="9"/>
  <c r="AS41" i="9"/>
  <c r="BM40" i="9"/>
  <c r="AU40" i="9"/>
  <c r="BO39" i="9"/>
  <c r="AW39" i="9"/>
  <c r="BQ38" i="9"/>
  <c r="BA38" i="9"/>
  <c r="AW38" i="9"/>
  <c r="AS38" i="9"/>
  <c r="BQ37" i="9"/>
  <c r="BM37" i="9"/>
  <c r="AY37" i="9"/>
  <c r="AU37" i="9"/>
  <c r="BS36" i="9"/>
  <c r="BO36" i="9"/>
  <c r="BA36" i="9"/>
  <c r="AW36" i="9"/>
  <c r="AS36" i="9"/>
  <c r="BQ35" i="9"/>
  <c r="BM35" i="9"/>
  <c r="AY35" i="9"/>
  <c r="AU35" i="9"/>
  <c r="BS34" i="9"/>
  <c r="BO34" i="9"/>
  <c r="BA34" i="9"/>
  <c r="AW34" i="9"/>
  <c r="AS34" i="9"/>
  <c r="BQ33" i="9"/>
  <c r="BM33" i="9"/>
  <c r="AY33" i="9"/>
  <c r="AU33" i="9"/>
  <c r="BS32" i="9"/>
  <c r="BO32" i="9"/>
  <c r="BA32" i="9"/>
  <c r="AW32" i="9"/>
  <c r="AS32" i="9"/>
  <c r="BQ31" i="9"/>
  <c r="BM31" i="9"/>
  <c r="AY31" i="9"/>
  <c r="AU31" i="9"/>
  <c r="BS30" i="9"/>
  <c r="BO30" i="9"/>
  <c r="BA30" i="9"/>
  <c r="AW30" i="9"/>
  <c r="AS30" i="9"/>
  <c r="BQ29" i="9"/>
  <c r="BM29" i="9"/>
  <c r="AY29" i="9"/>
  <c r="AU29" i="9"/>
  <c r="BS28" i="9"/>
  <c r="BO28" i="9"/>
  <c r="BA28" i="9"/>
  <c r="AW28" i="9"/>
  <c r="AS28" i="9"/>
  <c r="BQ27" i="9"/>
  <c r="BM27" i="9"/>
  <c r="AY27" i="9"/>
  <c r="AU27" i="9"/>
  <c r="BS26" i="9"/>
  <c r="BO26" i="9"/>
  <c r="BA26" i="9"/>
  <c r="AW26" i="9"/>
  <c r="AS26" i="9"/>
  <c r="BQ25" i="9"/>
  <c r="BM25" i="9"/>
  <c r="AY25" i="9"/>
  <c r="AU25" i="9"/>
  <c r="BS24" i="9"/>
  <c r="BO24" i="9"/>
  <c r="BA24" i="9"/>
  <c r="AW24" i="9"/>
  <c r="AS24" i="9"/>
  <c r="BQ23" i="9"/>
  <c r="BM23" i="9"/>
  <c r="AY23" i="9"/>
  <c r="AU23" i="9"/>
  <c r="BS22" i="9"/>
  <c r="BO22" i="9"/>
  <c r="AY129" i="9"/>
  <c r="BQ125" i="9"/>
  <c r="AZ122" i="9"/>
  <c r="BN120" i="9"/>
  <c r="BR118" i="9"/>
  <c r="AT117" i="9"/>
  <c r="AX115" i="9"/>
  <c r="BL113" i="9"/>
  <c r="BP111" i="9"/>
  <c r="BT109" i="9"/>
  <c r="AX108" i="9"/>
  <c r="AZ107" i="9"/>
  <c r="BL106" i="9"/>
  <c r="BN105" i="9"/>
  <c r="BP104" i="9"/>
  <c r="BR103" i="9"/>
  <c r="BT102" i="9"/>
  <c r="AT102" i="9"/>
  <c r="AV101" i="9"/>
  <c r="AX100" i="9"/>
  <c r="AZ99" i="9"/>
  <c r="BL98" i="9"/>
  <c r="BN97" i="9"/>
  <c r="BP96" i="9"/>
  <c r="BR95" i="9"/>
  <c r="BT94" i="9"/>
  <c r="AT94" i="9"/>
  <c r="AV93" i="9"/>
  <c r="AX92" i="9"/>
  <c r="AZ91" i="9"/>
  <c r="BL90" i="9"/>
  <c r="BN89" i="9"/>
  <c r="BP88" i="9"/>
  <c r="BR87" i="9"/>
  <c r="BT86" i="9"/>
  <c r="AT86" i="9"/>
  <c r="AV85" i="9"/>
  <c r="AX84" i="9"/>
  <c r="AZ83" i="9"/>
  <c r="BL82" i="9"/>
  <c r="BN81" i="9"/>
  <c r="BP80" i="9"/>
  <c r="BS79" i="9"/>
  <c r="BA79" i="9"/>
  <c r="AS79" i="9"/>
  <c r="BM78" i="9"/>
  <c r="AU78" i="9"/>
  <c r="BO77" i="9"/>
  <c r="AW77" i="9"/>
  <c r="BQ76" i="9"/>
  <c r="AY76" i="9"/>
  <c r="BS75" i="9"/>
  <c r="BA75" i="9"/>
  <c r="AS75" i="9"/>
  <c r="BM74" i="9"/>
  <c r="AU74" i="9"/>
  <c r="BO73" i="9"/>
  <c r="AW73" i="9"/>
  <c r="BQ72" i="9"/>
  <c r="AY72" i="9"/>
  <c r="BS71" i="9"/>
  <c r="BA71" i="9"/>
  <c r="AS71" i="9"/>
  <c r="BM70" i="9"/>
  <c r="AU70" i="9"/>
  <c r="BO69" i="9"/>
  <c r="AW69" i="9"/>
  <c r="BQ68" i="9"/>
  <c r="AY68" i="9"/>
  <c r="BS67" i="9"/>
  <c r="BA67" i="9"/>
  <c r="AS67" i="9"/>
  <c r="BM66" i="9"/>
  <c r="AU66" i="9"/>
  <c r="BO65" i="9"/>
  <c r="AW65" i="9"/>
  <c r="BQ64" i="9"/>
  <c r="AY64" i="9"/>
  <c r="BS63" i="9"/>
  <c r="BA63" i="9"/>
  <c r="AS63" i="9"/>
  <c r="BM62" i="9"/>
  <c r="AU62" i="9"/>
  <c r="BO61" i="9"/>
  <c r="AW61" i="9"/>
  <c r="BQ60" i="9"/>
  <c r="BS59" i="9"/>
  <c r="BM58" i="9"/>
  <c r="AT11" i="9"/>
  <c r="AX11" i="9"/>
  <c r="BL11" i="9"/>
  <c r="BP11" i="9"/>
  <c r="BT11" i="9"/>
  <c r="AV12" i="9"/>
  <c r="AZ12" i="9"/>
  <c r="BN12" i="9"/>
  <c r="BR12" i="9"/>
  <c r="AT13" i="9"/>
  <c r="AX13" i="9"/>
  <c r="BL13" i="9"/>
  <c r="BP13" i="9"/>
  <c r="BT13" i="9"/>
  <c r="AV14" i="9"/>
  <c r="AZ14" i="9"/>
  <c r="BN14" i="9"/>
  <c r="BR14" i="9"/>
  <c r="AT15" i="9"/>
  <c r="AX15" i="9"/>
  <c r="BL15" i="9"/>
  <c r="BP15" i="9"/>
  <c r="BT15" i="9"/>
  <c r="AV16" i="9"/>
  <c r="AZ16" i="9"/>
  <c r="BN16" i="9"/>
  <c r="BR16" i="9"/>
  <c r="AT17" i="9"/>
  <c r="AX17" i="9"/>
  <c r="BL17" i="9"/>
  <c r="BP17" i="9"/>
  <c r="BT17" i="9"/>
  <c r="AV18" i="9"/>
  <c r="AZ18" i="9"/>
  <c r="BN18" i="9"/>
  <c r="BR18" i="9"/>
  <c r="AT19" i="9"/>
  <c r="AX19" i="9"/>
  <c r="BL19" i="9"/>
  <c r="BP19" i="9"/>
  <c r="BT19" i="9"/>
  <c r="AV20" i="9"/>
  <c r="AZ20" i="9"/>
  <c r="BN20" i="9"/>
  <c r="BR20" i="9"/>
  <c r="AT21" i="9"/>
  <c r="AX21" i="9"/>
  <c r="BL21" i="9"/>
  <c r="BP21" i="9"/>
  <c r="BT21" i="9"/>
  <c r="AV22" i="9"/>
  <c r="AZ22" i="9"/>
  <c r="BN22" i="9"/>
  <c r="AT23" i="9"/>
  <c r="BL23" i="9"/>
  <c r="BT23" i="9"/>
  <c r="AZ24" i="9"/>
  <c r="BR24" i="9"/>
  <c r="AX25" i="9"/>
  <c r="BP25" i="9"/>
  <c r="AV26" i="9"/>
  <c r="BN26" i="9"/>
  <c r="AT27" i="9"/>
  <c r="BL27" i="9"/>
  <c r="BT27" i="9"/>
  <c r="AZ28" i="9"/>
  <c r="BR28" i="9"/>
  <c r="AX29" i="9"/>
  <c r="BP29" i="9"/>
  <c r="AV30" i="9"/>
  <c r="BN30" i="9"/>
  <c r="AT31" i="9"/>
  <c r="BL31" i="9"/>
  <c r="BT31" i="9"/>
  <c r="AZ32" i="9"/>
  <c r="BR32" i="9"/>
  <c r="AX33" i="9"/>
  <c r="BP33" i="9"/>
  <c r="AV34" i="9"/>
  <c r="BN34" i="9"/>
  <c r="AT35" i="9"/>
  <c r="BL35" i="9"/>
  <c r="BT35" i="9"/>
  <c r="AZ36" i="9"/>
  <c r="BR36" i="9"/>
  <c r="AX37" i="9"/>
  <c r="BP37" i="9"/>
  <c r="AV38" i="9"/>
  <c r="BN38" i="9"/>
  <c r="AT39" i="9"/>
  <c r="BL39" i="9"/>
  <c r="BT39" i="9"/>
  <c r="AZ40" i="9"/>
  <c r="BR40" i="9"/>
  <c r="AX41" i="9"/>
  <c r="BP41" i="9"/>
  <c r="AV42" i="9"/>
  <c r="BN42" i="9"/>
  <c r="AT43" i="9"/>
  <c r="BL43" i="9"/>
  <c r="BT43" i="9"/>
  <c r="AZ44" i="9"/>
  <c r="BR44" i="9"/>
  <c r="AX45" i="9"/>
  <c r="BP45" i="9"/>
  <c r="AV46" i="9"/>
  <c r="BN46" i="9"/>
  <c r="AT47" i="9"/>
  <c r="BL47" i="9"/>
  <c r="BT47" i="9"/>
  <c r="AZ48" i="9"/>
  <c r="BR48" i="9"/>
  <c r="AX49" i="9"/>
  <c r="BP49" i="9"/>
  <c r="AV50" i="9"/>
  <c r="BN50" i="9"/>
  <c r="AT51" i="9"/>
  <c r="BL51" i="9"/>
  <c r="BT51" i="9"/>
  <c r="AZ52" i="9"/>
  <c r="BR52" i="9"/>
  <c r="AX53" i="9"/>
  <c r="BP53" i="9"/>
  <c r="AV54" i="9"/>
  <c r="BN54" i="9"/>
  <c r="AT55" i="9"/>
  <c r="BL55" i="9"/>
  <c r="BT55" i="9"/>
  <c r="AZ56" i="9"/>
  <c r="BQ57" i="9"/>
  <c r="BO58" i="9"/>
  <c r="BM59" i="9"/>
  <c r="BS60" i="9"/>
  <c r="AY61" i="9"/>
  <c r="BQ61" i="9"/>
  <c r="AW62" i="9"/>
  <c r="BO62" i="9"/>
  <c r="AU63" i="9"/>
  <c r="BM63" i="9"/>
  <c r="AS64" i="9"/>
  <c r="BA64" i="9"/>
  <c r="BS64" i="9"/>
  <c r="AY65" i="9"/>
  <c r="BQ65" i="9"/>
  <c r="AW66" i="9"/>
  <c r="BO66" i="9"/>
  <c r="AU67" i="9"/>
  <c r="BM67" i="9"/>
  <c r="AS68" i="9"/>
  <c r="BA68" i="9"/>
  <c r="BS68" i="9"/>
  <c r="AY69" i="9"/>
  <c r="BQ69" i="9"/>
  <c r="AW70" i="9"/>
  <c r="BO70" i="9"/>
  <c r="AU71" i="9"/>
  <c r="BM71" i="9"/>
  <c r="AS72" i="9"/>
  <c r="BA72" i="9"/>
  <c r="BS72" i="9"/>
  <c r="AY73" i="9"/>
  <c r="BQ73" i="9"/>
  <c r="AW74" i="9"/>
  <c r="BO74" i="9"/>
  <c r="AU75" i="9"/>
  <c r="BM75" i="9"/>
  <c r="AS76" i="9"/>
  <c r="BA76" i="9"/>
  <c r="BS76" i="9"/>
  <c r="AY77" i="9"/>
  <c r="BQ77" i="9"/>
  <c r="AW78" i="9"/>
  <c r="BO78" i="9"/>
  <c r="AU79" i="9"/>
  <c r="BM79" i="9"/>
  <c r="AT80" i="9"/>
  <c r="BT80" i="9"/>
  <c r="BR81" i="9"/>
  <c r="BP82" i="9"/>
  <c r="BN83" i="9"/>
  <c r="BL84" i="9"/>
  <c r="AZ85" i="9"/>
  <c r="AX86" i="9"/>
  <c r="AV87" i="9"/>
  <c r="AT88" i="9"/>
  <c r="BT88" i="9"/>
  <c r="BR89" i="9"/>
  <c r="BP90" i="9"/>
  <c r="BN91" i="9"/>
  <c r="BL92" i="9"/>
  <c r="AZ93" i="9"/>
  <c r="AX94" i="9"/>
  <c r="AV95" i="9"/>
  <c r="AT96" i="9"/>
  <c r="BT96" i="9"/>
  <c r="BR97" i="9"/>
  <c r="BP98" i="9"/>
  <c r="BN99" i="9"/>
  <c r="BL100" i="9"/>
  <c r="AZ101" i="9"/>
  <c r="AX102" i="9"/>
  <c r="AV103" i="9"/>
  <c r="AT104" i="9"/>
  <c r="BT104" i="9"/>
  <c r="BR105" i="9"/>
  <c r="BP106" i="9"/>
  <c r="BN107" i="9"/>
  <c r="BN108" i="9"/>
  <c r="AZ110" i="9"/>
  <c r="AV112" i="9"/>
  <c r="BT113" i="9"/>
  <c r="BP115" i="9"/>
  <c r="BL117" i="9"/>
  <c r="AX119" i="9"/>
  <c r="AT121" i="9"/>
  <c r="AU123" i="9"/>
  <c r="BO126" i="9"/>
  <c r="AW130" i="9"/>
  <c r="AU11" i="9"/>
  <c r="AY11" i="9"/>
  <c r="BM11" i="9"/>
  <c r="BQ11" i="9"/>
  <c r="AS12" i="9"/>
  <c r="AW12" i="9"/>
  <c r="BA12" i="9"/>
  <c r="BO12" i="9"/>
  <c r="BS12" i="9"/>
  <c r="AU13" i="9"/>
  <c r="AY13" i="9"/>
  <c r="BM13" i="9"/>
  <c r="BQ13" i="9"/>
  <c r="AS14" i="9"/>
  <c r="AW14" i="9"/>
  <c r="BA14" i="9"/>
  <c r="BO14" i="9"/>
  <c r="BS14" i="9"/>
  <c r="AU15" i="9"/>
  <c r="AY15" i="9"/>
  <c r="BM15" i="9"/>
  <c r="BQ15" i="9"/>
  <c r="AS16" i="9"/>
  <c r="AW16" i="9"/>
  <c r="BA16" i="9"/>
  <c r="BO16" i="9"/>
  <c r="BS16" i="9"/>
  <c r="AU17" i="9"/>
  <c r="AY17" i="9"/>
  <c r="BM17" i="9"/>
  <c r="BQ17" i="9"/>
  <c r="AS18" i="9"/>
  <c r="AW18" i="9"/>
  <c r="BA18" i="9"/>
  <c r="BO18" i="9"/>
  <c r="BS18" i="9"/>
  <c r="AU19" i="9"/>
  <c r="AY19" i="9"/>
  <c r="BM19" i="9"/>
  <c r="BQ19" i="9"/>
  <c r="AS20" i="9"/>
  <c r="AW20" i="9"/>
  <c r="BA20" i="9"/>
  <c r="BO20" i="9"/>
  <c r="BS20" i="9"/>
  <c r="AU21" i="9"/>
  <c r="AY21" i="9"/>
  <c r="BM21" i="9"/>
  <c r="BQ21" i="9"/>
  <c r="AS22" i="9"/>
  <c r="AW22" i="9"/>
  <c r="BA22" i="9"/>
  <c r="BP22" i="9"/>
  <c r="AV23" i="9"/>
  <c r="BN23" i="9"/>
  <c r="AT24" i="9"/>
  <c r="BL24" i="9"/>
  <c r="BT24" i="9"/>
  <c r="AZ25" i="9"/>
  <c r="BR25" i="9"/>
  <c r="AX26" i="9"/>
  <c r="BP26" i="9"/>
  <c r="AV27" i="9"/>
  <c r="BN27" i="9"/>
  <c r="AT28" i="9"/>
  <c r="BL28" i="9"/>
  <c r="BT28" i="9"/>
  <c r="AZ29" i="9"/>
  <c r="BR29" i="9"/>
  <c r="AX30" i="9"/>
  <c r="BP30" i="9"/>
  <c r="AV31" i="9"/>
  <c r="BN31" i="9"/>
  <c r="AT32" i="9"/>
  <c r="BL32" i="9"/>
  <c r="BT32" i="9"/>
  <c r="AZ33" i="9"/>
  <c r="BR33" i="9"/>
  <c r="AX34" i="9"/>
  <c r="BP34" i="9"/>
  <c r="AV35" i="9"/>
  <c r="BN35" i="9"/>
  <c r="AT36" i="9"/>
  <c r="BL36" i="9"/>
  <c r="BT36" i="9"/>
  <c r="AZ37" i="9"/>
  <c r="BR37" i="9"/>
  <c r="AX38" i="9"/>
  <c r="BP38" i="9"/>
  <c r="AV39" i="9"/>
  <c r="BN39" i="9"/>
  <c r="AT40" i="9"/>
  <c r="BL40" i="9"/>
  <c r="BT40" i="9"/>
  <c r="AZ41" i="9"/>
  <c r="BR41" i="9"/>
  <c r="AX42" i="9"/>
  <c r="BP42" i="9"/>
  <c r="AV43" i="9"/>
  <c r="BN43" i="9"/>
  <c r="AT44" i="9"/>
  <c r="BL44" i="9"/>
  <c r="BT44" i="9"/>
  <c r="AZ45" i="9"/>
  <c r="BR45" i="9"/>
  <c r="AX46" i="9"/>
  <c r="BP46" i="9"/>
  <c r="AV47" i="9"/>
  <c r="BN47" i="9"/>
  <c r="AT48" i="9"/>
  <c r="BL48" i="9"/>
  <c r="BT48" i="9"/>
  <c r="AZ49" i="9"/>
  <c r="BR49" i="9"/>
  <c r="AX50" i="9"/>
  <c r="BP50" i="9"/>
  <c r="AV51" i="9"/>
  <c r="BN51" i="9"/>
  <c r="AT52" i="9"/>
  <c r="BL52" i="9"/>
  <c r="BT52" i="9"/>
  <c r="AZ53" i="9"/>
  <c r="BR53" i="9"/>
  <c r="BL54" i="9"/>
  <c r="AZ55" i="9"/>
  <c r="AX56" i="9"/>
  <c r="BO57" i="9"/>
  <c r="BF253" i="8"/>
  <c r="BD253" i="8"/>
  <c r="BB253" i="8"/>
  <c r="AT253" i="8"/>
  <c r="AR253" i="8"/>
  <c r="BF252" i="8"/>
  <c r="BD252" i="8"/>
  <c r="BB252" i="8"/>
  <c r="AT252" i="8"/>
  <c r="AR252" i="8"/>
  <c r="BF251" i="8"/>
  <c r="BD251" i="8"/>
  <c r="BB251" i="8"/>
  <c r="AT251" i="8"/>
  <c r="AR251" i="8"/>
  <c r="BF250" i="8"/>
  <c r="BD250" i="8"/>
  <c r="BB250" i="8"/>
  <c r="AT250" i="8"/>
  <c r="AR250" i="8"/>
  <c r="BF249" i="8"/>
  <c r="BD249" i="8"/>
  <c r="BB249" i="8"/>
  <c r="AT249" i="8"/>
  <c r="AR249" i="8"/>
  <c r="BF248" i="8"/>
  <c r="BD248" i="8"/>
  <c r="BB248" i="8"/>
  <c r="AT248" i="8"/>
  <c r="AR248" i="8"/>
  <c r="BF247" i="8"/>
  <c r="BD247" i="8"/>
  <c r="BB247" i="8"/>
  <c r="AT247" i="8"/>
  <c r="AR247" i="8"/>
  <c r="BF246" i="8"/>
  <c r="BD246" i="8"/>
  <c r="BB246" i="8"/>
  <c r="AT246" i="8"/>
  <c r="AR246" i="8"/>
  <c r="BF245" i="8"/>
  <c r="BD245" i="8"/>
  <c r="BB245" i="8"/>
  <c r="AT245" i="8"/>
  <c r="AR245" i="8"/>
  <c r="BF244" i="8"/>
  <c r="BD244" i="8"/>
  <c r="BB244" i="8"/>
  <c r="AT244" i="8"/>
  <c r="AR244" i="8"/>
  <c r="BF243" i="8"/>
  <c r="BD243" i="8"/>
  <c r="BB243" i="8"/>
  <c r="AT243" i="8"/>
  <c r="AR243" i="8"/>
  <c r="BF242" i="8"/>
  <c r="BD242" i="8"/>
  <c r="BB242" i="8"/>
  <c r="AT242" i="8"/>
  <c r="AR242" i="8"/>
  <c r="BF241" i="8"/>
  <c r="BD241" i="8"/>
  <c r="BB241" i="8"/>
  <c r="AT241" i="8"/>
  <c r="AR241" i="8"/>
  <c r="BF240" i="8"/>
  <c r="BD240" i="8"/>
  <c r="BB240" i="8"/>
  <c r="AT240" i="8"/>
  <c r="AR240" i="8"/>
  <c r="BF239" i="8"/>
  <c r="BD239" i="8"/>
  <c r="BB239" i="8"/>
  <c r="AT239" i="8"/>
  <c r="AR239" i="8"/>
  <c r="BF238" i="8"/>
  <c r="BD238" i="8"/>
  <c r="BB238" i="8"/>
  <c r="AT238" i="8"/>
  <c r="AR238" i="8"/>
  <c r="BF237" i="8"/>
  <c r="BD237" i="8"/>
  <c r="BB237" i="8"/>
  <c r="AT237" i="8"/>
  <c r="AR237" i="8"/>
  <c r="BE253" i="8"/>
  <c r="AU253" i="8"/>
  <c r="AQ253" i="8"/>
  <c r="BC252" i="8"/>
  <c r="AS252" i="8"/>
  <c r="BE251" i="8"/>
  <c r="AU251" i="8"/>
  <c r="AQ251" i="8"/>
  <c r="BC250" i="8"/>
  <c r="AS250" i="8"/>
  <c r="BE249" i="8"/>
  <c r="AU249" i="8"/>
  <c r="AQ249" i="8"/>
  <c r="BC248" i="8"/>
  <c r="AS248" i="8"/>
  <c r="BE247" i="8"/>
  <c r="AU247" i="8"/>
  <c r="AQ247" i="8"/>
  <c r="BC246" i="8"/>
  <c r="AS246" i="8"/>
  <c r="BE245" i="8"/>
  <c r="AU245" i="8"/>
  <c r="AQ245" i="8"/>
  <c r="BC244" i="8"/>
  <c r="AS244" i="8"/>
  <c r="BE243" i="8"/>
  <c r="AU243" i="8"/>
  <c r="AQ243" i="8"/>
  <c r="BC242" i="8"/>
  <c r="AS242" i="8"/>
  <c r="BE241" i="8"/>
  <c r="AU241" i="8"/>
  <c r="AQ241" i="8"/>
  <c r="BC240" i="8"/>
  <c r="AS240" i="8"/>
  <c r="BE239" i="8"/>
  <c r="AU239" i="8"/>
  <c r="AQ239" i="8"/>
  <c r="BC238" i="8"/>
  <c r="AS238" i="8"/>
  <c r="BE237" i="8"/>
  <c r="AU237" i="8"/>
  <c r="AQ237" i="8"/>
  <c r="BE236" i="8"/>
  <c r="BC236" i="8"/>
  <c r="AU236" i="8"/>
  <c r="AS236" i="8"/>
  <c r="AQ236" i="8"/>
  <c r="BE235" i="8"/>
  <c r="BC235" i="8"/>
  <c r="AU235" i="8"/>
  <c r="AS235" i="8"/>
  <c r="AQ235" i="8"/>
  <c r="BE234" i="8"/>
  <c r="BC234" i="8"/>
  <c r="AU234" i="8"/>
  <c r="AS234" i="8"/>
  <c r="AQ234" i="8"/>
  <c r="BE233" i="8"/>
  <c r="BC233" i="8"/>
  <c r="AU233" i="8"/>
  <c r="AS233" i="8"/>
  <c r="AQ233" i="8"/>
  <c r="BE232" i="8"/>
  <c r="BC232" i="8"/>
  <c r="AU232" i="8"/>
  <c r="AS232" i="8"/>
  <c r="AQ232" i="8"/>
  <c r="BE231" i="8"/>
  <c r="BC231" i="8"/>
  <c r="AU231" i="8"/>
  <c r="AS231" i="8"/>
  <c r="AQ231" i="8"/>
  <c r="BE230" i="8"/>
  <c r="BC230" i="8"/>
  <c r="AU230" i="8"/>
  <c r="AS230" i="8"/>
  <c r="AQ230" i="8"/>
  <c r="BE229" i="8"/>
  <c r="BC229" i="8"/>
  <c r="AU229" i="8"/>
  <c r="AS229" i="8"/>
  <c r="AQ229" i="8"/>
  <c r="BE228" i="8"/>
  <c r="BC228" i="8"/>
  <c r="AU228" i="8"/>
  <c r="AS228" i="8"/>
  <c r="AQ228" i="8"/>
  <c r="BE227" i="8"/>
  <c r="BC227" i="8"/>
  <c r="AU227" i="8"/>
  <c r="AS227" i="8"/>
  <c r="AQ227" i="8"/>
  <c r="BE226" i="8"/>
  <c r="BC226" i="8"/>
  <c r="AU226" i="8"/>
  <c r="AS226" i="8"/>
  <c r="AQ226" i="8"/>
  <c r="BE225" i="8"/>
  <c r="BC225" i="8"/>
  <c r="AU225" i="8"/>
  <c r="AS225" i="8"/>
  <c r="AQ225" i="8"/>
  <c r="BE224" i="8"/>
  <c r="BC224" i="8"/>
  <c r="AU224" i="8"/>
  <c r="AS224" i="8"/>
  <c r="AQ224" i="8"/>
  <c r="BE223" i="8"/>
  <c r="BC223" i="8"/>
  <c r="AU223" i="8"/>
  <c r="AS223" i="8"/>
  <c r="AQ223" i="8"/>
  <c r="BE222" i="8"/>
  <c r="BC222" i="8"/>
  <c r="AU222" i="8"/>
  <c r="AS222" i="8"/>
  <c r="AQ222" i="8"/>
  <c r="BE221" i="8"/>
  <c r="BC221" i="8"/>
  <c r="AU221" i="8"/>
  <c r="AS221" i="8"/>
  <c r="AQ221" i="8"/>
  <c r="BE220" i="8"/>
  <c r="BC220" i="8"/>
  <c r="AU220" i="8"/>
  <c r="AS220" i="8"/>
  <c r="AQ220" i="8"/>
  <c r="BE219" i="8"/>
  <c r="BC219" i="8"/>
  <c r="AU219" i="8"/>
  <c r="AS219" i="8"/>
  <c r="AQ219" i="8"/>
  <c r="BE218" i="8"/>
  <c r="BC218" i="8"/>
  <c r="AU218" i="8"/>
  <c r="AS218" i="8"/>
  <c r="AQ218" i="8"/>
  <c r="BE217" i="8"/>
  <c r="BC217" i="8"/>
  <c r="AU217" i="8"/>
  <c r="AS217" i="8"/>
  <c r="AQ217" i="8"/>
  <c r="BE216" i="8"/>
  <c r="BC216" i="8"/>
  <c r="AU216" i="8"/>
  <c r="AS216" i="8"/>
  <c r="AQ216" i="8"/>
  <c r="BE215" i="8"/>
  <c r="BC215" i="8"/>
  <c r="AU215" i="8"/>
  <c r="AS215" i="8"/>
  <c r="AQ215" i="8"/>
  <c r="BE214" i="8"/>
  <c r="BC214" i="8"/>
  <c r="AU214" i="8"/>
  <c r="AS214" i="8"/>
  <c r="AQ214" i="8"/>
  <c r="BE213" i="8"/>
  <c r="BC213" i="8"/>
  <c r="AU213" i="8"/>
  <c r="AS213" i="8"/>
  <c r="AQ213" i="8"/>
  <c r="BE212" i="8"/>
  <c r="BC212" i="8"/>
  <c r="AU212" i="8"/>
  <c r="AS212" i="8"/>
  <c r="AQ212" i="8"/>
  <c r="BE211" i="8"/>
  <c r="BC211" i="8"/>
  <c r="BC253" i="8"/>
  <c r="BE252" i="8"/>
  <c r="AQ252" i="8"/>
  <c r="AS251" i="8"/>
  <c r="AU250" i="8"/>
  <c r="BC249" i="8"/>
  <c r="BE248" i="8"/>
  <c r="AQ248" i="8"/>
  <c r="AS247" i="8"/>
  <c r="AU246" i="8"/>
  <c r="BC245" i="8"/>
  <c r="BE244" i="8"/>
  <c r="AQ244" i="8"/>
  <c r="AS243" i="8"/>
  <c r="AU242" i="8"/>
  <c r="BC241" i="8"/>
  <c r="BE240" i="8"/>
  <c r="AQ240" i="8"/>
  <c r="AS239" i="8"/>
  <c r="AU238" i="8"/>
  <c r="BC237" i="8"/>
  <c r="BF236" i="8"/>
  <c r="BB236" i="8"/>
  <c r="AR236" i="8"/>
  <c r="BD235" i="8"/>
  <c r="AT235" i="8"/>
  <c r="BF234" i="8"/>
  <c r="BB234" i="8"/>
  <c r="AR234" i="8"/>
  <c r="BD233" i="8"/>
  <c r="AT233" i="8"/>
  <c r="BF232" i="8"/>
  <c r="BB232" i="8"/>
  <c r="AR232" i="8"/>
  <c r="BD231" i="8"/>
  <c r="AT231" i="8"/>
  <c r="BF230" i="8"/>
  <c r="BB230" i="8"/>
  <c r="AR230" i="8"/>
  <c r="BD229" i="8"/>
  <c r="AT229" i="8"/>
  <c r="BF228" i="8"/>
  <c r="BB228" i="8"/>
  <c r="AR228" i="8"/>
  <c r="BD227" i="8"/>
  <c r="AT227" i="8"/>
  <c r="BF226" i="8"/>
  <c r="BB226" i="8"/>
  <c r="AR226" i="8"/>
  <c r="BD225" i="8"/>
  <c r="AT225" i="8"/>
  <c r="BF224" i="8"/>
  <c r="BB224" i="8"/>
  <c r="AR224" i="8"/>
  <c r="BD223" i="8"/>
  <c r="AT223" i="8"/>
  <c r="BF222" i="8"/>
  <c r="BB222" i="8"/>
  <c r="AR222" i="8"/>
  <c r="BD221" i="8"/>
  <c r="AT221" i="8"/>
  <c r="BF220" i="8"/>
  <c r="BB220" i="8"/>
  <c r="AR220" i="8"/>
  <c r="BD219" i="8"/>
  <c r="AT219" i="8"/>
  <c r="BF218" i="8"/>
  <c r="BB218" i="8"/>
  <c r="AR218" i="8"/>
  <c r="BD217" i="8"/>
  <c r="AT217" i="8"/>
  <c r="BF216" i="8"/>
  <c r="BB216" i="8"/>
  <c r="AR216" i="8"/>
  <c r="BD215" i="8"/>
  <c r="AT215" i="8"/>
  <c r="BF214" i="8"/>
  <c r="BB214" i="8"/>
  <c r="AR214" i="8"/>
  <c r="BD213" i="8"/>
  <c r="AT213" i="8"/>
  <c r="BF212" i="8"/>
  <c r="BB212" i="8"/>
  <c r="AR212" i="8"/>
  <c r="BD211" i="8"/>
  <c r="AU211" i="8"/>
  <c r="AS211" i="8"/>
  <c r="AQ211" i="8"/>
  <c r="BE210" i="8"/>
  <c r="BC210" i="8"/>
  <c r="AU210" i="8"/>
  <c r="AS210" i="8"/>
  <c r="AQ210" i="8"/>
  <c r="BE209" i="8"/>
  <c r="BC209" i="8"/>
  <c r="AU209" i="8"/>
  <c r="AS209" i="8"/>
  <c r="AQ209" i="8"/>
  <c r="BE208" i="8"/>
  <c r="BC208" i="8"/>
  <c r="AU208" i="8"/>
  <c r="AS208" i="8"/>
  <c r="AQ208" i="8"/>
  <c r="BE207" i="8"/>
  <c r="BC207" i="8"/>
  <c r="AU207" i="8"/>
  <c r="AS207" i="8"/>
  <c r="AQ207" i="8"/>
  <c r="BE206" i="8"/>
  <c r="BC206" i="8"/>
  <c r="AU206" i="8"/>
  <c r="AS206" i="8"/>
  <c r="AQ206" i="8"/>
  <c r="BE205" i="8"/>
  <c r="BC205" i="8"/>
  <c r="AU205" i="8"/>
  <c r="AS205" i="8"/>
  <c r="AQ205" i="8"/>
  <c r="BE204" i="8"/>
  <c r="BC204" i="8"/>
  <c r="AU204" i="8"/>
  <c r="AS204" i="8"/>
  <c r="AQ204" i="8"/>
  <c r="BE203" i="8"/>
  <c r="BC203" i="8"/>
  <c r="AU203" i="8"/>
  <c r="AS203" i="8"/>
  <c r="AQ203" i="8"/>
  <c r="BE202" i="8"/>
  <c r="BC202" i="8"/>
  <c r="AU202" i="8"/>
  <c r="AS202" i="8"/>
  <c r="AQ202" i="8"/>
  <c r="BE201" i="8"/>
  <c r="BC201" i="8"/>
  <c r="AU201" i="8"/>
  <c r="AS201" i="8"/>
  <c r="AQ201" i="8"/>
  <c r="BE200" i="8"/>
  <c r="BC200" i="8"/>
  <c r="AU200" i="8"/>
  <c r="AS200" i="8"/>
  <c r="AQ200" i="8"/>
  <c r="BE199" i="8"/>
  <c r="BC199" i="8"/>
  <c r="AU199" i="8"/>
  <c r="AS199" i="8"/>
  <c r="AQ199" i="8"/>
  <c r="BE198" i="8"/>
  <c r="BC198" i="8"/>
  <c r="AU198" i="8"/>
  <c r="AS198" i="8"/>
  <c r="AQ198" i="8"/>
  <c r="BE197" i="8"/>
  <c r="BC197" i="8"/>
  <c r="AU197" i="8"/>
  <c r="AS197" i="8"/>
  <c r="AQ197" i="8"/>
  <c r="BE196" i="8"/>
  <c r="BC196" i="8"/>
  <c r="AU196" i="8"/>
  <c r="AS196" i="8"/>
  <c r="AQ196" i="8"/>
  <c r="BE195" i="8"/>
  <c r="BC195" i="8"/>
  <c r="AU195" i="8"/>
  <c r="AS195" i="8"/>
  <c r="AQ195" i="8"/>
  <c r="BE194" i="8"/>
  <c r="BC194" i="8"/>
  <c r="AU194" i="8"/>
  <c r="AS194" i="8"/>
  <c r="AQ194" i="8"/>
  <c r="BE193" i="8"/>
  <c r="BC193" i="8"/>
  <c r="AU193" i="8"/>
  <c r="AS193" i="8"/>
  <c r="AQ193" i="8"/>
  <c r="BE192" i="8"/>
  <c r="BC192" i="8"/>
  <c r="AU192" i="8"/>
  <c r="AS192" i="8"/>
  <c r="AQ192" i="8"/>
  <c r="BE191" i="8"/>
  <c r="BC191" i="8"/>
  <c r="AU191" i="8"/>
  <c r="AS191" i="8"/>
  <c r="AQ191" i="8"/>
  <c r="BE190" i="8"/>
  <c r="BC190" i="8"/>
  <c r="AU190" i="8"/>
  <c r="AS190" i="8"/>
  <c r="AQ190" i="8"/>
  <c r="BE189" i="8"/>
  <c r="BC189" i="8"/>
  <c r="AU189" i="8"/>
  <c r="AS189" i="8"/>
  <c r="AQ189" i="8"/>
  <c r="BE188" i="8"/>
  <c r="BC188" i="8"/>
  <c r="AU188" i="8"/>
  <c r="AS188" i="8"/>
  <c r="AQ188" i="8"/>
  <c r="BE187" i="8"/>
  <c r="BC187" i="8"/>
  <c r="AU187" i="8"/>
  <c r="AS187" i="8"/>
  <c r="AQ187" i="8"/>
  <c r="BE186" i="8"/>
  <c r="BC186" i="8"/>
  <c r="AU186" i="8"/>
  <c r="AS186" i="8"/>
  <c r="AQ186" i="8"/>
  <c r="BE185" i="8"/>
  <c r="BC185" i="8"/>
  <c r="AU185" i="8"/>
  <c r="AS185" i="8"/>
  <c r="AQ185" i="8"/>
  <c r="BE184" i="8"/>
  <c r="BC184" i="8"/>
  <c r="AU184" i="8"/>
  <c r="AS184" i="8"/>
  <c r="AQ184" i="8"/>
  <c r="BE183" i="8"/>
  <c r="BC183" i="8"/>
  <c r="AU183" i="8"/>
  <c r="AS183" i="8"/>
  <c r="AQ183" i="8"/>
  <c r="BE182" i="8"/>
  <c r="BC182" i="8"/>
  <c r="AU182" i="8"/>
  <c r="AS182" i="8"/>
  <c r="AQ182" i="8"/>
  <c r="BE181" i="8"/>
  <c r="BC181" i="8"/>
  <c r="AU181" i="8"/>
  <c r="AS181" i="8"/>
  <c r="AQ181" i="8"/>
  <c r="BE180" i="8"/>
  <c r="BC180" i="8"/>
  <c r="AU180" i="8"/>
  <c r="AS180" i="8"/>
  <c r="AQ180" i="8"/>
  <c r="BE179" i="8"/>
  <c r="BC179" i="8"/>
  <c r="AU179" i="8"/>
  <c r="AS179" i="8"/>
  <c r="AQ179" i="8"/>
  <c r="BE178" i="8"/>
  <c r="BC178" i="8"/>
  <c r="AU178" i="8"/>
  <c r="AS178" i="8"/>
  <c r="AQ178" i="8"/>
  <c r="BE177" i="8"/>
  <c r="BC177" i="8"/>
  <c r="AU177" i="8"/>
  <c r="AS177" i="8"/>
  <c r="AQ177" i="8"/>
  <c r="BE176" i="8"/>
  <c r="BC176" i="8"/>
  <c r="AU176" i="8"/>
  <c r="AS176" i="8"/>
  <c r="AQ176" i="8"/>
  <c r="BE175" i="8"/>
  <c r="BC175" i="8"/>
  <c r="AU175" i="8"/>
  <c r="AS175" i="8"/>
  <c r="AQ175" i="8"/>
  <c r="BE174" i="8"/>
  <c r="BC174" i="8"/>
  <c r="AU174" i="8"/>
  <c r="AS174" i="8"/>
  <c r="AQ174" i="8"/>
  <c r="BE173" i="8"/>
  <c r="BC173" i="8"/>
  <c r="AU173" i="8"/>
  <c r="AS173" i="8"/>
  <c r="AQ173" i="8"/>
  <c r="BE172" i="8"/>
  <c r="BC172" i="8"/>
  <c r="AU172" i="8"/>
  <c r="AS172" i="8"/>
  <c r="AQ172" i="8"/>
  <c r="BE171" i="8"/>
  <c r="BC171" i="8"/>
  <c r="AU171" i="8"/>
  <c r="AS171" i="8"/>
  <c r="AQ171" i="8"/>
  <c r="BE170" i="8"/>
  <c r="BC170" i="8"/>
  <c r="AU170" i="8"/>
  <c r="AS170" i="8"/>
  <c r="AQ170" i="8"/>
  <c r="BE169" i="8"/>
  <c r="BC169" i="8"/>
  <c r="AU169" i="8"/>
  <c r="AS169" i="8"/>
  <c r="AQ169" i="8"/>
  <c r="BE168" i="8"/>
  <c r="BC168" i="8"/>
  <c r="AU168" i="8"/>
  <c r="AS168" i="8"/>
  <c r="AQ168" i="8"/>
  <c r="BE167" i="8"/>
  <c r="BC167" i="8"/>
  <c r="AU167" i="8"/>
  <c r="AS167" i="8"/>
  <c r="AQ167" i="8"/>
  <c r="BE166" i="8"/>
  <c r="BC166" i="8"/>
  <c r="AU166" i="8"/>
  <c r="AS166" i="8"/>
  <c r="AQ166" i="8"/>
  <c r="BE165" i="8"/>
  <c r="BC165" i="8"/>
  <c r="AU165" i="8"/>
  <c r="AS165" i="8"/>
  <c r="AQ165" i="8"/>
  <c r="BE164" i="8"/>
  <c r="BC164" i="8"/>
  <c r="AU164" i="8"/>
  <c r="AS164" i="8"/>
  <c r="AQ164" i="8"/>
  <c r="BE163" i="8"/>
  <c r="BC163" i="8"/>
  <c r="AU163" i="8"/>
  <c r="AS163" i="8"/>
  <c r="AQ163" i="8"/>
  <c r="BE162" i="8"/>
  <c r="BC162" i="8"/>
  <c r="AU162" i="8"/>
  <c r="AS162" i="8"/>
  <c r="AQ162" i="8"/>
  <c r="BE161" i="8"/>
  <c r="BC161" i="8"/>
  <c r="AU161" i="8"/>
  <c r="AS161" i="8"/>
  <c r="AQ161" i="8"/>
  <c r="BE160" i="8"/>
  <c r="BC160" i="8"/>
  <c r="AU160" i="8"/>
  <c r="AS253" i="8"/>
  <c r="BC251" i="8"/>
  <c r="AQ250" i="8"/>
  <c r="AU248" i="8"/>
  <c r="BE246" i="8"/>
  <c r="AS245" i="8"/>
  <c r="BC243" i="8"/>
  <c r="AQ242" i="8"/>
  <c r="AU240" i="8"/>
  <c r="BE238" i="8"/>
  <c r="AS237" i="8"/>
  <c r="AT236" i="8"/>
  <c r="BB235" i="8"/>
  <c r="BD234" i="8"/>
  <c r="BF233" i="8"/>
  <c r="AR233" i="8"/>
  <c r="AT232" i="8"/>
  <c r="BB231" i="8"/>
  <c r="BD230" i="8"/>
  <c r="BF229" i="8"/>
  <c r="AR229" i="8"/>
  <c r="AT228" i="8"/>
  <c r="BB227" i="8"/>
  <c r="BD226" i="8"/>
  <c r="BF225" i="8"/>
  <c r="AR225" i="8"/>
  <c r="AT224" i="8"/>
  <c r="BB223" i="8"/>
  <c r="BD222" i="8"/>
  <c r="BF221" i="8"/>
  <c r="AR221" i="8"/>
  <c r="AT220" i="8"/>
  <c r="BB219" i="8"/>
  <c r="BD218" i="8"/>
  <c r="BF217" i="8"/>
  <c r="AR217" i="8"/>
  <c r="AT216" i="8"/>
  <c r="BB215" i="8"/>
  <c r="BD214" i="8"/>
  <c r="BF213" i="8"/>
  <c r="AR213" i="8"/>
  <c r="AT212" i="8"/>
  <c r="BB211" i="8"/>
  <c r="AR211" i="8"/>
  <c r="BD210" i="8"/>
  <c r="AT210" i="8"/>
  <c r="BF209" i="8"/>
  <c r="BB209" i="8"/>
  <c r="AR209" i="8"/>
  <c r="BD208" i="8"/>
  <c r="AT208" i="8"/>
  <c r="BF207" i="8"/>
  <c r="BB207" i="8"/>
  <c r="AR207" i="8"/>
  <c r="BD206" i="8"/>
  <c r="AT206" i="8"/>
  <c r="BF205" i="8"/>
  <c r="BB205" i="8"/>
  <c r="AR205" i="8"/>
  <c r="BD204" i="8"/>
  <c r="AT204" i="8"/>
  <c r="BF203" i="8"/>
  <c r="BB203" i="8"/>
  <c r="AR203" i="8"/>
  <c r="BD202" i="8"/>
  <c r="AT202" i="8"/>
  <c r="BF201" i="8"/>
  <c r="BB201" i="8"/>
  <c r="AR201" i="8"/>
  <c r="BD200" i="8"/>
  <c r="AT200" i="8"/>
  <c r="BF199" i="8"/>
  <c r="BB199" i="8"/>
  <c r="AR199" i="8"/>
  <c r="BD198" i="8"/>
  <c r="AT198" i="8"/>
  <c r="BF197" i="8"/>
  <c r="BB197" i="8"/>
  <c r="AR197" i="8"/>
  <c r="BD196" i="8"/>
  <c r="AT196" i="8"/>
  <c r="BF195" i="8"/>
  <c r="BB195" i="8"/>
  <c r="AR195" i="8"/>
  <c r="BD194" i="8"/>
  <c r="AT194" i="8"/>
  <c r="BF193" i="8"/>
  <c r="BB193" i="8"/>
  <c r="AR193" i="8"/>
  <c r="BD192" i="8"/>
  <c r="AT192" i="8"/>
  <c r="BF191" i="8"/>
  <c r="AR191" i="8"/>
  <c r="BD190" i="8"/>
  <c r="AT190" i="8"/>
  <c r="BF189" i="8"/>
  <c r="AR189" i="8"/>
  <c r="BD188" i="8"/>
  <c r="AT188" i="8"/>
  <c r="BF187" i="8"/>
  <c r="AR187" i="8"/>
  <c r="BD186" i="8"/>
  <c r="AT186" i="8"/>
  <c r="BF185" i="8"/>
  <c r="AR185" i="8"/>
  <c r="BD184" i="8"/>
  <c r="AT184" i="8"/>
  <c r="BF183" i="8"/>
  <c r="BB183" i="8"/>
  <c r="AR183" i="8"/>
  <c r="BD182" i="8"/>
  <c r="AT182" i="8"/>
  <c r="BF181" i="8"/>
  <c r="AR181" i="8"/>
  <c r="BD180" i="8"/>
  <c r="AT180" i="8"/>
  <c r="BF179" i="8"/>
  <c r="AR179" i="8"/>
  <c r="BD178" i="8"/>
  <c r="AT178" i="8"/>
  <c r="BF177" i="8"/>
  <c r="AR177" i="8"/>
  <c r="BD176" i="8"/>
  <c r="AT176" i="8"/>
  <c r="BF175" i="8"/>
  <c r="AR175" i="8"/>
  <c r="BD174" i="8"/>
  <c r="AT174" i="8"/>
  <c r="BF173" i="8"/>
  <c r="BB173" i="8"/>
  <c r="AR173" i="8"/>
  <c r="BD172" i="8"/>
  <c r="AT172" i="8"/>
  <c r="BF171" i="8"/>
  <c r="BB171" i="8"/>
  <c r="AR171" i="8"/>
  <c r="BD170" i="8"/>
  <c r="AT170" i="8"/>
  <c r="BF169" i="8"/>
  <c r="BB169" i="8"/>
  <c r="AR169" i="8"/>
  <c r="BD168" i="8"/>
  <c r="AT168" i="8"/>
  <c r="BF167" i="8"/>
  <c r="BB167" i="8"/>
  <c r="AR167" i="8"/>
  <c r="BD166" i="8"/>
  <c r="AT166" i="8"/>
  <c r="BF165" i="8"/>
  <c r="BB165" i="8"/>
  <c r="AR165" i="8"/>
  <c r="BD164" i="8"/>
  <c r="AT164" i="8"/>
  <c r="BF163" i="8"/>
  <c r="BB163" i="8"/>
  <c r="AR163" i="8"/>
  <c r="BD162" i="8"/>
  <c r="AT162" i="8"/>
  <c r="BF161" i="8"/>
  <c r="BB161" i="8"/>
  <c r="AR161" i="8"/>
  <c r="BD160" i="8"/>
  <c r="AT160" i="8"/>
  <c r="AR160" i="8"/>
  <c r="BF159" i="8"/>
  <c r="BD159" i="8"/>
  <c r="BB159" i="8"/>
  <c r="AT159" i="8"/>
  <c r="AR159" i="8"/>
  <c r="BF158" i="8"/>
  <c r="BD158" i="8"/>
  <c r="BB158" i="8"/>
  <c r="AT158" i="8"/>
  <c r="AR158" i="8"/>
  <c r="BF157" i="8"/>
  <c r="BD157" i="8"/>
  <c r="BB157" i="8"/>
  <c r="AT157" i="8"/>
  <c r="AR157" i="8"/>
  <c r="BF156" i="8"/>
  <c r="BD156" i="8"/>
  <c r="BB156" i="8"/>
  <c r="AT156" i="8"/>
  <c r="AR156" i="8"/>
  <c r="BF155" i="8"/>
  <c r="BD155" i="8"/>
  <c r="BB155" i="8"/>
  <c r="AT155" i="8"/>
  <c r="AR155" i="8"/>
  <c r="BF154" i="8"/>
  <c r="BD154" i="8"/>
  <c r="BB154" i="8"/>
  <c r="AT154" i="8"/>
  <c r="AR154" i="8"/>
  <c r="BF153" i="8"/>
  <c r="BD153" i="8"/>
  <c r="BB153" i="8"/>
  <c r="AT153" i="8"/>
  <c r="AR153" i="8"/>
  <c r="BF152" i="8"/>
  <c r="BD152" i="8"/>
  <c r="BB152" i="8"/>
  <c r="AT152" i="8"/>
  <c r="AR152" i="8"/>
  <c r="BF151" i="8"/>
  <c r="BD151" i="8"/>
  <c r="BB151" i="8"/>
  <c r="AT151" i="8"/>
  <c r="AR151" i="8"/>
  <c r="BF150" i="8"/>
  <c r="BD150" i="8"/>
  <c r="BB150" i="8"/>
  <c r="AT150" i="8"/>
  <c r="AR150" i="8"/>
  <c r="BF149" i="8"/>
  <c r="BD149" i="8"/>
  <c r="BB149" i="8"/>
  <c r="AT149" i="8"/>
  <c r="AR149" i="8"/>
  <c r="BF148" i="8"/>
  <c r="BD148" i="8"/>
  <c r="BB148" i="8"/>
  <c r="AT148" i="8"/>
  <c r="AR148" i="8"/>
  <c r="BF147" i="8"/>
  <c r="BD147" i="8"/>
  <c r="BB147" i="8"/>
  <c r="AT147" i="8"/>
  <c r="AR147" i="8"/>
  <c r="BF146" i="8"/>
  <c r="BD146" i="8"/>
  <c r="BB146" i="8"/>
  <c r="AT146" i="8"/>
  <c r="AR146" i="8"/>
  <c r="BF145" i="8"/>
  <c r="BD145" i="8"/>
  <c r="BB145" i="8"/>
  <c r="AT145" i="8"/>
  <c r="AR145" i="8"/>
  <c r="BF144" i="8"/>
  <c r="BD144" i="8"/>
  <c r="BB144" i="8"/>
  <c r="AT144" i="8"/>
  <c r="AR144" i="8"/>
  <c r="BF143" i="8"/>
  <c r="BD143" i="8"/>
  <c r="BB143" i="8"/>
  <c r="AT143" i="8"/>
  <c r="AR143" i="8"/>
  <c r="BF142" i="8"/>
  <c r="BD142" i="8"/>
  <c r="BB142" i="8"/>
  <c r="AT142" i="8"/>
  <c r="AR142" i="8"/>
  <c r="BF141" i="8"/>
  <c r="BD141" i="8"/>
  <c r="BB141" i="8"/>
  <c r="AT141" i="8"/>
  <c r="AR141" i="8"/>
  <c r="BF140" i="8"/>
  <c r="BD140" i="8"/>
  <c r="BB140" i="8"/>
  <c r="AT140" i="8"/>
  <c r="AR140" i="8"/>
  <c r="BF139" i="8"/>
  <c r="BD139" i="8"/>
  <c r="BB139" i="8"/>
  <c r="AT139" i="8"/>
  <c r="AR139" i="8"/>
  <c r="BF138" i="8"/>
  <c r="BD138" i="8"/>
  <c r="BB138" i="8"/>
  <c r="AT138" i="8"/>
  <c r="AR138" i="8"/>
  <c r="BF137" i="8"/>
  <c r="BD137" i="8"/>
  <c r="BB137" i="8"/>
  <c r="AT137" i="8"/>
  <c r="AR137" i="8"/>
  <c r="BF136" i="8"/>
  <c r="BD136" i="8"/>
  <c r="BB136" i="8"/>
  <c r="AT136" i="8"/>
  <c r="AR136" i="8"/>
  <c r="BF135" i="8"/>
  <c r="BD135" i="8"/>
  <c r="BB135" i="8"/>
  <c r="AT135" i="8"/>
  <c r="AR135" i="8"/>
  <c r="BF134" i="8"/>
  <c r="BD134" i="8"/>
  <c r="BB134" i="8"/>
  <c r="AT134" i="8"/>
  <c r="AR134" i="8"/>
  <c r="BF133" i="8"/>
  <c r="BD133" i="8"/>
  <c r="BB133" i="8"/>
  <c r="AT133" i="8"/>
  <c r="AR133" i="8"/>
  <c r="BF132" i="8"/>
  <c r="BD132" i="8"/>
  <c r="BB132" i="8"/>
  <c r="AT132" i="8"/>
  <c r="AR132" i="8"/>
  <c r="BF131" i="8"/>
  <c r="BD131" i="8"/>
  <c r="BB131" i="8"/>
  <c r="AT131" i="8"/>
  <c r="AR131" i="8"/>
  <c r="BF130" i="8"/>
  <c r="BD130" i="8"/>
  <c r="BB130" i="8"/>
  <c r="AT130" i="8"/>
  <c r="AR130" i="8"/>
  <c r="BF129" i="8"/>
  <c r="BD129" i="8"/>
  <c r="BB129" i="8"/>
  <c r="AT129" i="8"/>
  <c r="AR129" i="8"/>
  <c r="BF128" i="8"/>
  <c r="BD128" i="8"/>
  <c r="BB128" i="8"/>
  <c r="AT128" i="8"/>
  <c r="AR128" i="8"/>
  <c r="BF127" i="8"/>
  <c r="BD127" i="8"/>
  <c r="BB127" i="8"/>
  <c r="AT127" i="8"/>
  <c r="AR127" i="8"/>
  <c r="BF126" i="8"/>
  <c r="BD126" i="8"/>
  <c r="BB126" i="8"/>
  <c r="AT126" i="8"/>
  <c r="AR126" i="8"/>
  <c r="BF125" i="8"/>
  <c r="BD125" i="8"/>
  <c r="BB125" i="8"/>
  <c r="AT125" i="8"/>
  <c r="AR125" i="8"/>
  <c r="BF124" i="8"/>
  <c r="BD124" i="8"/>
  <c r="BB124" i="8"/>
  <c r="AT124" i="8"/>
  <c r="AR124" i="8"/>
  <c r="BF123" i="8"/>
  <c r="BD123" i="8"/>
  <c r="BB123" i="8"/>
  <c r="AT123" i="8"/>
  <c r="AR123" i="8"/>
  <c r="BF122" i="8"/>
  <c r="BD122" i="8"/>
  <c r="BB122" i="8"/>
  <c r="AT122" i="8"/>
  <c r="AR122" i="8"/>
  <c r="BF121" i="8"/>
  <c r="BD121" i="8"/>
  <c r="BB121" i="8"/>
  <c r="AT121" i="8"/>
  <c r="AR121" i="8"/>
  <c r="BF120" i="8"/>
  <c r="BD120" i="8"/>
  <c r="BB120" i="8"/>
  <c r="AT120" i="8"/>
  <c r="AR120" i="8"/>
  <c r="BF119" i="8"/>
  <c r="BD119" i="8"/>
  <c r="BB119" i="8"/>
  <c r="AT119" i="8"/>
  <c r="AR119" i="8"/>
  <c r="BF118" i="8"/>
  <c r="BD118" i="8"/>
  <c r="BB118" i="8"/>
  <c r="AT118" i="8"/>
  <c r="AR118" i="8"/>
  <c r="BF117" i="8"/>
  <c r="BD117" i="8"/>
  <c r="BB117" i="8"/>
  <c r="AT117" i="8"/>
  <c r="AR117" i="8"/>
  <c r="BF116" i="8"/>
  <c r="BD116" i="8"/>
  <c r="BB116" i="8"/>
  <c r="AT116" i="8"/>
  <c r="AR116" i="8"/>
  <c r="BF115" i="8"/>
  <c r="BD115" i="8"/>
  <c r="BB115" i="8"/>
  <c r="AT115" i="8"/>
  <c r="AR115" i="8"/>
  <c r="BF114" i="8"/>
  <c r="BD114" i="8"/>
  <c r="BB114" i="8"/>
  <c r="AT114" i="8"/>
  <c r="AR114" i="8"/>
  <c r="BF113" i="8"/>
  <c r="BD113" i="8"/>
  <c r="BB113" i="8"/>
  <c r="AT113" i="8"/>
  <c r="AR113" i="8"/>
  <c r="BF112" i="8"/>
  <c r="BD112" i="8"/>
  <c r="BB112" i="8"/>
  <c r="AT112" i="8"/>
  <c r="AR112" i="8"/>
  <c r="BF111" i="8"/>
  <c r="BD111" i="8"/>
  <c r="BB111" i="8"/>
  <c r="AT111" i="8"/>
  <c r="AR111" i="8"/>
  <c r="BF110" i="8"/>
  <c r="BD110" i="8"/>
  <c r="BB110" i="8"/>
  <c r="AT110" i="8"/>
  <c r="AR110" i="8"/>
  <c r="BF109" i="8"/>
  <c r="BD109" i="8"/>
  <c r="BB109" i="8"/>
  <c r="AT109" i="8"/>
  <c r="AR109" i="8"/>
  <c r="BF108" i="8"/>
  <c r="BD108" i="8"/>
  <c r="BB108" i="8"/>
  <c r="AT108" i="8"/>
  <c r="AR108" i="8"/>
  <c r="BF107" i="8"/>
  <c r="BD107" i="8"/>
  <c r="BB107" i="8"/>
  <c r="AT107" i="8"/>
  <c r="AR107" i="8"/>
  <c r="BF106" i="8"/>
  <c r="BD106" i="8"/>
  <c r="BB106" i="8"/>
  <c r="AT106" i="8"/>
  <c r="AR106" i="8"/>
  <c r="BF105" i="8"/>
  <c r="BD105" i="8"/>
  <c r="BB105" i="8"/>
  <c r="AT105" i="8"/>
  <c r="AR105" i="8"/>
  <c r="BF104" i="8"/>
  <c r="BD104" i="8"/>
  <c r="BB104" i="8"/>
  <c r="AT104" i="8"/>
  <c r="AR104" i="8"/>
  <c r="BF103" i="8"/>
  <c r="BD103" i="8"/>
  <c r="BB103" i="8"/>
  <c r="AT103" i="8"/>
  <c r="AR103" i="8"/>
  <c r="BF102" i="8"/>
  <c r="BD102" i="8"/>
  <c r="BB102" i="8"/>
  <c r="AT102" i="8"/>
  <c r="AR102" i="8"/>
  <c r="BF101" i="8"/>
  <c r="BD101" i="8"/>
  <c r="BB101" i="8"/>
  <c r="AT101" i="8"/>
  <c r="AR101" i="8"/>
  <c r="BF100" i="8"/>
  <c r="BD100" i="8"/>
  <c r="BB100" i="8"/>
  <c r="AT100" i="8"/>
  <c r="AR100" i="8"/>
  <c r="BF99" i="8"/>
  <c r="BD99" i="8"/>
  <c r="BB99" i="8"/>
  <c r="AT99" i="8"/>
  <c r="AR99" i="8"/>
  <c r="BF98" i="8"/>
  <c r="BD98" i="8"/>
  <c r="BB98" i="8"/>
  <c r="AT98" i="8"/>
  <c r="AR98" i="8"/>
  <c r="BF97" i="8"/>
  <c r="BD97" i="8"/>
  <c r="BB97" i="8"/>
  <c r="AT97" i="8"/>
  <c r="AR97" i="8"/>
  <c r="BF96" i="8"/>
  <c r="BD96" i="8"/>
  <c r="BB96" i="8"/>
  <c r="AT96" i="8"/>
  <c r="AR96" i="8"/>
  <c r="BF95" i="8"/>
  <c r="BD95" i="8"/>
  <c r="BB95" i="8"/>
  <c r="AT95" i="8"/>
  <c r="AR95" i="8"/>
  <c r="BF94" i="8"/>
  <c r="BD94" i="8"/>
  <c r="BB94" i="8"/>
  <c r="AT94" i="8"/>
  <c r="AR94" i="8"/>
  <c r="BF93" i="8"/>
  <c r="BD93" i="8"/>
  <c r="BB93" i="8"/>
  <c r="AT93" i="8"/>
  <c r="AR93" i="8"/>
  <c r="BF92" i="8"/>
  <c r="BD92" i="8"/>
  <c r="BB92" i="8"/>
  <c r="AT92" i="8"/>
  <c r="AR92" i="8"/>
  <c r="BF91" i="8"/>
  <c r="BD91" i="8"/>
  <c r="BB91" i="8"/>
  <c r="AT91" i="8"/>
  <c r="AR91" i="8"/>
  <c r="BF90" i="8"/>
  <c r="BD90" i="8"/>
  <c r="BB90" i="8"/>
  <c r="AT90" i="8"/>
  <c r="AR90" i="8"/>
  <c r="BF89" i="8"/>
  <c r="BD89" i="8"/>
  <c r="BB89" i="8"/>
  <c r="AT89" i="8"/>
  <c r="AR89" i="8"/>
  <c r="BF88" i="8"/>
  <c r="BD88" i="8"/>
  <c r="BB88" i="8"/>
  <c r="AT88" i="8"/>
  <c r="AR88" i="8"/>
  <c r="BF87" i="8"/>
  <c r="BD87" i="8"/>
  <c r="BB87" i="8"/>
  <c r="AT87" i="8"/>
  <c r="AR87" i="8"/>
  <c r="BF86" i="8"/>
  <c r="BD86" i="8"/>
  <c r="BB86" i="8"/>
  <c r="AT86" i="8"/>
  <c r="AR86" i="8"/>
  <c r="BF85" i="8"/>
  <c r="BD85" i="8"/>
  <c r="BB85" i="8"/>
  <c r="AT85" i="8"/>
  <c r="AR85" i="8"/>
  <c r="BF84" i="8"/>
  <c r="BD84" i="8"/>
  <c r="BB84" i="8"/>
  <c r="AT84" i="8"/>
  <c r="AR84" i="8"/>
  <c r="BF83" i="8"/>
  <c r="BD83" i="8"/>
  <c r="BB83" i="8"/>
  <c r="AT83" i="8"/>
  <c r="AR83" i="8"/>
  <c r="BF82" i="8"/>
  <c r="BD82" i="8"/>
  <c r="BB82" i="8"/>
  <c r="AT82" i="8"/>
  <c r="AR82" i="8"/>
  <c r="BF81" i="8"/>
  <c r="BD81" i="8"/>
  <c r="BB81" i="8"/>
  <c r="AT81" i="8"/>
  <c r="AR81" i="8"/>
  <c r="BF80" i="8"/>
  <c r="BD80" i="8"/>
  <c r="BB80" i="8"/>
  <c r="AT80" i="8"/>
  <c r="AR80" i="8"/>
  <c r="BF79" i="8"/>
  <c r="BD79" i="8"/>
  <c r="BB79" i="8"/>
  <c r="AT79" i="8"/>
  <c r="AR79" i="8"/>
  <c r="BF78" i="8"/>
  <c r="BD78" i="8"/>
  <c r="BB78" i="8"/>
  <c r="AT78" i="8"/>
  <c r="AR78" i="8"/>
  <c r="BF77" i="8"/>
  <c r="BD77" i="8"/>
  <c r="BB77" i="8"/>
  <c r="AT77" i="8"/>
  <c r="AR77" i="8"/>
  <c r="BF76" i="8"/>
  <c r="BD76" i="8"/>
  <c r="BB76" i="8"/>
  <c r="AT76" i="8"/>
  <c r="AR76" i="8"/>
  <c r="BF75" i="8"/>
  <c r="BD75" i="8"/>
  <c r="BB75" i="8"/>
  <c r="AT75" i="8"/>
  <c r="AR75" i="8"/>
  <c r="BF74" i="8"/>
  <c r="BD74" i="8"/>
  <c r="BB74" i="8"/>
  <c r="AT74" i="8"/>
  <c r="AR74" i="8"/>
  <c r="BF73" i="8"/>
  <c r="BD73" i="8"/>
  <c r="BB73" i="8"/>
  <c r="AT73" i="8"/>
  <c r="AR73" i="8"/>
  <c r="BF72" i="8"/>
  <c r="BD72" i="8"/>
  <c r="BB72" i="8"/>
  <c r="AT72" i="8"/>
  <c r="AR72" i="8"/>
  <c r="BF71" i="8"/>
  <c r="BD71" i="8"/>
  <c r="BB71" i="8"/>
  <c r="AT71" i="8"/>
  <c r="AR71" i="8"/>
  <c r="BF70" i="8"/>
  <c r="BD70" i="8"/>
  <c r="BB70" i="8"/>
  <c r="AT70" i="8"/>
  <c r="AR70" i="8"/>
  <c r="BF69" i="8"/>
  <c r="BD69" i="8"/>
  <c r="BB69" i="8"/>
  <c r="AT69" i="8"/>
  <c r="AR69" i="8"/>
  <c r="BF68" i="8"/>
  <c r="BD68" i="8"/>
  <c r="BB68" i="8"/>
  <c r="AT68" i="8"/>
  <c r="AR68" i="8"/>
  <c r="BF67" i="8"/>
  <c r="BD67" i="8"/>
  <c r="BB67" i="8"/>
  <c r="AT67" i="8"/>
  <c r="AR67" i="8"/>
  <c r="BF66" i="8"/>
  <c r="BD66" i="8"/>
  <c r="BB66" i="8"/>
  <c r="AT66" i="8"/>
  <c r="AR66" i="8"/>
  <c r="BF65" i="8"/>
  <c r="BD65" i="8"/>
  <c r="BB65" i="8"/>
  <c r="AT65" i="8"/>
  <c r="AR65" i="8"/>
  <c r="BF64" i="8"/>
  <c r="BD64" i="8"/>
  <c r="BB64" i="8"/>
  <c r="AT64" i="8"/>
  <c r="AR64" i="8"/>
  <c r="BF63" i="8"/>
  <c r="BD63" i="8"/>
  <c r="BB63" i="8"/>
  <c r="AT63" i="8"/>
  <c r="AR63" i="8"/>
  <c r="BF62" i="8"/>
  <c r="BD62" i="8"/>
  <c r="BB62" i="8"/>
  <c r="AT62" i="8"/>
  <c r="AR62" i="8"/>
  <c r="BF61" i="8"/>
  <c r="BD61" i="8"/>
  <c r="BB61" i="8"/>
  <c r="AT61" i="8"/>
  <c r="AR61" i="8"/>
  <c r="BF60" i="8"/>
  <c r="BD60" i="8"/>
  <c r="BB60" i="8"/>
  <c r="AT60" i="8"/>
  <c r="AR60" i="8"/>
  <c r="BF59" i="8"/>
  <c r="BD59" i="8"/>
  <c r="BB59" i="8"/>
  <c r="AT59" i="8"/>
  <c r="AR59" i="8"/>
  <c r="BF58" i="8"/>
  <c r="BD58" i="8"/>
  <c r="BB58" i="8"/>
  <c r="AT58" i="8"/>
  <c r="AR58" i="8"/>
  <c r="AU252" i="8"/>
  <c r="AS249" i="8"/>
  <c r="AQ246" i="8"/>
  <c r="BE242" i="8"/>
  <c r="BC239" i="8"/>
  <c r="BD236" i="8"/>
  <c r="AR235" i="8"/>
  <c r="BB233" i="8"/>
  <c r="BF231" i="8"/>
  <c r="AT230" i="8"/>
  <c r="BD228" i="8"/>
  <c r="AR227" i="8"/>
  <c r="BB225" i="8"/>
  <c r="BF223" i="8"/>
  <c r="AT222" i="8"/>
  <c r="BD220" i="8"/>
  <c r="AR219" i="8"/>
  <c r="BB217" i="8"/>
  <c r="BF215" i="8"/>
  <c r="AT214" i="8"/>
  <c r="BD212" i="8"/>
  <c r="AT211" i="8"/>
  <c r="BB210" i="8"/>
  <c r="BD209" i="8"/>
  <c r="BF208" i="8"/>
  <c r="AR208" i="8"/>
  <c r="AT207" i="8"/>
  <c r="BB206" i="8"/>
  <c r="BD205" i="8"/>
  <c r="BF204" i="8"/>
  <c r="AR204" i="8"/>
  <c r="AT203" i="8"/>
  <c r="BB202" i="8"/>
  <c r="BD201" i="8"/>
  <c r="BF200" i="8"/>
  <c r="AR200" i="8"/>
  <c r="AT199" i="8"/>
  <c r="BB198" i="8"/>
  <c r="BD197" i="8"/>
  <c r="BF196" i="8"/>
  <c r="AR196" i="8"/>
  <c r="AT195" i="8"/>
  <c r="BB194" i="8"/>
  <c r="BD193" i="8"/>
  <c r="BF192" i="8"/>
  <c r="AR192" i="8"/>
  <c r="AT191" i="8"/>
  <c r="BD189" i="8"/>
  <c r="BF188" i="8"/>
  <c r="AR188" i="8"/>
  <c r="AT187" i="8"/>
  <c r="BD185" i="8"/>
  <c r="BF184" i="8"/>
  <c r="AR184" i="8"/>
  <c r="AT183" i="8"/>
  <c r="BD181" i="8"/>
  <c r="BF180" i="8"/>
  <c r="AR180" i="8"/>
  <c r="AT179" i="8"/>
  <c r="BD177" i="8"/>
  <c r="BF176" i="8"/>
  <c r="AR176" i="8"/>
  <c r="AT175" i="8"/>
  <c r="BB174" i="8"/>
  <c r="BD173" i="8"/>
  <c r="BF172" i="8"/>
  <c r="AR172" i="8"/>
  <c r="AT171" i="8"/>
  <c r="BB170" i="8"/>
  <c r="BD169" i="8"/>
  <c r="BF168" i="8"/>
  <c r="AR168" i="8"/>
  <c r="AT167" i="8"/>
  <c r="BB166" i="8"/>
  <c r="BD165" i="8"/>
  <c r="BF164" i="8"/>
  <c r="AR164" i="8"/>
  <c r="AT163" i="8"/>
  <c r="BB162" i="8"/>
  <c r="BD161" i="8"/>
  <c r="BF160" i="8"/>
  <c r="AS160" i="8"/>
  <c r="BE159" i="8"/>
  <c r="AU159" i="8"/>
  <c r="AQ159" i="8"/>
  <c r="BC158" i="8"/>
  <c r="AS158" i="8"/>
  <c r="BE157" i="8"/>
  <c r="AU157" i="8"/>
  <c r="AQ157" i="8"/>
  <c r="BC156" i="8"/>
  <c r="AS156" i="8"/>
  <c r="BE155" i="8"/>
  <c r="AU155" i="8"/>
  <c r="AQ155" i="8"/>
  <c r="BC154" i="8"/>
  <c r="AS154" i="8"/>
  <c r="BE153" i="8"/>
  <c r="AU153" i="8"/>
  <c r="AQ153" i="8"/>
  <c r="BC152" i="8"/>
  <c r="AS152" i="8"/>
  <c r="BE151" i="8"/>
  <c r="AU151" i="8"/>
  <c r="AQ151" i="8"/>
  <c r="BC150" i="8"/>
  <c r="AS150" i="8"/>
  <c r="BE149" i="8"/>
  <c r="AU149" i="8"/>
  <c r="AQ149" i="8"/>
  <c r="BC148" i="8"/>
  <c r="AS148" i="8"/>
  <c r="BE147" i="8"/>
  <c r="AU147" i="8"/>
  <c r="AQ147" i="8"/>
  <c r="BC146" i="8"/>
  <c r="AS146" i="8"/>
  <c r="BE145" i="8"/>
  <c r="AU145" i="8"/>
  <c r="AQ145" i="8"/>
  <c r="BC144" i="8"/>
  <c r="AS144" i="8"/>
  <c r="BE143" i="8"/>
  <c r="AU143" i="8"/>
  <c r="AQ143" i="8"/>
  <c r="BC142" i="8"/>
  <c r="AS142" i="8"/>
  <c r="BE141" i="8"/>
  <c r="AU141" i="8"/>
  <c r="AQ141" i="8"/>
  <c r="BC140" i="8"/>
  <c r="AS140" i="8"/>
  <c r="BE139" i="8"/>
  <c r="AU139" i="8"/>
  <c r="AQ139" i="8"/>
  <c r="BC138" i="8"/>
  <c r="AS138" i="8"/>
  <c r="BE137" i="8"/>
  <c r="AU137" i="8"/>
  <c r="AQ137" i="8"/>
  <c r="BC136" i="8"/>
  <c r="AS136" i="8"/>
  <c r="BE135" i="8"/>
  <c r="AU135" i="8"/>
  <c r="AQ135" i="8"/>
  <c r="BC134" i="8"/>
  <c r="AS134" i="8"/>
  <c r="BE133" i="8"/>
  <c r="AU133" i="8"/>
  <c r="AQ133" i="8"/>
  <c r="BC132" i="8"/>
  <c r="AS132" i="8"/>
  <c r="BE131" i="8"/>
  <c r="AU131" i="8"/>
  <c r="AQ131" i="8"/>
  <c r="BC130" i="8"/>
  <c r="AS130" i="8"/>
  <c r="BE129" i="8"/>
  <c r="AU129" i="8"/>
  <c r="AQ129" i="8"/>
  <c r="BC128" i="8"/>
  <c r="AS128" i="8"/>
  <c r="BE127" i="8"/>
  <c r="AU127" i="8"/>
  <c r="AQ127" i="8"/>
  <c r="BC126" i="8"/>
  <c r="AS126" i="8"/>
  <c r="BE125" i="8"/>
  <c r="AU125" i="8"/>
  <c r="AQ125" i="8"/>
  <c r="BC124" i="8"/>
  <c r="AS124" i="8"/>
  <c r="BE123" i="8"/>
  <c r="AU123" i="8"/>
  <c r="AQ123" i="8"/>
  <c r="BC122" i="8"/>
  <c r="AS122" i="8"/>
  <c r="BE121" i="8"/>
  <c r="AU121" i="8"/>
  <c r="AQ121" i="8"/>
  <c r="BC120" i="8"/>
  <c r="AS120" i="8"/>
  <c r="BE119" i="8"/>
  <c r="AU119" i="8"/>
  <c r="AQ119" i="8"/>
  <c r="BC118" i="8"/>
  <c r="AS118" i="8"/>
  <c r="BE117" i="8"/>
  <c r="AU117" i="8"/>
  <c r="AQ117" i="8"/>
  <c r="BC116" i="8"/>
  <c r="AS116" i="8"/>
  <c r="BE115" i="8"/>
  <c r="AU115" i="8"/>
  <c r="AQ115" i="8"/>
  <c r="BC114" i="8"/>
  <c r="AS114" i="8"/>
  <c r="BE113" i="8"/>
  <c r="AU113" i="8"/>
  <c r="AQ113" i="8"/>
  <c r="BC112" i="8"/>
  <c r="AS112" i="8"/>
  <c r="BE111" i="8"/>
  <c r="AU111" i="8"/>
  <c r="AQ111" i="8"/>
  <c r="BC110" i="8"/>
  <c r="AS110" i="8"/>
  <c r="BE109" i="8"/>
  <c r="AU109" i="8"/>
  <c r="AQ109" i="8"/>
  <c r="BC108" i="8"/>
  <c r="AS108" i="8"/>
  <c r="BE107" i="8"/>
  <c r="AU107" i="8"/>
  <c r="AQ107" i="8"/>
  <c r="BC106" i="8"/>
  <c r="AS106" i="8"/>
  <c r="BE105" i="8"/>
  <c r="AU105" i="8"/>
  <c r="AQ105" i="8"/>
  <c r="BC104" i="8"/>
  <c r="AS104" i="8"/>
  <c r="BE103" i="8"/>
  <c r="AU103" i="8"/>
  <c r="AQ103" i="8"/>
  <c r="BC102" i="8"/>
  <c r="AS102" i="8"/>
  <c r="BE101" i="8"/>
  <c r="AU101" i="8"/>
  <c r="AQ101" i="8"/>
  <c r="BC100" i="8"/>
  <c r="AS100" i="8"/>
  <c r="BE99" i="8"/>
  <c r="AU99" i="8"/>
  <c r="AQ99" i="8"/>
  <c r="BC98" i="8"/>
  <c r="AS98" i="8"/>
  <c r="BE97" i="8"/>
  <c r="AU97" i="8"/>
  <c r="AQ97" i="8"/>
  <c r="BC96" i="8"/>
  <c r="AS96" i="8"/>
  <c r="BE95" i="8"/>
  <c r="AU95" i="8"/>
  <c r="AQ95" i="8"/>
  <c r="BC94" i="8"/>
  <c r="AS94" i="8"/>
  <c r="BE93" i="8"/>
  <c r="AU93" i="8"/>
  <c r="AQ93" i="8"/>
  <c r="BC92" i="8"/>
  <c r="AS92" i="8"/>
  <c r="BE91" i="8"/>
  <c r="AU91" i="8"/>
  <c r="AQ91" i="8"/>
  <c r="BC90" i="8"/>
  <c r="AS90" i="8"/>
  <c r="BE89" i="8"/>
  <c r="AU89" i="8"/>
  <c r="AQ89" i="8"/>
  <c r="BC88" i="8"/>
  <c r="AS88" i="8"/>
  <c r="BE87" i="8"/>
  <c r="AU87" i="8"/>
  <c r="AQ87" i="8"/>
  <c r="BC86" i="8"/>
  <c r="AS86" i="8"/>
  <c r="BE85" i="8"/>
  <c r="AU85" i="8"/>
  <c r="AQ85" i="8"/>
  <c r="BC84" i="8"/>
  <c r="AS84" i="8"/>
  <c r="BE83" i="8"/>
  <c r="AU83" i="8"/>
  <c r="AQ83" i="8"/>
  <c r="BC82" i="8"/>
  <c r="AS82" i="8"/>
  <c r="BE81" i="8"/>
  <c r="AU81" i="8"/>
  <c r="AQ81" i="8"/>
  <c r="BC80" i="8"/>
  <c r="AS80" i="8"/>
  <c r="BE79" i="8"/>
  <c r="AU79" i="8"/>
  <c r="AQ79" i="8"/>
  <c r="BC78" i="8"/>
  <c r="AS78" i="8"/>
  <c r="BE77" i="8"/>
  <c r="AU77" i="8"/>
  <c r="AQ77" i="8"/>
  <c r="BC76" i="8"/>
  <c r="AS76" i="8"/>
  <c r="BE75" i="8"/>
  <c r="AU75" i="8"/>
  <c r="AQ75" i="8"/>
  <c r="BC74" i="8"/>
  <c r="AS74" i="8"/>
  <c r="BE73" i="8"/>
  <c r="AU73" i="8"/>
  <c r="AQ73" i="8"/>
  <c r="BC72" i="8"/>
  <c r="AS72" i="8"/>
  <c r="BE71" i="8"/>
  <c r="AU71" i="8"/>
  <c r="AQ71" i="8"/>
  <c r="BC70" i="8"/>
  <c r="AS70" i="8"/>
  <c r="BE69" i="8"/>
  <c r="AU69" i="8"/>
  <c r="AQ69" i="8"/>
  <c r="BC68" i="8"/>
  <c r="AS68" i="8"/>
  <c r="BE67" i="8"/>
  <c r="AU67" i="8"/>
  <c r="AQ67" i="8"/>
  <c r="BC66" i="8"/>
  <c r="AS66" i="8"/>
  <c r="BE65" i="8"/>
  <c r="AU65" i="8"/>
  <c r="AQ65" i="8"/>
  <c r="BC64" i="8"/>
  <c r="AS64" i="8"/>
  <c r="BE63" i="8"/>
  <c r="AU63" i="8"/>
  <c r="AQ63" i="8"/>
  <c r="BC62" i="8"/>
  <c r="AS62" i="8"/>
  <c r="BE61" i="8"/>
  <c r="AU61" i="8"/>
  <c r="AQ61" i="8"/>
  <c r="BC60" i="8"/>
  <c r="AS60" i="8"/>
  <c r="BE59" i="8"/>
  <c r="AU59" i="8"/>
  <c r="AQ59" i="8"/>
  <c r="BC58" i="8"/>
  <c r="AS58" i="8"/>
  <c r="BF57" i="8"/>
  <c r="BD57" i="8"/>
  <c r="BB57" i="8"/>
  <c r="AT57" i="8"/>
  <c r="AR57" i="8"/>
  <c r="BF56" i="8"/>
  <c r="BD56" i="8"/>
  <c r="BB56" i="8"/>
  <c r="AT56" i="8"/>
  <c r="AR56" i="8"/>
  <c r="BF55" i="8"/>
  <c r="BD55" i="8"/>
  <c r="BB55" i="8"/>
  <c r="AT55" i="8"/>
  <c r="AR55" i="8"/>
  <c r="BF54" i="8"/>
  <c r="BD54" i="8"/>
  <c r="BB54" i="8"/>
  <c r="AT54" i="8"/>
  <c r="AR54" i="8"/>
  <c r="BF53" i="8"/>
  <c r="BD53" i="8"/>
  <c r="BB53" i="8"/>
  <c r="AT53" i="8"/>
  <c r="AR53" i="8"/>
  <c r="BF52" i="8"/>
  <c r="BD52" i="8"/>
  <c r="BB52" i="8"/>
  <c r="AT52" i="8"/>
  <c r="AR52" i="8"/>
  <c r="BF51" i="8"/>
  <c r="BD51" i="8"/>
  <c r="BB51" i="8"/>
  <c r="AT51" i="8"/>
  <c r="AR51" i="8"/>
  <c r="BF50" i="8"/>
  <c r="BD50" i="8"/>
  <c r="BB50" i="8"/>
  <c r="AT50" i="8"/>
  <c r="AR50" i="8"/>
  <c r="BF49" i="8"/>
  <c r="BD49" i="8"/>
  <c r="BB49" i="8"/>
  <c r="AT49" i="8"/>
  <c r="AR49" i="8"/>
  <c r="BF48" i="8"/>
  <c r="BD48" i="8"/>
  <c r="BB48" i="8"/>
  <c r="AT48" i="8"/>
  <c r="AR48" i="8"/>
  <c r="BF47" i="8"/>
  <c r="BD47" i="8"/>
  <c r="BB47" i="8"/>
  <c r="AT47" i="8"/>
  <c r="AR47" i="8"/>
  <c r="BF46" i="8"/>
  <c r="BD46" i="8"/>
  <c r="BB46" i="8"/>
  <c r="AT46" i="8"/>
  <c r="AR46" i="8"/>
  <c r="BF45" i="8"/>
  <c r="BD45" i="8"/>
  <c r="BB45" i="8"/>
  <c r="AT45" i="8"/>
  <c r="AR45" i="8"/>
  <c r="BF44" i="8"/>
  <c r="BD44" i="8"/>
  <c r="BB44" i="8"/>
  <c r="AT44" i="8"/>
  <c r="AR44" i="8"/>
  <c r="BF43" i="8"/>
  <c r="BD43" i="8"/>
  <c r="BB43" i="8"/>
  <c r="AT43" i="8"/>
  <c r="AR43" i="8"/>
  <c r="BF42" i="8"/>
  <c r="BD42" i="8"/>
  <c r="BB42" i="8"/>
  <c r="AT42" i="8"/>
  <c r="AR42" i="8"/>
  <c r="BF41" i="8"/>
  <c r="BD41" i="8"/>
  <c r="BB41" i="8"/>
  <c r="AT41" i="8"/>
  <c r="AR41" i="8"/>
  <c r="BF40" i="8"/>
  <c r="BD40" i="8"/>
  <c r="BB40" i="8"/>
  <c r="AT40" i="8"/>
  <c r="AR40" i="8"/>
  <c r="BF39" i="8"/>
  <c r="BD39" i="8"/>
  <c r="BB39" i="8"/>
  <c r="AT39" i="8"/>
  <c r="AR39" i="8"/>
  <c r="BF38" i="8"/>
  <c r="BD38" i="8"/>
  <c r="BB38" i="8"/>
  <c r="AT38" i="8"/>
  <c r="AR38" i="8"/>
  <c r="BF37" i="8"/>
  <c r="BD37" i="8"/>
  <c r="BB37" i="8"/>
  <c r="AT37" i="8"/>
  <c r="AR37" i="8"/>
  <c r="BF36" i="8"/>
  <c r="BD36" i="8"/>
  <c r="BB36" i="8"/>
  <c r="AT36" i="8"/>
  <c r="AR36" i="8"/>
  <c r="BF35" i="8"/>
  <c r="BD35" i="8"/>
  <c r="BB35" i="8"/>
  <c r="AT35" i="8"/>
  <c r="AR35" i="8"/>
  <c r="BF34" i="8"/>
  <c r="BD34" i="8"/>
  <c r="BB34" i="8"/>
  <c r="AT34" i="8"/>
  <c r="AR34" i="8"/>
  <c r="BF33" i="8"/>
  <c r="BD33" i="8"/>
  <c r="BB33" i="8"/>
  <c r="AT33" i="8"/>
  <c r="AR33" i="8"/>
  <c r="BF32" i="8"/>
  <c r="BD32" i="8"/>
  <c r="BB32" i="8"/>
  <c r="AT32" i="8"/>
  <c r="AR32" i="8"/>
  <c r="BF31" i="8"/>
  <c r="BD31" i="8"/>
  <c r="BB31" i="8"/>
  <c r="AT31" i="8"/>
  <c r="AR31" i="8"/>
  <c r="BF30" i="8"/>
  <c r="BD30" i="8"/>
  <c r="BB30" i="8"/>
  <c r="AT30" i="8"/>
  <c r="AR30" i="8"/>
  <c r="BF29" i="8"/>
  <c r="BD29" i="8"/>
  <c r="BB29" i="8"/>
  <c r="AT29" i="8"/>
  <c r="AR29" i="8"/>
  <c r="BF28" i="8"/>
  <c r="BD28" i="8"/>
  <c r="BB28" i="8"/>
  <c r="AT28" i="8"/>
  <c r="AR28" i="8"/>
  <c r="BF27" i="8"/>
  <c r="BD27" i="8"/>
  <c r="BB27" i="8"/>
  <c r="AT27" i="8"/>
  <c r="AR27" i="8"/>
  <c r="BF26" i="8"/>
  <c r="BD26" i="8"/>
  <c r="BB26" i="8"/>
  <c r="AT26" i="8"/>
  <c r="AR26" i="8"/>
  <c r="BF25" i="8"/>
  <c r="BD25" i="8"/>
  <c r="BB25" i="8"/>
  <c r="AT25" i="8"/>
  <c r="AR25" i="8"/>
  <c r="BF24" i="8"/>
  <c r="BD24" i="8"/>
  <c r="BB24" i="8"/>
  <c r="AT24" i="8"/>
  <c r="AR24" i="8"/>
  <c r="BF23" i="8"/>
  <c r="BD23" i="8"/>
  <c r="BB23" i="8"/>
  <c r="AT23" i="8"/>
  <c r="AR23" i="8"/>
  <c r="BF22" i="8"/>
  <c r="BD22" i="8"/>
  <c r="BB22" i="8"/>
  <c r="AT22" i="8"/>
  <c r="AR22" i="8"/>
  <c r="BF21" i="8"/>
  <c r="BD21" i="8"/>
  <c r="BB21" i="8"/>
  <c r="AT21" i="8"/>
  <c r="AR21" i="8"/>
  <c r="BF20" i="8"/>
  <c r="BD20" i="8"/>
  <c r="BB20" i="8"/>
  <c r="AT20" i="8"/>
  <c r="AR20" i="8"/>
  <c r="BF19" i="8"/>
  <c r="BD19" i="8"/>
  <c r="BB19" i="8"/>
  <c r="AT19" i="8"/>
  <c r="AR19" i="8"/>
  <c r="BF18" i="8"/>
  <c r="BD18" i="8"/>
  <c r="BB18" i="8"/>
  <c r="AT18" i="8"/>
  <c r="AR18" i="8"/>
  <c r="BF17" i="8"/>
  <c r="BD17" i="8"/>
  <c r="BB17" i="8"/>
  <c r="AT17" i="8"/>
  <c r="AR17" i="8"/>
  <c r="BF16" i="8"/>
  <c r="BD16" i="8"/>
  <c r="BB16" i="8"/>
  <c r="AT16" i="8"/>
  <c r="AR16" i="8"/>
  <c r="BF15" i="8"/>
  <c r="BD15" i="8"/>
  <c r="BB15" i="8"/>
  <c r="AT15" i="8"/>
  <c r="AR15" i="8"/>
  <c r="BF14" i="8"/>
  <c r="BD14" i="8"/>
  <c r="BB14" i="8"/>
  <c r="AT14" i="8"/>
  <c r="AR14" i="8"/>
  <c r="BE250" i="8"/>
  <c r="BC247" i="8"/>
  <c r="AU244" i="8"/>
  <c r="AS241" i="8"/>
  <c r="AQ238" i="8"/>
  <c r="BF235" i="8"/>
  <c r="AT234" i="8"/>
  <c r="BD232" i="8"/>
  <c r="AR231" i="8"/>
  <c r="BB229" i="8"/>
  <c r="BF227" i="8"/>
  <c r="AT226" i="8"/>
  <c r="BD224" i="8"/>
  <c r="AR223" i="8"/>
  <c r="BB221" i="8"/>
  <c r="BF219" i="8"/>
  <c r="AT218" i="8"/>
  <c r="BD216" i="8"/>
  <c r="AR215" i="8"/>
  <c r="BB213" i="8"/>
  <c r="BF211" i="8"/>
  <c r="BF210" i="8"/>
  <c r="AR210" i="8"/>
  <c r="AT209" i="8"/>
  <c r="BB208" i="8"/>
  <c r="BD207" i="8"/>
  <c r="BF206" i="8"/>
  <c r="AR206" i="8"/>
  <c r="AT205" i="8"/>
  <c r="BB204" i="8"/>
  <c r="BD203" i="8"/>
  <c r="BF202" i="8"/>
  <c r="AR202" i="8"/>
  <c r="AT201" i="8"/>
  <c r="BB200" i="8"/>
  <c r="BD199" i="8"/>
  <c r="BF198" i="8"/>
  <c r="AR198" i="8"/>
  <c r="AT197" i="8"/>
  <c r="BB196" i="8"/>
  <c r="BD195" i="8"/>
  <c r="BF194" i="8"/>
  <c r="AR194" i="8"/>
  <c r="AT193" i="8"/>
  <c r="BD191" i="8"/>
  <c r="BF190" i="8"/>
  <c r="AR190" i="8"/>
  <c r="AT189" i="8"/>
  <c r="BD187" i="8"/>
  <c r="BF186" i="8"/>
  <c r="AR186" i="8"/>
  <c r="AT185" i="8"/>
  <c r="BD183" i="8"/>
  <c r="BF182" i="8"/>
  <c r="AR182" i="8"/>
  <c r="AT181" i="8"/>
  <c r="BD179" i="8"/>
  <c r="BF178" i="8"/>
  <c r="AR178" i="8"/>
  <c r="AT177" i="8"/>
  <c r="BD175" i="8"/>
  <c r="BF174" i="8"/>
  <c r="AR174" i="8"/>
  <c r="AT173" i="8"/>
  <c r="BB172" i="8"/>
  <c r="BD171" i="8"/>
  <c r="BF170" i="8"/>
  <c r="AR170" i="8"/>
  <c r="AT169" i="8"/>
  <c r="BB168" i="8"/>
  <c r="BD167" i="8"/>
  <c r="BF166" i="8"/>
  <c r="AR166" i="8"/>
  <c r="AT165" i="8"/>
  <c r="BB164" i="8"/>
  <c r="BD163" i="8"/>
  <c r="BF162" i="8"/>
  <c r="AR162" i="8"/>
  <c r="AT161" i="8"/>
  <c r="BB160" i="8"/>
  <c r="AQ160" i="8"/>
  <c r="BC159" i="8"/>
  <c r="AS159" i="8"/>
  <c r="BE158" i="8"/>
  <c r="AU158" i="8"/>
  <c r="AQ158" i="8"/>
  <c r="BC157" i="8"/>
  <c r="AS157" i="8"/>
  <c r="BE156" i="8"/>
  <c r="AU156" i="8"/>
  <c r="AQ156" i="8"/>
  <c r="BC155" i="8"/>
  <c r="AS155" i="8"/>
  <c r="BE154" i="8"/>
  <c r="AU154" i="8"/>
  <c r="AQ154" i="8"/>
  <c r="BC153" i="8"/>
  <c r="AS153" i="8"/>
  <c r="BE152" i="8"/>
  <c r="AU152" i="8"/>
  <c r="AQ152" i="8"/>
  <c r="BC151" i="8"/>
  <c r="AS151" i="8"/>
  <c r="BE150" i="8"/>
  <c r="AU150" i="8"/>
  <c r="AQ150" i="8"/>
  <c r="BC149" i="8"/>
  <c r="AS149" i="8"/>
  <c r="BE148" i="8"/>
  <c r="AU148" i="8"/>
  <c r="AQ148" i="8"/>
  <c r="BC147" i="8"/>
  <c r="AS147" i="8"/>
  <c r="BE146" i="8"/>
  <c r="AU146" i="8"/>
  <c r="AQ146" i="8"/>
  <c r="BC145" i="8"/>
  <c r="AS145" i="8"/>
  <c r="BE144" i="8"/>
  <c r="AU144" i="8"/>
  <c r="AQ144" i="8"/>
  <c r="BC143" i="8"/>
  <c r="AS143" i="8"/>
  <c r="BE142" i="8"/>
  <c r="AU142" i="8"/>
  <c r="AQ142" i="8"/>
  <c r="BC141" i="8"/>
  <c r="AS141" i="8"/>
  <c r="BE140" i="8"/>
  <c r="AU140" i="8"/>
  <c r="AQ140" i="8"/>
  <c r="BC139" i="8"/>
  <c r="AS139" i="8"/>
  <c r="BE138" i="8"/>
  <c r="AU138" i="8"/>
  <c r="AQ138" i="8"/>
  <c r="BC137" i="8"/>
  <c r="AS137" i="8"/>
  <c r="BE136" i="8"/>
  <c r="AU136" i="8"/>
  <c r="AQ136" i="8"/>
  <c r="BC135" i="8"/>
  <c r="AS135" i="8"/>
  <c r="BE134" i="8"/>
  <c r="AU134" i="8"/>
  <c r="AQ134" i="8"/>
  <c r="BC133" i="8"/>
  <c r="AS133" i="8"/>
  <c r="BE132" i="8"/>
  <c r="AU132" i="8"/>
  <c r="AQ132" i="8"/>
  <c r="BC131" i="8"/>
  <c r="AS131" i="8"/>
  <c r="BE130" i="8"/>
  <c r="AU130" i="8"/>
  <c r="AQ130" i="8"/>
  <c r="BC129" i="8"/>
  <c r="AS129" i="8"/>
  <c r="BE128" i="8"/>
  <c r="AU128" i="8"/>
  <c r="AQ128" i="8"/>
  <c r="BC127" i="8"/>
  <c r="AS127" i="8"/>
  <c r="BE126" i="8"/>
  <c r="AU126" i="8"/>
  <c r="AQ126" i="8"/>
  <c r="BC125" i="8"/>
  <c r="AS125" i="8"/>
  <c r="BE124" i="8"/>
  <c r="AU124" i="8"/>
  <c r="AQ124" i="8"/>
  <c r="BC123" i="8"/>
  <c r="AS123" i="8"/>
  <c r="BE122" i="8"/>
  <c r="AU122" i="8"/>
  <c r="AQ122" i="8"/>
  <c r="BC121" i="8"/>
  <c r="AS121" i="8"/>
  <c r="BE120" i="8"/>
  <c r="AU120" i="8"/>
  <c r="AQ120" i="8"/>
  <c r="BC119" i="8"/>
  <c r="AS119" i="8"/>
  <c r="BE118" i="8"/>
  <c r="AU118" i="8"/>
  <c r="AQ118" i="8"/>
  <c r="BC117" i="8"/>
  <c r="AS117" i="8"/>
  <c r="BE116" i="8"/>
  <c r="AU116" i="8"/>
  <c r="AQ116" i="8"/>
  <c r="BC115" i="8"/>
  <c r="AS115" i="8"/>
  <c r="BE114" i="8"/>
  <c r="AU114" i="8"/>
  <c r="AQ114" i="8"/>
  <c r="BC113" i="8"/>
  <c r="AS113" i="8"/>
  <c r="BE112" i="8"/>
  <c r="AU112" i="8"/>
  <c r="AQ112" i="8"/>
  <c r="BC111" i="8"/>
  <c r="AS111" i="8"/>
  <c r="BE110" i="8"/>
  <c r="AU110" i="8"/>
  <c r="AQ110" i="8"/>
  <c r="BC109" i="8"/>
  <c r="AS109" i="8"/>
  <c r="BE108" i="8"/>
  <c r="AU108" i="8"/>
  <c r="AQ108" i="8"/>
  <c r="BC107" i="8"/>
  <c r="AS107" i="8"/>
  <c r="BE106" i="8"/>
  <c r="AU106" i="8"/>
  <c r="AQ106" i="8"/>
  <c r="BC105" i="8"/>
  <c r="AS105" i="8"/>
  <c r="BE104" i="8"/>
  <c r="AU104" i="8"/>
  <c r="AQ104" i="8"/>
  <c r="BC103" i="8"/>
  <c r="AS103" i="8"/>
  <c r="BE102" i="8"/>
  <c r="AU102" i="8"/>
  <c r="AQ102" i="8"/>
  <c r="BC101" i="8"/>
  <c r="AS101" i="8"/>
  <c r="BE100" i="8"/>
  <c r="AU100" i="8"/>
  <c r="AQ100" i="8"/>
  <c r="BC99" i="8"/>
  <c r="AS99" i="8"/>
  <c r="BE98" i="8"/>
  <c r="AU98" i="8"/>
  <c r="AQ98" i="8"/>
  <c r="BC97" i="8"/>
  <c r="AS97" i="8"/>
  <c r="BE96" i="8"/>
  <c r="AU96" i="8"/>
  <c r="AQ96" i="8"/>
  <c r="BC95" i="8"/>
  <c r="AS95" i="8"/>
  <c r="BE94" i="8"/>
  <c r="AU94" i="8"/>
  <c r="AQ94" i="8"/>
  <c r="BC93" i="8"/>
  <c r="AS93" i="8"/>
  <c r="BE92" i="8"/>
  <c r="AU92" i="8"/>
  <c r="AQ92" i="8"/>
  <c r="BC91" i="8"/>
  <c r="AS91" i="8"/>
  <c r="BE90" i="8"/>
  <c r="AU90" i="8"/>
  <c r="AQ90" i="8"/>
  <c r="BC89" i="8"/>
  <c r="AS89" i="8"/>
  <c r="BE88" i="8"/>
  <c r="AU88" i="8"/>
  <c r="AQ88" i="8"/>
  <c r="BC87" i="8"/>
  <c r="AS87" i="8"/>
  <c r="BE86" i="8"/>
  <c r="AU86" i="8"/>
  <c r="AQ86" i="8"/>
  <c r="BC85" i="8"/>
  <c r="AS85" i="8"/>
  <c r="BE84" i="8"/>
  <c r="AU84" i="8"/>
  <c r="AQ84" i="8"/>
  <c r="BC83" i="8"/>
  <c r="AS83" i="8"/>
  <c r="BE82" i="8"/>
  <c r="AU82" i="8"/>
  <c r="AQ82" i="8"/>
  <c r="BC81" i="8"/>
  <c r="AS81" i="8"/>
  <c r="BE80" i="8"/>
  <c r="AU80" i="8"/>
  <c r="AQ80" i="8"/>
  <c r="BC79" i="8"/>
  <c r="AS79" i="8"/>
  <c r="BE78" i="8"/>
  <c r="AU78" i="8"/>
  <c r="AQ78" i="8"/>
  <c r="BC77" i="8"/>
  <c r="AS77" i="8"/>
  <c r="BE76" i="8"/>
  <c r="AU76" i="8"/>
  <c r="AQ76" i="8"/>
  <c r="BC75" i="8"/>
  <c r="AS75" i="8"/>
  <c r="BE74" i="8"/>
  <c r="AU74" i="8"/>
  <c r="AQ74" i="8"/>
  <c r="BC73" i="8"/>
  <c r="AS73" i="8"/>
  <c r="BE72" i="8"/>
  <c r="AU72" i="8"/>
  <c r="AQ72" i="8"/>
  <c r="BC71" i="8"/>
  <c r="AS71" i="8"/>
  <c r="BE70" i="8"/>
  <c r="AU70" i="8"/>
  <c r="AQ70" i="8"/>
  <c r="BC69" i="8"/>
  <c r="AS69" i="8"/>
  <c r="BE68" i="8"/>
  <c r="AU68" i="8"/>
  <c r="AQ68" i="8"/>
  <c r="BC67" i="8"/>
  <c r="AS67" i="8"/>
  <c r="BE66" i="8"/>
  <c r="AU66" i="8"/>
  <c r="AQ66" i="8"/>
  <c r="BC65" i="8"/>
  <c r="AS65" i="8"/>
  <c r="BE64" i="8"/>
  <c r="AU64" i="8"/>
  <c r="AQ64" i="8"/>
  <c r="BC63" i="8"/>
  <c r="AS63" i="8"/>
  <c r="BE62" i="8"/>
  <c r="AU62" i="8"/>
  <c r="AQ62" i="8"/>
  <c r="BC61" i="8"/>
  <c r="AS61" i="8"/>
  <c r="BE60" i="8"/>
  <c r="AU60" i="8"/>
  <c r="AQ60" i="8"/>
  <c r="BC59" i="8"/>
  <c r="AS59" i="8"/>
  <c r="BE58" i="8"/>
  <c r="AU58" i="8"/>
  <c r="AQ58" i="8"/>
  <c r="BE57" i="8"/>
  <c r="BC57" i="8"/>
  <c r="AU57" i="8"/>
  <c r="AS57" i="8"/>
  <c r="AQ57" i="8"/>
  <c r="BE56" i="8"/>
  <c r="BC56" i="8"/>
  <c r="AU56" i="8"/>
  <c r="AS56" i="8"/>
  <c r="AQ56" i="8"/>
  <c r="BE55" i="8"/>
  <c r="BC55" i="8"/>
  <c r="AU55" i="8"/>
  <c r="AS55" i="8"/>
  <c r="AQ55" i="8"/>
  <c r="BE54" i="8"/>
  <c r="BC54" i="8"/>
  <c r="AU54" i="8"/>
  <c r="AS54" i="8"/>
  <c r="AQ54" i="8"/>
  <c r="BE53" i="8"/>
  <c r="BC53" i="8"/>
  <c r="AU53" i="8"/>
  <c r="AS53" i="8"/>
  <c r="AQ53" i="8"/>
  <c r="BE52" i="8"/>
  <c r="BC52" i="8"/>
  <c r="AU52" i="8"/>
  <c r="AS52" i="8"/>
  <c r="AQ52" i="8"/>
  <c r="BE51" i="8"/>
  <c r="BC51" i="8"/>
  <c r="AU51" i="8"/>
  <c r="AS51" i="8"/>
  <c r="AQ51" i="8"/>
  <c r="BE50" i="8"/>
  <c r="BC50" i="8"/>
  <c r="AU50" i="8"/>
  <c r="AS50" i="8"/>
  <c r="AQ50" i="8"/>
  <c r="BE49" i="8"/>
  <c r="BC49" i="8"/>
  <c r="AU49" i="8"/>
  <c r="AS49" i="8"/>
  <c r="AQ49" i="8"/>
  <c r="BE48" i="8"/>
  <c r="BC48" i="8"/>
  <c r="AU48" i="8"/>
  <c r="AS48" i="8"/>
  <c r="AQ48" i="8"/>
  <c r="BE47" i="8"/>
  <c r="BC47" i="8"/>
  <c r="AU47" i="8"/>
  <c r="AS47" i="8"/>
  <c r="AQ47" i="8"/>
  <c r="BE46" i="8"/>
  <c r="BC46" i="8"/>
  <c r="AU46" i="8"/>
  <c r="AS46" i="8"/>
  <c r="AQ46" i="8"/>
  <c r="BE45" i="8"/>
  <c r="BC45" i="8"/>
  <c r="AU45" i="8"/>
  <c r="AS45" i="8"/>
  <c r="AQ45" i="8"/>
  <c r="BE44" i="8"/>
  <c r="BC44" i="8"/>
  <c r="AU44" i="8"/>
  <c r="AS44" i="8"/>
  <c r="AQ44" i="8"/>
  <c r="BE43" i="8"/>
  <c r="BC43" i="8"/>
  <c r="AU43" i="8"/>
  <c r="AS43" i="8"/>
  <c r="AQ43" i="8"/>
  <c r="BE42" i="8"/>
  <c r="BC42" i="8"/>
  <c r="AU42" i="8"/>
  <c r="AS42" i="8"/>
  <c r="AQ42" i="8"/>
  <c r="BE41" i="8"/>
  <c r="BC41" i="8"/>
  <c r="AU41" i="8"/>
  <c r="AS41" i="8"/>
  <c r="AQ41" i="8"/>
  <c r="BE40" i="8"/>
  <c r="BC40" i="8"/>
  <c r="AU40" i="8"/>
  <c r="AS40" i="8"/>
  <c r="AQ40" i="8"/>
  <c r="BE39" i="8"/>
  <c r="BC39" i="8"/>
  <c r="AU39" i="8"/>
  <c r="AS39" i="8"/>
  <c r="AQ39" i="8"/>
  <c r="BE38" i="8"/>
  <c r="BC38" i="8"/>
  <c r="AU38" i="8"/>
  <c r="AS38" i="8"/>
  <c r="AQ38" i="8"/>
  <c r="BE37" i="8"/>
  <c r="BC37" i="8"/>
  <c r="AU37" i="8"/>
  <c r="AS37" i="8"/>
  <c r="AQ37" i="8"/>
  <c r="BE36" i="8"/>
  <c r="BC36" i="8"/>
  <c r="AU36" i="8"/>
  <c r="AS36" i="8"/>
  <c r="AQ36" i="8"/>
  <c r="BE35" i="8"/>
  <c r="BC35" i="8"/>
  <c r="AU35" i="8"/>
  <c r="AS35" i="8"/>
  <c r="AQ35" i="8"/>
  <c r="BE34" i="8"/>
  <c r="BC34" i="8"/>
  <c r="AU34" i="8"/>
  <c r="AS34" i="8"/>
  <c r="AQ34" i="8"/>
  <c r="BE33" i="8"/>
  <c r="BC33" i="8"/>
  <c r="AU33" i="8"/>
  <c r="AS33" i="8"/>
  <c r="AQ33" i="8"/>
  <c r="BE32" i="8"/>
  <c r="BC32" i="8"/>
  <c r="AU32" i="8"/>
  <c r="AS32" i="8"/>
  <c r="AQ32" i="8"/>
  <c r="BE31" i="8"/>
  <c r="BC31" i="8"/>
  <c r="AU31" i="8"/>
  <c r="AS31" i="8"/>
  <c r="AQ31" i="8"/>
  <c r="BE30" i="8"/>
  <c r="BC30" i="8"/>
  <c r="AU30" i="8"/>
  <c r="AS30" i="8"/>
  <c r="AQ30" i="8"/>
  <c r="BE29" i="8"/>
  <c r="BC29" i="8"/>
  <c r="AU29" i="8"/>
  <c r="AS29" i="8"/>
  <c r="AQ29" i="8"/>
  <c r="BE28" i="8"/>
  <c r="BC28" i="8"/>
  <c r="AU28" i="8"/>
  <c r="AS28" i="8"/>
  <c r="AQ28" i="8"/>
  <c r="BE27" i="8"/>
  <c r="BC27" i="8"/>
  <c r="AU27" i="8"/>
  <c r="AS27" i="8"/>
  <c r="AQ27" i="8"/>
  <c r="BE26" i="8"/>
  <c r="BC26" i="8"/>
  <c r="AU26" i="8"/>
  <c r="AS26" i="8"/>
  <c r="AQ26" i="8"/>
  <c r="BE25" i="8"/>
  <c r="BC25" i="8"/>
  <c r="AU25" i="8"/>
  <c r="AS25" i="8"/>
  <c r="AQ25" i="8"/>
  <c r="BE24" i="8"/>
  <c r="BC24" i="8"/>
  <c r="AU24" i="8"/>
  <c r="AS24" i="8"/>
  <c r="AQ24" i="8"/>
  <c r="BE23" i="8"/>
  <c r="BC23" i="8"/>
  <c r="AU23" i="8"/>
  <c r="AS23" i="8"/>
  <c r="AQ23" i="8"/>
  <c r="BE22" i="8"/>
  <c r="BC22" i="8"/>
  <c r="AU22" i="8"/>
  <c r="AS22" i="8"/>
  <c r="AQ22" i="8"/>
  <c r="BE21" i="8"/>
  <c r="BC21" i="8"/>
  <c r="AU21" i="8"/>
  <c r="AS21" i="8"/>
  <c r="AQ21" i="8"/>
  <c r="BE20" i="8"/>
  <c r="BC20" i="8"/>
  <c r="AU20" i="8"/>
  <c r="AS20" i="8"/>
  <c r="AQ20" i="8"/>
  <c r="BE19" i="8"/>
  <c r="BC19" i="8"/>
  <c r="AU19" i="8"/>
  <c r="AS19" i="8"/>
  <c r="AQ19" i="8"/>
  <c r="BE18" i="8"/>
  <c r="BC18" i="8"/>
  <c r="AU18" i="8"/>
  <c r="AS18" i="8"/>
  <c r="AQ18" i="8"/>
  <c r="BE17" i="8"/>
  <c r="BC17" i="8"/>
  <c r="AU17" i="8"/>
  <c r="AS17" i="8"/>
  <c r="AQ17" i="8"/>
  <c r="BE16" i="8"/>
  <c r="BC16" i="8"/>
  <c r="AU16" i="8"/>
  <c r="AS16" i="8"/>
  <c r="AQ16" i="8"/>
  <c r="BE15" i="8"/>
  <c r="BC15" i="8"/>
  <c r="AU15" i="8"/>
  <c r="AS15" i="8"/>
  <c r="AQ15" i="8"/>
  <c r="BE14" i="8"/>
  <c r="BC14" i="8"/>
  <c r="AU14" i="8"/>
  <c r="AS14" i="8"/>
  <c r="AQ14" i="8"/>
  <c r="AP28" i="4"/>
  <c r="G32" i="4" s="1"/>
  <c r="G37" i="4" s="1"/>
  <c r="M57" i="12"/>
  <c r="M42" i="12"/>
  <c r="T10" i="12"/>
  <c r="AT12" i="12"/>
  <c r="L31" i="12" s="1"/>
  <c r="AR12" i="12"/>
  <c r="H31" i="12" s="1"/>
  <c r="AP12" i="12"/>
  <c r="O31" i="12" s="1"/>
  <c r="Z11" i="12" s="1"/>
  <c r="L24" i="12"/>
  <c r="H24" i="12"/>
  <c r="AS12" i="12"/>
  <c r="J31" i="12" s="1"/>
  <c r="AQ12" i="12"/>
  <c r="F31" i="12" s="1"/>
  <c r="O24" i="12"/>
  <c r="J24" i="12"/>
  <c r="F24" i="12"/>
  <c r="M49" i="12"/>
  <c r="S49" i="12" s="1"/>
  <c r="R10" i="12"/>
  <c r="P49" i="12"/>
  <c r="X10" i="12"/>
  <c r="L42" i="8"/>
  <c r="R10" i="11"/>
  <c r="M49" i="11"/>
  <c r="T10" i="11"/>
  <c r="M57" i="11"/>
  <c r="M42" i="11"/>
  <c r="J33" i="11"/>
  <c r="F33" i="11"/>
  <c r="M33" i="11"/>
  <c r="Z11" i="11" s="1"/>
  <c r="J28" i="11"/>
  <c r="M28" i="11"/>
  <c r="H33" i="11"/>
  <c r="H28" i="11"/>
  <c r="F28" i="11"/>
  <c r="AR57" i="9"/>
  <c r="AR58" i="9" s="1"/>
  <c r="AR59" i="9" s="1"/>
  <c r="AR60" i="9" s="1"/>
  <c r="BA60" i="9" s="1"/>
  <c r="AP57" i="9"/>
  <c r="AP58" i="9" s="1"/>
  <c r="AP59" i="9" s="1"/>
  <c r="AP60" i="9" s="1"/>
  <c r="AY60" i="9" s="1"/>
  <c r="AN57" i="9"/>
  <c r="AN58" i="9" s="1"/>
  <c r="AN59" i="9" s="1"/>
  <c r="AN60" i="9" s="1"/>
  <c r="AW60" i="9" s="1"/>
  <c r="AL57" i="9"/>
  <c r="AL58" i="9" s="1"/>
  <c r="AL59" i="9" s="1"/>
  <c r="AL60" i="9" s="1"/>
  <c r="AU60" i="9" s="1"/>
  <c r="AJ57" i="9"/>
  <c r="AJ58" i="9" s="1"/>
  <c r="AJ59" i="9" s="1"/>
  <c r="AJ60" i="9" s="1"/>
  <c r="AS60" i="9" s="1"/>
  <c r="AJ6" i="8"/>
  <c r="V53" i="8"/>
  <c r="AJ5" i="8"/>
  <c r="V45" i="8"/>
  <c r="AS9" i="8"/>
  <c r="N29" i="8" s="1"/>
  <c r="AQ9" i="8"/>
  <c r="J29" i="8" s="1"/>
  <c r="AS8" i="8"/>
  <c r="N28" i="8" s="1"/>
  <c r="AQ8" i="8"/>
  <c r="J28" i="8" s="1"/>
  <c r="AP8" i="8"/>
  <c r="H28" i="8" s="1"/>
  <c r="AT9" i="8"/>
  <c r="P29" i="8" s="1"/>
  <c r="AR9" i="8"/>
  <c r="L29" i="8" s="1"/>
  <c r="AT8" i="8"/>
  <c r="P28" i="8" s="1"/>
  <c r="AR8" i="8"/>
  <c r="L28" i="8" s="1"/>
  <c r="AP9" i="8"/>
  <c r="H29" i="8" s="1"/>
  <c r="AQ10" i="7"/>
  <c r="AO10" i="7"/>
  <c r="M29" i="7" s="1"/>
  <c r="AQ9" i="7"/>
  <c r="AO9" i="7"/>
  <c r="M28" i="7" s="1"/>
  <c r="AM10" i="7"/>
  <c r="AP10" i="7"/>
  <c r="O29" i="7" s="1"/>
  <c r="AN10" i="7"/>
  <c r="K29" i="7" s="1"/>
  <c r="AP9" i="7"/>
  <c r="O28" i="7" s="1"/>
  <c r="AN9" i="7"/>
  <c r="K28" i="7" s="1"/>
  <c r="AM9" i="7"/>
  <c r="AK26" i="6"/>
  <c r="AI26" i="6" s="1"/>
  <c r="AN25" i="6"/>
  <c r="AL25" i="6"/>
  <c r="AN23" i="6"/>
  <c r="AL23" i="6"/>
  <c r="AK25" i="6"/>
  <c r="AI25" i="6" s="1"/>
  <c r="AK23" i="6"/>
  <c r="AI23" i="6" s="1"/>
  <c r="AO25" i="6"/>
  <c r="AM25" i="6"/>
  <c r="AM23" i="6"/>
  <c r="AO23" i="6"/>
  <c r="AK24" i="6"/>
  <c r="AI24" i="6" s="1"/>
  <c r="AO20" i="6"/>
  <c r="AM20" i="6"/>
  <c r="AM18" i="6"/>
  <c r="AO18" i="6"/>
  <c r="AN20" i="6"/>
  <c r="AL20" i="6"/>
  <c r="AN18" i="6"/>
  <c r="AL18" i="6"/>
  <c r="AK18" i="6"/>
  <c r="AI18" i="6" s="1"/>
  <c r="AK20" i="6"/>
  <c r="AI20" i="6" s="1"/>
  <c r="AK19" i="6"/>
  <c r="AI19" i="6" s="1"/>
  <c r="AK22" i="6"/>
  <c r="AI22" i="6" s="1"/>
  <c r="AK21" i="6"/>
  <c r="AI21" i="6" s="1"/>
  <c r="AK17" i="6"/>
  <c r="AI17" i="6" s="1"/>
  <c r="AR28" i="4"/>
  <c r="K32" i="4" s="1"/>
  <c r="AS28" i="4"/>
  <c r="M32" i="4" s="1"/>
  <c r="U49" i="4" s="1"/>
  <c r="AQ28" i="4"/>
  <c r="I32" i="4" s="1"/>
  <c r="I37" i="4" s="1"/>
  <c r="W27" i="10"/>
  <c r="S22" i="10" s="1"/>
  <c r="U22" i="10" s="1"/>
  <c r="AY58" i="9" l="1"/>
  <c r="AU57" i="9"/>
  <c r="Z14" i="14"/>
  <c r="AM36" i="14"/>
  <c r="J44" i="14" s="1"/>
  <c r="AM37" i="14"/>
  <c r="AO37" i="14"/>
  <c r="AO36" i="14"/>
  <c r="AL36" i="5" s="1"/>
  <c r="AU59" i="9"/>
  <c r="AY57" i="9"/>
  <c r="AS59" i="9"/>
  <c r="AS57" i="9"/>
  <c r="BA58" i="9"/>
  <c r="AW57" i="9"/>
  <c r="BA59" i="9"/>
  <c r="BA57" i="9"/>
  <c r="AW59" i="9"/>
  <c r="AS58" i="9"/>
  <c r="AW58" i="9"/>
  <c r="AU58" i="9"/>
  <c r="AY59" i="9"/>
  <c r="K37" i="4"/>
  <c r="O49" i="4" s="1"/>
  <c r="AM68" i="14"/>
  <c r="AM54" i="14"/>
  <c r="H29" i="7"/>
  <c r="P24" i="10"/>
  <c r="Q19" i="14" s="1"/>
  <c r="M28" i="6"/>
  <c r="M48" i="12"/>
  <c r="S48" i="12" s="1"/>
  <c r="R11" i="12"/>
  <c r="P48" i="12"/>
  <c r="X11" i="12"/>
  <c r="L43" i="12"/>
  <c r="V11" i="12"/>
  <c r="W43" i="12"/>
  <c r="M41" i="12"/>
  <c r="T11" i="12"/>
  <c r="M56" i="12"/>
  <c r="V11" i="11"/>
  <c r="W43" i="11"/>
  <c r="L43" i="11"/>
  <c r="T11" i="11"/>
  <c r="M56" i="11"/>
  <c r="M41" i="11"/>
  <c r="R11" i="11"/>
  <c r="M48" i="11"/>
  <c r="H28" i="7"/>
  <c r="I28" i="6"/>
  <c r="K28" i="6"/>
  <c r="G28" i="6"/>
  <c r="E49" i="4"/>
  <c r="Z10" i="4"/>
  <c r="I49" i="4"/>
  <c r="P44" i="14" l="1"/>
  <c r="P51" i="14" s="1"/>
  <c r="FT12" i="14" s="1"/>
  <c r="L44" i="14"/>
  <c r="L51" i="14" s="1"/>
  <c r="FR12" i="14" s="1"/>
  <c r="J51" i="14"/>
  <c r="FQ12" i="14" s="1"/>
  <c r="N44" i="14"/>
  <c r="N51" i="14" s="1"/>
  <c r="FS12" i="14" s="1"/>
  <c r="Y26" i="5"/>
  <c r="AL43" i="5"/>
  <c r="X10" i="4"/>
  <c r="T10" i="4"/>
  <c r="V10" i="4"/>
  <c r="Y30" i="5" l="1"/>
  <c r="AU15" i="5"/>
  <c r="AS10" i="5" s="1"/>
  <c r="AU16" i="5"/>
  <c r="AU18" i="5"/>
  <c r="AU17" i="5"/>
  <c r="AU14" i="5"/>
  <c r="Z17" i="7"/>
  <c r="Z17" i="6"/>
  <c r="AQ16" i="6" s="1"/>
  <c r="AS4" i="9"/>
  <c r="AS26" i="5" l="1"/>
  <c r="M38" i="5" s="1"/>
  <c r="M35" i="5"/>
  <c r="AS25" i="5"/>
  <c r="J32" i="9"/>
  <c r="BD5" i="9"/>
  <c r="J36" i="9" s="1"/>
  <c r="BD6" i="9"/>
  <c r="J37" i="9" s="1"/>
  <c r="BI227" i="7"/>
  <c r="BG227" i="7"/>
  <c r="BE227" i="7"/>
  <c r="AU227" i="7"/>
  <c r="AS227" i="7"/>
  <c r="BI226" i="7"/>
  <c r="BG226" i="7"/>
  <c r="BE226" i="7"/>
  <c r="AU226" i="7"/>
  <c r="AS226" i="7"/>
  <c r="BI225" i="7"/>
  <c r="BG225" i="7"/>
  <c r="BE225" i="7"/>
  <c r="AU225" i="7"/>
  <c r="AS225" i="7"/>
  <c r="BI224" i="7"/>
  <c r="BG224" i="7"/>
  <c r="BE224" i="7"/>
  <c r="AU224" i="7"/>
  <c r="AS224" i="7"/>
  <c r="BI223" i="7"/>
  <c r="BG223" i="7"/>
  <c r="BE223" i="7"/>
  <c r="AU223" i="7"/>
  <c r="AS223" i="7"/>
  <c r="BI222" i="7"/>
  <c r="BG222" i="7"/>
  <c r="BE222" i="7"/>
  <c r="AU222" i="7"/>
  <c r="AS222" i="7"/>
  <c r="BI221" i="7"/>
  <c r="BG221" i="7"/>
  <c r="BE221" i="7"/>
  <c r="AU221" i="7"/>
  <c r="AS221" i="7"/>
  <c r="BI220" i="7"/>
  <c r="BG220" i="7"/>
  <c r="BE220" i="7"/>
  <c r="AU220" i="7"/>
  <c r="AS220" i="7"/>
  <c r="BI219" i="7"/>
  <c r="BG219" i="7"/>
  <c r="BE219" i="7"/>
  <c r="AU219" i="7"/>
  <c r="AS219" i="7"/>
  <c r="BI218" i="7"/>
  <c r="BG218" i="7"/>
  <c r="BE218" i="7"/>
  <c r="AU218" i="7"/>
  <c r="AS218" i="7"/>
  <c r="BI217" i="7"/>
  <c r="BG217" i="7"/>
  <c r="BE217" i="7"/>
  <c r="AU217" i="7"/>
  <c r="AS217" i="7"/>
  <c r="BI216" i="7"/>
  <c r="BG216" i="7"/>
  <c r="BE216" i="7"/>
  <c r="AU216" i="7"/>
  <c r="AS216" i="7"/>
  <c r="BI215" i="7"/>
  <c r="BG215" i="7"/>
  <c r="BE215" i="7"/>
  <c r="AU215" i="7"/>
  <c r="AS215" i="7"/>
  <c r="BI214" i="7"/>
  <c r="BG214" i="7"/>
  <c r="BE214" i="7"/>
  <c r="AU214" i="7"/>
  <c r="AS214" i="7"/>
  <c r="BI213" i="7"/>
  <c r="BG213" i="7"/>
  <c r="BE213" i="7"/>
  <c r="AU213" i="7"/>
  <c r="AS213" i="7"/>
  <c r="BI212" i="7"/>
  <c r="BG212" i="7"/>
  <c r="BE212" i="7"/>
  <c r="AU212" i="7"/>
  <c r="AS212" i="7"/>
  <c r="BI211" i="7"/>
  <c r="BG211" i="7"/>
  <c r="BE211" i="7"/>
  <c r="AU211" i="7"/>
  <c r="AS211" i="7"/>
  <c r="BH227" i="7"/>
  <c r="AV227" i="7"/>
  <c r="AR227" i="7"/>
  <c r="BF226" i="7"/>
  <c r="AT226" i="7"/>
  <c r="BH225" i="7"/>
  <c r="AV225" i="7"/>
  <c r="AR225" i="7"/>
  <c r="BF224" i="7"/>
  <c r="AT224" i="7"/>
  <c r="BH223" i="7"/>
  <c r="AV223" i="7"/>
  <c r="AR223" i="7"/>
  <c r="BF222" i="7"/>
  <c r="AT222" i="7"/>
  <c r="BH221" i="7"/>
  <c r="AV221" i="7"/>
  <c r="AR221" i="7"/>
  <c r="BF220" i="7"/>
  <c r="AT220" i="7"/>
  <c r="BH219" i="7"/>
  <c r="AV219" i="7"/>
  <c r="AR219" i="7"/>
  <c r="BF218" i="7"/>
  <c r="AT218" i="7"/>
  <c r="BH217" i="7"/>
  <c r="AV217" i="7"/>
  <c r="AR217" i="7"/>
  <c r="BF216" i="7"/>
  <c r="AT216" i="7"/>
  <c r="BH215" i="7"/>
  <c r="AV215" i="7"/>
  <c r="AR215" i="7"/>
  <c r="BF214" i="7"/>
  <c r="AT214" i="7"/>
  <c r="BH213" i="7"/>
  <c r="AV213" i="7"/>
  <c r="AR213" i="7"/>
  <c r="BF212" i="7"/>
  <c r="AT212" i="7"/>
  <c r="BH211" i="7"/>
  <c r="AV211" i="7"/>
  <c r="AR211" i="7"/>
  <c r="BH210" i="7"/>
  <c r="BF210" i="7"/>
  <c r="AV210" i="7"/>
  <c r="AT210" i="7"/>
  <c r="AR210" i="7"/>
  <c r="BH209" i="7"/>
  <c r="BF209" i="7"/>
  <c r="AV209" i="7"/>
  <c r="AT209" i="7"/>
  <c r="AR209" i="7"/>
  <c r="BH208" i="7"/>
  <c r="BF208" i="7"/>
  <c r="AV208" i="7"/>
  <c r="AT208" i="7"/>
  <c r="AR208" i="7"/>
  <c r="BH207" i="7"/>
  <c r="BF207" i="7"/>
  <c r="AV207" i="7"/>
  <c r="AT207" i="7"/>
  <c r="AR207" i="7"/>
  <c r="BH206" i="7"/>
  <c r="BF206" i="7"/>
  <c r="AV206" i="7"/>
  <c r="AT206" i="7"/>
  <c r="AR206" i="7"/>
  <c r="BH205" i="7"/>
  <c r="BF205" i="7"/>
  <c r="AV205" i="7"/>
  <c r="AT205" i="7"/>
  <c r="AR205" i="7"/>
  <c r="BH204" i="7"/>
  <c r="BF204" i="7"/>
  <c r="AV204" i="7"/>
  <c r="AT204" i="7"/>
  <c r="AR204" i="7"/>
  <c r="BH203" i="7"/>
  <c r="BF203" i="7"/>
  <c r="AV203" i="7"/>
  <c r="AT203" i="7"/>
  <c r="AR203" i="7"/>
  <c r="BH202" i="7"/>
  <c r="BF202" i="7"/>
  <c r="AV202" i="7"/>
  <c r="AT202" i="7"/>
  <c r="AR202" i="7"/>
  <c r="BH201" i="7"/>
  <c r="BF201" i="7"/>
  <c r="AV201" i="7"/>
  <c r="AT201" i="7"/>
  <c r="AR201" i="7"/>
  <c r="BH200" i="7"/>
  <c r="BF200" i="7"/>
  <c r="AV200" i="7"/>
  <c r="AT200" i="7"/>
  <c r="AR200" i="7"/>
  <c r="BH199" i="7"/>
  <c r="BF199" i="7"/>
  <c r="AV199" i="7"/>
  <c r="AT199" i="7"/>
  <c r="AR199" i="7"/>
  <c r="BH198" i="7"/>
  <c r="BF198" i="7"/>
  <c r="AV198" i="7"/>
  <c r="AT198" i="7"/>
  <c r="AR198" i="7"/>
  <c r="BH197" i="7"/>
  <c r="BF197" i="7"/>
  <c r="AV197" i="7"/>
  <c r="AT197" i="7"/>
  <c r="AR197" i="7"/>
  <c r="BH196" i="7"/>
  <c r="BF196" i="7"/>
  <c r="AV196" i="7"/>
  <c r="AT196" i="7"/>
  <c r="AR196" i="7"/>
  <c r="BH195" i="7"/>
  <c r="BF195" i="7"/>
  <c r="AV195" i="7"/>
  <c r="AT195" i="7"/>
  <c r="AR195" i="7"/>
  <c r="BH194" i="7"/>
  <c r="BF194" i="7"/>
  <c r="AV194" i="7"/>
  <c r="AT194" i="7"/>
  <c r="AR194" i="7"/>
  <c r="BH193" i="7"/>
  <c r="BF193" i="7"/>
  <c r="AV193" i="7"/>
  <c r="AT193" i="7"/>
  <c r="AR193" i="7"/>
  <c r="BH192" i="7"/>
  <c r="BF192" i="7"/>
  <c r="AV192" i="7"/>
  <c r="AT192" i="7"/>
  <c r="AR192" i="7"/>
  <c r="BH191" i="7"/>
  <c r="BF191" i="7"/>
  <c r="AV191" i="7"/>
  <c r="AT191" i="7"/>
  <c r="AR191" i="7"/>
  <c r="BH190" i="7"/>
  <c r="BF190" i="7"/>
  <c r="AV190" i="7"/>
  <c r="AT190" i="7"/>
  <c r="AR190" i="7"/>
  <c r="BH189" i="7"/>
  <c r="BF189" i="7"/>
  <c r="AV189" i="7"/>
  <c r="AT189" i="7"/>
  <c r="AR189" i="7"/>
  <c r="BH188" i="7"/>
  <c r="BF188" i="7"/>
  <c r="AV188" i="7"/>
  <c r="AT188" i="7"/>
  <c r="AR188" i="7"/>
  <c r="BH187" i="7"/>
  <c r="BF187" i="7"/>
  <c r="AV187" i="7"/>
  <c r="AT187" i="7"/>
  <c r="AR187" i="7"/>
  <c r="BH186" i="7"/>
  <c r="BF186" i="7"/>
  <c r="AV186" i="7"/>
  <c r="AT186" i="7"/>
  <c r="AR186" i="7"/>
  <c r="BH185" i="7"/>
  <c r="BF185" i="7"/>
  <c r="BF227" i="7"/>
  <c r="BH226" i="7"/>
  <c r="AR226" i="7"/>
  <c r="AT225" i="7"/>
  <c r="AV224" i="7"/>
  <c r="BF223" i="7"/>
  <c r="BH222" i="7"/>
  <c r="AR222" i="7"/>
  <c r="AT221" i="7"/>
  <c r="AV220" i="7"/>
  <c r="BF219" i="7"/>
  <c r="BH218" i="7"/>
  <c r="AR218" i="7"/>
  <c r="AT217" i="7"/>
  <c r="AV216" i="7"/>
  <c r="BF215" i="7"/>
  <c r="BH214" i="7"/>
  <c r="AR214" i="7"/>
  <c r="AT213" i="7"/>
  <c r="AV212" i="7"/>
  <c r="BF211" i="7"/>
  <c r="BI210" i="7"/>
  <c r="BE210" i="7"/>
  <c r="AS210" i="7"/>
  <c r="BG209" i="7"/>
  <c r="AU209" i="7"/>
  <c r="BI208" i="7"/>
  <c r="BE208" i="7"/>
  <c r="AS208" i="7"/>
  <c r="BG207" i="7"/>
  <c r="AU207" i="7"/>
  <c r="BI206" i="7"/>
  <c r="BE206" i="7"/>
  <c r="AS206" i="7"/>
  <c r="BG205" i="7"/>
  <c r="AU205" i="7"/>
  <c r="BI204" i="7"/>
  <c r="BE204" i="7"/>
  <c r="AS204" i="7"/>
  <c r="BG203" i="7"/>
  <c r="AU203" i="7"/>
  <c r="BI202" i="7"/>
  <c r="BE202" i="7"/>
  <c r="AS202" i="7"/>
  <c r="BG201" i="7"/>
  <c r="AU201" i="7"/>
  <c r="BI200" i="7"/>
  <c r="BE200" i="7"/>
  <c r="AS200" i="7"/>
  <c r="BG199" i="7"/>
  <c r="AU199" i="7"/>
  <c r="BI198" i="7"/>
  <c r="BE198" i="7"/>
  <c r="AS198" i="7"/>
  <c r="BG197" i="7"/>
  <c r="AU197" i="7"/>
  <c r="BI196" i="7"/>
  <c r="BE196" i="7"/>
  <c r="AS196" i="7"/>
  <c r="BG195" i="7"/>
  <c r="AU195" i="7"/>
  <c r="BI194" i="7"/>
  <c r="BE194" i="7"/>
  <c r="AS194" i="7"/>
  <c r="BG193" i="7"/>
  <c r="AU193" i="7"/>
  <c r="BI192" i="7"/>
  <c r="BE192" i="7"/>
  <c r="AS192" i="7"/>
  <c r="BG191" i="7"/>
  <c r="AU191" i="7"/>
  <c r="BI190" i="7"/>
  <c r="BE190" i="7"/>
  <c r="AS190" i="7"/>
  <c r="BG189" i="7"/>
  <c r="AU189" i="7"/>
  <c r="BI188" i="7"/>
  <c r="BE188" i="7"/>
  <c r="AS188" i="7"/>
  <c r="BG187" i="7"/>
  <c r="AU187" i="7"/>
  <c r="BI186" i="7"/>
  <c r="BE186" i="7"/>
  <c r="AS186" i="7"/>
  <c r="BG185" i="7"/>
  <c r="AV185" i="7"/>
  <c r="AT185" i="7"/>
  <c r="AR185" i="7"/>
  <c r="BH184" i="7"/>
  <c r="BF184" i="7"/>
  <c r="AV184" i="7"/>
  <c r="AT184" i="7"/>
  <c r="AR184" i="7"/>
  <c r="BH183" i="7"/>
  <c r="BF183" i="7"/>
  <c r="AV183" i="7"/>
  <c r="AT183" i="7"/>
  <c r="AR183" i="7"/>
  <c r="BH182" i="7"/>
  <c r="BF182" i="7"/>
  <c r="AV182" i="7"/>
  <c r="AT182" i="7"/>
  <c r="AR182" i="7"/>
  <c r="BH181" i="7"/>
  <c r="BF181" i="7"/>
  <c r="AV181" i="7"/>
  <c r="AT181" i="7"/>
  <c r="AR181" i="7"/>
  <c r="BH180" i="7"/>
  <c r="BF180" i="7"/>
  <c r="AV180" i="7"/>
  <c r="AT180" i="7"/>
  <c r="AR180" i="7"/>
  <c r="BH179" i="7"/>
  <c r="BF179" i="7"/>
  <c r="AV179" i="7"/>
  <c r="AT179" i="7"/>
  <c r="AR179" i="7"/>
  <c r="BH178" i="7"/>
  <c r="BF178" i="7"/>
  <c r="AV178" i="7"/>
  <c r="AT178" i="7"/>
  <c r="AR178" i="7"/>
  <c r="BH177" i="7"/>
  <c r="BF177" i="7"/>
  <c r="AV177" i="7"/>
  <c r="AT177" i="7"/>
  <c r="AR177" i="7"/>
  <c r="BH176" i="7"/>
  <c r="BF176" i="7"/>
  <c r="AV176" i="7"/>
  <c r="AT176" i="7"/>
  <c r="AR176" i="7"/>
  <c r="BH175" i="7"/>
  <c r="BF175" i="7"/>
  <c r="AV175" i="7"/>
  <c r="AT175" i="7"/>
  <c r="AR175" i="7"/>
  <c r="BH174" i="7"/>
  <c r="BF174" i="7"/>
  <c r="AV174" i="7"/>
  <c r="AT174" i="7"/>
  <c r="AR174" i="7"/>
  <c r="BH173" i="7"/>
  <c r="BF173" i="7"/>
  <c r="AV173" i="7"/>
  <c r="AT173" i="7"/>
  <c r="AR173" i="7"/>
  <c r="BH172" i="7"/>
  <c r="BF172" i="7"/>
  <c r="AV172" i="7"/>
  <c r="AT172" i="7"/>
  <c r="AR172" i="7"/>
  <c r="BH171" i="7"/>
  <c r="BF171" i="7"/>
  <c r="AV171" i="7"/>
  <c r="AT171" i="7"/>
  <c r="AR171" i="7"/>
  <c r="BH170" i="7"/>
  <c r="BF170" i="7"/>
  <c r="AV170" i="7"/>
  <c r="AT170" i="7"/>
  <c r="AR170" i="7"/>
  <c r="BH169" i="7"/>
  <c r="BF169" i="7"/>
  <c r="AV169" i="7"/>
  <c r="AT169" i="7"/>
  <c r="AR169" i="7"/>
  <c r="BH168" i="7"/>
  <c r="BF168" i="7"/>
  <c r="AV168" i="7"/>
  <c r="AT168" i="7"/>
  <c r="AR168" i="7"/>
  <c r="BH167" i="7"/>
  <c r="BF167" i="7"/>
  <c r="AV167" i="7"/>
  <c r="AT167" i="7"/>
  <c r="AR167" i="7"/>
  <c r="BH166" i="7"/>
  <c r="BF166" i="7"/>
  <c r="AV166" i="7"/>
  <c r="AT166" i="7"/>
  <c r="AR166" i="7"/>
  <c r="BH165" i="7"/>
  <c r="BF165" i="7"/>
  <c r="AV165" i="7"/>
  <c r="AT165" i="7"/>
  <c r="AR165" i="7"/>
  <c r="BH164" i="7"/>
  <c r="BF164" i="7"/>
  <c r="AV164" i="7"/>
  <c r="AT164" i="7"/>
  <c r="AR164" i="7"/>
  <c r="BH163" i="7"/>
  <c r="BF163" i="7"/>
  <c r="AV163" i="7"/>
  <c r="AT163" i="7"/>
  <c r="AR163" i="7"/>
  <c r="BH162" i="7"/>
  <c r="BF162" i="7"/>
  <c r="AV162" i="7"/>
  <c r="AT162" i="7"/>
  <c r="AR162" i="7"/>
  <c r="BH161" i="7"/>
  <c r="BF161" i="7"/>
  <c r="AV161" i="7"/>
  <c r="AT161" i="7"/>
  <c r="AR161" i="7"/>
  <c r="BH160" i="7"/>
  <c r="BF160" i="7"/>
  <c r="AV160" i="7"/>
  <c r="AT160" i="7"/>
  <c r="AR160" i="7"/>
  <c r="BH159" i="7"/>
  <c r="BF159" i="7"/>
  <c r="AV159" i="7"/>
  <c r="AT159" i="7"/>
  <c r="AR159" i="7"/>
  <c r="BH158" i="7"/>
  <c r="BF158" i="7"/>
  <c r="AV158" i="7"/>
  <c r="AT158" i="7"/>
  <c r="AR158" i="7"/>
  <c r="BH157" i="7"/>
  <c r="BF157" i="7"/>
  <c r="AV157" i="7"/>
  <c r="AT157" i="7"/>
  <c r="AR157" i="7"/>
  <c r="BH156" i="7"/>
  <c r="BF156" i="7"/>
  <c r="AV156" i="7"/>
  <c r="AT156" i="7"/>
  <c r="AR156" i="7"/>
  <c r="BH155" i="7"/>
  <c r="BF155" i="7"/>
  <c r="AV155" i="7"/>
  <c r="AT155" i="7"/>
  <c r="AR155" i="7"/>
  <c r="BH154" i="7"/>
  <c r="BF154" i="7"/>
  <c r="AV154" i="7"/>
  <c r="AT154" i="7"/>
  <c r="AR154" i="7"/>
  <c r="BH153" i="7"/>
  <c r="BF153" i="7"/>
  <c r="AV153" i="7"/>
  <c r="AT153" i="7"/>
  <c r="AR153" i="7"/>
  <c r="BH152" i="7"/>
  <c r="BF152" i="7"/>
  <c r="AV152" i="7"/>
  <c r="AT152" i="7"/>
  <c r="AR152" i="7"/>
  <c r="BH151" i="7"/>
  <c r="BF151" i="7"/>
  <c r="AV151" i="7"/>
  <c r="AT151" i="7"/>
  <c r="AR151" i="7"/>
  <c r="BH150" i="7"/>
  <c r="BF150" i="7"/>
  <c r="AV150" i="7"/>
  <c r="AT150" i="7"/>
  <c r="AR150" i="7"/>
  <c r="BH149" i="7"/>
  <c r="BF149" i="7"/>
  <c r="AV149" i="7"/>
  <c r="AT149" i="7"/>
  <c r="AR149" i="7"/>
  <c r="BH148" i="7"/>
  <c r="BF148" i="7"/>
  <c r="AV148" i="7"/>
  <c r="AT148" i="7"/>
  <c r="AR148" i="7"/>
  <c r="BH147" i="7"/>
  <c r="BF147" i="7"/>
  <c r="AV147" i="7"/>
  <c r="AT147" i="7"/>
  <c r="AR147" i="7"/>
  <c r="BH146" i="7"/>
  <c r="BF146" i="7"/>
  <c r="AV146" i="7"/>
  <c r="AT146" i="7"/>
  <c r="AR146" i="7"/>
  <c r="BH145" i="7"/>
  <c r="BF145" i="7"/>
  <c r="AV145" i="7"/>
  <c r="AT145" i="7"/>
  <c r="AR145" i="7"/>
  <c r="BH144" i="7"/>
  <c r="BF144" i="7"/>
  <c r="AV144" i="7"/>
  <c r="AT144" i="7"/>
  <c r="AR144" i="7"/>
  <c r="BH143" i="7"/>
  <c r="BF143" i="7"/>
  <c r="AV143" i="7"/>
  <c r="AT143" i="7"/>
  <c r="AR143" i="7"/>
  <c r="BH142" i="7"/>
  <c r="BF142" i="7"/>
  <c r="AV142" i="7"/>
  <c r="AT142" i="7"/>
  <c r="AR142" i="7"/>
  <c r="BH141" i="7"/>
  <c r="BF141" i="7"/>
  <c r="AV141" i="7"/>
  <c r="AT141" i="7"/>
  <c r="AR141" i="7"/>
  <c r="BH140" i="7"/>
  <c r="BF140" i="7"/>
  <c r="AV140" i="7"/>
  <c r="AT140" i="7"/>
  <c r="AR140" i="7"/>
  <c r="BH139" i="7"/>
  <c r="BF139" i="7"/>
  <c r="AV139" i="7"/>
  <c r="AT139" i="7"/>
  <c r="AR139" i="7"/>
  <c r="BH138" i="7"/>
  <c r="BF138" i="7"/>
  <c r="AV138" i="7"/>
  <c r="AT138" i="7"/>
  <c r="AR138" i="7"/>
  <c r="BH137" i="7"/>
  <c r="BF137" i="7"/>
  <c r="AV137" i="7"/>
  <c r="AT137" i="7"/>
  <c r="AR137" i="7"/>
  <c r="BH136" i="7"/>
  <c r="BF136" i="7"/>
  <c r="AV136" i="7"/>
  <c r="AT136" i="7"/>
  <c r="AR136" i="7"/>
  <c r="BH135" i="7"/>
  <c r="BF135" i="7"/>
  <c r="AV135" i="7"/>
  <c r="AT135" i="7"/>
  <c r="AR135" i="7"/>
  <c r="BH134" i="7"/>
  <c r="BF134" i="7"/>
  <c r="AV134" i="7"/>
  <c r="AT227" i="7"/>
  <c r="BF225" i="7"/>
  <c r="AR224" i="7"/>
  <c r="AV222" i="7"/>
  <c r="BH220" i="7"/>
  <c r="AT219" i="7"/>
  <c r="BF217" i="7"/>
  <c r="AR216" i="7"/>
  <c r="AV214" i="7"/>
  <c r="BH212" i="7"/>
  <c r="AT211" i="7"/>
  <c r="AU210" i="7"/>
  <c r="BE209" i="7"/>
  <c r="BG208" i="7"/>
  <c r="BI207" i="7"/>
  <c r="AS207" i="7"/>
  <c r="AU206" i="7"/>
  <c r="BE205" i="7"/>
  <c r="BG204" i="7"/>
  <c r="BI203" i="7"/>
  <c r="AS203" i="7"/>
  <c r="AU202" i="7"/>
  <c r="BE201" i="7"/>
  <c r="BG200" i="7"/>
  <c r="BI199" i="7"/>
  <c r="AS199" i="7"/>
  <c r="AU198" i="7"/>
  <c r="BE197" i="7"/>
  <c r="BG196" i="7"/>
  <c r="BI195" i="7"/>
  <c r="AS195" i="7"/>
  <c r="AU194" i="7"/>
  <c r="BE193" i="7"/>
  <c r="BG192" i="7"/>
  <c r="BI191" i="7"/>
  <c r="AS191" i="7"/>
  <c r="AU190" i="7"/>
  <c r="BE189" i="7"/>
  <c r="BG188" i="7"/>
  <c r="BI187" i="7"/>
  <c r="AS187" i="7"/>
  <c r="AU186" i="7"/>
  <c r="BE185" i="7"/>
  <c r="AS185" i="7"/>
  <c r="BG184" i="7"/>
  <c r="AU184" i="7"/>
  <c r="BI183" i="7"/>
  <c r="BE183" i="7"/>
  <c r="AS183" i="7"/>
  <c r="BG182" i="7"/>
  <c r="AU182" i="7"/>
  <c r="BI181" i="7"/>
  <c r="BE181" i="7"/>
  <c r="AS181" i="7"/>
  <c r="BG180" i="7"/>
  <c r="AU180" i="7"/>
  <c r="BI179" i="7"/>
  <c r="BE179" i="7"/>
  <c r="AS179" i="7"/>
  <c r="BG178" i="7"/>
  <c r="AU178" i="7"/>
  <c r="BI177" i="7"/>
  <c r="BE177" i="7"/>
  <c r="AS177" i="7"/>
  <c r="BG176" i="7"/>
  <c r="AU176" i="7"/>
  <c r="BI175" i="7"/>
  <c r="BE175" i="7"/>
  <c r="AS175" i="7"/>
  <c r="BG174" i="7"/>
  <c r="AU174" i="7"/>
  <c r="BI173" i="7"/>
  <c r="BE173" i="7"/>
  <c r="AS173" i="7"/>
  <c r="BG172" i="7"/>
  <c r="AU172" i="7"/>
  <c r="BI171" i="7"/>
  <c r="BE171" i="7"/>
  <c r="AS171" i="7"/>
  <c r="BG170" i="7"/>
  <c r="AU170" i="7"/>
  <c r="BI169" i="7"/>
  <c r="BE169" i="7"/>
  <c r="AS169" i="7"/>
  <c r="BG168" i="7"/>
  <c r="AU168" i="7"/>
  <c r="BI167" i="7"/>
  <c r="BE167" i="7"/>
  <c r="AS167" i="7"/>
  <c r="BG166" i="7"/>
  <c r="AU166" i="7"/>
  <c r="BI165" i="7"/>
  <c r="BE165" i="7"/>
  <c r="AS165" i="7"/>
  <c r="BG164" i="7"/>
  <c r="AU164" i="7"/>
  <c r="BI163" i="7"/>
  <c r="BE163" i="7"/>
  <c r="AS163" i="7"/>
  <c r="BG162" i="7"/>
  <c r="AU162" i="7"/>
  <c r="BI161" i="7"/>
  <c r="BE161" i="7"/>
  <c r="AS161" i="7"/>
  <c r="BG160" i="7"/>
  <c r="AU160" i="7"/>
  <c r="BI159" i="7"/>
  <c r="BE159" i="7"/>
  <c r="AS159" i="7"/>
  <c r="BG158" i="7"/>
  <c r="AU158" i="7"/>
  <c r="BI157" i="7"/>
  <c r="BE157" i="7"/>
  <c r="AS157" i="7"/>
  <c r="BG156" i="7"/>
  <c r="AU156" i="7"/>
  <c r="BI155" i="7"/>
  <c r="BE155" i="7"/>
  <c r="AS155" i="7"/>
  <c r="BG154" i="7"/>
  <c r="AU154" i="7"/>
  <c r="BI153" i="7"/>
  <c r="BE153" i="7"/>
  <c r="AS153" i="7"/>
  <c r="BG152" i="7"/>
  <c r="AU152" i="7"/>
  <c r="BI151" i="7"/>
  <c r="BE151" i="7"/>
  <c r="AS151" i="7"/>
  <c r="BG150" i="7"/>
  <c r="AU150" i="7"/>
  <c r="BI149" i="7"/>
  <c r="BE149" i="7"/>
  <c r="AS149" i="7"/>
  <c r="BG148" i="7"/>
  <c r="AU148" i="7"/>
  <c r="BI147" i="7"/>
  <c r="BE147" i="7"/>
  <c r="AS147" i="7"/>
  <c r="BG146" i="7"/>
  <c r="AU146" i="7"/>
  <c r="BI145" i="7"/>
  <c r="BE145" i="7"/>
  <c r="AS145" i="7"/>
  <c r="BG144" i="7"/>
  <c r="AU144" i="7"/>
  <c r="BI143" i="7"/>
  <c r="BE143" i="7"/>
  <c r="AS143" i="7"/>
  <c r="BG142" i="7"/>
  <c r="AU142" i="7"/>
  <c r="BI141" i="7"/>
  <c r="BE141" i="7"/>
  <c r="AS141" i="7"/>
  <c r="BG140" i="7"/>
  <c r="AU140" i="7"/>
  <c r="BI139" i="7"/>
  <c r="BE139" i="7"/>
  <c r="AS139" i="7"/>
  <c r="BG138" i="7"/>
  <c r="AU138" i="7"/>
  <c r="BI137" i="7"/>
  <c r="BE137" i="7"/>
  <c r="AS137" i="7"/>
  <c r="BG136" i="7"/>
  <c r="AU136" i="7"/>
  <c r="BI135" i="7"/>
  <c r="BE135" i="7"/>
  <c r="AS135" i="7"/>
  <c r="BG134" i="7"/>
  <c r="AU134" i="7"/>
  <c r="AS134" i="7"/>
  <c r="BI133" i="7"/>
  <c r="BG133" i="7"/>
  <c r="BE133" i="7"/>
  <c r="AU133" i="7"/>
  <c r="AS133" i="7"/>
  <c r="BI132" i="7"/>
  <c r="BG132" i="7"/>
  <c r="BE132" i="7"/>
  <c r="AU132" i="7"/>
  <c r="AS132" i="7"/>
  <c r="BI131" i="7"/>
  <c r="BG131" i="7"/>
  <c r="BE131" i="7"/>
  <c r="AU131" i="7"/>
  <c r="AS131" i="7"/>
  <c r="BI130" i="7"/>
  <c r="BG130" i="7"/>
  <c r="BE130" i="7"/>
  <c r="AU130" i="7"/>
  <c r="AS130" i="7"/>
  <c r="BI129" i="7"/>
  <c r="BG129" i="7"/>
  <c r="BE129" i="7"/>
  <c r="AU129" i="7"/>
  <c r="AS129" i="7"/>
  <c r="BI128" i="7"/>
  <c r="BG128" i="7"/>
  <c r="BE128" i="7"/>
  <c r="AU128" i="7"/>
  <c r="AS128" i="7"/>
  <c r="BI127" i="7"/>
  <c r="BG127" i="7"/>
  <c r="BE127" i="7"/>
  <c r="AU127" i="7"/>
  <c r="AS127" i="7"/>
  <c r="BI126" i="7"/>
  <c r="BG126" i="7"/>
  <c r="BE126" i="7"/>
  <c r="AU126" i="7"/>
  <c r="AS126" i="7"/>
  <c r="BI125" i="7"/>
  <c r="BG125" i="7"/>
  <c r="BE125" i="7"/>
  <c r="AU125" i="7"/>
  <c r="AS125" i="7"/>
  <c r="BI124" i="7"/>
  <c r="BG124" i="7"/>
  <c r="BE124" i="7"/>
  <c r="AU124" i="7"/>
  <c r="AS124" i="7"/>
  <c r="BI123" i="7"/>
  <c r="BG123" i="7"/>
  <c r="BE123" i="7"/>
  <c r="AU123" i="7"/>
  <c r="AS123" i="7"/>
  <c r="BI122" i="7"/>
  <c r="BG122" i="7"/>
  <c r="BE122" i="7"/>
  <c r="AU122" i="7"/>
  <c r="AS122" i="7"/>
  <c r="BI121" i="7"/>
  <c r="BG121" i="7"/>
  <c r="BE121" i="7"/>
  <c r="AU121" i="7"/>
  <c r="AS121" i="7"/>
  <c r="BI120" i="7"/>
  <c r="BG120" i="7"/>
  <c r="BE120" i="7"/>
  <c r="AU120" i="7"/>
  <c r="AS120" i="7"/>
  <c r="BI119" i="7"/>
  <c r="BG119" i="7"/>
  <c r="BE119" i="7"/>
  <c r="AU119" i="7"/>
  <c r="AS119" i="7"/>
  <c r="BI118" i="7"/>
  <c r="BG118" i="7"/>
  <c r="BE118" i="7"/>
  <c r="AU118" i="7"/>
  <c r="AS118" i="7"/>
  <c r="BI117" i="7"/>
  <c r="BG117" i="7"/>
  <c r="BE117" i="7"/>
  <c r="AU117" i="7"/>
  <c r="AS117" i="7"/>
  <c r="BI116" i="7"/>
  <c r="BG116" i="7"/>
  <c r="BE116" i="7"/>
  <c r="AU116" i="7"/>
  <c r="AS116" i="7"/>
  <c r="BI115" i="7"/>
  <c r="BG115" i="7"/>
  <c r="BE115" i="7"/>
  <c r="AU115" i="7"/>
  <c r="AS115" i="7"/>
  <c r="BI114" i="7"/>
  <c r="BG114" i="7"/>
  <c r="BE114" i="7"/>
  <c r="AU114" i="7"/>
  <c r="AS114" i="7"/>
  <c r="BI113" i="7"/>
  <c r="BG113" i="7"/>
  <c r="BE113" i="7"/>
  <c r="AU113" i="7"/>
  <c r="AS113" i="7"/>
  <c r="BI112" i="7"/>
  <c r="BG112" i="7"/>
  <c r="BE112" i="7"/>
  <c r="AU112" i="7"/>
  <c r="AS112" i="7"/>
  <c r="BI111" i="7"/>
  <c r="BG111" i="7"/>
  <c r="BE111" i="7"/>
  <c r="AU111" i="7"/>
  <c r="AS111" i="7"/>
  <c r="BI110" i="7"/>
  <c r="BG110" i="7"/>
  <c r="BE110" i="7"/>
  <c r="AU110" i="7"/>
  <c r="AS110" i="7"/>
  <c r="BI109" i="7"/>
  <c r="BG109" i="7"/>
  <c r="BE109" i="7"/>
  <c r="AU109" i="7"/>
  <c r="AS109" i="7"/>
  <c r="BI108" i="7"/>
  <c r="BG108" i="7"/>
  <c r="BE108" i="7"/>
  <c r="AU108" i="7"/>
  <c r="AS108" i="7"/>
  <c r="BI107" i="7"/>
  <c r="BG107" i="7"/>
  <c r="BE107" i="7"/>
  <c r="AU107" i="7"/>
  <c r="AS107" i="7"/>
  <c r="BI106" i="7"/>
  <c r="BG106" i="7"/>
  <c r="BE106" i="7"/>
  <c r="AU106" i="7"/>
  <c r="AS106" i="7"/>
  <c r="BI105" i="7"/>
  <c r="BG105" i="7"/>
  <c r="BE105" i="7"/>
  <c r="AU105" i="7"/>
  <c r="AS105" i="7"/>
  <c r="BI104" i="7"/>
  <c r="BG104" i="7"/>
  <c r="BE104" i="7"/>
  <c r="AU104" i="7"/>
  <c r="AS104" i="7"/>
  <c r="BI103" i="7"/>
  <c r="BG103" i="7"/>
  <c r="BE103" i="7"/>
  <c r="AU103" i="7"/>
  <c r="AS103" i="7"/>
  <c r="BI102" i="7"/>
  <c r="BG102" i="7"/>
  <c r="BE102" i="7"/>
  <c r="AU102" i="7"/>
  <c r="AS102" i="7"/>
  <c r="BI101" i="7"/>
  <c r="BG101" i="7"/>
  <c r="BE101" i="7"/>
  <c r="AU101" i="7"/>
  <c r="AS101" i="7"/>
  <c r="BI100" i="7"/>
  <c r="BG100" i="7"/>
  <c r="BE100" i="7"/>
  <c r="AU100" i="7"/>
  <c r="AS100" i="7"/>
  <c r="BI99" i="7"/>
  <c r="BG99" i="7"/>
  <c r="BE99" i="7"/>
  <c r="AU99" i="7"/>
  <c r="AS99" i="7"/>
  <c r="BI98" i="7"/>
  <c r="BG98" i="7"/>
  <c r="BE98" i="7"/>
  <c r="AU98" i="7"/>
  <c r="AS98" i="7"/>
  <c r="BI97" i="7"/>
  <c r="BG97" i="7"/>
  <c r="BE97" i="7"/>
  <c r="AU97" i="7"/>
  <c r="AS97" i="7"/>
  <c r="BI96" i="7"/>
  <c r="BG96" i="7"/>
  <c r="BE96" i="7"/>
  <c r="AU96" i="7"/>
  <c r="AS96" i="7"/>
  <c r="BI95" i="7"/>
  <c r="BG95" i="7"/>
  <c r="BE95" i="7"/>
  <c r="AU95" i="7"/>
  <c r="AS95" i="7"/>
  <c r="BI94" i="7"/>
  <c r="BG94" i="7"/>
  <c r="BE94" i="7"/>
  <c r="AU94" i="7"/>
  <c r="AS94" i="7"/>
  <c r="BI93" i="7"/>
  <c r="BG93" i="7"/>
  <c r="BE93" i="7"/>
  <c r="AU93" i="7"/>
  <c r="AS93" i="7"/>
  <c r="BI92" i="7"/>
  <c r="BG92" i="7"/>
  <c r="BE92" i="7"/>
  <c r="AU92" i="7"/>
  <c r="AS92" i="7"/>
  <c r="BI91" i="7"/>
  <c r="BG91" i="7"/>
  <c r="BE91" i="7"/>
  <c r="AU91" i="7"/>
  <c r="AS91" i="7"/>
  <c r="BI90" i="7"/>
  <c r="BG90" i="7"/>
  <c r="BE90" i="7"/>
  <c r="AU90" i="7"/>
  <c r="AS90" i="7"/>
  <c r="BI89" i="7"/>
  <c r="BG89" i="7"/>
  <c r="BE89" i="7"/>
  <c r="AU89" i="7"/>
  <c r="AS89" i="7"/>
  <c r="BI88" i="7"/>
  <c r="BG88" i="7"/>
  <c r="BE88" i="7"/>
  <c r="AU88" i="7"/>
  <c r="AS88" i="7"/>
  <c r="BI87" i="7"/>
  <c r="BG87" i="7"/>
  <c r="BE87" i="7"/>
  <c r="AU87" i="7"/>
  <c r="AS87" i="7"/>
  <c r="BI86" i="7"/>
  <c r="BG86" i="7"/>
  <c r="BE86" i="7"/>
  <c r="AU86" i="7"/>
  <c r="AS86" i="7"/>
  <c r="BI85" i="7"/>
  <c r="BG85" i="7"/>
  <c r="BE85" i="7"/>
  <c r="AU85" i="7"/>
  <c r="AS85" i="7"/>
  <c r="BI84" i="7"/>
  <c r="BG84" i="7"/>
  <c r="BE84" i="7"/>
  <c r="AU84" i="7"/>
  <c r="AS84" i="7"/>
  <c r="BI83" i="7"/>
  <c r="BG83" i="7"/>
  <c r="BE83" i="7"/>
  <c r="AU83" i="7"/>
  <c r="AS83" i="7"/>
  <c r="BI82" i="7"/>
  <c r="BG82" i="7"/>
  <c r="BE82" i="7"/>
  <c r="AU82" i="7"/>
  <c r="AS82" i="7"/>
  <c r="BI81" i="7"/>
  <c r="BG81" i="7"/>
  <c r="BE81" i="7"/>
  <c r="AU81" i="7"/>
  <c r="AS81" i="7"/>
  <c r="BI80" i="7"/>
  <c r="BG80" i="7"/>
  <c r="BE80" i="7"/>
  <c r="AU80" i="7"/>
  <c r="AS80" i="7"/>
  <c r="BI79" i="7"/>
  <c r="BG79" i="7"/>
  <c r="BE79" i="7"/>
  <c r="AU79" i="7"/>
  <c r="AS79" i="7"/>
  <c r="BI78" i="7"/>
  <c r="BG78" i="7"/>
  <c r="BE78" i="7"/>
  <c r="AU78" i="7"/>
  <c r="AS78" i="7"/>
  <c r="BI77" i="7"/>
  <c r="BG77" i="7"/>
  <c r="BE77" i="7"/>
  <c r="AU77" i="7"/>
  <c r="AS77" i="7"/>
  <c r="BI76" i="7"/>
  <c r="BG76" i="7"/>
  <c r="BE76" i="7"/>
  <c r="AU76" i="7"/>
  <c r="AS76" i="7"/>
  <c r="BI75" i="7"/>
  <c r="BG75" i="7"/>
  <c r="BE75" i="7"/>
  <c r="AU75" i="7"/>
  <c r="AS75" i="7"/>
  <c r="BI74" i="7"/>
  <c r="BG74" i="7"/>
  <c r="BE74" i="7"/>
  <c r="AU74" i="7"/>
  <c r="AS74" i="7"/>
  <c r="BI73" i="7"/>
  <c r="BG73" i="7"/>
  <c r="BE73" i="7"/>
  <c r="AU73" i="7"/>
  <c r="AS73" i="7"/>
  <c r="BI72" i="7"/>
  <c r="BG72" i="7"/>
  <c r="BE72" i="7"/>
  <c r="AU72" i="7"/>
  <c r="AS72" i="7"/>
  <c r="BI71" i="7"/>
  <c r="BG71" i="7"/>
  <c r="BE71" i="7"/>
  <c r="AU71" i="7"/>
  <c r="AS71" i="7"/>
  <c r="BI70" i="7"/>
  <c r="BG70" i="7"/>
  <c r="BE70" i="7"/>
  <c r="AU70" i="7"/>
  <c r="AS70" i="7"/>
  <c r="BI69" i="7"/>
  <c r="BG69" i="7"/>
  <c r="BE69" i="7"/>
  <c r="AU69" i="7"/>
  <c r="AS69" i="7"/>
  <c r="BI68" i="7"/>
  <c r="BG68" i="7"/>
  <c r="BE68" i="7"/>
  <c r="AU68" i="7"/>
  <c r="AS68" i="7"/>
  <c r="BI67" i="7"/>
  <c r="BG67" i="7"/>
  <c r="BE67" i="7"/>
  <c r="AU67" i="7"/>
  <c r="AS67" i="7"/>
  <c r="BI66" i="7"/>
  <c r="BG66" i="7"/>
  <c r="BE66" i="7"/>
  <c r="AU66" i="7"/>
  <c r="AS66" i="7"/>
  <c r="BI65" i="7"/>
  <c r="BG65" i="7"/>
  <c r="BE65" i="7"/>
  <c r="AU65" i="7"/>
  <c r="AS65" i="7"/>
  <c r="BI64" i="7"/>
  <c r="BG64" i="7"/>
  <c r="BE64" i="7"/>
  <c r="AU64" i="7"/>
  <c r="AS64" i="7"/>
  <c r="BI63" i="7"/>
  <c r="BG63" i="7"/>
  <c r="BE63" i="7"/>
  <c r="AU63" i="7"/>
  <c r="AS63" i="7"/>
  <c r="BI62" i="7"/>
  <c r="BG62" i="7"/>
  <c r="BE62" i="7"/>
  <c r="AU62" i="7"/>
  <c r="AS62" i="7"/>
  <c r="BI61" i="7"/>
  <c r="BG61" i="7"/>
  <c r="BE61" i="7"/>
  <c r="AU61" i="7"/>
  <c r="AS61" i="7"/>
  <c r="BI60" i="7"/>
  <c r="BG60" i="7"/>
  <c r="BE60" i="7"/>
  <c r="AU60" i="7"/>
  <c r="AS60" i="7"/>
  <c r="BI59" i="7"/>
  <c r="BG59" i="7"/>
  <c r="BE59" i="7"/>
  <c r="AU59" i="7"/>
  <c r="AS59" i="7"/>
  <c r="BI58" i="7"/>
  <c r="BG58" i="7"/>
  <c r="BE58" i="7"/>
  <c r="AU58" i="7"/>
  <c r="AS58" i="7"/>
  <c r="BI57" i="7"/>
  <c r="BG57" i="7"/>
  <c r="BE57" i="7"/>
  <c r="AU57" i="7"/>
  <c r="AS57" i="7"/>
  <c r="BI56" i="7"/>
  <c r="BG56" i="7"/>
  <c r="BE56" i="7"/>
  <c r="AU56" i="7"/>
  <c r="AS56" i="7"/>
  <c r="BI55" i="7"/>
  <c r="BG55" i="7"/>
  <c r="BE55" i="7"/>
  <c r="AU55" i="7"/>
  <c r="AS55" i="7"/>
  <c r="BI54" i="7"/>
  <c r="BG54" i="7"/>
  <c r="BE54" i="7"/>
  <c r="AU54" i="7"/>
  <c r="AS54" i="7"/>
  <c r="BI53" i="7"/>
  <c r="BG53" i="7"/>
  <c r="BE53" i="7"/>
  <c r="AU53" i="7"/>
  <c r="AS53" i="7"/>
  <c r="BI52" i="7"/>
  <c r="BG52" i="7"/>
  <c r="BE52" i="7"/>
  <c r="AU52" i="7"/>
  <c r="AS52" i="7"/>
  <c r="BI51" i="7"/>
  <c r="BG51" i="7"/>
  <c r="BE51" i="7"/>
  <c r="AU51" i="7"/>
  <c r="AS51" i="7"/>
  <c r="BI50" i="7"/>
  <c r="BG50" i="7"/>
  <c r="BE50" i="7"/>
  <c r="AU50" i="7"/>
  <c r="AS50" i="7"/>
  <c r="BI49" i="7"/>
  <c r="BG49" i="7"/>
  <c r="BE49" i="7"/>
  <c r="AU49" i="7"/>
  <c r="AS49" i="7"/>
  <c r="BI48" i="7"/>
  <c r="BG48" i="7"/>
  <c r="BE48" i="7"/>
  <c r="AU48" i="7"/>
  <c r="AS48" i="7"/>
  <c r="BI47" i="7"/>
  <c r="BG47" i="7"/>
  <c r="BE47" i="7"/>
  <c r="AU47" i="7"/>
  <c r="AS47" i="7"/>
  <c r="BI46" i="7"/>
  <c r="BG46" i="7"/>
  <c r="BE46" i="7"/>
  <c r="AU46" i="7"/>
  <c r="AS46" i="7"/>
  <c r="BI45" i="7"/>
  <c r="BG45" i="7"/>
  <c r="BE45" i="7"/>
  <c r="AU45" i="7"/>
  <c r="AS45" i="7"/>
  <c r="BI44" i="7"/>
  <c r="BG44" i="7"/>
  <c r="BE44" i="7"/>
  <c r="AU44" i="7"/>
  <c r="AS44" i="7"/>
  <c r="BI43" i="7"/>
  <c r="BG43" i="7"/>
  <c r="BE43" i="7"/>
  <c r="AU43" i="7"/>
  <c r="AS43" i="7"/>
  <c r="BI42" i="7"/>
  <c r="BG42" i="7"/>
  <c r="BE42" i="7"/>
  <c r="AU42" i="7"/>
  <c r="AS42" i="7"/>
  <c r="BI41" i="7"/>
  <c r="BG41" i="7"/>
  <c r="BE41" i="7"/>
  <c r="AU41" i="7"/>
  <c r="AS41" i="7"/>
  <c r="BI40" i="7"/>
  <c r="BG40" i="7"/>
  <c r="BE40" i="7"/>
  <c r="AU40" i="7"/>
  <c r="AS40" i="7"/>
  <c r="BI39" i="7"/>
  <c r="BG39" i="7"/>
  <c r="BE39" i="7"/>
  <c r="AU39" i="7"/>
  <c r="AS39" i="7"/>
  <c r="BI38" i="7"/>
  <c r="BG38" i="7"/>
  <c r="BE38" i="7"/>
  <c r="AU38" i="7"/>
  <c r="AS38" i="7"/>
  <c r="BI37" i="7"/>
  <c r="BG37" i="7"/>
  <c r="BE37" i="7"/>
  <c r="AU37" i="7"/>
  <c r="AS37" i="7"/>
  <c r="BI36" i="7"/>
  <c r="BG36" i="7"/>
  <c r="BE36" i="7"/>
  <c r="AU36" i="7"/>
  <c r="AS36" i="7"/>
  <c r="BI35" i="7"/>
  <c r="BG35" i="7"/>
  <c r="BE35" i="7"/>
  <c r="AU35" i="7"/>
  <c r="AS35" i="7"/>
  <c r="BI34" i="7"/>
  <c r="BG34" i="7"/>
  <c r="BE34" i="7"/>
  <c r="AU34" i="7"/>
  <c r="AS34" i="7"/>
  <c r="BI33" i="7"/>
  <c r="BG33" i="7"/>
  <c r="BE33" i="7"/>
  <c r="AU33" i="7"/>
  <c r="AS33" i="7"/>
  <c r="BI32" i="7"/>
  <c r="BG32" i="7"/>
  <c r="BE32" i="7"/>
  <c r="AU32" i="7"/>
  <c r="AS32" i="7"/>
  <c r="AV226" i="7"/>
  <c r="AT223" i="7"/>
  <c r="AR220" i="7"/>
  <c r="BH216" i="7"/>
  <c r="BF213" i="7"/>
  <c r="BG210" i="7"/>
  <c r="AS209" i="7"/>
  <c r="BE207" i="7"/>
  <c r="BI205" i="7"/>
  <c r="AU204" i="7"/>
  <c r="BG202" i="7"/>
  <c r="AS201" i="7"/>
  <c r="BE199" i="7"/>
  <c r="BI197" i="7"/>
  <c r="AU196" i="7"/>
  <c r="BG194" i="7"/>
  <c r="AS193" i="7"/>
  <c r="BE191" i="7"/>
  <c r="BI189" i="7"/>
  <c r="AU188" i="7"/>
  <c r="BG186" i="7"/>
  <c r="AU185" i="7"/>
  <c r="BE184" i="7"/>
  <c r="BG183" i="7"/>
  <c r="BI182" i="7"/>
  <c r="AS182" i="7"/>
  <c r="AU181" i="7"/>
  <c r="BE180" i="7"/>
  <c r="BG179" i="7"/>
  <c r="BI178" i="7"/>
  <c r="AS178" i="7"/>
  <c r="AU177" i="7"/>
  <c r="BE176" i="7"/>
  <c r="BG175" i="7"/>
  <c r="BI174" i="7"/>
  <c r="AS174" i="7"/>
  <c r="AU173" i="7"/>
  <c r="BE172" i="7"/>
  <c r="BG171" i="7"/>
  <c r="BI170" i="7"/>
  <c r="AS170" i="7"/>
  <c r="AU169" i="7"/>
  <c r="BE168" i="7"/>
  <c r="BG167" i="7"/>
  <c r="BI166" i="7"/>
  <c r="AS166" i="7"/>
  <c r="AU165" i="7"/>
  <c r="BE164" i="7"/>
  <c r="BG163" i="7"/>
  <c r="BI162" i="7"/>
  <c r="AS162" i="7"/>
  <c r="AU161" i="7"/>
  <c r="BE160" i="7"/>
  <c r="BG159" i="7"/>
  <c r="BI158" i="7"/>
  <c r="AS158" i="7"/>
  <c r="AU157" i="7"/>
  <c r="BE156" i="7"/>
  <c r="BG155" i="7"/>
  <c r="BI154" i="7"/>
  <c r="AS154" i="7"/>
  <c r="AU153" i="7"/>
  <c r="BE152" i="7"/>
  <c r="BG151" i="7"/>
  <c r="BI150" i="7"/>
  <c r="AS150" i="7"/>
  <c r="AU149" i="7"/>
  <c r="BE148" i="7"/>
  <c r="BG147" i="7"/>
  <c r="BI146" i="7"/>
  <c r="AS146" i="7"/>
  <c r="AU145" i="7"/>
  <c r="BE144" i="7"/>
  <c r="BG143" i="7"/>
  <c r="BI142" i="7"/>
  <c r="AS142" i="7"/>
  <c r="AU141" i="7"/>
  <c r="BE140" i="7"/>
  <c r="BG139" i="7"/>
  <c r="BI138" i="7"/>
  <c r="AS138" i="7"/>
  <c r="AU137" i="7"/>
  <c r="BE136" i="7"/>
  <c r="BG135" i="7"/>
  <c r="BI134" i="7"/>
  <c r="AT134" i="7"/>
  <c r="BH133" i="7"/>
  <c r="AV133" i="7"/>
  <c r="AR133" i="7"/>
  <c r="BF132" i="7"/>
  <c r="AT132" i="7"/>
  <c r="BH131" i="7"/>
  <c r="AV131" i="7"/>
  <c r="AR131" i="7"/>
  <c r="BF130" i="7"/>
  <c r="AT130" i="7"/>
  <c r="BH129" i="7"/>
  <c r="AV129" i="7"/>
  <c r="AR129" i="7"/>
  <c r="BF128" i="7"/>
  <c r="AT128" i="7"/>
  <c r="BH127" i="7"/>
  <c r="AV127" i="7"/>
  <c r="AR127" i="7"/>
  <c r="BF126" i="7"/>
  <c r="AT126" i="7"/>
  <c r="BH125" i="7"/>
  <c r="AV125" i="7"/>
  <c r="AR125" i="7"/>
  <c r="BF124" i="7"/>
  <c r="AT124" i="7"/>
  <c r="BH123" i="7"/>
  <c r="AV123" i="7"/>
  <c r="AR123" i="7"/>
  <c r="BF122" i="7"/>
  <c r="AT122" i="7"/>
  <c r="BH121" i="7"/>
  <c r="AV121" i="7"/>
  <c r="AR121" i="7"/>
  <c r="BF120" i="7"/>
  <c r="AT120" i="7"/>
  <c r="BH119" i="7"/>
  <c r="AV119" i="7"/>
  <c r="AR119" i="7"/>
  <c r="BF118" i="7"/>
  <c r="AT118" i="7"/>
  <c r="BH117" i="7"/>
  <c r="AV117" i="7"/>
  <c r="AR117" i="7"/>
  <c r="BF116" i="7"/>
  <c r="AT116" i="7"/>
  <c r="BH115" i="7"/>
  <c r="AV115" i="7"/>
  <c r="AR115" i="7"/>
  <c r="BF114" i="7"/>
  <c r="AT114" i="7"/>
  <c r="BH113" i="7"/>
  <c r="AV113" i="7"/>
  <c r="AR113" i="7"/>
  <c r="BF112" i="7"/>
  <c r="AT112" i="7"/>
  <c r="BH111" i="7"/>
  <c r="AV111" i="7"/>
  <c r="AR111" i="7"/>
  <c r="BF110" i="7"/>
  <c r="AT110" i="7"/>
  <c r="BH109" i="7"/>
  <c r="AV109" i="7"/>
  <c r="AR109" i="7"/>
  <c r="BF108" i="7"/>
  <c r="AT108" i="7"/>
  <c r="BH107" i="7"/>
  <c r="AV107" i="7"/>
  <c r="AR107" i="7"/>
  <c r="BF106" i="7"/>
  <c r="AT106" i="7"/>
  <c r="BH105" i="7"/>
  <c r="AV105" i="7"/>
  <c r="AR105" i="7"/>
  <c r="BF104" i="7"/>
  <c r="AT104" i="7"/>
  <c r="BH103" i="7"/>
  <c r="AV103" i="7"/>
  <c r="AR103" i="7"/>
  <c r="BF102" i="7"/>
  <c r="AT102" i="7"/>
  <c r="BH101" i="7"/>
  <c r="AV101" i="7"/>
  <c r="AR101" i="7"/>
  <c r="BF100" i="7"/>
  <c r="AT100" i="7"/>
  <c r="BH99" i="7"/>
  <c r="AV99" i="7"/>
  <c r="AR99" i="7"/>
  <c r="BF98" i="7"/>
  <c r="AT98" i="7"/>
  <c r="BH97" i="7"/>
  <c r="AV97" i="7"/>
  <c r="AR97" i="7"/>
  <c r="BF96" i="7"/>
  <c r="AT96" i="7"/>
  <c r="BH95" i="7"/>
  <c r="AV95" i="7"/>
  <c r="AR95" i="7"/>
  <c r="BF94" i="7"/>
  <c r="AT94" i="7"/>
  <c r="BH93" i="7"/>
  <c r="AV93" i="7"/>
  <c r="AR93" i="7"/>
  <c r="BF92" i="7"/>
  <c r="AT92" i="7"/>
  <c r="BH91" i="7"/>
  <c r="AV91" i="7"/>
  <c r="AR91" i="7"/>
  <c r="BF90" i="7"/>
  <c r="AT90" i="7"/>
  <c r="BH89" i="7"/>
  <c r="AV89" i="7"/>
  <c r="AR89" i="7"/>
  <c r="BF88" i="7"/>
  <c r="AT88" i="7"/>
  <c r="BH87" i="7"/>
  <c r="AV87" i="7"/>
  <c r="AR87" i="7"/>
  <c r="BF86" i="7"/>
  <c r="AT86" i="7"/>
  <c r="BH85" i="7"/>
  <c r="AV85" i="7"/>
  <c r="AR85" i="7"/>
  <c r="BF84" i="7"/>
  <c r="AT84" i="7"/>
  <c r="BH83" i="7"/>
  <c r="AV83" i="7"/>
  <c r="AR83" i="7"/>
  <c r="BF82" i="7"/>
  <c r="AT82" i="7"/>
  <c r="BH81" i="7"/>
  <c r="AV81" i="7"/>
  <c r="AR81" i="7"/>
  <c r="BF80" i="7"/>
  <c r="AT80" i="7"/>
  <c r="BH79" i="7"/>
  <c r="AV79" i="7"/>
  <c r="AR79" i="7"/>
  <c r="BF78" i="7"/>
  <c r="AT78" i="7"/>
  <c r="BH77" i="7"/>
  <c r="AV77" i="7"/>
  <c r="AR77" i="7"/>
  <c r="BF76" i="7"/>
  <c r="AT76" i="7"/>
  <c r="BH75" i="7"/>
  <c r="AV75" i="7"/>
  <c r="AR75" i="7"/>
  <c r="BF74" i="7"/>
  <c r="AT74" i="7"/>
  <c r="BH73" i="7"/>
  <c r="AV73" i="7"/>
  <c r="AR73" i="7"/>
  <c r="BF72" i="7"/>
  <c r="AT72" i="7"/>
  <c r="BH71" i="7"/>
  <c r="AV71" i="7"/>
  <c r="AR71" i="7"/>
  <c r="BF70" i="7"/>
  <c r="AT70" i="7"/>
  <c r="BH69" i="7"/>
  <c r="AV69" i="7"/>
  <c r="AR69" i="7"/>
  <c r="BF68" i="7"/>
  <c r="AT68" i="7"/>
  <c r="BH67" i="7"/>
  <c r="AV67" i="7"/>
  <c r="AR67" i="7"/>
  <c r="BF66" i="7"/>
  <c r="AT66" i="7"/>
  <c r="BH65" i="7"/>
  <c r="AV65" i="7"/>
  <c r="AR65" i="7"/>
  <c r="BF64" i="7"/>
  <c r="AT64" i="7"/>
  <c r="BH63" i="7"/>
  <c r="AV63" i="7"/>
  <c r="AR63" i="7"/>
  <c r="BF62" i="7"/>
  <c r="AT62" i="7"/>
  <c r="BH61" i="7"/>
  <c r="AV61" i="7"/>
  <c r="AR61" i="7"/>
  <c r="BF60" i="7"/>
  <c r="AT60" i="7"/>
  <c r="BH59" i="7"/>
  <c r="AV59" i="7"/>
  <c r="AR59" i="7"/>
  <c r="BF58" i="7"/>
  <c r="AT58" i="7"/>
  <c r="BH57" i="7"/>
  <c r="AV57" i="7"/>
  <c r="AR57" i="7"/>
  <c r="BF56" i="7"/>
  <c r="AT56" i="7"/>
  <c r="BH55" i="7"/>
  <c r="AV55" i="7"/>
  <c r="AR55" i="7"/>
  <c r="BF54" i="7"/>
  <c r="AT54" i="7"/>
  <c r="BH53" i="7"/>
  <c r="AV53" i="7"/>
  <c r="AR53" i="7"/>
  <c r="BF52" i="7"/>
  <c r="AT52" i="7"/>
  <c r="BH51" i="7"/>
  <c r="AV51" i="7"/>
  <c r="AR51" i="7"/>
  <c r="BF50" i="7"/>
  <c r="AT50" i="7"/>
  <c r="BH49" i="7"/>
  <c r="AV49" i="7"/>
  <c r="AR49" i="7"/>
  <c r="BF48" i="7"/>
  <c r="AT48" i="7"/>
  <c r="BH47" i="7"/>
  <c r="AV47" i="7"/>
  <c r="AR47" i="7"/>
  <c r="BF46" i="7"/>
  <c r="AT46" i="7"/>
  <c r="BH45" i="7"/>
  <c r="AV45" i="7"/>
  <c r="AR45" i="7"/>
  <c r="BF44" i="7"/>
  <c r="AT44" i="7"/>
  <c r="BH43" i="7"/>
  <c r="AV43" i="7"/>
  <c r="AR43" i="7"/>
  <c r="BF42" i="7"/>
  <c r="AT42" i="7"/>
  <c r="BH41" i="7"/>
  <c r="AV41" i="7"/>
  <c r="AR41" i="7"/>
  <c r="BF40" i="7"/>
  <c r="AT40" i="7"/>
  <c r="BH39" i="7"/>
  <c r="AV39" i="7"/>
  <c r="AR39" i="7"/>
  <c r="BF38" i="7"/>
  <c r="AT38" i="7"/>
  <c r="BH37" i="7"/>
  <c r="AV37" i="7"/>
  <c r="AR37" i="7"/>
  <c r="BF36" i="7"/>
  <c r="AT36" i="7"/>
  <c r="BH35" i="7"/>
  <c r="AV35" i="7"/>
  <c r="AR35" i="7"/>
  <c r="BF34" i="7"/>
  <c r="AT34" i="7"/>
  <c r="BH33" i="7"/>
  <c r="AV33" i="7"/>
  <c r="AR33" i="7"/>
  <c r="BF32" i="7"/>
  <c r="AT32" i="7"/>
  <c r="BI31" i="7"/>
  <c r="BG31" i="7"/>
  <c r="BE31" i="7"/>
  <c r="AU31" i="7"/>
  <c r="AS31" i="7"/>
  <c r="BI30" i="7"/>
  <c r="BG30" i="7"/>
  <c r="BE30" i="7"/>
  <c r="AU30" i="7"/>
  <c r="AS30" i="7"/>
  <c r="BI29" i="7"/>
  <c r="BG29" i="7"/>
  <c r="BE29" i="7"/>
  <c r="AU29" i="7"/>
  <c r="AS29" i="7"/>
  <c r="BI28" i="7"/>
  <c r="BG28" i="7"/>
  <c r="BE28" i="7"/>
  <c r="AU28" i="7"/>
  <c r="AS28" i="7"/>
  <c r="BI27" i="7"/>
  <c r="BG27" i="7"/>
  <c r="BE27" i="7"/>
  <c r="AU27" i="7"/>
  <c r="AS27" i="7"/>
  <c r="BI26" i="7"/>
  <c r="BG26" i="7"/>
  <c r="BE26" i="7"/>
  <c r="AU26" i="7"/>
  <c r="AS26" i="7"/>
  <c r="BI25" i="7"/>
  <c r="BG25" i="7"/>
  <c r="BE25" i="7"/>
  <c r="AU25" i="7"/>
  <c r="AS25" i="7"/>
  <c r="BI24" i="7"/>
  <c r="BG24" i="7"/>
  <c r="BE24" i="7"/>
  <c r="AU24" i="7"/>
  <c r="AS24" i="7"/>
  <c r="BI23" i="7"/>
  <c r="BG23" i="7"/>
  <c r="BE23" i="7"/>
  <c r="AU23" i="7"/>
  <c r="AS23" i="7"/>
  <c r="BI22" i="7"/>
  <c r="BG22" i="7"/>
  <c r="BE22" i="7"/>
  <c r="AU22" i="7"/>
  <c r="AS22" i="7"/>
  <c r="BI21" i="7"/>
  <c r="BG21" i="7"/>
  <c r="BE21" i="7"/>
  <c r="AU21" i="7"/>
  <c r="AS21" i="7"/>
  <c r="BI20" i="7"/>
  <c r="BG20" i="7"/>
  <c r="BE20" i="7"/>
  <c r="AU20" i="7"/>
  <c r="AS20" i="7"/>
  <c r="BI19" i="7"/>
  <c r="BG19" i="7"/>
  <c r="BE19" i="7"/>
  <c r="AU19" i="7"/>
  <c r="AS19" i="7"/>
  <c r="BI18" i="7"/>
  <c r="BG18" i="7"/>
  <c r="BE18" i="7"/>
  <c r="AU18" i="7"/>
  <c r="AS18" i="7"/>
  <c r="BI17" i="7"/>
  <c r="BG17" i="7"/>
  <c r="BE17" i="7"/>
  <c r="AU17" i="7"/>
  <c r="AS17" i="7"/>
  <c r="BI16" i="7"/>
  <c r="BG16" i="7"/>
  <c r="BE16" i="7"/>
  <c r="AU16" i="7"/>
  <c r="AS16" i="7"/>
  <c r="BI15" i="7"/>
  <c r="BG15" i="7"/>
  <c r="BE15" i="7"/>
  <c r="AU15" i="7"/>
  <c r="AS15" i="7"/>
  <c r="BH224" i="7"/>
  <c r="BF221" i="7"/>
  <c r="AV218" i="7"/>
  <c r="AT215" i="7"/>
  <c r="AR212" i="7"/>
  <c r="BI209" i="7"/>
  <c r="AU208" i="7"/>
  <c r="BG206" i="7"/>
  <c r="AS205" i="7"/>
  <c r="BE203" i="7"/>
  <c r="BI201" i="7"/>
  <c r="AU200" i="7"/>
  <c r="BG198" i="7"/>
  <c r="AS197" i="7"/>
  <c r="BE195" i="7"/>
  <c r="BI193" i="7"/>
  <c r="AU192" i="7"/>
  <c r="BG190" i="7"/>
  <c r="AS189" i="7"/>
  <c r="BE187" i="7"/>
  <c r="BI185" i="7"/>
  <c r="BI184" i="7"/>
  <c r="AS184" i="7"/>
  <c r="AU183" i="7"/>
  <c r="BE182" i="7"/>
  <c r="BG181" i="7"/>
  <c r="BI180" i="7"/>
  <c r="AS180" i="7"/>
  <c r="AU179" i="7"/>
  <c r="BE178" i="7"/>
  <c r="BG177" i="7"/>
  <c r="BI176" i="7"/>
  <c r="AS176" i="7"/>
  <c r="AU175" i="7"/>
  <c r="BE174" i="7"/>
  <c r="BG173" i="7"/>
  <c r="BI172" i="7"/>
  <c r="AS172" i="7"/>
  <c r="AU171" i="7"/>
  <c r="BE170" i="7"/>
  <c r="BG169" i="7"/>
  <c r="BI168" i="7"/>
  <c r="AS168" i="7"/>
  <c r="AU167" i="7"/>
  <c r="BE166" i="7"/>
  <c r="BG165" i="7"/>
  <c r="BI164" i="7"/>
  <c r="AS164" i="7"/>
  <c r="AU163" i="7"/>
  <c r="BE162" i="7"/>
  <c r="BG161" i="7"/>
  <c r="BI160" i="7"/>
  <c r="AS160" i="7"/>
  <c r="AU159" i="7"/>
  <c r="BE158" i="7"/>
  <c r="BG157" i="7"/>
  <c r="BI156" i="7"/>
  <c r="AS156" i="7"/>
  <c r="AU155" i="7"/>
  <c r="BE154" i="7"/>
  <c r="BG153" i="7"/>
  <c r="BI152" i="7"/>
  <c r="AS152" i="7"/>
  <c r="AU151" i="7"/>
  <c r="BE150" i="7"/>
  <c r="BG149" i="7"/>
  <c r="BI148" i="7"/>
  <c r="AS148" i="7"/>
  <c r="AU147" i="7"/>
  <c r="BE146" i="7"/>
  <c r="BG145" i="7"/>
  <c r="BI144" i="7"/>
  <c r="AS144" i="7"/>
  <c r="AU143" i="7"/>
  <c r="BE142" i="7"/>
  <c r="BG141" i="7"/>
  <c r="BI140" i="7"/>
  <c r="AS140" i="7"/>
  <c r="AU139" i="7"/>
  <c r="BE138" i="7"/>
  <c r="BG137" i="7"/>
  <c r="BI136" i="7"/>
  <c r="AS136" i="7"/>
  <c r="AU135" i="7"/>
  <c r="BE134" i="7"/>
  <c r="AR134" i="7"/>
  <c r="BF133" i="7"/>
  <c r="AT133" i="7"/>
  <c r="BH132" i="7"/>
  <c r="AV132" i="7"/>
  <c r="AR132" i="7"/>
  <c r="BF131" i="7"/>
  <c r="AT131" i="7"/>
  <c r="BH130" i="7"/>
  <c r="AV130" i="7"/>
  <c r="AR130" i="7"/>
  <c r="BF129" i="7"/>
  <c r="AT129" i="7"/>
  <c r="BH128" i="7"/>
  <c r="AV128" i="7"/>
  <c r="AR128" i="7"/>
  <c r="BF127" i="7"/>
  <c r="AT127" i="7"/>
  <c r="BH126" i="7"/>
  <c r="AV126" i="7"/>
  <c r="AR126" i="7"/>
  <c r="BF125" i="7"/>
  <c r="AT125" i="7"/>
  <c r="BH124" i="7"/>
  <c r="AV124" i="7"/>
  <c r="AR124" i="7"/>
  <c r="BF123" i="7"/>
  <c r="AT123" i="7"/>
  <c r="BH122" i="7"/>
  <c r="AV122" i="7"/>
  <c r="AR122" i="7"/>
  <c r="BF121" i="7"/>
  <c r="AT121" i="7"/>
  <c r="BH120" i="7"/>
  <c r="AV120" i="7"/>
  <c r="AR120" i="7"/>
  <c r="BF119" i="7"/>
  <c r="AT119" i="7"/>
  <c r="BH118" i="7"/>
  <c r="AV118" i="7"/>
  <c r="AR118" i="7"/>
  <c r="BF117" i="7"/>
  <c r="AT117" i="7"/>
  <c r="BH116" i="7"/>
  <c r="AV116" i="7"/>
  <c r="AR116" i="7"/>
  <c r="BF115" i="7"/>
  <c r="AT115" i="7"/>
  <c r="BH114" i="7"/>
  <c r="AV114" i="7"/>
  <c r="AR114" i="7"/>
  <c r="BF113" i="7"/>
  <c r="AT113" i="7"/>
  <c r="BH112" i="7"/>
  <c r="AV112" i="7"/>
  <c r="AR112" i="7"/>
  <c r="BF111" i="7"/>
  <c r="AT111" i="7"/>
  <c r="BH110" i="7"/>
  <c r="AV110" i="7"/>
  <c r="AR110" i="7"/>
  <c r="BF109" i="7"/>
  <c r="AT109" i="7"/>
  <c r="BH108" i="7"/>
  <c r="AV108" i="7"/>
  <c r="AR108" i="7"/>
  <c r="BF107" i="7"/>
  <c r="AT107" i="7"/>
  <c r="BH106" i="7"/>
  <c r="AV106" i="7"/>
  <c r="AR106" i="7"/>
  <c r="BF105" i="7"/>
  <c r="AT105" i="7"/>
  <c r="BH104" i="7"/>
  <c r="AV104" i="7"/>
  <c r="AR104" i="7"/>
  <c r="BF103" i="7"/>
  <c r="AT103" i="7"/>
  <c r="BH102" i="7"/>
  <c r="AV102" i="7"/>
  <c r="AR102" i="7"/>
  <c r="BF101" i="7"/>
  <c r="AT101" i="7"/>
  <c r="BH100" i="7"/>
  <c r="AV100" i="7"/>
  <c r="AR100" i="7"/>
  <c r="BF99" i="7"/>
  <c r="AT99" i="7"/>
  <c r="BH98" i="7"/>
  <c r="AV98" i="7"/>
  <c r="AR98" i="7"/>
  <c r="BF97" i="7"/>
  <c r="AT97" i="7"/>
  <c r="BH96" i="7"/>
  <c r="AV96" i="7"/>
  <c r="AR96" i="7"/>
  <c r="BF95" i="7"/>
  <c r="AT95" i="7"/>
  <c r="BH94" i="7"/>
  <c r="AV94" i="7"/>
  <c r="AR94" i="7"/>
  <c r="BF93" i="7"/>
  <c r="AT93" i="7"/>
  <c r="BH92" i="7"/>
  <c r="AV92" i="7"/>
  <c r="AR92" i="7"/>
  <c r="BF91" i="7"/>
  <c r="AT91" i="7"/>
  <c r="BH90" i="7"/>
  <c r="AV90" i="7"/>
  <c r="AR90" i="7"/>
  <c r="BF89" i="7"/>
  <c r="AT89" i="7"/>
  <c r="BH88" i="7"/>
  <c r="AV88" i="7"/>
  <c r="AR88" i="7"/>
  <c r="BF87" i="7"/>
  <c r="AT87" i="7"/>
  <c r="BH86" i="7"/>
  <c r="AV86" i="7"/>
  <c r="AR86" i="7"/>
  <c r="BF85" i="7"/>
  <c r="AT85" i="7"/>
  <c r="BH84" i="7"/>
  <c r="AV84" i="7"/>
  <c r="AR84" i="7"/>
  <c r="BF83" i="7"/>
  <c r="AT83" i="7"/>
  <c r="BH82" i="7"/>
  <c r="AV82" i="7"/>
  <c r="AR82" i="7"/>
  <c r="BF81" i="7"/>
  <c r="AT81" i="7"/>
  <c r="BH80" i="7"/>
  <c r="AV80" i="7"/>
  <c r="AR80" i="7"/>
  <c r="BF79" i="7"/>
  <c r="AT79" i="7"/>
  <c r="BH78" i="7"/>
  <c r="AV78" i="7"/>
  <c r="AR78" i="7"/>
  <c r="BF77" i="7"/>
  <c r="AT77" i="7"/>
  <c r="BH76" i="7"/>
  <c r="AV76" i="7"/>
  <c r="AR76" i="7"/>
  <c r="BF75" i="7"/>
  <c r="AT75" i="7"/>
  <c r="BH74" i="7"/>
  <c r="AV74" i="7"/>
  <c r="AR74" i="7"/>
  <c r="BF73" i="7"/>
  <c r="AT73" i="7"/>
  <c r="BH72" i="7"/>
  <c r="AV72" i="7"/>
  <c r="AR72" i="7"/>
  <c r="BF71" i="7"/>
  <c r="AT71" i="7"/>
  <c r="BH70" i="7"/>
  <c r="AV70" i="7"/>
  <c r="AR70" i="7"/>
  <c r="BF69" i="7"/>
  <c r="AT69" i="7"/>
  <c r="BH68" i="7"/>
  <c r="AV68" i="7"/>
  <c r="AR68" i="7"/>
  <c r="BF67" i="7"/>
  <c r="AT67" i="7"/>
  <c r="BH66" i="7"/>
  <c r="AV66" i="7"/>
  <c r="AR66" i="7"/>
  <c r="BF65" i="7"/>
  <c r="AT65" i="7"/>
  <c r="BH64" i="7"/>
  <c r="AV64" i="7"/>
  <c r="AR64" i="7"/>
  <c r="BF63" i="7"/>
  <c r="AT63" i="7"/>
  <c r="BH62" i="7"/>
  <c r="AV62" i="7"/>
  <c r="AR62" i="7"/>
  <c r="BF61" i="7"/>
  <c r="AT61" i="7"/>
  <c r="BH60" i="7"/>
  <c r="AV60" i="7"/>
  <c r="AR60" i="7"/>
  <c r="BF59" i="7"/>
  <c r="AT59" i="7"/>
  <c r="BH58" i="7"/>
  <c r="AV58" i="7"/>
  <c r="AR58" i="7"/>
  <c r="BF57" i="7"/>
  <c r="AT57" i="7"/>
  <c r="BH56" i="7"/>
  <c r="AV56" i="7"/>
  <c r="AR56" i="7"/>
  <c r="BF55" i="7"/>
  <c r="AT55" i="7"/>
  <c r="BH54" i="7"/>
  <c r="AV54" i="7"/>
  <c r="AR54" i="7"/>
  <c r="BF53" i="7"/>
  <c r="AT53" i="7"/>
  <c r="BH52" i="7"/>
  <c r="AV52" i="7"/>
  <c r="AR52" i="7"/>
  <c r="BF51" i="7"/>
  <c r="AT51" i="7"/>
  <c r="BH50" i="7"/>
  <c r="AV50" i="7"/>
  <c r="AR50" i="7"/>
  <c r="BF49" i="7"/>
  <c r="AT49" i="7"/>
  <c r="BH48" i="7"/>
  <c r="AV48" i="7"/>
  <c r="AR48" i="7"/>
  <c r="BF47" i="7"/>
  <c r="AT47" i="7"/>
  <c r="BH46" i="7"/>
  <c r="AV46" i="7"/>
  <c r="AR46" i="7"/>
  <c r="BF45" i="7"/>
  <c r="AT45" i="7"/>
  <c r="BH44" i="7"/>
  <c r="AV44" i="7"/>
  <c r="AR44" i="7"/>
  <c r="BF43" i="7"/>
  <c r="AT43" i="7"/>
  <c r="BH42" i="7"/>
  <c r="AV42" i="7"/>
  <c r="AR42" i="7"/>
  <c r="BF41" i="7"/>
  <c r="AT41" i="7"/>
  <c r="BH40" i="7"/>
  <c r="AV40" i="7"/>
  <c r="AR40" i="7"/>
  <c r="BF39" i="7"/>
  <c r="AT39" i="7"/>
  <c r="BH38" i="7"/>
  <c r="AV38" i="7"/>
  <c r="AR38" i="7"/>
  <c r="BF37" i="7"/>
  <c r="AT37" i="7"/>
  <c r="BH36" i="7"/>
  <c r="AV36" i="7"/>
  <c r="AR36" i="7"/>
  <c r="BF35" i="7"/>
  <c r="AT35" i="7"/>
  <c r="BH34" i="7"/>
  <c r="AV34" i="7"/>
  <c r="AR34" i="7"/>
  <c r="BF33" i="7"/>
  <c r="AT33" i="7"/>
  <c r="BH32" i="7"/>
  <c r="AV32" i="7"/>
  <c r="AR32" i="7"/>
  <c r="BH31" i="7"/>
  <c r="BF31" i="7"/>
  <c r="AV31" i="7"/>
  <c r="AT31" i="7"/>
  <c r="AR31" i="7"/>
  <c r="BH30" i="7"/>
  <c r="BF30" i="7"/>
  <c r="AV30" i="7"/>
  <c r="AT30" i="7"/>
  <c r="AR30" i="7"/>
  <c r="BH29" i="7"/>
  <c r="BF29" i="7"/>
  <c r="AV29" i="7"/>
  <c r="AT29" i="7"/>
  <c r="AR29" i="7"/>
  <c r="BH28" i="7"/>
  <c r="BF28" i="7"/>
  <c r="AV28" i="7"/>
  <c r="AT28" i="7"/>
  <c r="AR28" i="7"/>
  <c r="BH27" i="7"/>
  <c r="BF27" i="7"/>
  <c r="AV27" i="7"/>
  <c r="AT27" i="7"/>
  <c r="AR27" i="7"/>
  <c r="BH26" i="7"/>
  <c r="BF26" i="7"/>
  <c r="AV26" i="7"/>
  <c r="AT26" i="7"/>
  <c r="AR26" i="7"/>
  <c r="BH25" i="7"/>
  <c r="BF25" i="7"/>
  <c r="AV25" i="7"/>
  <c r="AT25" i="7"/>
  <c r="AR25" i="7"/>
  <c r="BH24" i="7"/>
  <c r="BF24" i="7"/>
  <c r="AV24" i="7"/>
  <c r="AT24" i="7"/>
  <c r="AR24" i="7"/>
  <c r="BH23" i="7"/>
  <c r="BF23" i="7"/>
  <c r="AV23" i="7"/>
  <c r="AT23" i="7"/>
  <c r="AR23" i="7"/>
  <c r="BH22" i="7"/>
  <c r="BF22" i="7"/>
  <c r="AV22" i="7"/>
  <c r="AT22" i="7"/>
  <c r="AR22" i="7"/>
  <c r="BH21" i="7"/>
  <c r="BF21" i="7"/>
  <c r="AV21" i="7"/>
  <c r="AT21" i="7"/>
  <c r="AR21" i="7"/>
  <c r="BH20" i="7"/>
  <c r="BF20" i="7"/>
  <c r="AV20" i="7"/>
  <c r="AT20" i="7"/>
  <c r="AR20" i="7"/>
  <c r="BH19" i="7"/>
  <c r="BF19" i="7"/>
  <c r="AV19" i="7"/>
  <c r="AT19" i="7"/>
  <c r="AR19" i="7"/>
  <c r="BH18" i="7"/>
  <c r="BF18" i="7"/>
  <c r="AV18" i="7"/>
  <c r="AT18" i="7"/>
  <c r="AR18" i="7"/>
  <c r="BH17" i="7"/>
  <c r="BF17" i="7"/>
  <c r="AV17" i="7"/>
  <c r="AT17" i="7"/>
  <c r="AR17" i="7"/>
  <c r="BH16" i="7"/>
  <c r="BF16" i="7"/>
  <c r="AV16" i="7"/>
  <c r="AT16" i="7"/>
  <c r="AR16" i="7"/>
  <c r="BH15" i="7"/>
  <c r="BF15" i="7"/>
  <c r="AV15" i="7"/>
  <c r="AT15" i="7"/>
  <c r="AR15" i="7"/>
  <c r="AS23" i="6"/>
  <c r="AQ21" i="6"/>
  <c r="AS19" i="6"/>
  <c r="AS18" i="6"/>
  <c r="AS17" i="6"/>
  <c r="AS16" i="6"/>
  <c r="AR31" i="6"/>
  <c r="AP31" i="6"/>
  <c r="AR30" i="6"/>
  <c r="AP30" i="6"/>
  <c r="AR29" i="6"/>
  <c r="AP29" i="6"/>
  <c r="AR28" i="6"/>
  <c r="AP28" i="6"/>
  <c r="AR27" i="6"/>
  <c r="AP27" i="6"/>
  <c r="AR26" i="6"/>
  <c r="AP26" i="6"/>
  <c r="AR25" i="6"/>
  <c r="AP25" i="6"/>
  <c r="AR24" i="6"/>
  <c r="AP24" i="6"/>
  <c r="AR23" i="6"/>
  <c r="AP23" i="6"/>
  <c r="AR22" i="6"/>
  <c r="AP22" i="6"/>
  <c r="AR21" i="6"/>
  <c r="AP21" i="6"/>
  <c r="AR20" i="6"/>
  <c r="AP20" i="6"/>
  <c r="AR19" i="6"/>
  <c r="AP19" i="6"/>
  <c r="AR18" i="6"/>
  <c r="AP18" i="6"/>
  <c r="AR17" i="6"/>
  <c r="AP17" i="6"/>
  <c r="AR16" i="6"/>
  <c r="AP16" i="6"/>
  <c r="AS31" i="6"/>
  <c r="AQ31" i="6"/>
  <c r="AS30" i="6"/>
  <c r="AQ30" i="6"/>
  <c r="AS29" i="6"/>
  <c r="AQ29" i="6"/>
  <c r="AS28" i="6"/>
  <c r="AQ28" i="6"/>
  <c r="AS27" i="6"/>
  <c r="AQ27" i="6"/>
  <c r="AS26" i="6"/>
  <c r="AQ26" i="6"/>
  <c r="AS25" i="6"/>
  <c r="AQ25" i="6"/>
  <c r="AS24" i="6"/>
  <c r="AQ24" i="6"/>
  <c r="AQ23" i="6"/>
  <c r="AS22" i="6"/>
  <c r="AQ22" i="6"/>
  <c r="AS21" i="6"/>
  <c r="AS20" i="6"/>
  <c r="AQ20" i="6"/>
  <c r="AQ19" i="6"/>
  <c r="AQ18" i="6"/>
  <c r="AQ17" i="6"/>
  <c r="AX3" i="9"/>
  <c r="AV3" i="9"/>
  <c r="AU4" i="9"/>
  <c r="AT3" i="9"/>
  <c r="AW4" i="9"/>
  <c r="AR3" i="9"/>
  <c r="AQ4" i="9"/>
  <c r="AY4" i="9"/>
  <c r="AS3" i="9"/>
  <c r="AW3" i="9"/>
  <c r="AR4" i="9"/>
  <c r="AV4" i="9"/>
  <c r="AQ3" i="9"/>
  <c r="AU3" i="9"/>
  <c r="AY3" i="9"/>
  <c r="AT4" i="9"/>
  <c r="AX4" i="9"/>
  <c r="E50" i="5" l="1"/>
  <c r="M37" i="5"/>
  <c r="AJ36" i="6"/>
  <c r="AJ43" i="6" s="1"/>
  <c r="BE6" i="9"/>
  <c r="L37" i="9" s="1"/>
  <c r="BE5" i="9"/>
  <c r="L36" i="9" s="1"/>
  <c r="BF3" i="9"/>
  <c r="BF4" i="9"/>
  <c r="N35" i="9" s="1"/>
  <c r="BG6" i="9"/>
  <c r="P37" i="9" s="1"/>
  <c r="BG5" i="9"/>
  <c r="P36" i="9" s="1"/>
  <c r="BH3" i="9"/>
  <c r="BH4" i="9"/>
  <c r="R35" i="9" s="1"/>
  <c r="V32" i="9"/>
  <c r="BJ5" i="9"/>
  <c r="V36" i="9" s="1"/>
  <c r="BJ6" i="9"/>
  <c r="V37" i="9" s="1"/>
  <c r="BC4" i="9"/>
  <c r="H35" i="9" s="1"/>
  <c r="BC3" i="9"/>
  <c r="BE4" i="9"/>
  <c r="L35" i="9" s="1"/>
  <c r="BE3" i="9"/>
  <c r="P31" i="9"/>
  <c r="BG4" i="9"/>
  <c r="P35" i="9" s="1"/>
  <c r="BG3" i="9"/>
  <c r="P34" i="9" s="1"/>
  <c r="BI6" i="9"/>
  <c r="T37" i="9" s="1"/>
  <c r="BI5" i="9"/>
  <c r="T36" i="9" s="1"/>
  <c r="BJ3" i="9"/>
  <c r="BJ4" i="9"/>
  <c r="V35" i="9" s="1"/>
  <c r="BB3" i="9"/>
  <c r="BB4" i="9"/>
  <c r="F35" i="9" s="1"/>
  <c r="BC6" i="9"/>
  <c r="H37" i="9" s="1"/>
  <c r="BC5" i="9"/>
  <c r="H36" i="9" s="1"/>
  <c r="BD3" i="9"/>
  <c r="BD4" i="9"/>
  <c r="J35" i="9" s="1"/>
  <c r="BB5" i="9"/>
  <c r="F36" i="9" s="1"/>
  <c r="BB6" i="9"/>
  <c r="F37" i="9" s="1"/>
  <c r="BH5" i="9"/>
  <c r="R36" i="9" s="1"/>
  <c r="BH6" i="9"/>
  <c r="R37" i="9" s="1"/>
  <c r="N32" i="9"/>
  <c r="BF5" i="9"/>
  <c r="N36" i="9" s="1"/>
  <c r="BF6" i="9"/>
  <c r="N37" i="9" s="1"/>
  <c r="T31" i="9"/>
  <c r="BI4" i="9"/>
  <c r="T35" i="9" s="1"/>
  <c r="BI3" i="9"/>
  <c r="T34" i="9" s="1"/>
  <c r="V31" i="9"/>
  <c r="AQ4" i="8"/>
  <c r="AR4" i="8"/>
  <c r="AL36" i="6"/>
  <c r="T32" i="9"/>
  <c r="F31" i="9"/>
  <c r="H32" i="9"/>
  <c r="J31" i="9"/>
  <c r="F32" i="9"/>
  <c r="R32" i="9"/>
  <c r="L32" i="9"/>
  <c r="N31" i="9"/>
  <c r="P32" i="9"/>
  <c r="R31" i="9"/>
  <c r="H31" i="9"/>
  <c r="L31" i="9"/>
  <c r="AR6" i="8"/>
  <c r="AK36" i="6"/>
  <c r="AM36" i="6"/>
  <c r="AP6" i="8"/>
  <c r="AS6" i="8"/>
  <c r="AS4" i="8"/>
  <c r="AQ6" i="8"/>
  <c r="AP4" i="8"/>
  <c r="AT6" i="8"/>
  <c r="AT4" i="8"/>
  <c r="AP7" i="7"/>
  <c r="AQ7" i="7"/>
  <c r="AN7" i="7"/>
  <c r="AO7" i="7"/>
  <c r="AM7" i="7"/>
  <c r="AO5" i="7"/>
  <c r="AP5" i="7"/>
  <c r="AN5" i="7"/>
  <c r="AQ5" i="7"/>
  <c r="AM5" i="7"/>
  <c r="AJ42" i="6" l="1"/>
  <c r="G36" i="6" s="1"/>
  <c r="BA5" i="8"/>
  <c r="BA4" i="8"/>
  <c r="H30" i="8"/>
  <c r="AW5" i="8"/>
  <c r="H36" i="8" s="1"/>
  <c r="AW4" i="8"/>
  <c r="H35" i="8" s="1"/>
  <c r="N30" i="8"/>
  <c r="AZ4" i="8"/>
  <c r="AZ5" i="8"/>
  <c r="N36" i="8" s="1"/>
  <c r="H31" i="8"/>
  <c r="AW7" i="8"/>
  <c r="H38" i="8" s="1"/>
  <c r="AW6" i="8"/>
  <c r="H37" i="8" s="1"/>
  <c r="L30" i="8"/>
  <c r="AY5" i="8"/>
  <c r="L36" i="8" s="1"/>
  <c r="AY4" i="8"/>
  <c r="L35" i="8" s="1"/>
  <c r="BA7" i="8"/>
  <c r="BA6" i="8"/>
  <c r="J31" i="8"/>
  <c r="AX6" i="8"/>
  <c r="J37" i="8" s="1"/>
  <c r="AX7" i="8"/>
  <c r="J38" i="8" s="1"/>
  <c r="N31" i="8"/>
  <c r="AZ6" i="8"/>
  <c r="N37" i="8" s="1"/>
  <c r="AZ7" i="8"/>
  <c r="N38" i="8" s="1"/>
  <c r="L31" i="8"/>
  <c r="AY7" i="8"/>
  <c r="L38" i="8" s="1"/>
  <c r="AY6" i="8"/>
  <c r="L37" i="8" s="1"/>
  <c r="J30" i="8"/>
  <c r="AX4" i="8"/>
  <c r="J35" i="8" s="1"/>
  <c r="AX5" i="8"/>
  <c r="J36" i="8" s="1"/>
  <c r="AT6" i="7"/>
  <c r="AT5" i="7"/>
  <c r="AU5" i="7"/>
  <c r="AU6" i="7"/>
  <c r="K36" i="7" s="1"/>
  <c r="M30" i="7"/>
  <c r="AV6" i="7"/>
  <c r="M36" i="7" s="1"/>
  <c r="AV5" i="7"/>
  <c r="M31" i="7"/>
  <c r="AV8" i="7"/>
  <c r="M38" i="7" s="1"/>
  <c r="AV7" i="7"/>
  <c r="M37" i="7" s="1"/>
  <c r="AX8" i="7"/>
  <c r="AX7" i="7"/>
  <c r="AX6" i="7"/>
  <c r="AX5" i="7"/>
  <c r="O30" i="7"/>
  <c r="AW5" i="7"/>
  <c r="AW6" i="7"/>
  <c r="O36" i="7" s="1"/>
  <c r="AT8" i="7"/>
  <c r="AT7" i="7"/>
  <c r="AU7" i="7"/>
  <c r="K37" i="7" s="1"/>
  <c r="AU8" i="7"/>
  <c r="K38" i="7" s="1"/>
  <c r="AW7" i="7"/>
  <c r="O37" i="7" s="1"/>
  <c r="AW8" i="7"/>
  <c r="O38" i="7" s="1"/>
  <c r="I32" i="6"/>
  <c r="AK43" i="6"/>
  <c r="I37" i="6" s="1"/>
  <c r="AK42" i="6"/>
  <c r="I36" i="6" s="1"/>
  <c r="K32" i="6"/>
  <c r="AL43" i="6"/>
  <c r="K37" i="6" s="1"/>
  <c r="AL42" i="6"/>
  <c r="K36" i="6" s="1"/>
  <c r="M32" i="6"/>
  <c r="AM43" i="6"/>
  <c r="M37" i="6" s="1"/>
  <c r="AM42" i="6"/>
  <c r="Z24" i="9"/>
  <c r="Z23" i="9"/>
  <c r="V34" i="9"/>
  <c r="O31" i="7"/>
  <c r="P30" i="8"/>
  <c r="P37" i="8"/>
  <c r="P31" i="8"/>
  <c r="BD7" i="9"/>
  <c r="BC7" i="9"/>
  <c r="BJ7" i="9"/>
  <c r="BG7" i="9"/>
  <c r="N34" i="9"/>
  <c r="BF7" i="9"/>
  <c r="BE7" i="9"/>
  <c r="F34" i="9"/>
  <c r="BB7" i="9"/>
  <c r="R34" i="9"/>
  <c r="BH7" i="9"/>
  <c r="BI7" i="9"/>
  <c r="T23" i="9"/>
  <c r="J34" i="9"/>
  <c r="T24" i="9"/>
  <c r="R23" i="9"/>
  <c r="R24" i="9"/>
  <c r="H34" i="9"/>
  <c r="X23" i="9"/>
  <c r="V23" i="9"/>
  <c r="V24" i="9"/>
  <c r="L34" i="9"/>
  <c r="X24" i="9"/>
  <c r="P36" i="8"/>
  <c r="P38" i="8"/>
  <c r="H31" i="7"/>
  <c r="H30" i="7"/>
  <c r="K30" i="7"/>
  <c r="K31" i="7"/>
  <c r="G37" i="6"/>
  <c r="T23" i="6" s="1"/>
  <c r="H46" i="6" s="1"/>
  <c r="G32" i="6"/>
  <c r="R50" i="7" l="1"/>
  <c r="O35" i="7"/>
  <c r="R51" i="7"/>
  <c r="Z24" i="7"/>
  <c r="Z23" i="7"/>
  <c r="V23" i="6"/>
  <c r="H51" i="6" s="1"/>
  <c r="Z23" i="8"/>
  <c r="R50" i="8" s="1"/>
  <c r="P35" i="8"/>
  <c r="Z24" i="8"/>
  <c r="R51" i="8" s="1"/>
  <c r="X23" i="6"/>
  <c r="L51" i="6" s="1"/>
  <c r="X24" i="8"/>
  <c r="X23" i="8"/>
  <c r="N35" i="8"/>
  <c r="Z23" i="6"/>
  <c r="R51" i="6" s="1"/>
  <c r="M36" i="6"/>
  <c r="R23" i="8"/>
  <c r="H56" i="8" s="1"/>
  <c r="V24" i="8"/>
  <c r="L47" i="8" s="1"/>
  <c r="H50" i="7"/>
  <c r="H51" i="7"/>
  <c r="H55" i="7"/>
  <c r="H46" i="7"/>
  <c r="H56" i="7"/>
  <c r="H45" i="7"/>
  <c r="M35" i="7"/>
  <c r="L51" i="7"/>
  <c r="L50" i="7"/>
  <c r="R24" i="8"/>
  <c r="V23" i="8"/>
  <c r="H38" i="7"/>
  <c r="T23" i="8"/>
  <c r="H50" i="8" s="1"/>
  <c r="T24" i="8"/>
  <c r="H51" i="8" s="1"/>
  <c r="H37" i="7"/>
  <c r="V24" i="7"/>
  <c r="V23" i="7"/>
  <c r="S24" i="7"/>
  <c r="S23" i="7"/>
  <c r="H35" i="7"/>
  <c r="H36" i="7"/>
  <c r="X23" i="7"/>
  <c r="X24" i="7"/>
  <c r="K35" i="7"/>
  <c r="H56" i="6"/>
  <c r="L51" i="8" l="1"/>
  <c r="L55" i="8"/>
  <c r="H44" i="8"/>
  <c r="H53" i="8"/>
  <c r="H49" i="8"/>
  <c r="V51" i="8"/>
  <c r="V47" i="8"/>
  <c r="V55" i="8"/>
  <c r="L50" i="8"/>
  <c r="L46" i="8"/>
  <c r="L54" i="8"/>
  <c r="H52" i="8"/>
  <c r="H48" i="8"/>
  <c r="V50" i="8"/>
  <c r="V46" i="8"/>
  <c r="V54" i="8"/>
  <c r="H57" i="8"/>
  <c r="H45" i="8"/>
  <c r="AW175" i="8"/>
  <c r="BB175" i="8" s="1"/>
  <c r="AW184" i="8"/>
  <c r="BB184" i="8" s="1"/>
  <c r="AW185" i="8" l="1"/>
  <c r="BB185" i="8" s="1"/>
  <c r="AW176" i="8"/>
  <c r="BB176" i="8" s="1"/>
  <c r="AW186" i="8" l="1"/>
  <c r="BB186" i="8" s="1"/>
  <c r="AW177" i="8"/>
  <c r="BB177" i="8" s="1"/>
  <c r="AW187" i="8"/>
  <c r="BB187" i="8" s="1"/>
  <c r="AW178" i="8" l="1"/>
  <c r="BB178" i="8" s="1"/>
  <c r="AW188" i="8"/>
  <c r="BB188" i="8" s="1"/>
  <c r="AW179" i="8" l="1"/>
  <c r="BB179" i="8" s="1"/>
  <c r="AW189" i="8"/>
  <c r="BB189" i="8" s="1"/>
  <c r="AW180" i="8" l="1"/>
  <c r="BB180" i="8" s="1"/>
  <c r="AW190" i="8"/>
  <c r="BB190" i="8" s="1"/>
  <c r="AW181" i="8" l="1"/>
  <c r="BB181" i="8" s="1"/>
  <c r="AW191" i="8"/>
  <c r="BB191" i="8" s="1"/>
  <c r="AW182" i="8" l="1"/>
  <c r="BB182" i="8" s="1"/>
  <c r="AW192" i="8"/>
  <c r="BB192" i="8" s="1"/>
</calcChain>
</file>

<file path=xl/sharedStrings.xml><?xml version="1.0" encoding="utf-8"?>
<sst xmlns="http://schemas.openxmlformats.org/spreadsheetml/2006/main" count="1915" uniqueCount="678">
  <si>
    <t>City</t>
  </si>
  <si>
    <t>alt (m)</t>
  </si>
  <si>
    <t>Aberdeen</t>
  </si>
  <si>
    <t>Aberystwyth</t>
  </si>
  <si>
    <t>Bedford</t>
  </si>
  <si>
    <t>Belfast</t>
  </si>
  <si>
    <t>Birmingham</t>
  </si>
  <si>
    <t>Bournemouth</t>
  </si>
  <si>
    <t>Brighton</t>
  </si>
  <si>
    <t>Bristol</t>
  </si>
  <si>
    <t>Cardiff</t>
  </si>
  <si>
    <t>Carlisle</t>
  </si>
  <si>
    <t>Dundee</t>
  </si>
  <si>
    <t>Edinburgh</t>
  </si>
  <si>
    <t>Glasgow</t>
  </si>
  <si>
    <t>Inverness</t>
  </si>
  <si>
    <t>Ipswich</t>
  </si>
  <si>
    <t>Kingston-on-Hull</t>
  </si>
  <si>
    <t>Leeds</t>
  </si>
  <si>
    <t>Leicester</t>
  </si>
  <si>
    <t>Liverpool</t>
  </si>
  <si>
    <t>London</t>
  </si>
  <si>
    <t>Londonderry</t>
  </si>
  <si>
    <t>Manchester</t>
  </si>
  <si>
    <t>Newcastle</t>
  </si>
  <si>
    <t>Northampton</t>
  </si>
  <si>
    <t>Norwich</t>
  </si>
  <si>
    <t>Nottingham</t>
  </si>
  <si>
    <t>Oban</t>
  </si>
  <si>
    <t>Oxford</t>
  </si>
  <si>
    <t>Perth</t>
  </si>
  <si>
    <t>Plymouth</t>
  </si>
  <si>
    <t>Preston</t>
  </si>
  <si>
    <t>Sheffield</t>
  </si>
  <si>
    <t>Stoke</t>
  </si>
  <si>
    <t>Swansea</t>
  </si>
  <si>
    <t>York</t>
  </si>
  <si>
    <t>Site location</t>
  </si>
  <si>
    <r>
      <t>z</t>
    </r>
    <r>
      <rPr>
        <vertAlign val="subscript"/>
        <sz val="9"/>
        <color theme="1"/>
        <rFont val="Arial"/>
        <family val="2"/>
        <charset val="238"/>
      </rPr>
      <t>0</t>
    </r>
    <r>
      <rPr>
        <sz val="9"/>
        <color theme="1"/>
        <rFont val="Arial"/>
        <family val="2"/>
        <charset val="238"/>
      </rPr>
      <t xml:space="preserve"> (m)</t>
    </r>
  </si>
  <si>
    <r>
      <t>z</t>
    </r>
    <r>
      <rPr>
        <vertAlign val="subscript"/>
        <sz val="9"/>
        <color theme="1"/>
        <rFont val="Arial"/>
        <family val="2"/>
        <charset val="238"/>
      </rPr>
      <t xml:space="preserve">min </t>
    </r>
    <r>
      <rPr>
        <sz val="9"/>
        <color theme="1"/>
        <rFont val="Arial"/>
        <family val="2"/>
        <charset val="238"/>
      </rPr>
      <t>(m)</t>
    </r>
  </si>
  <si>
    <t>I</t>
  </si>
  <si>
    <t>II</t>
  </si>
  <si>
    <t>III</t>
  </si>
  <si>
    <t>IV</t>
  </si>
  <si>
    <r>
      <t>c</t>
    </r>
    <r>
      <rPr>
        <vertAlign val="subscript"/>
        <sz val="10"/>
        <color theme="1"/>
        <rFont val="Arial"/>
        <family val="2"/>
        <charset val="238"/>
      </rPr>
      <t>alt (z&lt;10)</t>
    </r>
  </si>
  <si>
    <r>
      <t>c</t>
    </r>
    <r>
      <rPr>
        <vertAlign val="subscript"/>
        <sz val="10"/>
        <color theme="1"/>
        <rFont val="Arial"/>
        <family val="2"/>
        <charset val="238"/>
      </rPr>
      <t>alt (z&gt;10)</t>
    </r>
  </si>
  <si>
    <t>Nearby buildings</t>
  </si>
  <si>
    <t>Terrain</t>
  </si>
  <si>
    <t>Direction</t>
  </si>
  <si>
    <r>
      <t>c</t>
    </r>
    <r>
      <rPr>
        <b/>
        <vertAlign val="subscript"/>
        <sz val="10"/>
        <color theme="1"/>
        <rFont val="Arial"/>
        <family val="2"/>
        <charset val="238"/>
      </rPr>
      <t>dir</t>
    </r>
  </si>
  <si>
    <t>Building orientation unknown</t>
  </si>
  <si>
    <t>x</t>
  </si>
  <si>
    <t>Relation</t>
  </si>
  <si>
    <r>
      <t>h</t>
    </r>
    <r>
      <rPr>
        <vertAlign val="subscript"/>
        <sz val="10"/>
        <color theme="1"/>
        <rFont val="Arial"/>
        <family val="2"/>
        <charset val="238"/>
      </rPr>
      <t>ef</t>
    </r>
  </si>
  <si>
    <r>
      <t>h</t>
    </r>
    <r>
      <rPr>
        <vertAlign val="subscript"/>
        <sz val="10"/>
        <color theme="1"/>
        <rFont val="Arial"/>
        <family val="2"/>
        <charset val="238"/>
      </rPr>
      <t>ef=</t>
    </r>
    <r>
      <rPr>
        <sz val="10"/>
        <color theme="1"/>
        <rFont val="Arial"/>
        <family val="2"/>
        <charset val="238"/>
      </rPr>
      <t>h-h</t>
    </r>
    <r>
      <rPr>
        <vertAlign val="subscript"/>
        <sz val="10"/>
        <color theme="1"/>
        <rFont val="Arial"/>
        <family val="2"/>
        <charset val="238"/>
      </rPr>
      <t>dis</t>
    </r>
  </si>
  <si>
    <t>Country</t>
  </si>
  <si>
    <t>Town</t>
  </si>
  <si>
    <t>Roughness factor</t>
  </si>
  <si>
    <r>
      <t>c</t>
    </r>
    <r>
      <rPr>
        <vertAlign val="subscript"/>
        <sz val="10"/>
        <color theme="1"/>
        <rFont val="Arial"/>
        <family val="2"/>
        <charset val="238"/>
      </rPr>
      <t>r(z)</t>
    </r>
  </si>
  <si>
    <t>Peak velocity pressure (kN/m²)</t>
  </si>
  <si>
    <r>
      <t>q</t>
    </r>
    <r>
      <rPr>
        <b/>
        <vertAlign val="subscript"/>
        <sz val="10"/>
        <rFont val="Arial"/>
        <family val="2"/>
        <charset val="238"/>
      </rPr>
      <t>p</t>
    </r>
  </si>
  <si>
    <t>Exposure factor</t>
  </si>
  <si>
    <t>Sea</t>
  </si>
  <si>
    <t>Feature</t>
  </si>
  <si>
    <t>s</t>
  </si>
  <si>
    <t>Upwind</t>
  </si>
  <si>
    <t>Downwind</t>
  </si>
  <si>
    <t>Cliffs/escarpments</t>
  </si>
  <si>
    <t>Hills/ridges</t>
  </si>
  <si>
    <t>Ld</t>
  </si>
  <si>
    <t>f</t>
  </si>
  <si>
    <t>a) Upwind</t>
  </si>
  <si>
    <t>a)</t>
  </si>
  <si>
    <t>Le</t>
  </si>
  <si>
    <t>s1</t>
  </si>
  <si>
    <t>s2</t>
  </si>
  <si>
    <t>A</t>
  </si>
  <si>
    <t>B</t>
  </si>
  <si>
    <t>b)</t>
  </si>
  <si>
    <t>b) Downwind Cliffs/esc</t>
  </si>
  <si>
    <t>C</t>
  </si>
  <si>
    <t>c) Downwind Hills/ridges</t>
  </si>
  <si>
    <t>USLOV</t>
  </si>
  <si>
    <t>Odabir:</t>
  </si>
  <si>
    <t>Blokada:</t>
  </si>
  <si>
    <t>Odabir</t>
  </si>
  <si>
    <t>Topography factor</t>
  </si>
  <si>
    <t>c)</t>
  </si>
  <si>
    <t>d)</t>
  </si>
  <si>
    <t>b1)</t>
  </si>
  <si>
    <t>d1)</t>
  </si>
  <si>
    <t>abs(x)</t>
  </si>
  <si>
    <t>Lu</t>
  </si>
  <si>
    <t>H</t>
  </si>
  <si>
    <t>Solidity</t>
  </si>
  <si>
    <t>Yes</t>
  </si>
  <si>
    <t>No</t>
  </si>
  <si>
    <t>Return corners?</t>
  </si>
  <si>
    <t>D</t>
  </si>
  <si>
    <t>Ratio</t>
  </si>
  <si>
    <t>L/h</t>
  </si>
  <si>
    <t xml:space="preserve"> w (kN/m²)</t>
  </si>
  <si>
    <t>Wind pressure</t>
  </si>
  <si>
    <t>e&lt;d</t>
  </si>
  <si>
    <r>
      <t>d</t>
    </r>
    <r>
      <rPr>
        <sz val="10"/>
        <color theme="1"/>
        <rFont val="Calibri"/>
        <family val="2"/>
        <charset val="238"/>
      </rPr>
      <t>≤</t>
    </r>
    <r>
      <rPr>
        <sz val="10"/>
        <color theme="1"/>
        <rFont val="Arial"/>
        <family val="2"/>
        <charset val="238"/>
      </rPr>
      <t>e&lt;</t>
    </r>
    <r>
      <rPr>
        <sz val="10"/>
        <color theme="1"/>
        <rFont val="Calibri"/>
        <family val="2"/>
        <charset val="238"/>
      </rPr>
      <t>5d</t>
    </r>
  </si>
  <si>
    <r>
      <t>e</t>
    </r>
    <r>
      <rPr>
        <sz val="10"/>
        <color theme="1"/>
        <rFont val="Calibri"/>
        <family val="2"/>
        <charset val="238"/>
      </rPr>
      <t>≥</t>
    </r>
    <r>
      <rPr>
        <sz val="10"/>
        <color theme="1"/>
        <rFont val="Arial"/>
        <family val="2"/>
        <charset val="238"/>
      </rPr>
      <t>5d</t>
    </r>
  </si>
  <si>
    <t>d</t>
  </si>
  <si>
    <t>e</t>
  </si>
  <si>
    <t>h/d</t>
  </si>
  <si>
    <t>E</t>
  </si>
  <si>
    <t xml:space="preserve">Coefficients </t>
  </si>
  <si>
    <t>Pressure</t>
  </si>
  <si>
    <t>La</t>
  </si>
  <si>
    <t>Lb</t>
  </si>
  <si>
    <t>Lc</t>
  </si>
  <si>
    <t>Sharp eaves</t>
  </si>
  <si>
    <t>With parapets</t>
  </si>
  <si>
    <t>Curved eaves</t>
  </si>
  <si>
    <t>Mansard eaves</t>
  </si>
  <si>
    <t>Type</t>
  </si>
  <si>
    <t>F</t>
  </si>
  <si>
    <t>G</t>
  </si>
  <si>
    <t>Roof type</t>
  </si>
  <si>
    <t>Coefficients</t>
  </si>
  <si>
    <t>Wind presure</t>
  </si>
  <si>
    <t>hp/e</t>
  </si>
  <si>
    <t>r/e</t>
  </si>
  <si>
    <t>alpha</t>
  </si>
  <si>
    <r>
      <t>I (</t>
    </r>
    <r>
      <rPr>
        <sz val="10"/>
        <color theme="1"/>
        <rFont val="Calibri"/>
        <family val="2"/>
        <charset val="238"/>
      </rPr>
      <t>±</t>
    </r>
    <r>
      <rPr>
        <sz val="10"/>
        <color theme="1"/>
        <rFont val="Arial"/>
        <family val="2"/>
        <charset val="238"/>
      </rPr>
      <t>)</t>
    </r>
  </si>
  <si>
    <r>
      <t xml:space="preserve">I </t>
    </r>
    <r>
      <rPr>
        <b/>
        <sz val="10"/>
        <color theme="1"/>
        <rFont val="Calibri Light"/>
        <family val="2"/>
        <charset val="238"/>
      </rPr>
      <t>(±)</t>
    </r>
  </si>
  <si>
    <t>Selection</t>
  </si>
  <si>
    <t>Pitch angle</t>
  </si>
  <si>
    <t>Fup</t>
  </si>
  <si>
    <t>Theta</t>
  </si>
  <si>
    <t>Alpha</t>
  </si>
  <si>
    <t>Theta 0°case I</t>
  </si>
  <si>
    <t>Theta 180°case I</t>
  </si>
  <si>
    <t>Theta 90°case I</t>
  </si>
  <si>
    <t>SELECT</t>
  </si>
  <si>
    <t>Coefficient</t>
  </si>
  <si>
    <t>CASE I</t>
  </si>
  <si>
    <t>case I</t>
  </si>
  <si>
    <t>case II</t>
  </si>
  <si>
    <t>CASE II</t>
  </si>
  <si>
    <t>J</t>
  </si>
  <si>
    <t>theta</t>
  </si>
  <si>
    <t>select</t>
  </si>
  <si>
    <t>coefficients case I</t>
  </si>
  <si>
    <t>pressure case I</t>
  </si>
  <si>
    <t>coefficients case II</t>
  </si>
  <si>
    <t>pressure case II</t>
  </si>
  <si>
    <t>e/10</t>
  </si>
  <si>
    <t>e/4</t>
  </si>
  <si>
    <t>e/2</t>
  </si>
  <si>
    <t>K</t>
  </si>
  <si>
    <t>L</t>
  </si>
  <si>
    <t>M</t>
  </si>
  <si>
    <t>N</t>
  </si>
  <si>
    <t>coefficient case I</t>
  </si>
  <si>
    <t>coefficient case II</t>
  </si>
  <si>
    <t>Roof angle</t>
  </si>
  <si>
    <r>
      <rPr>
        <sz val="10"/>
        <color theme="1"/>
        <rFont val="Symbol"/>
        <family val="1"/>
        <charset val="2"/>
      </rPr>
      <t>a</t>
    </r>
    <r>
      <rPr>
        <sz val="10"/>
        <color theme="1"/>
        <rFont val="Arial"/>
        <family val="2"/>
        <charset val="238"/>
      </rPr>
      <t>=0°</t>
    </r>
  </si>
  <si>
    <r>
      <rPr>
        <sz val="10"/>
        <color theme="1"/>
        <rFont val="Symbol"/>
        <family val="1"/>
        <charset val="2"/>
      </rPr>
      <t>a</t>
    </r>
    <r>
      <rPr>
        <sz val="10"/>
        <color theme="1"/>
        <rFont val="Arial"/>
        <family val="2"/>
        <charset val="238"/>
      </rPr>
      <t>=5°</t>
    </r>
  </si>
  <si>
    <r>
      <rPr>
        <sz val="10"/>
        <color theme="1"/>
        <rFont val="Symbol"/>
        <family val="1"/>
        <charset val="2"/>
      </rPr>
      <t>a</t>
    </r>
    <r>
      <rPr>
        <sz val="10"/>
        <color theme="1"/>
        <rFont val="Arial"/>
        <family val="2"/>
        <charset val="238"/>
      </rPr>
      <t>=10°</t>
    </r>
  </si>
  <si>
    <r>
      <rPr>
        <sz val="10"/>
        <color theme="1"/>
        <rFont val="Symbol"/>
        <family val="1"/>
        <charset val="2"/>
      </rPr>
      <t>a</t>
    </r>
    <r>
      <rPr>
        <sz val="10"/>
        <color theme="1"/>
        <rFont val="Arial"/>
        <family val="2"/>
        <charset val="238"/>
      </rPr>
      <t>=15°</t>
    </r>
  </si>
  <si>
    <r>
      <rPr>
        <sz val="10"/>
        <color theme="1"/>
        <rFont val="Symbol"/>
        <family val="1"/>
        <charset val="2"/>
      </rPr>
      <t>a</t>
    </r>
    <r>
      <rPr>
        <sz val="10"/>
        <color theme="1"/>
        <rFont val="Arial"/>
        <family val="2"/>
        <charset val="238"/>
      </rPr>
      <t>=20°</t>
    </r>
  </si>
  <si>
    <r>
      <rPr>
        <sz val="10"/>
        <color theme="1"/>
        <rFont val="Symbol"/>
        <family val="1"/>
        <charset val="2"/>
      </rPr>
      <t>a</t>
    </r>
    <r>
      <rPr>
        <sz val="10"/>
        <color theme="1"/>
        <rFont val="Arial"/>
        <family val="2"/>
        <charset val="238"/>
      </rPr>
      <t>=25°</t>
    </r>
  </si>
  <si>
    <r>
      <rPr>
        <sz val="10"/>
        <color theme="1"/>
        <rFont val="Symbol"/>
        <family val="1"/>
        <charset val="2"/>
      </rPr>
      <t>a</t>
    </r>
    <r>
      <rPr>
        <sz val="10"/>
        <color theme="1"/>
        <rFont val="Arial"/>
        <family val="2"/>
        <charset val="238"/>
      </rPr>
      <t>=30°</t>
    </r>
  </si>
  <si>
    <t>Overall force (kN)</t>
  </si>
  <si>
    <t>Wind pressure for the canopies, w (kN/m2)</t>
  </si>
  <si>
    <t>Type of canopy</t>
  </si>
  <si>
    <t>Empty</t>
  </si>
  <si>
    <t>Blockage</t>
  </si>
  <si>
    <t>Force</t>
  </si>
  <si>
    <t>Select</t>
  </si>
  <si>
    <t>empty</t>
  </si>
  <si>
    <t>blocked</t>
  </si>
  <si>
    <t>coefficient</t>
  </si>
  <si>
    <t>pressure</t>
  </si>
  <si>
    <r>
      <rPr>
        <sz val="10"/>
        <color theme="1"/>
        <rFont val="Symbol"/>
        <family val="1"/>
        <charset val="2"/>
      </rPr>
      <t>a</t>
    </r>
    <r>
      <rPr>
        <sz val="10"/>
        <color theme="1"/>
        <rFont val="Arial"/>
        <family val="2"/>
        <charset val="238"/>
      </rPr>
      <t>=-20°</t>
    </r>
  </si>
  <si>
    <r>
      <rPr>
        <sz val="10"/>
        <color theme="1"/>
        <rFont val="Symbol"/>
        <family val="1"/>
        <charset val="2"/>
      </rPr>
      <t>a</t>
    </r>
    <r>
      <rPr>
        <sz val="10"/>
        <color theme="1"/>
        <rFont val="Arial"/>
        <family val="2"/>
        <charset val="238"/>
      </rPr>
      <t>=-15°</t>
    </r>
  </si>
  <si>
    <r>
      <rPr>
        <sz val="10"/>
        <color theme="1"/>
        <rFont val="Symbol"/>
        <family val="1"/>
        <charset val="2"/>
      </rPr>
      <t>a</t>
    </r>
    <r>
      <rPr>
        <sz val="10"/>
        <color theme="1"/>
        <rFont val="Arial"/>
        <family val="2"/>
        <charset val="238"/>
      </rPr>
      <t>=-10°</t>
    </r>
  </si>
  <si>
    <r>
      <rPr>
        <sz val="10"/>
        <color theme="1"/>
        <rFont val="Symbol"/>
        <family val="1"/>
        <charset val="2"/>
      </rPr>
      <t>a</t>
    </r>
    <r>
      <rPr>
        <sz val="10"/>
        <color theme="1"/>
        <rFont val="Arial"/>
        <family val="2"/>
        <charset val="238"/>
      </rPr>
      <t>=-5°</t>
    </r>
  </si>
  <si>
    <t>Multibay canopies</t>
  </si>
  <si>
    <t>Second bay</t>
  </si>
  <si>
    <t>Third and subsequent bay</t>
  </si>
  <si>
    <t>Bay</t>
  </si>
  <si>
    <t>End</t>
  </si>
  <si>
    <t>Second</t>
  </si>
  <si>
    <t>Third</t>
  </si>
  <si>
    <r>
      <t>c</t>
    </r>
    <r>
      <rPr>
        <vertAlign val="subscript"/>
        <sz val="10"/>
        <color theme="1"/>
        <rFont val="Arial"/>
        <family val="2"/>
        <charset val="238"/>
      </rPr>
      <t>e,T</t>
    </r>
  </si>
  <si>
    <t>Upwind to shoreline</t>
  </si>
  <si>
    <t>Ce(Z)</t>
  </si>
  <si>
    <r>
      <t>h-h</t>
    </r>
    <r>
      <rPr>
        <b/>
        <vertAlign val="subscript"/>
        <sz val="10"/>
        <color theme="1"/>
        <rFont val="Arial"/>
        <family val="2"/>
        <charset val="238"/>
      </rPr>
      <t>dis</t>
    </r>
  </si>
  <si>
    <t>Ce,T</t>
  </si>
  <si>
    <t>H-Hdis</t>
  </si>
  <si>
    <t>Distance inside town</t>
  </si>
  <si>
    <t>NA3</t>
  </si>
  <si>
    <t>Cr(z)</t>
  </si>
  <si>
    <r>
      <t>c</t>
    </r>
    <r>
      <rPr>
        <vertAlign val="subscript"/>
        <sz val="10"/>
        <rFont val="Arial"/>
        <family val="2"/>
        <charset val="238"/>
      </rPr>
      <t>o</t>
    </r>
  </si>
  <si>
    <r>
      <t>c</t>
    </r>
    <r>
      <rPr>
        <vertAlign val="subscript"/>
        <sz val="10"/>
        <rFont val="Arial"/>
        <family val="2"/>
        <charset val="238"/>
      </rPr>
      <t>e(z)</t>
    </r>
  </si>
  <si>
    <t>Turbulence factor</t>
  </si>
  <si>
    <t>NA5</t>
  </si>
  <si>
    <r>
      <t>I</t>
    </r>
    <r>
      <rPr>
        <vertAlign val="subscript"/>
        <sz val="10"/>
        <rFont val="Arial"/>
        <family val="2"/>
        <charset val="238"/>
      </rPr>
      <t>v(z)flat</t>
    </r>
  </si>
  <si>
    <t>Turbulence corection factor</t>
  </si>
  <si>
    <t>NA4</t>
  </si>
  <si>
    <t>corection factor Cr,t</t>
  </si>
  <si>
    <r>
      <t>c</t>
    </r>
    <r>
      <rPr>
        <vertAlign val="subscript"/>
        <sz val="10"/>
        <rFont val="Arial"/>
        <family val="2"/>
        <charset val="238"/>
      </rPr>
      <t>r,T</t>
    </r>
  </si>
  <si>
    <t>NA6</t>
  </si>
  <si>
    <r>
      <t>Turbulence corection factor K</t>
    </r>
    <r>
      <rPr>
        <b/>
        <vertAlign val="subscript"/>
        <sz val="10"/>
        <color rgb="FFFF0000"/>
        <rFont val="Arial"/>
        <family val="2"/>
        <charset val="238"/>
      </rPr>
      <t>I,T</t>
    </r>
  </si>
  <si>
    <r>
      <t>k</t>
    </r>
    <r>
      <rPr>
        <vertAlign val="subscript"/>
        <sz val="10"/>
        <rFont val="Arial"/>
        <family val="2"/>
        <charset val="238"/>
      </rPr>
      <t>I,T</t>
    </r>
  </si>
  <si>
    <r>
      <t>v</t>
    </r>
    <r>
      <rPr>
        <b/>
        <vertAlign val="subscript"/>
        <sz val="10"/>
        <color theme="1"/>
        <rFont val="Arial"/>
        <family val="2"/>
        <charset val="238"/>
      </rPr>
      <t>b,map</t>
    </r>
    <r>
      <rPr>
        <b/>
        <sz val="10"/>
        <color theme="1"/>
        <rFont val="Arial"/>
        <family val="2"/>
        <charset val="238"/>
      </rPr>
      <t xml:space="preserve"> (m/s)</t>
    </r>
  </si>
  <si>
    <t>Block</t>
  </si>
  <si>
    <t>NA7</t>
  </si>
  <si>
    <t>NA8</t>
  </si>
  <si>
    <t>A or B</t>
  </si>
  <si>
    <t>Select1</t>
  </si>
  <si>
    <t>Select2</t>
  </si>
  <si>
    <t>Size factor cs</t>
  </si>
  <si>
    <t>b+h</t>
  </si>
  <si>
    <t>index cs</t>
  </si>
  <si>
    <t>Z-hdis</t>
  </si>
  <si>
    <t>Structural type</t>
  </si>
  <si>
    <t>Structural damping</t>
  </si>
  <si>
    <t>δs</t>
  </si>
  <si>
    <r>
      <t>Structural damping,</t>
    </r>
    <r>
      <rPr>
        <sz val="9"/>
        <rFont val="Calibri"/>
        <family val="2"/>
        <charset val="238"/>
      </rPr>
      <t>δ</t>
    </r>
    <r>
      <rPr>
        <sz val="9"/>
        <rFont val="Arial"/>
        <family val="2"/>
        <charset val="238"/>
      </rPr>
      <t>s</t>
    </r>
  </si>
  <si>
    <t>Ratio, h/b</t>
  </si>
  <si>
    <t>h/b</t>
  </si>
  <si>
    <t>Surface</t>
  </si>
  <si>
    <t>External wind net pressure for the roof, w (kN/m2)</t>
  </si>
  <si>
    <r>
      <t>c</t>
    </r>
    <r>
      <rPr>
        <vertAlign val="subscript"/>
        <sz val="10"/>
        <color theme="1"/>
        <rFont val="Arial"/>
        <family val="2"/>
        <charset val="238"/>
      </rPr>
      <t>s</t>
    </r>
  </si>
  <si>
    <t>External wind pressure for roof</t>
  </si>
  <si>
    <r>
      <t xml:space="preserve"> w</t>
    </r>
    <r>
      <rPr>
        <b/>
        <vertAlign val="subscript"/>
        <sz val="10"/>
        <color theme="1"/>
        <rFont val="Arial"/>
        <family val="2"/>
        <charset val="238"/>
      </rPr>
      <t>e</t>
    </r>
    <r>
      <rPr>
        <b/>
        <sz val="10"/>
        <color theme="1"/>
        <rFont val="Arial"/>
        <family val="2"/>
        <charset val="238"/>
      </rPr>
      <t xml:space="preserve"> (kN/m²)</t>
    </r>
  </si>
  <si>
    <t>External wind pressure for the roof</t>
  </si>
  <si>
    <t>Case I</t>
  </si>
  <si>
    <t>Case II</t>
  </si>
  <si>
    <t>NET wind pressure for roof, w (kN/m2)</t>
  </si>
  <si>
    <t>case A</t>
  </si>
  <si>
    <t>case B</t>
  </si>
  <si>
    <t>Case IA</t>
  </si>
  <si>
    <t>Case IIA</t>
  </si>
  <si>
    <t>Case IB</t>
  </si>
  <si>
    <t>Case IIB</t>
  </si>
  <si>
    <r>
      <t>h</t>
    </r>
    <r>
      <rPr>
        <sz val="10"/>
        <color theme="1"/>
        <rFont val="Calibri"/>
        <family val="2"/>
        <charset val="238"/>
      </rPr>
      <t>≤</t>
    </r>
    <r>
      <rPr>
        <sz val="10"/>
        <color theme="1"/>
        <rFont val="Arial"/>
        <family val="2"/>
        <charset val="238"/>
      </rPr>
      <t>b</t>
    </r>
  </si>
  <si>
    <r>
      <t>b&lt;h</t>
    </r>
    <r>
      <rPr>
        <sz val="10"/>
        <color theme="1"/>
        <rFont val="Calibri"/>
        <family val="2"/>
        <charset val="238"/>
      </rPr>
      <t>≤</t>
    </r>
    <r>
      <rPr>
        <sz val="7.5"/>
        <color theme="1"/>
        <rFont val="Arial"/>
        <family val="2"/>
        <charset val="238"/>
      </rPr>
      <t>2b</t>
    </r>
  </si>
  <si>
    <t>h&gt;2b</t>
  </si>
  <si>
    <t>.</t>
  </si>
  <si>
    <t>Upper part</t>
  </si>
  <si>
    <t>Lower part</t>
  </si>
  <si>
    <t>from walls</t>
  </si>
  <si>
    <t>for vertical walls Lower part</t>
  </si>
  <si>
    <t>z-hdis=</t>
  </si>
  <si>
    <t>zone</t>
  </si>
  <si>
    <t>Cs</t>
  </si>
  <si>
    <t>Revision</t>
  </si>
  <si>
    <t>Job No:</t>
  </si>
  <si>
    <t>Page:</t>
  </si>
  <si>
    <t>C/01</t>
  </si>
  <si>
    <t xml:space="preserve">Section: </t>
  </si>
  <si>
    <t>Prepared By:</t>
  </si>
  <si>
    <t>DJ</t>
  </si>
  <si>
    <t>Date:</t>
  </si>
  <si>
    <t>Designer's Notes:</t>
  </si>
  <si>
    <t>For latest updates and news visit:</t>
  </si>
  <si>
    <t>Contact me at:</t>
  </si>
  <si>
    <t>www.YourSpreadsheets.co.uk</t>
  </si>
  <si>
    <t>info@yourspreadsheets.co.uk</t>
  </si>
  <si>
    <r>
      <t xml:space="preserve">© 2014 </t>
    </r>
    <r>
      <rPr>
        <b/>
        <sz val="10"/>
        <rFont val="Arial CE"/>
      </rPr>
      <t>Damian Janicki</t>
    </r>
  </si>
  <si>
    <t>www.yourspreadsheets.co.uk/checkout.html</t>
  </si>
  <si>
    <r>
      <rPr>
        <sz val="10"/>
        <rFont val="Arial CE"/>
      </rPr>
      <t xml:space="preserve">
By using this spreadsheet you understand and agree with the above terms and conditions. You also acknowledge that you do not become the owner of this spreadsheet.</t>
    </r>
    <r>
      <rPr>
        <b/>
        <sz val="10"/>
        <rFont val="Arial CE"/>
        <charset val="238"/>
      </rPr>
      <t xml:space="preserve">
Damian Janicki</t>
    </r>
  </si>
  <si>
    <t>Site topography:</t>
  </si>
  <si>
    <t>topography:</t>
  </si>
  <si>
    <t>significant</t>
  </si>
  <si>
    <t>non significant</t>
  </si>
  <si>
    <t>building orientation:</t>
  </si>
  <si>
    <t>known</t>
  </si>
  <si>
    <t>unknown</t>
  </si>
  <si>
    <t>nearby buildings:</t>
  </si>
  <si>
    <t>Nearby buildings/obstructions:</t>
  </si>
  <si>
    <t>Site location or nearest city:</t>
  </si>
  <si>
    <t>consider</t>
  </si>
  <si>
    <t>ignore</t>
  </si>
  <si>
    <t>season factor:</t>
  </si>
  <si>
    <t>fundamental wind velocity:</t>
  </si>
  <si>
    <t>site altitude:</t>
  </si>
  <si>
    <t>Orography (feature) type:</t>
  </si>
  <si>
    <t>Orographic location factor 's' =</t>
  </si>
  <si>
    <r>
      <t xml:space="preserve">CALCULATIONS: </t>
    </r>
    <r>
      <rPr>
        <sz val="11"/>
        <rFont val="Calibri"/>
        <family val="2"/>
        <scheme val="minor"/>
      </rPr>
      <t>BASIC WIND VELOCITY</t>
    </r>
  </si>
  <si>
    <t>(?)</t>
  </si>
  <si>
    <t>SITE AND BUILDING (STRUCTURE) DATA</t>
  </si>
  <si>
    <t>Building (structure) orientation:</t>
  </si>
  <si>
    <r>
      <t>Direction factor 'c</t>
    </r>
    <r>
      <rPr>
        <vertAlign val="subscript"/>
        <sz val="11"/>
        <rFont val="Calibri"/>
        <family val="2"/>
        <scheme val="minor"/>
      </rPr>
      <t>dir</t>
    </r>
    <r>
      <rPr>
        <sz val="11"/>
        <rFont val="Calibri"/>
        <family val="2"/>
        <scheme val="minor"/>
      </rPr>
      <t>' =</t>
    </r>
  </si>
  <si>
    <r>
      <t>Basic wind velocity 'v</t>
    </r>
    <r>
      <rPr>
        <vertAlign val="subscript"/>
        <sz val="11"/>
        <rFont val="Calibri"/>
        <family val="2"/>
        <scheme val="minor"/>
      </rPr>
      <t>b</t>
    </r>
    <r>
      <rPr>
        <sz val="11"/>
        <rFont val="Calibri"/>
        <family val="2"/>
        <scheme val="minor"/>
      </rPr>
      <t xml:space="preserve">' </t>
    </r>
    <r>
      <rPr>
        <i/>
        <sz val="11"/>
        <rFont val="Calibri"/>
        <family val="2"/>
        <scheme val="minor"/>
      </rPr>
      <t>[m/s]</t>
    </r>
    <r>
      <rPr>
        <sz val="11"/>
        <rFont val="Calibri"/>
        <family val="2"/>
        <scheme val="minor"/>
      </rPr>
      <t xml:space="preserve"> =</t>
    </r>
  </si>
  <si>
    <r>
      <t xml:space="preserve">DIAGRAM: </t>
    </r>
    <r>
      <rPr>
        <sz val="11"/>
        <rFont val="Calibri"/>
        <family val="2"/>
        <scheme val="minor"/>
      </rPr>
      <t>WIND DIRECTIONS</t>
    </r>
  </si>
  <si>
    <t>Wind direction:</t>
  </si>
  <si>
    <t>Terrain in upwind direction:</t>
  </si>
  <si>
    <r>
      <t xml:space="preserve">Distance upwind to shoreline </t>
    </r>
    <r>
      <rPr>
        <i/>
        <sz val="11"/>
        <rFont val="Calibri"/>
        <family val="2"/>
        <scheme val="minor"/>
      </rPr>
      <t>[km]</t>
    </r>
    <r>
      <rPr>
        <sz val="11"/>
        <rFont val="Calibri"/>
        <family val="2"/>
        <scheme val="minor"/>
      </rPr>
      <t xml:space="preserve"> =</t>
    </r>
  </si>
  <si>
    <t>terrain:</t>
  </si>
  <si>
    <t>country</t>
  </si>
  <si>
    <t>town</t>
  </si>
  <si>
    <r>
      <t>Average height 'h</t>
    </r>
    <r>
      <rPr>
        <vertAlign val="subscript"/>
        <sz val="11"/>
        <rFont val="Calibri"/>
        <family val="2"/>
        <scheme val="minor"/>
      </rPr>
      <t>ave</t>
    </r>
    <r>
      <rPr>
        <sz val="11"/>
        <rFont val="Calibri"/>
        <family val="2"/>
        <scheme val="minor"/>
      </rPr>
      <t xml:space="preserve">' </t>
    </r>
    <r>
      <rPr>
        <i/>
        <sz val="11"/>
        <rFont val="Calibri"/>
        <family val="2"/>
        <scheme val="minor"/>
      </rPr>
      <t>[m]</t>
    </r>
    <r>
      <rPr>
        <sz val="11"/>
        <rFont val="Calibri"/>
        <family val="2"/>
        <scheme val="minor"/>
      </rPr>
      <t xml:space="preserve"> =</t>
    </r>
  </si>
  <si>
    <r>
      <t xml:space="preserve">Upwind spacing 'x' </t>
    </r>
    <r>
      <rPr>
        <i/>
        <sz val="11"/>
        <rFont val="Calibri"/>
        <family val="2"/>
        <scheme val="minor"/>
      </rPr>
      <t>[m]</t>
    </r>
    <r>
      <rPr>
        <sz val="11"/>
        <rFont val="Calibri"/>
        <family val="2"/>
        <scheme val="minor"/>
      </rPr>
      <t xml:space="preserve"> =</t>
    </r>
  </si>
  <si>
    <r>
      <t>Effective height 'h</t>
    </r>
    <r>
      <rPr>
        <vertAlign val="subscript"/>
        <sz val="11"/>
        <rFont val="Calibri"/>
        <family val="2"/>
        <scheme val="minor"/>
      </rPr>
      <t>ef</t>
    </r>
    <r>
      <rPr>
        <sz val="11"/>
        <rFont val="Calibri"/>
        <family val="2"/>
        <scheme val="minor"/>
      </rPr>
      <t xml:space="preserve">' </t>
    </r>
    <r>
      <rPr>
        <i/>
        <sz val="11"/>
        <rFont val="Calibri"/>
        <family val="2"/>
        <scheme val="minor"/>
      </rPr>
      <t>[m]</t>
    </r>
    <r>
      <rPr>
        <sz val="11"/>
        <rFont val="Calibri"/>
        <family val="2"/>
        <scheme val="minor"/>
      </rPr>
      <t xml:space="preserve"> =</t>
    </r>
  </si>
  <si>
    <r>
      <t xml:space="preserve">CALCULATIONS: </t>
    </r>
    <r>
      <rPr>
        <sz val="11"/>
        <rFont val="Calibri"/>
        <family val="2"/>
        <scheme val="minor"/>
      </rPr>
      <t>PEAK VELOCITY PRESSURE</t>
    </r>
  </si>
  <si>
    <r>
      <t xml:space="preserve">CALCULATIONS: </t>
    </r>
    <r>
      <rPr>
        <sz val="11"/>
        <rFont val="Calibri"/>
        <family val="2"/>
        <scheme val="minor"/>
      </rPr>
      <t>EFFECTIVE HEIGHT</t>
    </r>
  </si>
  <si>
    <t>NEARBY BUILDINGS DATA:</t>
  </si>
  <si>
    <r>
      <t xml:space="preserve">Distance upwind inside town </t>
    </r>
    <r>
      <rPr>
        <i/>
        <sz val="11"/>
        <rFont val="Calibri"/>
        <family val="2"/>
        <scheme val="minor"/>
      </rPr>
      <t>[km]</t>
    </r>
    <r>
      <rPr>
        <sz val="11"/>
        <rFont val="Calibri"/>
        <family val="2"/>
        <scheme val="minor"/>
      </rPr>
      <t xml:space="preserve"> =</t>
    </r>
  </si>
  <si>
    <t>distance to shoreline:</t>
  </si>
  <si>
    <t>distance inside town:</t>
  </si>
  <si>
    <t>column ref:</t>
  </si>
  <si>
    <r>
      <t>Roughness factor 'c</t>
    </r>
    <r>
      <rPr>
        <vertAlign val="subscript"/>
        <sz val="11"/>
        <rFont val="Calibri"/>
        <family val="2"/>
        <scheme val="minor"/>
      </rPr>
      <t>r(z)</t>
    </r>
    <r>
      <rPr>
        <sz val="11"/>
        <rFont val="Calibri"/>
        <family val="2"/>
        <scheme val="minor"/>
      </rPr>
      <t>' =</t>
    </r>
  </si>
  <si>
    <t>CALCULATIONS FOR WALLS TAB</t>
  </si>
  <si>
    <t>Lshore I</t>
  </si>
  <si>
    <t>Lshore IV</t>
  </si>
  <si>
    <t>Lshore III</t>
  </si>
  <si>
    <t>Lshore II</t>
  </si>
  <si>
    <t>first row is from database, second from user input</t>
  </si>
  <si>
    <t>Distance into town</t>
  </si>
  <si>
    <t>from database, constant for all directions</t>
  </si>
  <si>
    <t>SUMMARY</t>
  </si>
  <si>
    <t>wind direction</t>
  </si>
  <si>
    <r>
      <t xml:space="preserve">Effective height of feature 'H' </t>
    </r>
    <r>
      <rPr>
        <i/>
        <sz val="11"/>
        <color theme="1"/>
        <rFont val="Calibri"/>
        <family val="2"/>
        <scheme val="minor"/>
      </rPr>
      <t>[m]</t>
    </r>
    <r>
      <rPr>
        <sz val="11"/>
        <color theme="1"/>
        <rFont val="Calibri"/>
        <family val="2"/>
        <scheme val="minor"/>
      </rPr>
      <t xml:space="preserve"> =</t>
    </r>
  </si>
  <si>
    <r>
      <t xml:space="preserve">Horizontal distance from top of crest 'X' </t>
    </r>
    <r>
      <rPr>
        <i/>
        <sz val="11"/>
        <color theme="1"/>
        <rFont val="Calibri"/>
        <family val="2"/>
        <scheme val="minor"/>
      </rPr>
      <t>[m]</t>
    </r>
    <r>
      <rPr>
        <sz val="11"/>
        <color theme="1"/>
        <rFont val="Calibri"/>
        <family val="2"/>
        <scheme val="minor"/>
      </rPr>
      <t xml:space="preserve"> =</t>
    </r>
  </si>
  <si>
    <r>
      <t>Length of upwind slope 'L</t>
    </r>
    <r>
      <rPr>
        <vertAlign val="subscript"/>
        <sz val="11"/>
        <color theme="1"/>
        <rFont val="Calibri"/>
        <family val="2"/>
        <scheme val="minor"/>
      </rPr>
      <t>u</t>
    </r>
    <r>
      <rPr>
        <sz val="11"/>
        <color theme="1"/>
        <rFont val="Calibri"/>
        <family val="2"/>
        <scheme val="minor"/>
      </rPr>
      <t xml:space="preserve">' </t>
    </r>
    <r>
      <rPr>
        <i/>
        <sz val="11"/>
        <color theme="1"/>
        <rFont val="Calibri"/>
        <family val="2"/>
        <scheme val="minor"/>
      </rPr>
      <t>[m]</t>
    </r>
    <r>
      <rPr>
        <sz val="11"/>
        <color theme="1"/>
        <rFont val="Calibri"/>
        <family val="2"/>
        <scheme val="minor"/>
      </rPr>
      <t xml:space="preserve"> =</t>
    </r>
  </si>
  <si>
    <r>
      <t xml:space="preserve">Building (structure) height 'h' </t>
    </r>
    <r>
      <rPr>
        <i/>
        <sz val="11"/>
        <color theme="1"/>
        <rFont val="Calibri"/>
        <family val="2"/>
        <scheme val="minor"/>
      </rPr>
      <t xml:space="preserve">[m] </t>
    </r>
    <r>
      <rPr>
        <sz val="11"/>
        <color theme="1"/>
        <rFont val="Calibri"/>
        <family val="2"/>
        <scheme val="minor"/>
      </rPr>
      <t>=</t>
    </r>
  </si>
  <si>
    <r>
      <t>Length of downwind slope 'L</t>
    </r>
    <r>
      <rPr>
        <vertAlign val="subscript"/>
        <sz val="11"/>
        <color theme="1"/>
        <rFont val="Calibri"/>
        <family val="2"/>
        <scheme val="minor"/>
      </rPr>
      <t>d</t>
    </r>
    <r>
      <rPr>
        <sz val="11"/>
        <color theme="1"/>
        <rFont val="Calibri"/>
        <family val="2"/>
        <scheme val="minor"/>
      </rPr>
      <t xml:space="preserve">' </t>
    </r>
    <r>
      <rPr>
        <i/>
        <sz val="11"/>
        <color theme="1"/>
        <rFont val="Calibri"/>
        <family val="2"/>
        <scheme val="minor"/>
      </rPr>
      <t>[m]</t>
    </r>
    <r>
      <rPr>
        <sz val="11"/>
        <color theme="1"/>
        <rFont val="Calibri"/>
        <family val="2"/>
        <scheme val="minor"/>
      </rPr>
      <t xml:space="preserve"> =</t>
    </r>
  </si>
  <si>
    <r>
      <t xml:space="preserve">Site altitude 'A' </t>
    </r>
    <r>
      <rPr>
        <i/>
        <sz val="11"/>
        <color theme="1"/>
        <rFont val="Calibri"/>
        <family val="2"/>
        <scheme val="minor"/>
      </rPr>
      <t>[m]</t>
    </r>
    <r>
      <rPr>
        <sz val="11"/>
        <color theme="1"/>
        <rFont val="Calibri"/>
        <family val="2"/>
        <scheme val="minor"/>
      </rPr>
      <t xml:space="preserve"> =</t>
    </r>
  </si>
  <si>
    <r>
      <t>Fundamental basic wind velocity 'v</t>
    </r>
    <r>
      <rPr>
        <vertAlign val="subscript"/>
        <sz val="11"/>
        <color theme="1"/>
        <rFont val="Calibri"/>
        <family val="2"/>
        <scheme val="minor"/>
      </rPr>
      <t>b,map</t>
    </r>
    <r>
      <rPr>
        <sz val="11"/>
        <color theme="1"/>
        <rFont val="Calibri"/>
        <family val="2"/>
        <scheme val="minor"/>
      </rPr>
      <t xml:space="preserve">' </t>
    </r>
    <r>
      <rPr>
        <i/>
        <sz val="11"/>
        <color theme="1"/>
        <rFont val="Calibri"/>
        <family val="2"/>
        <scheme val="minor"/>
      </rPr>
      <t>[m/s]</t>
    </r>
    <r>
      <rPr>
        <sz val="11"/>
        <color theme="1"/>
        <rFont val="Calibri"/>
        <family val="2"/>
        <scheme val="minor"/>
      </rPr>
      <t xml:space="preserve"> =</t>
    </r>
  </si>
  <si>
    <r>
      <t>Upwind slope H/L</t>
    </r>
    <r>
      <rPr>
        <vertAlign val="subscript"/>
        <sz val="11"/>
        <color theme="1"/>
        <rFont val="Calibri"/>
        <family val="2"/>
        <scheme val="minor"/>
      </rPr>
      <t>u</t>
    </r>
    <r>
      <rPr>
        <sz val="11"/>
        <color theme="1"/>
        <rFont val="Calibri"/>
        <family val="2"/>
        <scheme val="minor"/>
      </rPr>
      <t xml:space="preserve"> in wind direction 'Φ' =</t>
    </r>
  </si>
  <si>
    <r>
      <t xml:space="preserve">Building (structure) design life </t>
    </r>
    <r>
      <rPr>
        <i/>
        <sz val="11"/>
        <color theme="1"/>
        <rFont val="Calibri"/>
        <family val="2"/>
        <scheme val="minor"/>
      </rPr>
      <t>[years]</t>
    </r>
    <r>
      <rPr>
        <sz val="11"/>
        <color theme="1"/>
        <rFont val="Calibri"/>
        <family val="2"/>
        <scheme val="minor"/>
      </rPr>
      <t xml:space="preserve"> =</t>
    </r>
  </si>
  <si>
    <r>
      <t>Effective length of upwind slope 'L</t>
    </r>
    <r>
      <rPr>
        <vertAlign val="subscript"/>
        <sz val="11"/>
        <color theme="1"/>
        <rFont val="Calibri"/>
        <family val="2"/>
        <scheme val="minor"/>
      </rPr>
      <t>e</t>
    </r>
    <r>
      <rPr>
        <sz val="11"/>
        <color theme="1"/>
        <rFont val="Calibri"/>
        <family val="2"/>
        <scheme val="minor"/>
      </rPr>
      <t xml:space="preserve">' </t>
    </r>
    <r>
      <rPr>
        <i/>
        <sz val="11"/>
        <color theme="1"/>
        <rFont val="Calibri"/>
        <family val="2"/>
        <scheme val="minor"/>
      </rPr>
      <t>[m]</t>
    </r>
    <r>
      <rPr>
        <sz val="11"/>
        <color theme="1"/>
        <rFont val="Calibri"/>
        <family val="2"/>
        <scheme val="minor"/>
      </rPr>
      <t xml:space="preserve"> =</t>
    </r>
  </si>
  <si>
    <r>
      <t>Season factor 'c</t>
    </r>
    <r>
      <rPr>
        <vertAlign val="subscript"/>
        <sz val="11"/>
        <color theme="1"/>
        <rFont val="Calibri"/>
        <family val="2"/>
        <scheme val="minor"/>
      </rPr>
      <t>season</t>
    </r>
    <r>
      <rPr>
        <sz val="11"/>
        <color theme="1"/>
        <rFont val="Calibri"/>
        <family val="2"/>
        <scheme val="minor"/>
      </rPr>
      <t>' =</t>
    </r>
  </si>
  <si>
    <r>
      <t>Probability factor 'c</t>
    </r>
    <r>
      <rPr>
        <vertAlign val="subscript"/>
        <sz val="11"/>
        <color theme="1"/>
        <rFont val="Calibri"/>
        <family val="2"/>
        <scheme val="minor"/>
      </rPr>
      <t>prob</t>
    </r>
    <r>
      <rPr>
        <sz val="11"/>
        <color theme="1"/>
        <rFont val="Calibri"/>
        <family val="2"/>
        <scheme val="minor"/>
      </rPr>
      <t>' =</t>
    </r>
  </si>
  <si>
    <r>
      <t>Altitude factor 'c</t>
    </r>
    <r>
      <rPr>
        <vertAlign val="subscript"/>
        <sz val="11"/>
        <color theme="1"/>
        <rFont val="Calibri"/>
        <family val="2"/>
        <scheme val="minor"/>
      </rPr>
      <t>alt</t>
    </r>
    <r>
      <rPr>
        <sz val="11"/>
        <color theme="1"/>
        <rFont val="Calibri"/>
        <family val="2"/>
        <scheme val="minor"/>
      </rPr>
      <t>' =</t>
    </r>
  </si>
  <si>
    <r>
      <t>Topography factor 'c</t>
    </r>
    <r>
      <rPr>
        <vertAlign val="subscript"/>
        <sz val="11"/>
        <rFont val="Calibri"/>
        <family val="2"/>
        <scheme val="minor"/>
      </rPr>
      <t>o</t>
    </r>
    <r>
      <rPr>
        <sz val="11"/>
        <rFont val="Calibri"/>
        <family val="2"/>
        <scheme val="minor"/>
      </rPr>
      <t>' =</t>
    </r>
  </si>
  <si>
    <r>
      <t>Turbulence factor 'I</t>
    </r>
    <r>
      <rPr>
        <vertAlign val="subscript"/>
        <sz val="11"/>
        <rFont val="Calibri"/>
        <family val="2"/>
        <scheme val="minor"/>
      </rPr>
      <t>v(z)flat</t>
    </r>
    <r>
      <rPr>
        <sz val="11"/>
        <rFont val="Calibri"/>
        <family val="2"/>
        <scheme val="minor"/>
      </rPr>
      <t>' =</t>
    </r>
  </si>
  <si>
    <r>
      <t>Correction factor 'c</t>
    </r>
    <r>
      <rPr>
        <vertAlign val="subscript"/>
        <sz val="11"/>
        <rFont val="Calibri"/>
        <family val="2"/>
        <scheme val="minor"/>
      </rPr>
      <t>r,T</t>
    </r>
    <r>
      <rPr>
        <sz val="11"/>
        <rFont val="Calibri"/>
        <family val="2"/>
        <scheme val="minor"/>
      </rPr>
      <t>' =</t>
    </r>
  </si>
  <si>
    <r>
      <t>Turbulence correction factor 'k</t>
    </r>
    <r>
      <rPr>
        <vertAlign val="subscript"/>
        <sz val="11"/>
        <rFont val="Calibri"/>
        <family val="2"/>
        <scheme val="minor"/>
      </rPr>
      <t>I,T</t>
    </r>
    <r>
      <rPr>
        <sz val="11"/>
        <rFont val="Calibri"/>
        <family val="2"/>
        <scheme val="minor"/>
      </rPr>
      <t>' =</t>
    </r>
  </si>
  <si>
    <r>
      <t>Exposure factor 'c</t>
    </r>
    <r>
      <rPr>
        <vertAlign val="subscript"/>
        <sz val="11"/>
        <rFont val="Calibri"/>
        <family val="2"/>
        <scheme val="minor"/>
      </rPr>
      <t>e(z)</t>
    </r>
    <r>
      <rPr>
        <sz val="11"/>
        <rFont val="Calibri"/>
        <family val="2"/>
        <scheme val="minor"/>
      </rPr>
      <t>' =</t>
    </r>
  </si>
  <si>
    <r>
      <t>Exposure correction factor 'c</t>
    </r>
    <r>
      <rPr>
        <vertAlign val="subscript"/>
        <sz val="11"/>
        <rFont val="Calibri"/>
        <family val="2"/>
        <scheme val="minor"/>
      </rPr>
      <t>e,T</t>
    </r>
    <r>
      <rPr>
        <sz val="11"/>
        <rFont val="Calibri"/>
        <family val="2"/>
        <scheme val="minor"/>
      </rPr>
      <t>' =</t>
    </r>
  </si>
  <si>
    <r>
      <t>q</t>
    </r>
    <r>
      <rPr>
        <vertAlign val="subscript"/>
        <sz val="11"/>
        <color theme="1"/>
        <rFont val="Calibri"/>
        <family val="2"/>
        <scheme val="minor"/>
      </rPr>
      <t>b</t>
    </r>
    <r>
      <rPr>
        <sz val="11"/>
        <color theme="1"/>
        <rFont val="Calibri"/>
        <family val="2"/>
        <scheme val="minor"/>
      </rPr>
      <t xml:space="preserve"> </t>
    </r>
    <r>
      <rPr>
        <i/>
        <sz val="11"/>
        <color theme="1"/>
        <rFont val="Calibri"/>
        <family val="2"/>
        <scheme val="minor"/>
      </rPr>
      <t>[kN/m</t>
    </r>
    <r>
      <rPr>
        <i/>
        <vertAlign val="superscript"/>
        <sz val="11"/>
        <color theme="1"/>
        <rFont val="Calibri"/>
        <family val="2"/>
        <scheme val="minor"/>
      </rPr>
      <t>2</t>
    </r>
    <r>
      <rPr>
        <i/>
        <sz val="11"/>
        <color theme="1"/>
        <rFont val="Calibri"/>
        <family val="2"/>
        <scheme val="minor"/>
      </rPr>
      <t>]</t>
    </r>
  </si>
  <si>
    <r>
      <t>h</t>
    </r>
    <r>
      <rPr>
        <vertAlign val="subscript"/>
        <sz val="11"/>
        <color theme="1"/>
        <rFont val="Calibri"/>
        <family val="2"/>
        <scheme val="minor"/>
      </rPr>
      <t>ef</t>
    </r>
    <r>
      <rPr>
        <sz val="11"/>
        <color theme="1"/>
        <rFont val="Calibri"/>
        <family val="2"/>
        <scheme val="minor"/>
      </rPr>
      <t xml:space="preserve"> </t>
    </r>
    <r>
      <rPr>
        <i/>
        <sz val="11"/>
        <color theme="1"/>
        <rFont val="Calibri"/>
        <family val="2"/>
        <scheme val="minor"/>
      </rPr>
      <t>[m]</t>
    </r>
  </si>
  <si>
    <r>
      <t>q</t>
    </r>
    <r>
      <rPr>
        <vertAlign val="subscript"/>
        <sz val="11"/>
        <color theme="1"/>
        <rFont val="Calibri"/>
        <family val="2"/>
        <scheme val="minor"/>
      </rPr>
      <t>p</t>
    </r>
    <r>
      <rPr>
        <sz val="11"/>
        <color theme="1"/>
        <rFont val="Calibri"/>
        <family val="2"/>
        <scheme val="minor"/>
      </rPr>
      <t xml:space="preserve"> </t>
    </r>
    <r>
      <rPr>
        <i/>
        <sz val="11"/>
        <color theme="1"/>
        <rFont val="Calibri"/>
        <family val="2"/>
        <scheme val="minor"/>
      </rPr>
      <t>[kN/m</t>
    </r>
    <r>
      <rPr>
        <i/>
        <vertAlign val="superscript"/>
        <sz val="11"/>
        <color theme="1"/>
        <rFont val="Calibri"/>
        <family val="2"/>
        <scheme val="minor"/>
      </rPr>
      <t>2</t>
    </r>
    <r>
      <rPr>
        <i/>
        <sz val="11"/>
        <color theme="1"/>
        <rFont val="Calibri"/>
        <family val="2"/>
        <scheme val="minor"/>
      </rPr>
      <t>]</t>
    </r>
  </si>
  <si>
    <t>SITE TOPOGRAPHY DATA</t>
  </si>
  <si>
    <r>
      <t xml:space="preserve">Building (structure) width 'b' or 'L' </t>
    </r>
    <r>
      <rPr>
        <i/>
        <sz val="11"/>
        <color theme="1"/>
        <rFont val="Calibri"/>
        <family val="2"/>
        <scheme val="minor"/>
      </rPr>
      <t xml:space="preserve">[m] </t>
    </r>
    <r>
      <rPr>
        <sz val="11"/>
        <color theme="1"/>
        <rFont val="Calibri"/>
        <family val="2"/>
        <scheme val="minor"/>
      </rPr>
      <t>=</t>
    </r>
  </si>
  <si>
    <r>
      <t xml:space="preserve">Building (structure) depth 'd' </t>
    </r>
    <r>
      <rPr>
        <i/>
        <sz val="11"/>
        <color theme="1"/>
        <rFont val="Calibri"/>
        <family val="2"/>
        <scheme val="minor"/>
      </rPr>
      <t>[m]</t>
    </r>
    <r>
      <rPr>
        <sz val="11"/>
        <color theme="1"/>
        <rFont val="Calibri"/>
        <family val="2"/>
        <scheme val="minor"/>
      </rPr>
      <t xml:space="preserve"> =</t>
    </r>
  </si>
  <si>
    <r>
      <t>Building (structure) effective height 'h</t>
    </r>
    <r>
      <rPr>
        <vertAlign val="subscript"/>
        <sz val="11"/>
        <rFont val="Calibri"/>
        <family val="2"/>
        <scheme val="minor"/>
      </rPr>
      <t>ef</t>
    </r>
    <r>
      <rPr>
        <sz val="11"/>
        <rFont val="Calibri"/>
        <family val="2"/>
        <scheme val="minor"/>
      </rPr>
      <t xml:space="preserve">' </t>
    </r>
    <r>
      <rPr>
        <i/>
        <sz val="11"/>
        <rFont val="Calibri"/>
        <family val="2"/>
        <scheme val="minor"/>
      </rPr>
      <t>[m]</t>
    </r>
    <r>
      <rPr>
        <sz val="11"/>
        <rFont val="Calibri"/>
        <family val="2"/>
        <scheme val="minor"/>
      </rPr>
      <t xml:space="preserve"> =</t>
    </r>
  </si>
  <si>
    <r>
      <t>Peak velocity pressure 'q</t>
    </r>
    <r>
      <rPr>
        <vertAlign val="subscript"/>
        <sz val="11"/>
        <color theme="1"/>
        <rFont val="Calibri"/>
        <family val="2"/>
        <scheme val="minor"/>
      </rPr>
      <t>p</t>
    </r>
    <r>
      <rPr>
        <sz val="11"/>
        <color theme="1"/>
        <rFont val="Calibri"/>
        <family val="2"/>
        <scheme val="minor"/>
      </rPr>
      <t xml:space="preserve">' </t>
    </r>
    <r>
      <rPr>
        <i/>
        <sz val="11"/>
        <color theme="1"/>
        <rFont val="Calibri"/>
        <family val="2"/>
        <scheme val="minor"/>
      </rPr>
      <t>[kN/m²]</t>
    </r>
    <r>
      <rPr>
        <sz val="11"/>
        <color theme="1"/>
        <rFont val="Calibri"/>
        <family val="2"/>
        <scheme val="minor"/>
      </rPr>
      <t xml:space="preserve"> =</t>
    </r>
  </si>
  <si>
    <t>BUILDING (STRUCTURE) DATA</t>
  </si>
  <si>
    <t>SITE DATA</t>
  </si>
  <si>
    <t>selected terrain:</t>
  </si>
  <si>
    <t>Structural type:</t>
  </si>
  <si>
    <t xml:space="preserve">Mixed structures concrete plus steel </t>
  </si>
  <si>
    <t>Reinforced concrete building</t>
  </si>
  <si>
    <t>Steel building</t>
  </si>
  <si>
    <t>Reinforced concrete tower or chimney</t>
  </si>
  <si>
    <t>Type of surface:</t>
  </si>
  <si>
    <t>Smooth (e.g. smooth concrete, steel)</t>
  </si>
  <si>
    <t>Rough (e.g. rough concrete, tar-boards)</t>
  </si>
  <si>
    <r>
      <t>Internal pressure coefficient 'c</t>
    </r>
    <r>
      <rPr>
        <vertAlign val="subscript"/>
        <sz val="11"/>
        <rFont val="Calibri"/>
        <family val="2"/>
        <scheme val="minor"/>
      </rPr>
      <t>pi</t>
    </r>
    <r>
      <rPr>
        <sz val="11"/>
        <rFont val="Calibri"/>
        <family val="2"/>
        <scheme val="minor"/>
      </rPr>
      <t>' - case II =</t>
    </r>
  </si>
  <si>
    <r>
      <t>Internal pressure coefficient 'c</t>
    </r>
    <r>
      <rPr>
        <vertAlign val="subscript"/>
        <sz val="11"/>
        <rFont val="Calibri"/>
        <family val="2"/>
        <scheme val="minor"/>
      </rPr>
      <t>pi</t>
    </r>
    <r>
      <rPr>
        <sz val="11"/>
        <rFont val="Calibri"/>
        <family val="2"/>
        <scheme val="minor"/>
      </rPr>
      <t>' - case I =</t>
    </r>
  </si>
  <si>
    <t>Building zone:</t>
  </si>
  <si>
    <r>
      <t>Size factor for external pressure 'c</t>
    </r>
    <r>
      <rPr>
        <vertAlign val="subscript"/>
        <sz val="11"/>
        <rFont val="Calibri"/>
        <family val="2"/>
        <scheme val="minor"/>
      </rPr>
      <t>s</t>
    </r>
    <r>
      <rPr>
        <sz val="11"/>
        <rFont val="Calibri"/>
        <family val="2"/>
        <scheme val="minor"/>
      </rPr>
      <t>' =</t>
    </r>
  </si>
  <si>
    <t>COEFFICIENTS AND FACTORS</t>
  </si>
  <si>
    <r>
      <t>Dynamic factor 'c</t>
    </r>
    <r>
      <rPr>
        <vertAlign val="subscript"/>
        <sz val="11"/>
        <rFont val="Calibri"/>
        <family val="2"/>
        <scheme val="minor"/>
      </rPr>
      <t>d</t>
    </r>
    <r>
      <rPr>
        <sz val="11"/>
        <rFont val="Calibri"/>
        <family val="2"/>
        <scheme val="minor"/>
      </rPr>
      <t>' =</t>
    </r>
  </si>
  <si>
    <r>
      <t>Structural damping 'δ</t>
    </r>
    <r>
      <rPr>
        <vertAlign val="subscript"/>
        <sz val="11"/>
        <rFont val="Calibri"/>
        <family val="2"/>
        <scheme val="minor"/>
      </rPr>
      <t>s</t>
    </r>
    <r>
      <rPr>
        <sz val="11"/>
        <rFont val="Calibri"/>
        <family val="2"/>
        <scheme val="minor"/>
      </rPr>
      <t>' =</t>
    </r>
  </si>
  <si>
    <r>
      <t xml:space="preserve">Minimum distance to shoreline </t>
    </r>
    <r>
      <rPr>
        <i/>
        <sz val="11"/>
        <rFont val="Calibri"/>
        <family val="2"/>
        <scheme val="minor"/>
      </rPr>
      <t>[km]</t>
    </r>
    <r>
      <rPr>
        <sz val="11"/>
        <rFont val="Calibri"/>
        <family val="2"/>
        <scheme val="minor"/>
      </rPr>
      <t xml:space="preserve"> =</t>
    </r>
  </si>
  <si>
    <r>
      <t xml:space="preserve">Minimum distance to town boundary </t>
    </r>
    <r>
      <rPr>
        <i/>
        <sz val="11"/>
        <rFont val="Calibri"/>
        <family val="2"/>
        <scheme val="minor"/>
      </rPr>
      <t>[km]</t>
    </r>
    <r>
      <rPr>
        <sz val="11"/>
        <rFont val="Calibri"/>
        <family val="2"/>
        <scheme val="minor"/>
      </rPr>
      <t xml:space="preserve"> =</t>
    </r>
  </si>
  <si>
    <t>Site terrain type:</t>
  </si>
  <si>
    <t>Very rough (e.g. ripples, ribs, folds)</t>
  </si>
  <si>
    <t>Structure:</t>
  </si>
  <si>
    <t>structure:</t>
  </si>
  <si>
    <t>Vertical walls</t>
  </si>
  <si>
    <t>Free-standing walls</t>
  </si>
  <si>
    <r>
      <t>Openings area 'A</t>
    </r>
    <r>
      <rPr>
        <vertAlign val="subscript"/>
        <sz val="11"/>
        <rFont val="Calibri"/>
        <family val="2"/>
        <scheme val="minor"/>
      </rPr>
      <t>1</t>
    </r>
    <r>
      <rPr>
        <sz val="11"/>
        <rFont val="Calibri"/>
        <family val="2"/>
        <scheme val="minor"/>
      </rPr>
      <t xml:space="preserve">' </t>
    </r>
    <r>
      <rPr>
        <i/>
        <sz val="11"/>
        <rFont val="Calibri"/>
        <family val="2"/>
        <scheme val="minor"/>
      </rPr>
      <t>[m</t>
    </r>
    <r>
      <rPr>
        <i/>
        <vertAlign val="superscript"/>
        <sz val="11"/>
        <rFont val="Calibri"/>
        <family val="2"/>
        <scheme val="minor"/>
      </rPr>
      <t>2</t>
    </r>
    <r>
      <rPr>
        <i/>
        <sz val="11"/>
        <rFont val="Calibri"/>
        <family val="2"/>
        <scheme val="minor"/>
      </rPr>
      <t>]</t>
    </r>
    <r>
      <rPr>
        <sz val="11"/>
        <rFont val="Calibri"/>
        <family val="2"/>
        <scheme val="minor"/>
      </rPr>
      <t xml:space="preserve"> =</t>
    </r>
  </si>
  <si>
    <t>l/h</t>
  </si>
  <si>
    <t>Select?</t>
  </si>
  <si>
    <t>Return corners:</t>
  </si>
  <si>
    <t>Returns?</t>
  </si>
  <si>
    <t>l/h?</t>
  </si>
  <si>
    <t>SUMMARY OF RESULTS</t>
  </si>
  <si>
    <t>Solidity 'ϕ' =</t>
  </si>
  <si>
    <t>Wall length to height ration 'L/h' =</t>
  </si>
  <si>
    <t>note: values for walls perpendicular to wind direction</t>
  </si>
  <si>
    <r>
      <t>Recommedned net pressure coefficients 'c</t>
    </r>
    <r>
      <rPr>
        <vertAlign val="subscript"/>
        <sz val="11"/>
        <color theme="1"/>
        <rFont val="Calibri"/>
        <family val="2"/>
        <scheme val="minor"/>
      </rPr>
      <t>p,net</t>
    </r>
    <r>
      <rPr>
        <sz val="11"/>
        <color theme="1"/>
        <rFont val="Calibri"/>
        <family val="2"/>
        <scheme val="minor"/>
      </rPr>
      <t>':</t>
    </r>
  </si>
  <si>
    <t>Zone:</t>
  </si>
  <si>
    <r>
      <t>c</t>
    </r>
    <r>
      <rPr>
        <vertAlign val="subscript"/>
        <sz val="11"/>
        <color theme="1"/>
        <rFont val="Calibri"/>
        <family val="2"/>
        <scheme val="minor"/>
      </rPr>
      <t xml:space="preserve">p,net </t>
    </r>
    <r>
      <rPr>
        <sz val="11"/>
        <color theme="1"/>
        <rFont val="Calibri"/>
        <family val="2"/>
        <scheme val="minor"/>
      </rPr>
      <t>=</t>
    </r>
  </si>
  <si>
    <t>selected?</t>
  </si>
  <si>
    <r>
      <t xml:space="preserve">Friction coefficient </t>
    </r>
    <r>
      <rPr>
        <sz val="11"/>
        <rFont val="Calibri"/>
        <family val="2"/>
        <scheme val="minor"/>
      </rPr>
      <t>for free-standing walls 'c</t>
    </r>
    <r>
      <rPr>
        <vertAlign val="subscript"/>
        <sz val="11"/>
        <rFont val="Calibri"/>
        <family val="2"/>
        <scheme val="minor"/>
      </rPr>
      <t>fr</t>
    </r>
    <r>
      <rPr>
        <sz val="11"/>
        <rFont val="Calibri"/>
        <family val="2"/>
        <scheme val="minor"/>
      </rPr>
      <t>' =</t>
    </r>
  </si>
  <si>
    <r>
      <t>Reference area 'A</t>
    </r>
    <r>
      <rPr>
        <vertAlign val="subscript"/>
        <sz val="11"/>
        <color theme="1"/>
        <rFont val="Calibri"/>
        <family val="2"/>
        <scheme val="minor"/>
      </rPr>
      <t>fr</t>
    </r>
    <r>
      <rPr>
        <sz val="11"/>
        <color theme="1"/>
        <rFont val="Calibri"/>
        <family val="2"/>
        <scheme val="minor"/>
      </rPr>
      <t xml:space="preserve">' </t>
    </r>
    <r>
      <rPr>
        <i/>
        <sz val="11"/>
        <color theme="1"/>
        <rFont val="Calibri"/>
        <family val="2"/>
        <scheme val="minor"/>
      </rPr>
      <t>[m</t>
    </r>
    <r>
      <rPr>
        <i/>
        <vertAlign val="superscript"/>
        <sz val="11"/>
        <color theme="1"/>
        <rFont val="Calibri"/>
        <family val="2"/>
        <scheme val="minor"/>
      </rPr>
      <t>2</t>
    </r>
    <r>
      <rPr>
        <i/>
        <sz val="11"/>
        <color theme="1"/>
        <rFont val="Calibri"/>
        <family val="2"/>
        <scheme val="minor"/>
      </rPr>
      <t>]</t>
    </r>
    <r>
      <rPr>
        <sz val="11"/>
        <color theme="1"/>
        <rFont val="Calibri"/>
        <family val="2"/>
        <scheme val="minor"/>
      </rPr>
      <t xml:space="preserve"> =</t>
    </r>
  </si>
  <si>
    <r>
      <t>Friction force 'F</t>
    </r>
    <r>
      <rPr>
        <vertAlign val="subscript"/>
        <sz val="11"/>
        <color theme="1"/>
        <rFont val="Calibri"/>
        <family val="2"/>
        <scheme val="minor"/>
      </rPr>
      <t>fr</t>
    </r>
    <r>
      <rPr>
        <sz val="11"/>
        <color theme="1"/>
        <rFont val="Calibri"/>
        <family val="2"/>
        <scheme val="minor"/>
      </rPr>
      <t xml:space="preserve">' </t>
    </r>
    <r>
      <rPr>
        <i/>
        <sz val="11"/>
        <color theme="1"/>
        <rFont val="Calibri"/>
        <family val="2"/>
        <scheme val="minor"/>
      </rPr>
      <t>[kN]</t>
    </r>
    <r>
      <rPr>
        <sz val="11"/>
        <color theme="1"/>
        <rFont val="Calibri"/>
        <family val="2"/>
        <scheme val="minor"/>
      </rPr>
      <t xml:space="preserve"> =</t>
    </r>
  </si>
  <si>
    <r>
      <t>CALCULATIONS AND RESULTS:</t>
    </r>
    <r>
      <rPr>
        <sz val="11"/>
        <rFont val="Calibri"/>
        <family val="2"/>
        <scheme val="minor"/>
      </rPr>
      <t xml:space="preserve"> FRICTION FORCE</t>
    </r>
  </si>
  <si>
    <r>
      <t xml:space="preserve">DIAGRAM: </t>
    </r>
    <r>
      <rPr>
        <sz val="11"/>
        <rFont val="Calibri"/>
        <family val="2"/>
        <scheme val="minor"/>
      </rPr>
      <t>ZONES OF FREE STANDING WALLS AND PARAPETS</t>
    </r>
  </si>
  <si>
    <r>
      <t>'w'</t>
    </r>
    <r>
      <rPr>
        <i/>
        <sz val="11"/>
        <color theme="1"/>
        <rFont val="Calibri"/>
        <family val="2"/>
        <scheme val="minor"/>
      </rPr>
      <t xml:space="preserve"> [kN/m</t>
    </r>
    <r>
      <rPr>
        <i/>
        <vertAlign val="superscript"/>
        <sz val="11"/>
        <color theme="1"/>
        <rFont val="Calibri"/>
        <family val="2"/>
        <scheme val="minor"/>
      </rPr>
      <t>2</t>
    </r>
    <r>
      <rPr>
        <i/>
        <sz val="11"/>
        <color theme="1"/>
        <rFont val="Calibri"/>
        <family val="2"/>
        <scheme val="minor"/>
      </rPr>
      <t>]</t>
    </r>
    <r>
      <rPr>
        <sz val="11"/>
        <color theme="1"/>
        <rFont val="Calibri"/>
        <family val="2"/>
        <scheme val="minor"/>
      </rPr>
      <t xml:space="preserve"> =</t>
    </r>
  </si>
  <si>
    <t>Zone A</t>
  </si>
  <si>
    <r>
      <t xml:space="preserve">calculations are based on </t>
    </r>
    <r>
      <rPr>
        <b/>
        <sz val="9"/>
        <rFont val="Calibri"/>
        <family val="2"/>
        <scheme val="minor"/>
      </rPr>
      <t>Eurocode EN1991-1-4 (2005) + UK N.A.</t>
    </r>
  </si>
  <si>
    <r>
      <t xml:space="preserve">Spreadsheet provided by: </t>
    </r>
    <r>
      <rPr>
        <b/>
        <i/>
        <sz val="9"/>
        <rFont val="Calibri"/>
        <family val="2"/>
        <scheme val="minor"/>
      </rPr>
      <t>www.YourSpreadsheets.co.uk</t>
    </r>
  </si>
  <si>
    <r>
      <t xml:space="preserve">Free-standing wall length 'L' </t>
    </r>
    <r>
      <rPr>
        <i/>
        <sz val="11"/>
        <color theme="1"/>
        <rFont val="Calibri"/>
        <family val="2"/>
        <scheme val="minor"/>
      </rPr>
      <t xml:space="preserve">[m] </t>
    </r>
    <r>
      <rPr>
        <sz val="11"/>
        <color theme="1"/>
        <rFont val="Calibri"/>
        <family val="2"/>
        <scheme val="minor"/>
      </rPr>
      <t>=</t>
    </r>
  </si>
  <si>
    <r>
      <t xml:space="preserve">Free-standing wall height 'h' </t>
    </r>
    <r>
      <rPr>
        <i/>
        <sz val="11"/>
        <color theme="1"/>
        <rFont val="Calibri"/>
        <family val="2"/>
        <scheme val="minor"/>
      </rPr>
      <t xml:space="preserve">[m] </t>
    </r>
    <r>
      <rPr>
        <sz val="11"/>
        <color theme="1"/>
        <rFont val="Calibri"/>
        <family val="2"/>
        <scheme val="minor"/>
      </rPr>
      <t>=</t>
    </r>
  </si>
  <si>
    <t>L&lt;2h</t>
  </si>
  <si>
    <t>2h&lt;L&lt;4h</t>
  </si>
  <si>
    <t>L&gt;4h</t>
  </si>
  <si>
    <t>L&lt;0.3h</t>
  </si>
  <si>
    <t>RETURN CORNERS, OPENINGS AND SHELTER FACTOR</t>
  </si>
  <si>
    <r>
      <t xml:space="preserve">Length of return corners 'z' </t>
    </r>
    <r>
      <rPr>
        <i/>
        <sz val="11"/>
        <rFont val="Calibri"/>
        <family val="2"/>
        <scheme val="minor"/>
      </rPr>
      <t>[m]</t>
    </r>
    <r>
      <rPr>
        <sz val="11"/>
        <rFont val="Calibri"/>
        <family val="2"/>
        <scheme val="minor"/>
      </rPr>
      <t xml:space="preserve"> =</t>
    </r>
  </si>
  <si>
    <r>
      <t xml:space="preserve">Building width 'b' </t>
    </r>
    <r>
      <rPr>
        <i/>
        <sz val="11"/>
        <color theme="1"/>
        <rFont val="Calibri"/>
        <family val="2"/>
        <scheme val="minor"/>
      </rPr>
      <t xml:space="preserve">[m] </t>
    </r>
    <r>
      <rPr>
        <sz val="11"/>
        <color theme="1"/>
        <rFont val="Calibri"/>
        <family val="2"/>
        <scheme val="minor"/>
      </rPr>
      <t>=</t>
    </r>
  </si>
  <si>
    <r>
      <t xml:space="preserve">Building depth 'd' </t>
    </r>
    <r>
      <rPr>
        <i/>
        <sz val="11"/>
        <color theme="1"/>
        <rFont val="Calibri"/>
        <family val="2"/>
        <scheme val="minor"/>
      </rPr>
      <t>[m]</t>
    </r>
    <r>
      <rPr>
        <sz val="11"/>
        <color theme="1"/>
        <rFont val="Calibri"/>
        <family val="2"/>
        <scheme val="minor"/>
      </rPr>
      <t xml:space="preserve"> =</t>
    </r>
  </si>
  <si>
    <r>
      <t xml:space="preserve">Building height 'h' </t>
    </r>
    <r>
      <rPr>
        <i/>
        <sz val="11"/>
        <color theme="1"/>
        <rFont val="Calibri"/>
        <family val="2"/>
        <scheme val="minor"/>
      </rPr>
      <t xml:space="preserve">[m] </t>
    </r>
    <r>
      <rPr>
        <sz val="11"/>
        <color theme="1"/>
        <rFont val="Calibri"/>
        <family val="2"/>
        <scheme val="minor"/>
      </rPr>
      <t>=</t>
    </r>
  </si>
  <si>
    <r>
      <t>Building effective height 'h</t>
    </r>
    <r>
      <rPr>
        <vertAlign val="subscript"/>
        <sz val="11"/>
        <rFont val="Calibri"/>
        <family val="2"/>
        <scheme val="minor"/>
      </rPr>
      <t>ef</t>
    </r>
    <r>
      <rPr>
        <sz val="11"/>
        <rFont val="Calibri"/>
        <family val="2"/>
        <scheme val="minor"/>
      </rPr>
      <t xml:space="preserve">' </t>
    </r>
    <r>
      <rPr>
        <i/>
        <sz val="11"/>
        <rFont val="Calibri"/>
        <family val="2"/>
        <scheme val="minor"/>
      </rPr>
      <t>[m]</t>
    </r>
    <r>
      <rPr>
        <sz val="11"/>
        <rFont val="Calibri"/>
        <family val="2"/>
        <scheme val="minor"/>
      </rPr>
      <t xml:space="preserve"> =</t>
    </r>
  </si>
  <si>
    <r>
      <t xml:space="preserve">Roof/building width 'b' </t>
    </r>
    <r>
      <rPr>
        <i/>
        <sz val="11"/>
        <color theme="1"/>
        <rFont val="Calibri"/>
        <family val="2"/>
        <scheme val="minor"/>
      </rPr>
      <t xml:space="preserve">[m] </t>
    </r>
    <r>
      <rPr>
        <sz val="11"/>
        <color theme="1"/>
        <rFont val="Calibri"/>
        <family val="2"/>
        <scheme val="minor"/>
      </rPr>
      <t>=</t>
    </r>
  </si>
  <si>
    <r>
      <t xml:space="preserve">Roof/building depth 'd' </t>
    </r>
    <r>
      <rPr>
        <i/>
        <sz val="11"/>
        <color theme="1"/>
        <rFont val="Calibri"/>
        <family val="2"/>
        <scheme val="minor"/>
      </rPr>
      <t>[m]</t>
    </r>
    <r>
      <rPr>
        <sz val="11"/>
        <color theme="1"/>
        <rFont val="Calibri"/>
        <family val="2"/>
        <scheme val="minor"/>
      </rPr>
      <t xml:space="preserve"> =</t>
    </r>
  </si>
  <si>
    <t>note: values for walls parallel to wind direction (like return corners)</t>
  </si>
  <si>
    <t>Type of roof:</t>
  </si>
  <si>
    <r>
      <t>Parapet height 'h</t>
    </r>
    <r>
      <rPr>
        <vertAlign val="subscript"/>
        <sz val="11"/>
        <color theme="1"/>
        <rFont val="Calibri"/>
        <family val="2"/>
        <scheme val="minor"/>
      </rPr>
      <t>p</t>
    </r>
    <r>
      <rPr>
        <sz val="11"/>
        <rFont val="Calibri"/>
        <family val="2"/>
        <scheme val="minor"/>
      </rPr>
      <t xml:space="preserve">' </t>
    </r>
    <r>
      <rPr>
        <i/>
        <sz val="11"/>
        <rFont val="Calibri"/>
        <family val="2"/>
        <scheme val="minor"/>
      </rPr>
      <t>[m]</t>
    </r>
    <r>
      <rPr>
        <sz val="11"/>
        <rFont val="Calibri"/>
        <family val="2"/>
        <scheme val="minor"/>
      </rPr>
      <t xml:space="preserve"> =</t>
    </r>
  </si>
  <si>
    <r>
      <t>Radius of curved eaves 'r</t>
    </r>
    <r>
      <rPr>
        <sz val="11"/>
        <rFont val="Calibri"/>
        <family val="2"/>
        <scheme val="minor"/>
      </rPr>
      <t xml:space="preserve">' </t>
    </r>
    <r>
      <rPr>
        <i/>
        <sz val="11"/>
        <rFont val="Calibri"/>
        <family val="2"/>
        <scheme val="minor"/>
      </rPr>
      <t>[m]</t>
    </r>
    <r>
      <rPr>
        <sz val="11"/>
        <rFont val="Calibri"/>
        <family val="2"/>
        <scheme val="minor"/>
      </rPr>
      <t xml:space="preserve"> =</t>
    </r>
  </si>
  <si>
    <r>
      <t xml:space="preserve">Distance 'e' </t>
    </r>
    <r>
      <rPr>
        <i/>
        <sz val="11"/>
        <color theme="1"/>
        <rFont val="Calibri"/>
        <family val="2"/>
        <scheme val="minor"/>
      </rPr>
      <t>[m]</t>
    </r>
    <r>
      <rPr>
        <sz val="11"/>
        <color theme="1"/>
        <rFont val="Calibri"/>
        <family val="2"/>
        <scheme val="minor"/>
      </rPr>
      <t xml:space="preserve"> =</t>
    </r>
  </si>
  <si>
    <r>
      <t xml:space="preserve">RESULTS: </t>
    </r>
    <r>
      <rPr>
        <sz val="11"/>
        <rFont val="Calibri"/>
        <family val="2"/>
        <scheme val="minor"/>
      </rPr>
      <t>WIND NET PRESSURES</t>
    </r>
  </si>
  <si>
    <r>
      <t xml:space="preserve">CALCULATIONS: </t>
    </r>
    <r>
      <rPr>
        <sz val="11"/>
        <rFont val="Calibri"/>
        <family val="2"/>
        <scheme val="minor"/>
      </rPr>
      <t>NET PRESSURE COEFFICIENTS</t>
    </r>
  </si>
  <si>
    <r>
      <t>c</t>
    </r>
    <r>
      <rPr>
        <vertAlign val="subscript"/>
        <sz val="11"/>
        <color theme="1"/>
        <rFont val="Calibri"/>
        <family val="2"/>
        <scheme val="minor"/>
      </rPr>
      <t xml:space="preserve">pe </t>
    </r>
    <r>
      <rPr>
        <sz val="11"/>
        <color theme="1"/>
        <rFont val="Calibri"/>
        <family val="2"/>
        <scheme val="minor"/>
      </rPr>
      <t>=</t>
    </r>
  </si>
  <si>
    <r>
      <t xml:space="preserve">CALCULATIONS: </t>
    </r>
    <r>
      <rPr>
        <sz val="11"/>
        <rFont val="Calibri"/>
        <family val="2"/>
        <scheme val="minor"/>
      </rPr>
      <t>EXTERNAL PRESSURE COEFFICIENTS</t>
    </r>
  </si>
  <si>
    <r>
      <t>internal press. coeff. c</t>
    </r>
    <r>
      <rPr>
        <vertAlign val="subscript"/>
        <sz val="11"/>
        <color theme="1"/>
        <rFont val="Calibri"/>
        <family val="2"/>
        <scheme val="minor"/>
      </rPr>
      <t>pi</t>
    </r>
  </si>
  <si>
    <r>
      <t xml:space="preserve"> w</t>
    </r>
    <r>
      <rPr>
        <vertAlign val="subscript"/>
        <sz val="10"/>
        <color theme="1"/>
        <rFont val="Arial"/>
        <family val="2"/>
      </rPr>
      <t>e</t>
    </r>
    <r>
      <rPr>
        <sz val="10"/>
        <color theme="1"/>
        <rFont val="Arial"/>
        <family val="2"/>
      </rPr>
      <t xml:space="preserve"> (kN/m²)</t>
    </r>
  </si>
  <si>
    <r>
      <t>'w</t>
    </r>
    <r>
      <rPr>
        <vertAlign val="subscript"/>
        <sz val="11"/>
        <color theme="1"/>
        <rFont val="Calibri"/>
        <family val="2"/>
        <scheme val="minor"/>
      </rPr>
      <t>e</t>
    </r>
    <r>
      <rPr>
        <sz val="11"/>
        <color theme="1"/>
        <rFont val="Calibri"/>
        <family val="2"/>
        <scheme val="minor"/>
      </rPr>
      <t>'</t>
    </r>
    <r>
      <rPr>
        <i/>
        <sz val="11"/>
        <color theme="1"/>
        <rFont val="Calibri"/>
        <family val="2"/>
        <scheme val="minor"/>
      </rPr>
      <t xml:space="preserve"> [kN/m</t>
    </r>
    <r>
      <rPr>
        <i/>
        <vertAlign val="superscript"/>
        <sz val="11"/>
        <color theme="1"/>
        <rFont val="Calibri"/>
        <family val="2"/>
        <scheme val="minor"/>
      </rPr>
      <t>2</t>
    </r>
    <r>
      <rPr>
        <i/>
        <sz val="11"/>
        <color theme="1"/>
        <rFont val="Calibri"/>
        <family val="2"/>
        <scheme val="minor"/>
      </rPr>
      <t>]</t>
    </r>
    <r>
      <rPr>
        <sz val="11"/>
        <color theme="1"/>
        <rFont val="Calibri"/>
        <family val="2"/>
        <scheme val="minor"/>
      </rPr>
      <t xml:space="preserve"> =</t>
    </r>
  </si>
  <si>
    <r>
      <t xml:space="preserve">DIAGRAM: </t>
    </r>
    <r>
      <rPr>
        <sz val="11"/>
        <rFont val="Calibri"/>
        <family val="2"/>
        <scheme val="minor"/>
      </rPr>
      <t>ZONES OF FLAT ROOF</t>
    </r>
  </si>
  <si>
    <r>
      <t xml:space="preserve">RESULTS: </t>
    </r>
    <r>
      <rPr>
        <sz val="11"/>
        <rFont val="Calibri"/>
        <family val="2"/>
        <scheme val="minor"/>
      </rPr>
      <t>NET WIND PRESSURES FOR ROOF</t>
    </r>
  </si>
  <si>
    <t>Zone F</t>
  </si>
  <si>
    <t>Zone G</t>
  </si>
  <si>
    <t>Zone H</t>
  </si>
  <si>
    <r>
      <t xml:space="preserve">CALCULATIONS: </t>
    </r>
    <r>
      <rPr>
        <sz val="11"/>
        <rFont val="Calibri"/>
        <family val="2"/>
        <scheme val="minor"/>
      </rPr>
      <t>EXTERNAL WIND PRESSURES FOR ROOF</t>
    </r>
  </si>
  <si>
    <r>
      <t xml:space="preserve">CALCULATIONS: </t>
    </r>
    <r>
      <rPr>
        <sz val="11"/>
        <rFont val="Calibri"/>
        <family val="2"/>
        <scheme val="minor"/>
      </rPr>
      <t>STRUCTURAL DAMPING</t>
    </r>
  </si>
  <si>
    <r>
      <t xml:space="preserve">Wind direction </t>
    </r>
    <r>
      <rPr>
        <i/>
        <sz val="11"/>
        <color theme="1"/>
        <rFont val="Calibri"/>
        <family val="2"/>
        <scheme val="minor"/>
      </rPr>
      <t>[deg]</t>
    </r>
    <r>
      <rPr>
        <sz val="11"/>
        <color theme="1"/>
        <rFont val="Calibri"/>
        <family val="2"/>
        <scheme val="minor"/>
      </rPr>
      <t xml:space="preserve"> =</t>
    </r>
  </si>
  <si>
    <r>
      <t>Building effective height 'h</t>
    </r>
    <r>
      <rPr>
        <vertAlign val="subscript"/>
        <sz val="11"/>
        <color theme="1"/>
        <rFont val="Calibri"/>
        <family val="2"/>
        <scheme val="minor"/>
      </rPr>
      <t>eff</t>
    </r>
    <r>
      <rPr>
        <sz val="11"/>
        <color theme="1"/>
        <rFont val="Calibri"/>
        <family val="2"/>
        <scheme val="minor"/>
      </rPr>
      <t xml:space="preserve">' </t>
    </r>
    <r>
      <rPr>
        <i/>
        <sz val="11"/>
        <color theme="1"/>
        <rFont val="Calibri"/>
        <family val="2"/>
        <scheme val="minor"/>
      </rPr>
      <t xml:space="preserve">[m] </t>
    </r>
    <r>
      <rPr>
        <sz val="11"/>
        <color theme="1"/>
        <rFont val="Calibri"/>
        <family val="2"/>
        <scheme val="minor"/>
      </rPr>
      <t>=</t>
    </r>
  </si>
  <si>
    <r>
      <t>F / F</t>
    </r>
    <r>
      <rPr>
        <vertAlign val="subscript"/>
        <sz val="11"/>
        <color theme="1"/>
        <rFont val="Calibri"/>
        <family val="2"/>
        <scheme val="minor"/>
      </rPr>
      <t>up</t>
    </r>
  </si>
  <si>
    <t>as below:</t>
  </si>
  <si>
    <t>case A:</t>
  </si>
  <si>
    <t>case B:</t>
  </si>
  <si>
    <r>
      <t>case B:     c</t>
    </r>
    <r>
      <rPr>
        <vertAlign val="subscript"/>
        <sz val="11"/>
        <color theme="1"/>
        <rFont val="Calibri"/>
        <family val="2"/>
        <scheme val="minor"/>
      </rPr>
      <t>pe</t>
    </r>
    <r>
      <rPr>
        <sz val="11"/>
        <color theme="1"/>
        <rFont val="Calibri"/>
        <family val="2"/>
        <scheme val="minor"/>
      </rPr>
      <t xml:space="preserve"> =</t>
    </r>
  </si>
  <si>
    <r>
      <t>case A:     c</t>
    </r>
    <r>
      <rPr>
        <vertAlign val="subscript"/>
        <sz val="11"/>
        <color theme="1"/>
        <rFont val="Calibri"/>
        <family val="2"/>
        <scheme val="minor"/>
      </rPr>
      <t>pe</t>
    </r>
    <r>
      <rPr>
        <sz val="11"/>
        <color theme="1"/>
        <rFont val="Calibri"/>
        <family val="2"/>
        <scheme val="minor"/>
      </rPr>
      <t xml:space="preserve"> =</t>
    </r>
  </si>
  <si>
    <r>
      <t>case A:    w</t>
    </r>
    <r>
      <rPr>
        <vertAlign val="subscript"/>
        <sz val="11"/>
        <color theme="1"/>
        <rFont val="Calibri"/>
        <family val="2"/>
        <scheme val="minor"/>
      </rPr>
      <t>e</t>
    </r>
    <r>
      <rPr>
        <i/>
        <sz val="11"/>
        <color theme="1"/>
        <rFont val="Calibri"/>
        <family val="2"/>
        <scheme val="minor"/>
      </rPr>
      <t xml:space="preserve"> </t>
    </r>
    <r>
      <rPr>
        <sz val="11"/>
        <color theme="1"/>
        <rFont val="Calibri"/>
        <family val="2"/>
        <scheme val="minor"/>
      </rPr>
      <t>=</t>
    </r>
  </si>
  <si>
    <r>
      <t>case B:    w</t>
    </r>
    <r>
      <rPr>
        <vertAlign val="subscript"/>
        <sz val="11"/>
        <color theme="1"/>
        <rFont val="Calibri"/>
        <family val="2"/>
        <scheme val="minor"/>
      </rPr>
      <t>e</t>
    </r>
    <r>
      <rPr>
        <i/>
        <sz val="11"/>
        <color theme="1"/>
        <rFont val="Calibri"/>
        <family val="2"/>
        <scheme val="minor"/>
      </rPr>
      <t xml:space="preserve"> </t>
    </r>
    <r>
      <rPr>
        <sz val="11"/>
        <color theme="1"/>
        <rFont val="Calibri"/>
        <family val="2"/>
        <scheme val="minor"/>
      </rPr>
      <t>=</t>
    </r>
  </si>
  <si>
    <t>cpe case A</t>
  </si>
  <si>
    <t>cpe case B</t>
  </si>
  <si>
    <r>
      <t>net pressure 'w</t>
    </r>
    <r>
      <rPr>
        <sz val="8"/>
        <rFont val="Calibri"/>
        <family val="2"/>
        <scheme val="minor"/>
      </rPr>
      <t>' is in kN/m</t>
    </r>
    <r>
      <rPr>
        <vertAlign val="superscript"/>
        <sz val="8"/>
        <rFont val="Calibri"/>
        <family val="2"/>
        <scheme val="minor"/>
      </rPr>
      <t>2</t>
    </r>
  </si>
  <si>
    <r>
      <t>w</t>
    </r>
    <r>
      <rPr>
        <vertAlign val="subscript"/>
        <sz val="11"/>
        <color theme="1"/>
        <rFont val="Calibri"/>
        <family val="2"/>
        <scheme val="minor"/>
      </rPr>
      <t>min</t>
    </r>
    <r>
      <rPr>
        <sz val="11"/>
        <color theme="1"/>
        <rFont val="Calibri"/>
        <family val="2"/>
        <scheme val="minor"/>
      </rPr>
      <t xml:space="preserve"> =</t>
    </r>
  </si>
  <si>
    <r>
      <t>w</t>
    </r>
    <r>
      <rPr>
        <vertAlign val="subscript"/>
        <sz val="11"/>
        <color theme="1"/>
        <rFont val="Calibri"/>
        <family val="2"/>
        <scheme val="minor"/>
      </rPr>
      <t>max</t>
    </r>
    <r>
      <rPr>
        <sz val="11"/>
        <color theme="1"/>
        <rFont val="Calibri"/>
        <family val="2"/>
        <scheme val="minor"/>
      </rPr>
      <t xml:space="preserve"> =</t>
    </r>
  </si>
  <si>
    <r>
      <t xml:space="preserve">Friction coefficient </t>
    </r>
    <r>
      <rPr>
        <sz val="11"/>
        <rFont val="Calibri"/>
        <family val="2"/>
        <scheme val="minor"/>
      </rPr>
      <t>for roof surface 'c</t>
    </r>
    <r>
      <rPr>
        <vertAlign val="subscript"/>
        <sz val="11"/>
        <rFont val="Calibri"/>
        <family val="2"/>
        <scheme val="minor"/>
      </rPr>
      <t>fr</t>
    </r>
    <r>
      <rPr>
        <sz val="11"/>
        <rFont val="Calibri"/>
        <family val="2"/>
        <scheme val="minor"/>
      </rPr>
      <t>' =</t>
    </r>
  </si>
  <si>
    <r>
      <t xml:space="preserve">Friction coefficient </t>
    </r>
    <r>
      <rPr>
        <sz val="11"/>
        <rFont val="Calibri"/>
        <family val="2"/>
        <scheme val="minor"/>
      </rPr>
      <t>for walls and roof surfaces 'c</t>
    </r>
    <r>
      <rPr>
        <vertAlign val="subscript"/>
        <sz val="11"/>
        <rFont val="Calibri"/>
        <family val="2"/>
        <scheme val="minor"/>
      </rPr>
      <t>fr</t>
    </r>
    <r>
      <rPr>
        <sz val="11"/>
        <rFont val="Calibri"/>
        <family val="2"/>
        <scheme val="minor"/>
      </rPr>
      <t>' =</t>
    </r>
  </si>
  <si>
    <r>
      <t xml:space="preserve">Canopy/structure depth 'd' </t>
    </r>
    <r>
      <rPr>
        <i/>
        <sz val="11"/>
        <color theme="1"/>
        <rFont val="Calibri"/>
        <family val="2"/>
        <scheme val="minor"/>
      </rPr>
      <t>[m]</t>
    </r>
    <r>
      <rPr>
        <sz val="11"/>
        <color theme="1"/>
        <rFont val="Calibri"/>
        <family val="2"/>
        <scheme val="minor"/>
      </rPr>
      <t xml:space="preserve"> =</t>
    </r>
  </si>
  <si>
    <r>
      <t xml:space="preserve">Canopy/structure width 'b' </t>
    </r>
    <r>
      <rPr>
        <i/>
        <sz val="11"/>
        <color theme="1"/>
        <rFont val="Calibri"/>
        <family val="2"/>
        <scheme val="minor"/>
      </rPr>
      <t xml:space="preserve">[m] </t>
    </r>
    <r>
      <rPr>
        <sz val="11"/>
        <color theme="1"/>
        <rFont val="Calibri"/>
        <family val="2"/>
        <scheme val="minor"/>
      </rPr>
      <t>=</t>
    </r>
  </si>
  <si>
    <r>
      <t xml:space="preserve">Canopy/structure height 'h' </t>
    </r>
    <r>
      <rPr>
        <i/>
        <sz val="11"/>
        <color theme="1"/>
        <rFont val="Calibri"/>
        <family val="2"/>
        <scheme val="minor"/>
      </rPr>
      <t xml:space="preserve">[m] </t>
    </r>
    <r>
      <rPr>
        <sz val="11"/>
        <color theme="1"/>
        <rFont val="Calibri"/>
        <family val="2"/>
        <scheme val="minor"/>
      </rPr>
      <t>=</t>
    </r>
  </si>
  <si>
    <r>
      <t>Simplified reference area 'A</t>
    </r>
    <r>
      <rPr>
        <vertAlign val="subscript"/>
        <sz val="11"/>
        <color theme="1"/>
        <rFont val="Calibri"/>
        <family val="2"/>
        <scheme val="minor"/>
      </rPr>
      <t>fr</t>
    </r>
    <r>
      <rPr>
        <sz val="11"/>
        <color theme="1"/>
        <rFont val="Calibri"/>
        <family val="2"/>
        <scheme val="minor"/>
      </rPr>
      <t xml:space="preserve">' </t>
    </r>
    <r>
      <rPr>
        <i/>
        <sz val="11"/>
        <color theme="1"/>
        <rFont val="Calibri"/>
        <family val="2"/>
        <scheme val="minor"/>
      </rPr>
      <t>[m</t>
    </r>
    <r>
      <rPr>
        <i/>
        <vertAlign val="superscript"/>
        <sz val="11"/>
        <color theme="1"/>
        <rFont val="Calibri"/>
        <family val="2"/>
        <scheme val="minor"/>
      </rPr>
      <t>2</t>
    </r>
    <r>
      <rPr>
        <i/>
        <sz val="11"/>
        <color theme="1"/>
        <rFont val="Calibri"/>
        <family val="2"/>
        <scheme val="minor"/>
      </rPr>
      <t>]</t>
    </r>
    <r>
      <rPr>
        <sz val="11"/>
        <color theme="1"/>
        <rFont val="Calibri"/>
        <family val="2"/>
        <scheme val="minor"/>
      </rPr>
      <t xml:space="preserve"> =</t>
    </r>
  </si>
  <si>
    <t>Theta 0°case II</t>
  </si>
  <si>
    <t>Theta 90°case II</t>
  </si>
  <si>
    <t>Theta 180°case II</t>
  </si>
  <si>
    <r>
      <t>external pressures 'w</t>
    </r>
    <r>
      <rPr>
        <vertAlign val="subscript"/>
        <sz val="8"/>
        <rFont val="Calibri"/>
        <family val="2"/>
        <scheme val="minor"/>
      </rPr>
      <t>e</t>
    </r>
    <r>
      <rPr>
        <sz val="8"/>
        <rFont val="Calibri"/>
        <family val="2"/>
        <scheme val="minor"/>
      </rPr>
      <t>' and 'w' are in kN/m</t>
    </r>
    <r>
      <rPr>
        <vertAlign val="superscript"/>
        <sz val="8"/>
        <rFont val="Calibri"/>
        <family val="2"/>
        <scheme val="minor"/>
      </rPr>
      <t>2</t>
    </r>
  </si>
  <si>
    <r>
      <t>int. press. coeff. c</t>
    </r>
    <r>
      <rPr>
        <vertAlign val="subscript"/>
        <sz val="11"/>
        <color theme="1"/>
        <rFont val="Calibri"/>
        <family val="2"/>
        <scheme val="minor"/>
      </rPr>
      <t>pi</t>
    </r>
  </si>
  <si>
    <t xml:space="preserve">case A:  </t>
  </si>
  <si>
    <t xml:space="preserve">case B:  </t>
  </si>
  <si>
    <r>
      <t xml:space="preserve">DIAGRAM: </t>
    </r>
    <r>
      <rPr>
        <sz val="11"/>
        <rFont val="Calibri"/>
        <family val="2"/>
        <scheme val="minor"/>
      </rPr>
      <t>ZONES OF DUOPITCH ROOF</t>
    </r>
  </si>
  <si>
    <r>
      <t xml:space="preserve">DIAGRAM: </t>
    </r>
    <r>
      <rPr>
        <sz val="11"/>
        <rFont val="Calibri"/>
        <family val="2"/>
        <scheme val="minor"/>
      </rPr>
      <t>ZONES OF MONOPITCH ROOF</t>
    </r>
  </si>
  <si>
    <r>
      <t xml:space="preserve">DIAGRAM: </t>
    </r>
    <r>
      <rPr>
        <sz val="11"/>
        <rFont val="Calibri"/>
        <family val="2"/>
        <scheme val="minor"/>
      </rPr>
      <t>ZONES OF MONOPITCH CANOPY</t>
    </r>
  </si>
  <si>
    <r>
      <t xml:space="preserve">CALCULATIONS: </t>
    </r>
    <r>
      <rPr>
        <sz val="11"/>
        <rFont val="Calibri"/>
        <family val="2"/>
        <scheme val="minor"/>
      </rPr>
      <t>EXTERNAL NET PRESSURE COEFFICIENTS</t>
    </r>
  </si>
  <si>
    <t>Overall Force</t>
  </si>
  <si>
    <r>
      <t>c</t>
    </r>
    <r>
      <rPr>
        <vertAlign val="subscript"/>
        <sz val="11"/>
        <rFont val="Calibri"/>
        <family val="2"/>
        <scheme val="minor"/>
      </rPr>
      <t>f</t>
    </r>
    <r>
      <rPr>
        <sz val="11"/>
        <rFont val="Calibri"/>
        <family val="2"/>
        <scheme val="minor"/>
      </rPr>
      <t xml:space="preserve"> =</t>
    </r>
  </si>
  <si>
    <t>Blocked</t>
  </si>
  <si>
    <t>Partially blocked</t>
  </si>
  <si>
    <t>case A:      w =</t>
  </si>
  <si>
    <t>case B:      w =</t>
  </si>
  <si>
    <r>
      <t xml:space="preserve">CALCULATIONS: </t>
    </r>
    <r>
      <rPr>
        <sz val="11"/>
        <rFont val="Calibri"/>
        <family val="2"/>
        <scheme val="minor"/>
      </rPr>
      <t>NET WIND PRESSURES FOR CANOPY</t>
    </r>
  </si>
  <si>
    <t>partially blocked</t>
  </si>
  <si>
    <t>Canopy type:</t>
  </si>
  <si>
    <r>
      <t>F</t>
    </r>
    <r>
      <rPr>
        <vertAlign val="subscript"/>
        <sz val="11"/>
        <rFont val="Calibri"/>
        <family val="2"/>
        <scheme val="minor"/>
      </rPr>
      <t>w</t>
    </r>
    <r>
      <rPr>
        <sz val="11"/>
        <rFont val="Calibri"/>
        <family val="2"/>
        <scheme val="minor"/>
      </rPr>
      <t xml:space="preserve"> =</t>
    </r>
  </si>
  <si>
    <r>
      <t>net wind pressure 'w' is in kN/m</t>
    </r>
    <r>
      <rPr>
        <vertAlign val="superscript"/>
        <sz val="8"/>
        <rFont val="Calibri"/>
        <family val="2"/>
        <scheme val="minor"/>
      </rPr>
      <t xml:space="preserve">2 </t>
    </r>
    <r>
      <rPr>
        <sz val="8"/>
        <rFont val="Calibri"/>
        <family val="2"/>
        <scheme val="minor"/>
      </rPr>
      <t>and overall force 'F</t>
    </r>
    <r>
      <rPr>
        <vertAlign val="subscript"/>
        <sz val="8"/>
        <rFont val="Calibri"/>
        <family val="2"/>
        <scheme val="minor"/>
      </rPr>
      <t>w</t>
    </r>
    <r>
      <rPr>
        <sz val="8"/>
        <rFont val="Calibri"/>
        <family val="2"/>
        <scheme val="minor"/>
      </rPr>
      <t>' is in kN.</t>
    </r>
  </si>
  <si>
    <t>Zone B</t>
  </si>
  <si>
    <t>Zone C</t>
  </si>
  <si>
    <r>
      <t>CALCULATIONS AND RESULTS:</t>
    </r>
    <r>
      <rPr>
        <sz val="11"/>
        <rFont val="Calibri"/>
        <family val="2"/>
        <scheme val="minor"/>
      </rPr>
      <t xml:space="preserve"> FRICTION FORCE PER BAY</t>
    </r>
  </si>
  <si>
    <t>Single bay canopy</t>
  </si>
  <si>
    <t>Mulitbay canopy</t>
  </si>
  <si>
    <t>Canopy blockage:</t>
  </si>
  <si>
    <r>
      <t xml:space="preserve">DIAGRAM: </t>
    </r>
    <r>
      <rPr>
        <sz val="11"/>
        <rFont val="Calibri"/>
        <family val="2"/>
        <scheme val="minor"/>
      </rPr>
      <t>ZONES OF DUOPITCH CANOPY</t>
    </r>
  </si>
  <si>
    <t>w =</t>
  </si>
  <si>
    <t>Overall</t>
  </si>
  <si>
    <r>
      <t>net wind pressure 'w' is in kN/m</t>
    </r>
    <r>
      <rPr>
        <vertAlign val="superscript"/>
        <sz val="8"/>
        <rFont val="Calibri"/>
        <family val="2"/>
        <scheme val="minor"/>
      </rPr>
      <t xml:space="preserve">2 </t>
    </r>
    <r>
      <rPr>
        <sz val="8"/>
        <rFont val="Calibri"/>
        <family val="2"/>
        <scheme val="minor"/>
      </rPr>
      <t>and overall force 'F</t>
    </r>
    <r>
      <rPr>
        <vertAlign val="subscript"/>
        <sz val="8"/>
        <rFont val="Calibri"/>
        <family val="2"/>
        <scheme val="minor"/>
      </rPr>
      <t>w</t>
    </r>
    <r>
      <rPr>
        <sz val="8"/>
        <rFont val="Calibri"/>
        <family val="2"/>
        <scheme val="minor"/>
      </rPr>
      <t>' is in kN.
overall force is given for the worst case bay if multibay canopy selected.</t>
    </r>
  </si>
  <si>
    <t>Canopy blockage ratio φ =</t>
  </si>
  <si>
    <r>
      <t>Canopy roof angle 'α</t>
    </r>
    <r>
      <rPr>
        <sz val="11"/>
        <rFont val="Calibri"/>
        <family val="2"/>
        <scheme val="minor"/>
      </rPr>
      <t xml:space="preserve">' </t>
    </r>
    <r>
      <rPr>
        <i/>
        <sz val="11"/>
        <rFont val="Calibri"/>
        <family val="2"/>
        <scheme val="minor"/>
      </rPr>
      <t>[deg]</t>
    </r>
    <r>
      <rPr>
        <sz val="11"/>
        <rFont val="Calibri"/>
        <family val="2"/>
        <scheme val="minor"/>
      </rPr>
      <t xml:space="preserve"> =</t>
    </r>
  </si>
  <si>
    <t>Zone D</t>
  </si>
  <si>
    <r>
      <t xml:space="preserve">version: </t>
    </r>
    <r>
      <rPr>
        <b/>
        <sz val="11"/>
        <rFont val="Calibri"/>
        <family val="2"/>
        <scheme val="minor"/>
      </rPr>
      <t>1.0.</t>
    </r>
  </si>
  <si>
    <r>
      <t xml:space="preserve">© 2014 </t>
    </r>
    <r>
      <rPr>
        <b/>
        <sz val="11"/>
        <rFont val="Calibri"/>
        <family val="2"/>
        <scheme val="minor"/>
      </rPr>
      <t>Damian Janicki</t>
    </r>
  </si>
  <si>
    <r>
      <t xml:space="preserve">DIAGRAM: </t>
    </r>
    <r>
      <rPr>
        <sz val="11"/>
        <rFont val="Calibri"/>
        <family val="2"/>
        <scheme val="minor"/>
      </rPr>
      <t>ZONES OF VERTICAL WALLS</t>
    </r>
  </si>
  <si>
    <t>note: these calculations are based on data on 'wind pressure' sheet</t>
  </si>
  <si>
    <t>current:</t>
  </si>
  <si>
    <t>note: friction force is applied parallel to wind direction, i.e. to side walls</t>
  </si>
  <si>
    <r>
      <t>net pressure 'w' is in kN/m</t>
    </r>
    <r>
      <rPr>
        <vertAlign val="superscript"/>
        <sz val="8"/>
        <rFont val="Calibri"/>
        <family val="2"/>
        <scheme val="minor"/>
      </rPr>
      <t>2</t>
    </r>
  </si>
  <si>
    <t>WINDWARD WALL</t>
  </si>
  <si>
    <t>LEEWARD WALL</t>
  </si>
  <si>
    <t>Zone E</t>
  </si>
  <si>
    <r>
      <t xml:space="preserve">CALCULATIONS: </t>
    </r>
    <r>
      <rPr>
        <sz val="11"/>
        <rFont val="Calibri"/>
        <family val="2"/>
        <scheme val="minor"/>
      </rPr>
      <t>EXTERNAL WIND PRESSURES FOR VERTICAL WALLS</t>
    </r>
  </si>
  <si>
    <r>
      <t>D</t>
    </r>
    <r>
      <rPr>
        <vertAlign val="subscript"/>
        <sz val="11"/>
        <color theme="1"/>
        <rFont val="Calibri"/>
        <family val="2"/>
        <scheme val="minor"/>
      </rPr>
      <t>lower</t>
    </r>
  </si>
  <si>
    <r>
      <t>D</t>
    </r>
    <r>
      <rPr>
        <vertAlign val="subscript"/>
        <sz val="11"/>
        <color theme="1"/>
        <rFont val="Calibri"/>
        <family val="2"/>
        <scheme val="minor"/>
      </rPr>
      <t>middle</t>
    </r>
  </si>
  <si>
    <r>
      <t>D</t>
    </r>
    <r>
      <rPr>
        <vertAlign val="subscript"/>
        <sz val="11"/>
        <color theme="1"/>
        <rFont val="Calibri"/>
        <family val="2"/>
        <scheme val="minor"/>
      </rPr>
      <t>upper</t>
    </r>
  </si>
  <si>
    <t>note: diagram is not to scale. gives critical values per zone.</t>
  </si>
  <si>
    <r>
      <t>c</t>
    </r>
    <r>
      <rPr>
        <vertAlign val="subscript"/>
        <sz val="11"/>
        <color theme="1"/>
        <rFont val="Calibri"/>
        <family val="2"/>
        <scheme val="minor"/>
      </rPr>
      <t>pe</t>
    </r>
    <r>
      <rPr>
        <sz val="11"/>
        <color theme="1"/>
        <rFont val="Calibri"/>
        <family val="2"/>
        <scheme val="minor"/>
      </rPr>
      <t xml:space="preserve"> =</t>
    </r>
  </si>
  <si>
    <r>
      <t xml:space="preserve">RESULTS: </t>
    </r>
    <r>
      <rPr>
        <sz val="11"/>
        <rFont val="Calibri"/>
        <family val="2"/>
        <scheme val="minor"/>
      </rPr>
      <t>NET WIND PRESSURES FOR VERTICAL WALLS</t>
    </r>
  </si>
  <si>
    <t>NET wind pressure for vertical walls, w (kN/m2)</t>
  </si>
  <si>
    <r>
      <t>External wind pressure for vertical walls, w</t>
    </r>
    <r>
      <rPr>
        <vertAlign val="subscript"/>
        <sz val="10"/>
        <color theme="1"/>
        <rFont val="Arial"/>
        <family val="2"/>
      </rPr>
      <t>e</t>
    </r>
    <r>
      <rPr>
        <sz val="10"/>
        <color theme="1"/>
        <rFont val="Arial"/>
        <family val="2"/>
      </rPr>
      <t xml:space="preserve"> (kN/m2)</t>
    </r>
  </si>
  <si>
    <r>
      <t>Ratio, h</t>
    </r>
    <r>
      <rPr>
        <vertAlign val="subscript"/>
        <sz val="10"/>
        <color theme="1"/>
        <rFont val="Arial"/>
        <family val="2"/>
      </rPr>
      <t>lower</t>
    </r>
    <r>
      <rPr>
        <sz val="10"/>
        <color theme="1"/>
        <rFont val="Arial"/>
        <family val="2"/>
        <charset val="238"/>
      </rPr>
      <t>/b</t>
    </r>
  </si>
  <si>
    <t>Dynamic factor</t>
  </si>
  <si>
    <r>
      <t>Dynamic factor, c</t>
    </r>
    <r>
      <rPr>
        <vertAlign val="subscript"/>
        <sz val="10"/>
        <color theme="1"/>
        <rFont val="Arial"/>
        <family val="2"/>
        <charset val="238"/>
      </rPr>
      <t>d</t>
    </r>
  </si>
  <si>
    <r>
      <t>h</t>
    </r>
    <r>
      <rPr>
        <vertAlign val="subscript"/>
        <sz val="10"/>
        <color theme="1"/>
        <rFont val="Arial"/>
        <family val="2"/>
      </rPr>
      <t>lower</t>
    </r>
  </si>
  <si>
    <t xml:space="preserve">  false = consider</t>
  </si>
  <si>
    <t>SITE TOPOGRAPHY</t>
  </si>
  <si>
    <t>OBSTRUCTIONS IN SELECTED DIRECTION</t>
  </si>
  <si>
    <t>All the same as in the wind pressure analysis</t>
  </si>
  <si>
    <t>directions:</t>
  </si>
  <si>
    <r>
      <t>h</t>
    </r>
    <r>
      <rPr>
        <vertAlign val="subscript"/>
        <sz val="10"/>
        <color theme="1"/>
        <rFont val="Arial"/>
        <family val="2"/>
      </rPr>
      <t>lower</t>
    </r>
    <r>
      <rPr>
        <sz val="10"/>
        <color theme="1"/>
        <rFont val="Arial"/>
        <family val="2"/>
      </rPr>
      <t>-h</t>
    </r>
    <r>
      <rPr>
        <vertAlign val="subscript"/>
        <sz val="10"/>
        <color theme="1"/>
        <rFont val="Arial"/>
        <family val="2"/>
      </rPr>
      <t>dis</t>
    </r>
    <r>
      <rPr>
        <sz val="10"/>
        <color theme="1"/>
        <rFont val="Arial"/>
        <family val="2"/>
        <charset val="238"/>
      </rPr>
      <t>=</t>
    </r>
  </si>
  <si>
    <r>
      <t>Lower part effective height 'h</t>
    </r>
    <r>
      <rPr>
        <vertAlign val="subscript"/>
        <sz val="11"/>
        <rFont val="Calibri"/>
        <family val="2"/>
        <scheme val="minor"/>
      </rPr>
      <t xml:space="preserve">lower </t>
    </r>
    <r>
      <rPr>
        <sz val="11"/>
        <rFont val="Calibri"/>
        <family val="2"/>
        <scheme val="minor"/>
      </rPr>
      <t>- h</t>
    </r>
    <r>
      <rPr>
        <vertAlign val="subscript"/>
        <sz val="11"/>
        <rFont val="Calibri"/>
        <family val="2"/>
        <scheme val="minor"/>
      </rPr>
      <t>dis</t>
    </r>
    <r>
      <rPr>
        <sz val="11"/>
        <rFont val="Calibri"/>
        <family val="2"/>
        <scheme val="minor"/>
      </rPr>
      <t xml:space="preserve">' </t>
    </r>
    <r>
      <rPr>
        <i/>
        <sz val="11"/>
        <rFont val="Calibri"/>
        <family val="2"/>
        <scheme val="minor"/>
      </rPr>
      <t>[m]</t>
    </r>
    <r>
      <rPr>
        <sz val="11"/>
        <rFont val="Calibri"/>
        <family val="2"/>
        <scheme val="minor"/>
      </rPr>
      <t xml:space="preserve"> =</t>
    </r>
  </si>
  <si>
    <r>
      <t>Building (structure) rotation from North 'Ø</t>
    </r>
    <r>
      <rPr>
        <sz val="11"/>
        <rFont val="Calibri"/>
        <family val="2"/>
        <scheme val="minor"/>
      </rPr>
      <t xml:space="preserve">' </t>
    </r>
    <r>
      <rPr>
        <i/>
        <sz val="11"/>
        <rFont val="Calibri"/>
        <family val="2"/>
        <scheme val="minor"/>
      </rPr>
      <t>[deg]</t>
    </r>
    <r>
      <rPr>
        <sz val="11"/>
        <rFont val="Calibri"/>
        <family val="2"/>
        <scheme val="minor"/>
      </rPr>
      <t xml:space="preserve"> =</t>
    </r>
  </si>
  <si>
    <r>
      <t>Angle from North 'Ø</t>
    </r>
    <r>
      <rPr>
        <vertAlign val="subscript"/>
        <sz val="11"/>
        <rFont val="Calibri"/>
        <family val="2"/>
        <scheme val="minor"/>
      </rPr>
      <t>n</t>
    </r>
    <r>
      <rPr>
        <sz val="11"/>
        <rFont val="Calibri"/>
        <family val="2"/>
        <scheme val="minor"/>
      </rPr>
      <t xml:space="preserve">' </t>
    </r>
    <r>
      <rPr>
        <i/>
        <sz val="11"/>
        <rFont val="Calibri"/>
        <family val="2"/>
        <scheme val="minor"/>
      </rPr>
      <t>[deg]</t>
    </r>
    <r>
      <rPr>
        <sz val="11"/>
        <rFont val="Calibri"/>
        <family val="2"/>
        <scheme val="minor"/>
      </rPr>
      <t xml:space="preserve"> =</t>
    </r>
  </si>
  <si>
    <t>these are based on obstructions for selected direction in input tab</t>
  </si>
  <si>
    <r>
      <t xml:space="preserve"> w</t>
    </r>
    <r>
      <rPr>
        <vertAlign val="subscript"/>
        <sz val="9"/>
        <color theme="1"/>
        <rFont val="Arial"/>
        <family val="2"/>
      </rPr>
      <t xml:space="preserve">e </t>
    </r>
    <r>
      <rPr>
        <sz val="9"/>
        <color theme="1"/>
        <rFont val="Arial"/>
        <family val="2"/>
      </rPr>
      <t>(kN/m²)</t>
    </r>
  </si>
  <si>
    <t>CALCULATIONS FOR LOWER PART OF BUILDING</t>
  </si>
  <si>
    <t>for diagram only</t>
  </si>
  <si>
    <t>key value for lower part of building</t>
  </si>
  <si>
    <r>
      <t>= (h</t>
    </r>
    <r>
      <rPr>
        <vertAlign val="subscript"/>
        <sz val="10"/>
        <color theme="1"/>
        <rFont val="Arial"/>
        <family val="2"/>
      </rPr>
      <t>lower</t>
    </r>
    <r>
      <rPr>
        <sz val="10"/>
        <color theme="1"/>
        <rFont val="Arial"/>
        <family val="2"/>
      </rPr>
      <t xml:space="preserve"> - h</t>
    </r>
    <r>
      <rPr>
        <vertAlign val="subscript"/>
        <sz val="10"/>
        <color theme="1"/>
        <rFont val="Arial"/>
        <family val="2"/>
      </rPr>
      <t>dis</t>
    </r>
    <r>
      <rPr>
        <sz val="10"/>
        <color theme="1"/>
        <rFont val="Arial"/>
        <family val="2"/>
        <charset val="238"/>
      </rPr>
      <t>)</t>
    </r>
  </si>
  <si>
    <r>
      <t>Topography factor c</t>
    </r>
    <r>
      <rPr>
        <vertAlign val="subscript"/>
        <sz val="10"/>
        <color theme="1"/>
        <rFont val="Arial"/>
        <family val="2"/>
      </rPr>
      <t>o</t>
    </r>
  </si>
  <si>
    <r>
      <t xml:space="preserve">CALCULATIONS: </t>
    </r>
    <r>
      <rPr>
        <sz val="11"/>
        <rFont val="Calibri"/>
        <family val="2"/>
        <scheme val="minor"/>
      </rPr>
      <t>LOWER PART OF BUILDING ONLY</t>
    </r>
  </si>
  <si>
    <t>Basic wind velocity</t>
  </si>
  <si>
    <r>
      <t>v</t>
    </r>
    <r>
      <rPr>
        <vertAlign val="subscript"/>
        <sz val="10"/>
        <color theme="1"/>
        <rFont val="Arial"/>
        <family val="2"/>
      </rPr>
      <t>b</t>
    </r>
  </si>
  <si>
    <r>
      <t>Roof pitch angle 'α</t>
    </r>
    <r>
      <rPr>
        <sz val="11"/>
        <rFont val="Calibri"/>
        <family val="2"/>
        <scheme val="minor"/>
      </rPr>
      <t xml:space="preserve">' </t>
    </r>
    <r>
      <rPr>
        <i/>
        <sz val="11"/>
        <rFont val="Calibri"/>
        <family val="2"/>
        <scheme val="minor"/>
      </rPr>
      <t>[deg]</t>
    </r>
    <r>
      <rPr>
        <sz val="11"/>
        <rFont val="Calibri"/>
        <family val="2"/>
        <scheme val="minor"/>
      </rPr>
      <t xml:space="preserve"> =</t>
    </r>
  </si>
  <si>
    <r>
      <t>Angle of mansard eaves 'α</t>
    </r>
    <r>
      <rPr>
        <sz val="11"/>
        <rFont val="Calibri"/>
        <family val="2"/>
        <scheme val="minor"/>
      </rPr>
      <t xml:space="preserve">' </t>
    </r>
    <r>
      <rPr>
        <i/>
        <sz val="11"/>
        <rFont val="Calibri"/>
        <family val="2"/>
        <scheme val="minor"/>
      </rPr>
      <t>[deg]</t>
    </r>
    <r>
      <rPr>
        <sz val="11"/>
        <rFont val="Calibri"/>
        <family val="2"/>
        <scheme val="minor"/>
      </rPr>
      <t xml:space="preserve"> =</t>
    </r>
  </si>
  <si>
    <r>
      <t>Shelter factor 'Ψ</t>
    </r>
    <r>
      <rPr>
        <vertAlign val="subscript"/>
        <sz val="11"/>
        <color theme="1"/>
        <rFont val="Calibri"/>
        <family val="2"/>
        <scheme val="minor"/>
      </rPr>
      <t>c</t>
    </r>
    <r>
      <rPr>
        <sz val="11"/>
        <color theme="1"/>
        <rFont val="Calibri"/>
        <family val="2"/>
        <scheme val="minor"/>
      </rPr>
      <t xml:space="preserve">' </t>
    </r>
    <r>
      <rPr>
        <sz val="11"/>
        <rFont val="Calibri"/>
        <family val="2"/>
        <scheme val="minor"/>
      </rPr>
      <t>=</t>
    </r>
  </si>
  <si>
    <t>Exposure correction factor</t>
  </si>
  <si>
    <t>Correction factor</t>
  </si>
  <si>
    <r>
      <t>Turbulence factor 'I</t>
    </r>
    <r>
      <rPr>
        <vertAlign val="subscript"/>
        <sz val="11"/>
        <rFont val="Calibri"/>
        <family val="2"/>
        <scheme val="minor"/>
      </rPr>
      <t>v(z)flat</t>
    </r>
    <r>
      <rPr>
        <sz val="11"/>
        <rFont val="Calibri"/>
        <family val="2"/>
        <scheme val="minor"/>
      </rPr>
      <t>' / correction 'k</t>
    </r>
    <r>
      <rPr>
        <vertAlign val="subscript"/>
        <sz val="11"/>
        <rFont val="Calibri"/>
        <family val="2"/>
        <scheme val="minor"/>
      </rPr>
      <t>I,T</t>
    </r>
    <r>
      <rPr>
        <sz val="11"/>
        <rFont val="Calibri"/>
        <family val="2"/>
        <scheme val="minor"/>
      </rPr>
      <t>':</t>
    </r>
  </si>
  <si>
    <r>
      <t>Exposure factor 'c</t>
    </r>
    <r>
      <rPr>
        <vertAlign val="subscript"/>
        <sz val="11"/>
        <rFont val="Calibri"/>
        <family val="2"/>
        <scheme val="minor"/>
      </rPr>
      <t>e(z)</t>
    </r>
    <r>
      <rPr>
        <sz val="11"/>
        <rFont val="Calibri"/>
        <family val="2"/>
        <scheme val="minor"/>
      </rPr>
      <t>' / correction 'c</t>
    </r>
    <r>
      <rPr>
        <vertAlign val="subscript"/>
        <sz val="11"/>
        <rFont val="Calibri"/>
        <family val="2"/>
        <scheme val="minor"/>
      </rPr>
      <t>e,T</t>
    </r>
    <r>
      <rPr>
        <sz val="11"/>
        <rFont val="Calibri"/>
        <family val="2"/>
        <scheme val="minor"/>
      </rPr>
      <t>':</t>
    </r>
  </si>
  <si>
    <r>
      <t>Peak velocity pressure 'q</t>
    </r>
    <r>
      <rPr>
        <vertAlign val="subscript"/>
        <sz val="11"/>
        <rFont val="Calibri"/>
        <family val="2"/>
        <scheme val="minor"/>
      </rPr>
      <t>p</t>
    </r>
    <r>
      <rPr>
        <sz val="11"/>
        <rFont val="Calibri"/>
        <family val="2"/>
        <scheme val="minor"/>
      </rPr>
      <t xml:space="preserve">' </t>
    </r>
    <r>
      <rPr>
        <i/>
        <sz val="11"/>
        <rFont val="Calibri"/>
        <family val="2"/>
        <scheme val="minor"/>
      </rPr>
      <t>[kN/m²]</t>
    </r>
    <r>
      <rPr>
        <sz val="11"/>
        <rFont val="Calibri"/>
        <family val="2"/>
        <scheme val="minor"/>
      </rPr>
      <t xml:space="preserve"> =</t>
    </r>
  </si>
  <si>
    <r>
      <t>Basic velocity pressure 'q</t>
    </r>
    <r>
      <rPr>
        <vertAlign val="subscript"/>
        <sz val="11"/>
        <rFont val="Calibri"/>
        <family val="2"/>
        <scheme val="minor"/>
      </rPr>
      <t>b</t>
    </r>
    <r>
      <rPr>
        <sz val="11"/>
        <rFont val="Calibri"/>
        <family val="2"/>
        <scheme val="minor"/>
      </rPr>
      <t xml:space="preserve">' </t>
    </r>
    <r>
      <rPr>
        <i/>
        <sz val="11"/>
        <rFont val="Calibri"/>
        <family val="2"/>
        <scheme val="minor"/>
      </rPr>
      <t>[kN/m²]</t>
    </r>
    <r>
      <rPr>
        <sz val="11"/>
        <rFont val="Calibri"/>
        <family val="2"/>
        <scheme val="minor"/>
      </rPr>
      <t xml:space="preserve"> =</t>
    </r>
  </si>
  <si>
    <t>peak velocity pressure</t>
  </si>
  <si>
    <t>effective height</t>
  </si>
  <si>
    <t>height</t>
  </si>
  <si>
    <t>depth</t>
  </si>
  <si>
    <t>min distance to shoreline</t>
  </si>
  <si>
    <t>min distance to town boundary</t>
  </si>
  <si>
    <t>internal pressure coefficient case I</t>
  </si>
  <si>
    <t>internal pressure coefficient case II</t>
  </si>
  <si>
    <t>length of return corners</t>
  </si>
  <si>
    <t>openings area</t>
  </si>
  <si>
    <t>shelter factor</t>
  </si>
  <si>
    <t>parapet height</t>
  </si>
  <si>
    <t>radius of curved eaves</t>
  </si>
  <si>
    <t>angle of mansard eaves</t>
  </si>
  <si>
    <t>canopy blockage ratio</t>
  </si>
  <si>
    <t>canopy blockage</t>
  </si>
  <si>
    <t>canopy type</t>
  </si>
  <si>
    <t>G9</t>
  </si>
  <si>
    <t>width/length</t>
  </si>
  <si>
    <t>G10</t>
  </si>
  <si>
    <t>G11</t>
  </si>
  <si>
    <t>M12</t>
  </si>
  <si>
    <t>M13</t>
  </si>
  <si>
    <t>M14</t>
  </si>
  <si>
    <t>M15</t>
  </si>
  <si>
    <t>M16</t>
  </si>
  <si>
    <t>Y9</t>
  </si>
  <si>
    <t>Z10</t>
  </si>
  <si>
    <t>Z11</t>
  </si>
  <si>
    <t>Z14</t>
  </si>
  <si>
    <t>Z15</t>
  </si>
  <si>
    <t>M11</t>
  </si>
  <si>
    <t>M17</t>
  </si>
  <si>
    <t>M18</t>
  </si>
  <si>
    <t>M19</t>
  </si>
  <si>
    <t>Flat roofs</t>
  </si>
  <si>
    <t>Monopitch roofs</t>
  </si>
  <si>
    <t>Duopitch roofs</t>
  </si>
  <si>
    <t>Hipped roofs</t>
  </si>
  <si>
    <t>Monopitch canopies</t>
  </si>
  <si>
    <t>Duopitch canopies</t>
  </si>
  <si>
    <t>G12</t>
  </si>
  <si>
    <t>*structure</t>
  </si>
  <si>
    <t>*structural type</t>
  </si>
  <si>
    <t>*type of surface</t>
  </si>
  <si>
    <t>*site terrain type</t>
  </si>
  <si>
    <t>*return corners</t>
  </si>
  <si>
    <t>*type of roof</t>
  </si>
  <si>
    <t>**wind direction</t>
  </si>
  <si>
    <t>**roof/canopy pitch angle</t>
  </si>
  <si>
    <t>* - dropdown menu</t>
  </si>
  <si>
    <t>** - limited data validation</t>
  </si>
  <si>
    <t>NJ943065</t>
  </si>
  <si>
    <t>SN584817</t>
  </si>
  <si>
    <t>TL050497</t>
  </si>
  <si>
    <t>NW462295</t>
  </si>
  <si>
    <t>SP075875</t>
  </si>
  <si>
    <t>SZ085910</t>
  </si>
  <si>
    <t>TQ313042</t>
  </si>
  <si>
    <t>ST592730</t>
  </si>
  <si>
    <t>ST182765</t>
  </si>
  <si>
    <t>NY402557</t>
  </si>
  <si>
    <t>NO402304</t>
  </si>
  <si>
    <t>NT258739</t>
  </si>
  <si>
    <t>NS591657</t>
  </si>
  <si>
    <t>NH666452</t>
  </si>
  <si>
    <t>TM159444</t>
  </si>
  <si>
    <t>TA097289</t>
  </si>
  <si>
    <t>SE298339</t>
  </si>
  <si>
    <t>SK583046</t>
  </si>
  <si>
    <t>SJ341906</t>
  </si>
  <si>
    <t>TQ301805</t>
  </si>
  <si>
    <t>NV606797</t>
  </si>
  <si>
    <t>SJ836980</t>
  </si>
  <si>
    <t>NZ245649</t>
  </si>
  <si>
    <t>SP750608</t>
  </si>
  <si>
    <t>TG232087</t>
  </si>
  <si>
    <t>SK566400</t>
  </si>
  <si>
    <t>NM859301</t>
  </si>
  <si>
    <t>SP513061</t>
  </si>
  <si>
    <t>NO117234</t>
  </si>
  <si>
    <t>SX477550</t>
  </si>
  <si>
    <t>SD537298</t>
  </si>
  <si>
    <t>SK353872</t>
  </si>
  <si>
    <t>SJ880450</t>
  </si>
  <si>
    <t>SS655931</t>
  </si>
  <si>
    <t>SE599519</t>
  </si>
  <si>
    <t>national grid</t>
  </si>
  <si>
    <r>
      <t xml:space="preserve">  YourSpreadsheets™
</t>
    </r>
    <r>
      <rPr>
        <sz val="10"/>
        <rFont val="Arial"/>
        <family val="2"/>
      </rPr>
      <t xml:space="preserve">   2nd Floor, 52 Marcus Hill, London
   www.YourSpreadsheets.co.uk
   Tel: 020 7542 8734</t>
    </r>
  </si>
  <si>
    <t>VBA changed direction</t>
  </si>
  <si>
    <r>
      <t xml:space="preserve">DIAGRAM: </t>
    </r>
    <r>
      <rPr>
        <sz val="11"/>
        <rFont val="Calibri"/>
        <family val="2"/>
        <scheme val="minor"/>
      </rPr>
      <t>ZONES OF HIPPED ROOF</t>
    </r>
  </si>
  <si>
    <r>
      <t>Average height 'h</t>
    </r>
    <r>
      <rPr>
        <vertAlign val="subscript"/>
        <sz val="11"/>
        <rFont val="Calibri"/>
        <family val="2"/>
        <scheme val="minor"/>
      </rPr>
      <t>ave</t>
    </r>
    <r>
      <rPr>
        <sz val="11"/>
        <rFont val="Calibri"/>
        <family val="2"/>
        <scheme val="minor"/>
      </rPr>
      <t xml:space="preserve">' </t>
    </r>
    <r>
      <rPr>
        <i/>
        <sz val="11"/>
        <rFont val="Calibri"/>
        <family val="2"/>
        <scheme val="minor"/>
      </rPr>
      <t>[m]</t>
    </r>
  </si>
  <si>
    <r>
      <t xml:space="preserve">Upwind spacing 'x' </t>
    </r>
    <r>
      <rPr>
        <i/>
        <sz val="11"/>
        <rFont val="Calibri"/>
        <family val="2"/>
        <scheme val="minor"/>
      </rPr>
      <t>[m]</t>
    </r>
  </si>
  <si>
    <t>min=</t>
  </si>
  <si>
    <t>check if error</t>
  </si>
  <si>
    <r>
      <t>Peak velocity pressure 'q</t>
    </r>
    <r>
      <rPr>
        <b/>
        <vertAlign val="subscript"/>
        <sz val="11"/>
        <rFont val="Calibri"/>
        <family val="2"/>
        <scheme val="minor"/>
      </rPr>
      <t>p</t>
    </r>
    <r>
      <rPr>
        <b/>
        <sz val="11"/>
        <rFont val="Calibri"/>
        <family val="2"/>
        <scheme val="minor"/>
      </rPr>
      <t xml:space="preserve">' </t>
    </r>
    <r>
      <rPr>
        <b/>
        <i/>
        <sz val="11"/>
        <rFont val="Calibri"/>
        <family val="2"/>
        <scheme val="minor"/>
      </rPr>
      <t>[kN/m²]</t>
    </r>
    <r>
      <rPr>
        <b/>
        <sz val="11"/>
        <rFont val="Calibri"/>
        <family val="2"/>
        <scheme val="minor"/>
      </rPr>
      <t xml:space="preserve"> =</t>
    </r>
  </si>
  <si>
    <t>note: this is based on wind pressure sheet.
to ignore obstructions deselect these in the 'wind pressure' sheet.</t>
  </si>
  <si>
    <t>ignore topography</t>
  </si>
  <si>
    <t>Unknown orientation</t>
  </si>
  <si>
    <t>Ignore obstructions</t>
  </si>
  <si>
    <t>SELECTED WIND DIRECTION</t>
  </si>
  <si>
    <r>
      <t>Direction factor 'c</t>
    </r>
    <r>
      <rPr>
        <vertAlign val="subscript"/>
        <sz val="11"/>
        <rFont val="Calibri"/>
        <family val="2"/>
        <scheme val="minor"/>
      </rPr>
      <t>dir</t>
    </r>
    <r>
      <rPr>
        <sz val="11"/>
        <rFont val="Calibri"/>
        <family val="2"/>
        <scheme val="minor"/>
      </rPr>
      <t>'</t>
    </r>
  </si>
  <si>
    <r>
      <t>Roughness factor 'c</t>
    </r>
    <r>
      <rPr>
        <vertAlign val="subscript"/>
        <sz val="11"/>
        <rFont val="Calibri"/>
        <family val="2"/>
        <scheme val="minor"/>
      </rPr>
      <t>r(z)</t>
    </r>
    <r>
      <rPr>
        <sz val="11"/>
        <rFont val="Calibri"/>
        <family val="2"/>
        <scheme val="minor"/>
      </rPr>
      <t>' / Correction factor 'c</t>
    </r>
    <r>
      <rPr>
        <vertAlign val="subscript"/>
        <sz val="11"/>
        <rFont val="Calibri"/>
        <family val="2"/>
        <scheme val="minor"/>
      </rPr>
      <t>r,T</t>
    </r>
    <r>
      <rPr>
        <sz val="11"/>
        <rFont val="Calibri"/>
        <family val="2"/>
        <scheme val="minor"/>
      </rPr>
      <t>':</t>
    </r>
  </si>
  <si>
    <r>
      <t>Topography factor  'c</t>
    </r>
    <r>
      <rPr>
        <vertAlign val="subscript"/>
        <sz val="11"/>
        <rFont val="Calibri"/>
        <family val="2"/>
        <scheme val="minor"/>
      </rPr>
      <t>o</t>
    </r>
    <r>
      <rPr>
        <sz val="11"/>
        <rFont val="Calibri"/>
        <family val="2"/>
        <scheme val="minor"/>
      </rPr>
      <t>' =</t>
    </r>
  </si>
  <si>
    <t>terrain type</t>
  </si>
  <si>
    <t>this column is for forecast function to work correctly</t>
  </si>
  <si>
    <t>no formulae in first cell</t>
  </si>
  <si>
    <t>M20</t>
  </si>
  <si>
    <r>
      <t xml:space="preserve">CALCULATIONS: </t>
    </r>
    <r>
      <rPr>
        <sz val="11"/>
        <rFont val="Calibri"/>
        <family val="2"/>
        <scheme val="minor"/>
      </rPr>
      <t>DAMPING AND FRICTION</t>
    </r>
  </si>
  <si>
    <r>
      <t>Reference area for friction 'A</t>
    </r>
    <r>
      <rPr>
        <vertAlign val="subscript"/>
        <sz val="11"/>
        <color theme="1"/>
        <rFont val="Calibri"/>
        <family val="2"/>
        <scheme val="minor"/>
      </rPr>
      <t>fr</t>
    </r>
    <r>
      <rPr>
        <sz val="11"/>
        <color theme="1"/>
        <rFont val="Calibri"/>
        <family val="2"/>
        <scheme val="minor"/>
      </rPr>
      <t xml:space="preserve">' </t>
    </r>
    <r>
      <rPr>
        <i/>
        <sz val="11"/>
        <color theme="1"/>
        <rFont val="Calibri"/>
        <family val="2"/>
        <scheme val="minor"/>
      </rPr>
      <t>[m</t>
    </r>
    <r>
      <rPr>
        <i/>
        <vertAlign val="superscript"/>
        <sz val="11"/>
        <color theme="1"/>
        <rFont val="Calibri"/>
        <family val="2"/>
        <scheme val="minor"/>
      </rPr>
      <t>2</t>
    </r>
    <r>
      <rPr>
        <i/>
        <sz val="11"/>
        <color theme="1"/>
        <rFont val="Calibri"/>
        <family val="2"/>
        <scheme val="minor"/>
      </rPr>
      <t>]</t>
    </r>
    <r>
      <rPr>
        <sz val="11"/>
        <color theme="1"/>
        <rFont val="Calibri"/>
        <family val="2"/>
        <scheme val="minor"/>
      </rPr>
      <t xml:space="preserve"> =</t>
    </r>
  </si>
  <si>
    <t>this is only to infil the gap as the initial table was more detailed but innacurate values</t>
  </si>
  <si>
    <t>structural damping</t>
  </si>
  <si>
    <t>h</t>
  </si>
  <si>
    <t>(based on 0.025 but say is acceptable)</t>
  </si>
  <si>
    <t>cd</t>
  </si>
  <si>
    <t>cd for lower part of wall (vertical walls only)</t>
  </si>
  <si>
    <t>h lower</t>
  </si>
  <si>
    <t>Ratio, hlower/b</t>
  </si>
  <si>
    <t>for h lower</t>
  </si>
  <si>
    <t>FULL HEIGHT</t>
  </si>
  <si>
    <t>CALCULATIONS FOR LOWER PART OF VERTICAL WALLS</t>
  </si>
  <si>
    <t>hlower=b=</t>
  </si>
  <si>
    <t>b+hlower=</t>
  </si>
  <si>
    <t>b=hlower =</t>
  </si>
  <si>
    <t>FOR LOWER PART</t>
  </si>
  <si>
    <t>full height</t>
  </si>
  <si>
    <t>lower part only</t>
  </si>
  <si>
    <t>basic wind velocity vb</t>
  </si>
  <si>
    <t>must be 1</t>
  </si>
  <si>
    <t>Dlower</t>
  </si>
  <si>
    <t>lower part wall</t>
  </si>
  <si>
    <t>Theoretical 'lower part of building' zone:</t>
  </si>
  <si>
    <t>h+b =</t>
  </si>
  <si>
    <t>TEST PROJECT</t>
  </si>
  <si>
    <t>WIND ANALYSIS</t>
  </si>
  <si>
    <r>
      <t xml:space="preserve">This spreadsheet is based on Eurocode 1991-1-4: 2005.
Changelog:
26.04.2014 </t>
    </r>
    <r>
      <rPr>
        <sz val="10"/>
        <color theme="1"/>
        <rFont val="Arial"/>
        <family val="2"/>
      </rPr>
      <t>- official release of the spreadsheets version 1.0.</t>
    </r>
  </si>
  <si>
    <r>
      <t xml:space="preserve">Version: </t>
    </r>
    <r>
      <rPr>
        <b/>
        <sz val="10"/>
        <rFont val="Arial CE"/>
      </rPr>
      <t>1.0. - FREE LITE VERSION</t>
    </r>
  </si>
  <si>
    <r>
      <t xml:space="preserve">General information:
</t>
    </r>
    <r>
      <rPr>
        <sz val="10"/>
        <rFont val="Arial CE"/>
      </rPr>
      <t>Note: This spreadsheet contains macros. These must be enabled to use this spreadsheet.</t>
    </r>
  </si>
  <si>
    <t>The Author takes no liability for use of this spreadsheet and gives no guarantee that it is error free. 
In no event shall the Author be responsible for any special, incidental or consequential damages whatsoever arising from the use of this spreadsheet, even if the Author has been advised of the possibility of such damage.
This spreadsheet is a freeware and can be distributed freely but only in its original form.
Reverse-engineering, decompiling or disassembling of this spreadsheet is not allowable.
A full list of terms and conditions can be found here:</t>
  </si>
  <si>
    <r>
      <t xml:space="preserve">This is a </t>
    </r>
    <r>
      <rPr>
        <b/>
        <sz val="10"/>
        <rFont val="Arial CE"/>
      </rPr>
      <t>Free Lite</t>
    </r>
    <r>
      <rPr>
        <sz val="10"/>
        <rFont val="Arial CE"/>
      </rPr>
      <t xml:space="preserve"> Version. The full version of the spreadsheet allows to:
- Input your company information and change logo;
- Change building height in the wind pressure tab;
- Change building height and wind pressure in other tabs;
- Save and print.</t>
    </r>
  </si>
  <si>
    <t>Expanded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</si>
</sst>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0"/>
    <numFmt numFmtId="167" formatCode="dd/mm/yyyy;@"/>
    <numFmt numFmtId="168" formatCode="[$-415]d/mmm/yyyy;@"/>
  </numFmts>
  <fonts count="92">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charset val="238"/>
    </font>
    <font>
      <sz val="9"/>
      <color theme="1"/>
      <name val="Arial"/>
      <family val="2"/>
      <charset val="238"/>
    </font>
    <font>
      <vertAlign val="subscript"/>
      <sz val="9"/>
      <color theme="1"/>
      <name val="Arial"/>
      <family val="2"/>
      <charset val="238"/>
    </font>
    <font>
      <vertAlign val="subscript"/>
      <sz val="10"/>
      <color theme="1"/>
      <name val="Arial"/>
      <family val="2"/>
      <charset val="238"/>
    </font>
    <font>
      <b/>
      <sz val="10"/>
      <color theme="1"/>
      <name val="Arial"/>
      <family val="2"/>
      <charset val="238"/>
    </font>
    <font>
      <b/>
      <vertAlign val="subscript"/>
      <sz val="10"/>
      <color theme="1"/>
      <name val="Arial"/>
      <family val="2"/>
      <charset val="238"/>
    </font>
    <font>
      <b/>
      <sz val="10"/>
      <name val="Arial"/>
      <family val="2"/>
      <charset val="238"/>
    </font>
    <font>
      <sz val="10"/>
      <name val="Arial"/>
      <family val="2"/>
      <charset val="238"/>
    </font>
    <font>
      <b/>
      <vertAlign val="subscript"/>
      <sz val="10"/>
      <name val="Arial"/>
      <family val="2"/>
      <charset val="238"/>
    </font>
    <font>
      <b/>
      <sz val="9"/>
      <name val="Arial"/>
      <family val="2"/>
      <charset val="238"/>
    </font>
    <font>
      <sz val="10"/>
      <color theme="1"/>
      <name val="Symbol"/>
      <family val="1"/>
      <charset val="2"/>
    </font>
    <font>
      <vertAlign val="subscript"/>
      <sz val="10"/>
      <name val="Arial"/>
      <family val="2"/>
      <charset val="238"/>
    </font>
    <font>
      <sz val="12"/>
      <color theme="1"/>
      <name val="Arial"/>
      <family val="2"/>
      <charset val="238"/>
    </font>
    <font>
      <sz val="10"/>
      <name val="Arial"/>
      <family val="2"/>
    </font>
    <font>
      <sz val="10"/>
      <name val="Symbol"/>
      <family val="1"/>
      <charset val="2"/>
    </font>
    <font>
      <sz val="10"/>
      <color theme="1"/>
      <name val="Calibri"/>
      <family val="2"/>
      <charset val="238"/>
    </font>
    <font>
      <sz val="10"/>
      <color theme="3" tint="0.59999389629810485"/>
      <name val="Arial"/>
      <family val="2"/>
      <charset val="238"/>
    </font>
    <font>
      <b/>
      <sz val="10"/>
      <color theme="1"/>
      <name val="Calibri Light"/>
      <family val="2"/>
      <charset val="238"/>
    </font>
    <font>
      <sz val="10"/>
      <color rgb="FF00B0F0"/>
      <name val="Arial"/>
      <family val="2"/>
      <charset val="238"/>
    </font>
    <font>
      <sz val="10"/>
      <color rgb="FFFF0000"/>
      <name val="Arial"/>
      <family val="2"/>
      <charset val="238"/>
    </font>
    <font>
      <b/>
      <sz val="9"/>
      <color theme="1"/>
      <name val="Arial"/>
      <family val="2"/>
      <charset val="238"/>
    </font>
    <font>
      <b/>
      <sz val="10"/>
      <color rgb="FFFF0000"/>
      <name val="Arial"/>
      <family val="2"/>
      <charset val="238"/>
    </font>
    <font>
      <b/>
      <sz val="11"/>
      <color rgb="FFFF0000"/>
      <name val="Calibri"/>
      <family val="2"/>
      <charset val="238"/>
      <scheme val="minor"/>
    </font>
    <font>
      <b/>
      <vertAlign val="subscript"/>
      <sz val="10"/>
      <color rgb="FFFF0000"/>
      <name val="Arial"/>
      <family val="2"/>
      <charset val="238"/>
    </font>
    <font>
      <sz val="11"/>
      <color rgb="FF00B0F0"/>
      <name val="Calibri"/>
      <family val="2"/>
      <charset val="238"/>
      <scheme val="minor"/>
    </font>
    <font>
      <sz val="11"/>
      <name val="Calibri"/>
      <family val="2"/>
      <charset val="238"/>
      <scheme val="minor"/>
    </font>
    <font>
      <sz val="11"/>
      <color theme="1"/>
      <name val="Calibri"/>
      <family val="2"/>
      <charset val="238"/>
    </font>
    <font>
      <sz val="9"/>
      <name val="Arial"/>
      <family val="2"/>
      <charset val="238"/>
    </font>
    <font>
      <sz val="9"/>
      <name val="Calibri"/>
      <family val="2"/>
      <charset val="238"/>
    </font>
    <font>
      <b/>
      <sz val="12"/>
      <name val="Arial"/>
      <family val="2"/>
      <charset val="238"/>
    </font>
    <font>
      <sz val="7.5"/>
      <color theme="1"/>
      <name val="Arial"/>
      <family val="2"/>
      <charset val="238"/>
    </font>
    <font>
      <b/>
      <sz val="11"/>
      <color theme="1"/>
      <name val="Calibri"/>
      <family val="2"/>
      <scheme val="minor"/>
    </font>
    <font>
      <sz val="10"/>
      <name val="Arial CE"/>
      <charset val="238"/>
    </font>
    <font>
      <b/>
      <sz val="10"/>
      <name val="Arial CE"/>
      <charset val="238"/>
    </font>
    <font>
      <b/>
      <sz val="10"/>
      <name val="Arial CE"/>
    </font>
    <font>
      <b/>
      <sz val="13"/>
      <name val="Arial"/>
      <family val="2"/>
      <charset val="238"/>
    </font>
    <font>
      <b/>
      <sz val="13"/>
      <name val="Calibri"/>
      <family val="2"/>
      <scheme val="minor"/>
    </font>
    <font>
      <sz val="11"/>
      <name val="Calibri"/>
      <family val="2"/>
      <scheme val="minor"/>
    </font>
    <font>
      <b/>
      <sz val="11"/>
      <name val="Calibri"/>
      <family val="2"/>
      <scheme val="minor"/>
    </font>
    <font>
      <sz val="11"/>
      <name val="Arial CE"/>
      <charset val="238"/>
    </font>
    <font>
      <u/>
      <sz val="10"/>
      <color indexed="12"/>
      <name val="Arial CE"/>
      <charset val="238"/>
    </font>
    <font>
      <u/>
      <sz val="11"/>
      <color indexed="12"/>
      <name val="Calibri"/>
      <family val="2"/>
      <scheme val="minor"/>
    </font>
    <font>
      <b/>
      <sz val="11"/>
      <color rgb="FF0000CC"/>
      <name val="Calibri"/>
      <family val="2"/>
      <scheme val="minor"/>
    </font>
    <font>
      <sz val="10"/>
      <name val="Arial CE"/>
    </font>
    <font>
      <i/>
      <sz val="11"/>
      <color theme="1"/>
      <name val="Calibri"/>
      <family val="2"/>
      <scheme val="minor"/>
    </font>
    <font>
      <vertAlign val="subscript"/>
      <sz val="11"/>
      <color theme="1"/>
      <name val="Calibri"/>
      <family val="2"/>
      <scheme val="minor"/>
    </font>
    <font>
      <i/>
      <sz val="11"/>
      <name val="Calibri"/>
      <family val="2"/>
      <scheme val="minor"/>
    </font>
    <font>
      <vertAlign val="subscript"/>
      <sz val="11"/>
      <name val="Calibri"/>
      <family val="2"/>
      <scheme val="minor"/>
    </font>
    <font>
      <b/>
      <sz val="10"/>
      <color theme="1"/>
      <name val="Arial"/>
      <family val="2"/>
    </font>
    <font>
      <b/>
      <u/>
      <sz val="11"/>
      <name val="Calibri"/>
      <family val="2"/>
      <scheme val="minor"/>
    </font>
    <font>
      <b/>
      <sz val="11"/>
      <color theme="1"/>
      <name val="Calibri"/>
      <family val="2"/>
      <charset val="238"/>
      <scheme val="minor"/>
    </font>
    <font>
      <b/>
      <sz val="11"/>
      <name val="Calibri"/>
      <family val="2"/>
      <charset val="238"/>
      <scheme val="minor"/>
    </font>
    <font>
      <i/>
      <vertAlign val="superscript"/>
      <sz val="11"/>
      <color theme="1"/>
      <name val="Calibri"/>
      <family val="2"/>
      <scheme val="minor"/>
    </font>
    <font>
      <i/>
      <vertAlign val="superscript"/>
      <sz val="11"/>
      <name val="Calibri"/>
      <family val="2"/>
      <scheme val="minor"/>
    </font>
    <font>
      <sz val="10"/>
      <color theme="1"/>
      <name val="Arial"/>
      <family val="2"/>
    </font>
    <font>
      <sz val="10"/>
      <color rgb="FFFF0000"/>
      <name val="Arial"/>
      <family val="2"/>
    </font>
    <font>
      <sz val="8"/>
      <name val="Calibri"/>
      <family val="2"/>
      <scheme val="minor"/>
    </font>
    <font>
      <sz val="9"/>
      <name val="Calibri"/>
      <family val="2"/>
      <scheme val="minor"/>
    </font>
    <font>
      <b/>
      <sz val="9"/>
      <name val="Calibri"/>
      <family val="2"/>
      <scheme val="minor"/>
    </font>
    <font>
      <i/>
      <sz val="9"/>
      <name val="Calibri"/>
      <family val="2"/>
      <scheme val="minor"/>
    </font>
    <font>
      <b/>
      <i/>
      <sz val="9"/>
      <name val="Calibri"/>
      <family val="2"/>
      <scheme val="minor"/>
    </font>
    <font>
      <sz val="10"/>
      <color rgb="FF969696"/>
      <name val="Calibri"/>
      <family val="2"/>
      <scheme val="minor"/>
    </font>
    <font>
      <vertAlign val="subscript"/>
      <sz val="10"/>
      <color theme="1"/>
      <name val="Arial"/>
      <family val="2"/>
    </font>
    <font>
      <vertAlign val="superscript"/>
      <sz val="8"/>
      <name val="Calibri"/>
      <family val="2"/>
      <scheme val="minor"/>
    </font>
    <font>
      <vertAlign val="subscript"/>
      <sz val="8"/>
      <name val="Calibri"/>
      <family val="2"/>
      <scheme val="minor"/>
    </font>
    <font>
      <b/>
      <i/>
      <sz val="11"/>
      <name val="Calibri"/>
      <family val="2"/>
      <scheme val="minor"/>
    </font>
    <font>
      <b/>
      <i/>
      <sz val="11"/>
      <color theme="1"/>
      <name val="Calibri"/>
      <family val="2"/>
      <scheme val="minor"/>
    </font>
    <font>
      <sz val="9"/>
      <color theme="1"/>
      <name val="Arial"/>
      <family val="2"/>
    </font>
    <font>
      <sz val="10"/>
      <color theme="1"/>
      <name val="Calibri"/>
      <family val="2"/>
      <scheme val="minor"/>
    </font>
    <font>
      <sz val="11"/>
      <color rgb="FF969696"/>
      <name val="Calibri"/>
      <family val="2"/>
      <scheme val="minor"/>
    </font>
    <font>
      <vertAlign val="subscript"/>
      <sz val="9"/>
      <color theme="1"/>
      <name val="Arial"/>
      <family val="2"/>
    </font>
    <font>
      <sz val="10"/>
      <color indexed="8"/>
      <name val="Arial"/>
      <family val="2"/>
      <charset val="238"/>
    </font>
    <font>
      <sz val="8"/>
      <color theme="1"/>
      <name val="Calibri"/>
      <family val="2"/>
      <scheme val="minor"/>
    </font>
    <font>
      <b/>
      <vertAlign val="subscript"/>
      <sz val="11"/>
      <name val="Calibri"/>
      <family val="2"/>
      <scheme val="minor"/>
    </font>
    <font>
      <b/>
      <sz val="11"/>
      <color rgb="FFFF0000"/>
      <name val="Calibri"/>
      <family val="2"/>
      <scheme val="minor"/>
    </font>
    <font>
      <sz val="11"/>
      <color rgb="FFFF0000"/>
      <name val="Calibri"/>
      <family val="2"/>
      <charset val="238"/>
      <scheme val="minor"/>
    </font>
    <font>
      <b/>
      <sz val="10"/>
      <color rgb="FFFF0000"/>
      <name val="Arial"/>
      <family val="2"/>
    </font>
    <font>
      <b/>
      <sz val="10"/>
      <name val="Arial"/>
      <family val="2"/>
    </font>
    <font>
      <i/>
      <sz val="9"/>
      <color theme="0" tint="-0.34998626667073579"/>
      <name val="Calibri"/>
      <family val="2"/>
      <scheme val="minor"/>
    </font>
  </fonts>
  <fills count="15">
    <fill>
      <patternFill patternType="none"/>
    </fill>
    <fill>
      <patternFill patternType="gray125"/>
    </fill>
    <fill>
      <patternFill patternType="solid">
        <fgColor theme="0" tint="-0.249977111117893"/>
        <bgColor indexed="64"/>
      </patternFill>
    </fill>
    <fill>
      <patternFill patternType="solid">
        <fgColor indexed="22"/>
        <bgColor indexed="64"/>
      </patternFill>
    </fill>
    <fill>
      <patternFill patternType="solid">
        <fgColor rgb="FFC0C0C0"/>
        <bgColor indexed="64"/>
      </patternFill>
    </fill>
    <fill>
      <patternFill patternType="solid">
        <fgColor rgb="FFFFFFCC"/>
        <bgColor indexed="64"/>
      </patternFill>
    </fill>
    <fill>
      <patternFill patternType="solid">
        <fgColor rgb="FFFFFF99"/>
        <bgColor indexed="64"/>
      </patternFill>
    </fill>
    <fill>
      <patternFill patternType="solid">
        <fgColor rgb="FFEAEAEA"/>
        <bgColor indexed="64"/>
      </patternFill>
    </fill>
    <fill>
      <patternFill patternType="solid">
        <fgColor rgb="FFDDDDDD"/>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theme="0"/>
        <bgColor indexed="64"/>
      </patternFill>
    </fill>
    <fill>
      <patternFill patternType="lightUp">
        <fgColor rgb="FF969696"/>
        <bgColor rgb="FFFFFFCC"/>
      </patternFill>
    </fill>
    <fill>
      <patternFill patternType="solid">
        <fgColor theme="0" tint="-4.9989318521683403E-2"/>
        <bgColor indexed="64"/>
      </patternFill>
    </fill>
    <fill>
      <patternFill patternType="solid">
        <fgColor rgb="FFCCFF33"/>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ck">
        <color indexed="64"/>
      </bottom>
      <diagonal/>
    </border>
    <border>
      <left/>
      <right style="medium">
        <color indexed="64"/>
      </right>
      <top style="thin">
        <color indexed="64"/>
      </top>
      <bottom style="thin">
        <color indexed="64"/>
      </bottom>
      <diagonal/>
    </border>
    <border>
      <left style="thin">
        <color auto="1"/>
      </left>
      <right/>
      <top/>
      <bottom style="medium">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top/>
      <bottom style="thin">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tted">
        <color indexed="64"/>
      </bottom>
      <diagonal/>
    </border>
    <border>
      <left style="dotted">
        <color indexed="64"/>
      </left>
      <right/>
      <top style="thin">
        <color indexed="64"/>
      </top>
      <bottom style="dotted">
        <color indexed="64"/>
      </bottom>
      <diagonal/>
    </border>
    <border>
      <left style="dotted">
        <color indexed="64"/>
      </left>
      <right/>
      <top style="dotted">
        <color indexed="64"/>
      </top>
      <bottom/>
      <diagonal/>
    </border>
    <border>
      <left style="dotted">
        <color indexed="64"/>
      </left>
      <right/>
      <top/>
      <bottom style="dotted">
        <color indexed="64"/>
      </bottom>
      <diagonal/>
    </border>
    <border>
      <left style="medium">
        <color indexed="64"/>
      </left>
      <right/>
      <top/>
      <bottom style="thick">
        <color indexed="64"/>
      </bottom>
      <diagonal/>
    </border>
    <border>
      <left/>
      <right style="medium">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thick">
        <color indexed="64"/>
      </bottom>
      <diagonal/>
    </border>
    <border>
      <left/>
      <right style="thick">
        <color indexed="64"/>
      </right>
      <top/>
      <bottom style="medium">
        <color indexed="64"/>
      </bottom>
      <diagonal/>
    </border>
    <border>
      <left style="dotted">
        <color indexed="64"/>
      </left>
      <right/>
      <top/>
      <bottom/>
      <diagonal/>
    </border>
    <border>
      <left style="dotted">
        <color indexed="64"/>
      </left>
      <right/>
      <top style="thin">
        <color indexed="64"/>
      </top>
      <bottom/>
      <diagonal/>
    </border>
    <border>
      <left/>
      <right style="dotted">
        <color indexed="64"/>
      </right>
      <top style="thin">
        <color indexed="64"/>
      </top>
      <bottom style="dotted">
        <color indexed="64"/>
      </bottom>
      <diagonal/>
    </border>
    <border>
      <left/>
      <right style="dotted">
        <color indexed="64"/>
      </right>
      <top style="dotted">
        <color indexed="64"/>
      </top>
      <bottom/>
      <diagonal/>
    </border>
    <border>
      <left/>
      <right style="dotted">
        <color indexed="64"/>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s>
  <cellStyleXfs count="4">
    <xf numFmtId="0" fontId="0" fillId="0" borderId="0"/>
    <xf numFmtId="0" fontId="53" fillId="0" borderId="0" applyNumberFormat="0" applyFill="0" applyBorder="0" applyAlignment="0" applyProtection="0">
      <alignment vertical="top"/>
      <protection locked="0"/>
    </xf>
    <xf numFmtId="0" fontId="12" fillId="0" borderId="0"/>
    <xf numFmtId="0" fontId="45" fillId="0" borderId="0"/>
  </cellStyleXfs>
  <cellXfs count="1069">
    <xf numFmtId="0" fontId="0" fillId="0" borderId="0" xfId="0"/>
    <xf numFmtId="0" fontId="13" fillId="0" borderId="1" xfId="0" applyFont="1" applyFill="1" applyBorder="1" applyAlignment="1" applyProtection="1">
      <alignment horizontal="left" vertical="center" indent="1"/>
      <protection hidden="1"/>
    </xf>
    <xf numFmtId="0" fontId="13" fillId="0" borderId="1" xfId="0" applyFont="1" applyFill="1" applyBorder="1" applyAlignment="1" applyProtection="1">
      <alignment horizontal="center" vertical="center"/>
      <protection hidden="1"/>
    </xf>
    <xf numFmtId="2" fontId="20" fillId="2" borderId="1" xfId="0" applyNumberFormat="1" applyFont="1" applyFill="1" applyBorder="1" applyAlignment="1" applyProtection="1">
      <alignment horizontal="center"/>
      <protection hidden="1"/>
    </xf>
    <xf numFmtId="0" fontId="20" fillId="2" borderId="10" xfId="0" applyFont="1" applyFill="1" applyBorder="1" applyAlignment="1" applyProtection="1">
      <alignment horizontal="center"/>
      <protection hidden="1"/>
    </xf>
    <xf numFmtId="0" fontId="13" fillId="2" borderId="10" xfId="0" applyFont="1" applyFill="1" applyBorder="1" applyAlignment="1" applyProtection="1">
      <alignment horizontal="center"/>
      <protection hidden="1"/>
    </xf>
    <xf numFmtId="2" fontId="20" fillId="2" borderId="1" xfId="0" applyNumberFormat="1" applyFont="1" applyFill="1" applyBorder="1" applyAlignment="1" applyProtection="1">
      <alignment horizontal="center" vertical="center"/>
      <protection hidden="1"/>
    </xf>
    <xf numFmtId="0" fontId="0" fillId="2" borderId="0" xfId="0" applyFill="1" applyProtection="1">
      <protection hidden="1"/>
    </xf>
    <xf numFmtId="0" fontId="0" fillId="2" borderId="0" xfId="0" applyFill="1" applyBorder="1" applyProtection="1">
      <protection hidden="1"/>
    </xf>
    <xf numFmtId="0" fontId="45" fillId="3" borderId="0" xfId="0" applyFont="1" applyFill="1" applyProtection="1">
      <protection hidden="1"/>
    </xf>
    <xf numFmtId="0" fontId="45" fillId="4" borderId="0" xfId="0" applyFont="1" applyFill="1" applyBorder="1" applyAlignment="1" applyProtection="1">
      <alignment horizontal="right"/>
      <protection hidden="1"/>
    </xf>
    <xf numFmtId="0" fontId="0" fillId="4" borderId="0" xfId="0" applyFont="1" applyFill="1" applyAlignment="1" applyProtection="1">
      <alignment horizontal="right"/>
      <protection hidden="1"/>
    </xf>
    <xf numFmtId="0" fontId="0" fillId="4" borderId="0" xfId="0" applyFont="1" applyFill="1" applyProtection="1">
      <protection hidden="1"/>
    </xf>
    <xf numFmtId="0" fontId="0" fillId="4" borderId="0" xfId="0" applyFill="1" applyProtection="1">
      <protection hidden="1"/>
    </xf>
    <xf numFmtId="2" fontId="46" fillId="4" borderId="0" xfId="0" applyNumberFormat="1" applyFont="1" applyFill="1" applyBorder="1" applyAlignment="1" applyProtection="1">
      <alignment horizontal="center" vertical="center"/>
      <protection hidden="1"/>
    </xf>
    <xf numFmtId="0" fontId="0" fillId="4" borderId="0" xfId="0" applyFill="1" applyAlignment="1" applyProtection="1">
      <alignment horizontal="right" wrapText="1"/>
      <protection hidden="1"/>
    </xf>
    <xf numFmtId="0" fontId="44" fillId="4" borderId="0" xfId="0" applyFont="1" applyFill="1" applyProtection="1">
      <protection hidden="1"/>
    </xf>
    <xf numFmtId="0" fontId="52" fillId="0" borderId="32" xfId="0" applyFont="1" applyFill="1" applyBorder="1" applyAlignment="1" applyProtection="1">
      <alignment vertical="center"/>
      <protection hidden="1"/>
    </xf>
    <xf numFmtId="168" fontId="46" fillId="4" borderId="0" xfId="0" applyNumberFormat="1" applyFont="1" applyFill="1" applyBorder="1" applyAlignment="1" applyProtection="1">
      <alignment horizontal="center" vertical="center"/>
      <protection hidden="1"/>
    </xf>
    <xf numFmtId="0" fontId="54" fillId="0" borderId="0" xfId="1" applyFont="1" applyFill="1" applyBorder="1" applyAlignment="1" applyProtection="1">
      <protection hidden="1"/>
    </xf>
    <xf numFmtId="0" fontId="50" fillId="0" borderId="0" xfId="0" applyFont="1" applyFill="1" applyBorder="1" applyProtection="1">
      <protection hidden="1"/>
    </xf>
    <xf numFmtId="2" fontId="50" fillId="0" borderId="0" xfId="0" applyNumberFormat="1" applyFont="1" applyFill="1" applyBorder="1" applyProtection="1">
      <protection hidden="1"/>
    </xf>
    <xf numFmtId="2" fontId="45" fillId="4" borderId="0" xfId="0" applyNumberFormat="1" applyFont="1" applyFill="1" applyBorder="1" applyProtection="1">
      <protection hidden="1"/>
    </xf>
    <xf numFmtId="0" fontId="50" fillId="0" borderId="0" xfId="0" applyFont="1" applyFill="1" applyBorder="1" applyAlignment="1" applyProtection="1">
      <alignment vertical="center"/>
      <protection hidden="1"/>
    </xf>
    <xf numFmtId="0" fontId="0" fillId="4" borderId="0" xfId="0" applyFill="1" applyAlignment="1" applyProtection="1">
      <alignment horizontal="right"/>
      <protection hidden="1"/>
    </xf>
    <xf numFmtId="0" fontId="50" fillId="5" borderId="32" xfId="0" applyFont="1" applyFill="1" applyBorder="1" applyAlignment="1" applyProtection="1">
      <alignment vertical="center"/>
      <protection hidden="1"/>
    </xf>
    <xf numFmtId="0" fontId="50" fillId="5" borderId="0" xfId="0" applyFont="1" applyFill="1" applyBorder="1" applyAlignment="1" applyProtection="1">
      <alignment vertical="center"/>
      <protection hidden="1"/>
    </xf>
    <xf numFmtId="2" fontId="45" fillId="4" borderId="0" xfId="0" applyNumberFormat="1" applyFont="1" applyFill="1" applyBorder="1" applyAlignment="1" applyProtection="1">
      <protection hidden="1"/>
    </xf>
    <xf numFmtId="0" fontId="0" fillId="4" borderId="0" xfId="0" applyFont="1" applyFill="1" applyAlignment="1" applyProtection="1">
      <protection hidden="1"/>
    </xf>
    <xf numFmtId="0" fontId="50" fillId="5" borderId="8" xfId="0" applyFont="1" applyFill="1" applyBorder="1" applyAlignment="1" applyProtection="1">
      <alignment vertical="center"/>
      <protection hidden="1"/>
    </xf>
    <xf numFmtId="0" fontId="50" fillId="5" borderId="30" xfId="0" applyFont="1" applyFill="1" applyBorder="1" applyAlignment="1" applyProtection="1">
      <alignment vertical="center"/>
      <protection hidden="1"/>
    </xf>
    <xf numFmtId="0" fontId="45" fillId="3" borderId="0" xfId="0" applyFont="1" applyFill="1" applyBorder="1" applyProtection="1">
      <protection hidden="1"/>
    </xf>
    <xf numFmtId="2" fontId="45" fillId="3" borderId="0" xfId="0" applyNumberFormat="1" applyFont="1" applyFill="1" applyProtection="1">
      <protection hidden="1"/>
    </xf>
    <xf numFmtId="2" fontId="45" fillId="4" borderId="0" xfId="0" applyNumberFormat="1" applyFont="1" applyFill="1" applyAlignment="1" applyProtection="1">
      <protection hidden="1"/>
    </xf>
    <xf numFmtId="2" fontId="45" fillId="4" borderId="0" xfId="0" applyNumberFormat="1" applyFont="1" applyFill="1" applyProtection="1">
      <protection hidden="1"/>
    </xf>
    <xf numFmtId="0" fontId="50" fillId="5" borderId="6" xfId="0" applyFont="1" applyFill="1" applyBorder="1" applyAlignment="1" applyProtection="1">
      <alignment vertical="center"/>
      <protection hidden="1"/>
    </xf>
    <xf numFmtId="0" fontId="50" fillId="5" borderId="31" xfId="0" applyFont="1" applyFill="1" applyBorder="1" applyAlignment="1" applyProtection="1">
      <alignment vertical="center"/>
      <protection hidden="1"/>
    </xf>
    <xf numFmtId="0" fontId="50" fillId="5" borderId="7" xfId="0" applyFont="1" applyFill="1" applyBorder="1" applyAlignment="1" applyProtection="1">
      <alignment vertical="center"/>
      <protection hidden="1"/>
    </xf>
    <xf numFmtId="0" fontId="50" fillId="5" borderId="33" xfId="0" applyFont="1" applyFill="1" applyBorder="1" applyAlignment="1" applyProtection="1">
      <alignment vertical="center"/>
      <protection hidden="1"/>
    </xf>
    <xf numFmtId="0" fontId="50" fillId="5" borderId="9" xfId="0" applyFont="1" applyFill="1" applyBorder="1" applyAlignment="1" applyProtection="1">
      <alignment vertical="center"/>
      <protection hidden="1"/>
    </xf>
    <xf numFmtId="0" fontId="38" fillId="4" borderId="0" xfId="0" applyFont="1" applyFill="1" applyProtection="1">
      <protection hidden="1"/>
    </xf>
    <xf numFmtId="0" fontId="0" fillId="4" borderId="0" xfId="0" applyFill="1" applyAlignment="1" applyProtection="1">
      <alignment horizontal="left"/>
      <protection hidden="1"/>
    </xf>
    <xf numFmtId="0" fontId="38" fillId="4" borderId="0" xfId="0" applyFont="1" applyFill="1" applyAlignment="1" applyProtection="1">
      <alignment horizontal="left"/>
      <protection hidden="1"/>
    </xf>
    <xf numFmtId="0" fontId="13" fillId="2" borderId="0" xfId="0" applyFont="1" applyFill="1" applyAlignment="1" applyProtection="1">
      <alignment vertical="center"/>
      <protection hidden="1"/>
    </xf>
    <xf numFmtId="0" fontId="34" fillId="2" borderId="0" xfId="0" applyFont="1" applyFill="1" applyAlignment="1" applyProtection="1">
      <alignment vertical="center"/>
      <protection hidden="1"/>
    </xf>
    <xf numFmtId="0" fontId="13" fillId="2" borderId="0" xfId="0" applyFont="1" applyFill="1" applyAlignment="1" applyProtection="1">
      <alignment horizontal="center" vertical="center"/>
      <protection hidden="1"/>
    </xf>
    <xf numFmtId="165" fontId="35" fillId="2" borderId="0" xfId="0" applyNumberFormat="1" applyFont="1" applyFill="1" applyProtection="1">
      <protection hidden="1"/>
    </xf>
    <xf numFmtId="0" fontId="14" fillId="2" borderId="0" xfId="0" applyFont="1" applyFill="1" applyBorder="1" applyAlignment="1" applyProtection="1">
      <protection hidden="1"/>
    </xf>
    <xf numFmtId="0" fontId="14" fillId="2" borderId="1" xfId="0" applyFont="1" applyFill="1" applyBorder="1" applyAlignment="1" applyProtection="1">
      <alignment horizontal="center" vertical="center"/>
      <protection hidden="1"/>
    </xf>
    <xf numFmtId="165" fontId="0" fillId="2" borderId="0" xfId="0" applyNumberFormat="1" applyFill="1" applyProtection="1">
      <protection hidden="1"/>
    </xf>
    <xf numFmtId="166" fontId="13" fillId="2" borderId="0" xfId="0" applyNumberFormat="1" applyFont="1" applyFill="1" applyAlignment="1" applyProtection="1">
      <alignment vertical="center"/>
      <protection hidden="1"/>
    </xf>
    <xf numFmtId="0" fontId="14" fillId="2" borderId="0" xfId="0" applyFont="1" applyFill="1" applyBorder="1" applyAlignment="1" applyProtection="1">
      <alignment vertical="center" wrapText="1"/>
      <protection hidden="1"/>
    </xf>
    <xf numFmtId="0" fontId="14" fillId="2" borderId="3" xfId="0" applyFont="1" applyFill="1" applyBorder="1" applyAlignment="1" applyProtection="1">
      <alignment horizontal="center" vertical="center" wrapText="1"/>
      <protection hidden="1"/>
    </xf>
    <xf numFmtId="0" fontId="13" fillId="2" borderId="18" xfId="0" applyFont="1" applyFill="1" applyBorder="1" applyAlignment="1" applyProtection="1">
      <alignment horizontal="center" vertical="center"/>
      <protection hidden="1"/>
    </xf>
    <xf numFmtId="0" fontId="13" fillId="2" borderId="19" xfId="0" applyFont="1" applyFill="1" applyBorder="1" applyAlignment="1" applyProtection="1">
      <alignment horizontal="center" vertical="center"/>
      <protection hidden="1"/>
    </xf>
    <xf numFmtId="2" fontId="13" fillId="2" borderId="20" xfId="0" applyNumberFormat="1" applyFont="1" applyFill="1" applyBorder="1" applyAlignment="1" applyProtection="1">
      <alignment horizontal="center" vertical="center"/>
      <protection hidden="1"/>
    </xf>
    <xf numFmtId="2" fontId="13" fillId="2" borderId="21" xfId="0" applyNumberFormat="1" applyFont="1" applyFill="1" applyBorder="1" applyAlignment="1" applyProtection="1">
      <alignment horizontal="center" vertical="center"/>
      <protection hidden="1"/>
    </xf>
    <xf numFmtId="0" fontId="13" fillId="2" borderId="22" xfId="0" applyFont="1" applyFill="1" applyBorder="1" applyAlignment="1" applyProtection="1">
      <alignment vertical="center"/>
      <protection hidden="1"/>
    </xf>
    <xf numFmtId="0" fontId="13" fillId="2" borderId="25" xfId="0" applyFont="1" applyFill="1" applyBorder="1" applyAlignment="1" applyProtection="1">
      <alignment vertical="center"/>
      <protection hidden="1"/>
    </xf>
    <xf numFmtId="2" fontId="13" fillId="2" borderId="11" xfId="0" applyNumberFormat="1" applyFont="1" applyFill="1" applyBorder="1" applyAlignment="1" applyProtection="1">
      <alignment horizontal="center"/>
      <protection hidden="1"/>
    </xf>
    <xf numFmtId="2" fontId="13" fillId="2" borderId="12" xfId="0" applyNumberFormat="1" applyFont="1" applyFill="1" applyBorder="1" applyAlignment="1" applyProtection="1">
      <alignment horizontal="center"/>
      <protection hidden="1"/>
    </xf>
    <xf numFmtId="0" fontId="13" fillId="2" borderId="13" xfId="0" applyFont="1" applyFill="1" applyBorder="1" applyAlignment="1" applyProtection="1">
      <alignment vertical="center"/>
      <protection hidden="1"/>
    </xf>
    <xf numFmtId="2" fontId="13" fillId="2" borderId="14" xfId="0" applyNumberFormat="1" applyFont="1" applyFill="1" applyBorder="1" applyAlignment="1" applyProtection="1">
      <alignment horizontal="center" vertical="center"/>
      <protection hidden="1"/>
    </xf>
    <xf numFmtId="2" fontId="13" fillId="2" borderId="15" xfId="0" applyNumberFormat="1" applyFont="1" applyFill="1" applyBorder="1" applyAlignment="1" applyProtection="1">
      <alignment horizontal="center" vertical="center"/>
      <protection hidden="1"/>
    </xf>
    <xf numFmtId="0" fontId="13" fillId="2" borderId="16" xfId="0" applyFont="1" applyFill="1" applyBorder="1" applyAlignment="1" applyProtection="1">
      <alignment vertical="center"/>
      <protection hidden="1"/>
    </xf>
    <xf numFmtId="0" fontId="13" fillId="2" borderId="18" xfId="0" applyFont="1" applyFill="1" applyBorder="1" applyAlignment="1" applyProtection="1">
      <alignment vertical="center"/>
      <protection hidden="1"/>
    </xf>
    <xf numFmtId="0" fontId="13" fillId="2" borderId="26" xfId="0" applyFont="1" applyFill="1" applyBorder="1" applyAlignment="1" applyProtection="1">
      <alignment vertical="center"/>
      <protection hidden="1"/>
    </xf>
    <xf numFmtId="0" fontId="13" fillId="2" borderId="4" xfId="0" applyFont="1" applyFill="1" applyBorder="1" applyAlignment="1" applyProtection="1">
      <alignment vertical="center"/>
      <protection hidden="1"/>
    </xf>
    <xf numFmtId="0" fontId="13" fillId="2" borderId="19" xfId="0" applyFont="1" applyFill="1" applyBorder="1" applyAlignment="1" applyProtection="1">
      <alignment vertical="center"/>
      <protection hidden="1"/>
    </xf>
    <xf numFmtId="0" fontId="13" fillId="2" borderId="27" xfId="0" applyFont="1" applyFill="1" applyBorder="1" applyAlignment="1" applyProtection="1">
      <alignment vertical="center"/>
      <protection hidden="1"/>
    </xf>
    <xf numFmtId="0" fontId="13" fillId="2" borderId="0" xfId="0" applyFont="1" applyFill="1" applyBorder="1" applyAlignment="1" applyProtection="1">
      <alignment vertical="center"/>
      <protection hidden="1"/>
    </xf>
    <xf numFmtId="0" fontId="13" fillId="2" borderId="27" xfId="0" applyFont="1" applyFill="1" applyBorder="1" applyAlignment="1" applyProtection="1">
      <alignment horizontal="center" vertical="center"/>
      <protection hidden="1"/>
    </xf>
    <xf numFmtId="2" fontId="13" fillId="2" borderId="0" xfId="0" applyNumberFormat="1" applyFont="1" applyFill="1" applyBorder="1" applyAlignment="1" applyProtection="1">
      <alignment horizontal="center" vertical="center"/>
      <protection hidden="1"/>
    </xf>
    <xf numFmtId="2" fontId="13" fillId="2" borderId="28" xfId="0" applyNumberFormat="1" applyFont="1" applyFill="1" applyBorder="1" applyAlignment="1" applyProtection="1">
      <alignment horizontal="center" vertical="center"/>
      <protection hidden="1"/>
    </xf>
    <xf numFmtId="0" fontId="13" fillId="2" borderId="20" xfId="0" applyFont="1" applyFill="1" applyBorder="1" applyAlignment="1" applyProtection="1">
      <alignment vertical="center"/>
      <protection hidden="1"/>
    </xf>
    <xf numFmtId="0" fontId="13" fillId="2" borderId="29" xfId="0" applyFont="1" applyFill="1" applyBorder="1" applyAlignment="1" applyProtection="1">
      <alignment vertical="center"/>
      <protection hidden="1"/>
    </xf>
    <xf numFmtId="0" fontId="13" fillId="2" borderId="29" xfId="0" applyFont="1" applyFill="1" applyBorder="1" applyAlignment="1" applyProtection="1">
      <alignment horizontal="center" vertical="center"/>
      <protection hidden="1"/>
    </xf>
    <xf numFmtId="2" fontId="13" fillId="2" borderId="29" xfId="0" applyNumberFormat="1" applyFont="1" applyFill="1" applyBorder="1" applyAlignment="1" applyProtection="1">
      <alignment horizontal="center" vertical="center"/>
      <protection hidden="1"/>
    </xf>
    <xf numFmtId="0" fontId="17" fillId="2" borderId="26" xfId="0" applyFont="1" applyFill="1" applyBorder="1" applyAlignment="1" applyProtection="1">
      <protection hidden="1"/>
    </xf>
    <xf numFmtId="0" fontId="17" fillId="2" borderId="0" xfId="0" applyFont="1" applyFill="1" applyBorder="1" applyAlignment="1" applyProtection="1">
      <alignment vertical="center"/>
      <protection hidden="1"/>
    </xf>
    <xf numFmtId="0" fontId="13" fillId="2" borderId="28" xfId="0" applyFont="1" applyFill="1" applyBorder="1" applyAlignment="1" applyProtection="1">
      <alignment vertical="center"/>
      <protection hidden="1"/>
    </xf>
    <xf numFmtId="0" fontId="26" fillId="2" borderId="27" xfId="0" applyFont="1" applyFill="1" applyBorder="1" applyAlignment="1" applyProtection="1">
      <alignment horizontal="center"/>
      <protection hidden="1"/>
    </xf>
    <xf numFmtId="0" fontId="13" fillId="2" borderId="0" xfId="0" applyFont="1" applyFill="1" applyBorder="1" applyAlignment="1" applyProtection="1">
      <alignment horizontal="center"/>
      <protection hidden="1"/>
    </xf>
    <xf numFmtId="0" fontId="17" fillId="2" borderId="0" xfId="0" applyFont="1" applyFill="1" applyBorder="1" applyProtection="1">
      <protection hidden="1"/>
    </xf>
    <xf numFmtId="0" fontId="13" fillId="2" borderId="0" xfId="0" applyFont="1" applyFill="1" applyBorder="1" applyProtection="1">
      <protection hidden="1"/>
    </xf>
    <xf numFmtId="0" fontId="20" fillId="2" borderId="0" xfId="0" applyFont="1" applyFill="1" applyBorder="1" applyAlignment="1" applyProtection="1">
      <alignment horizontal="center"/>
      <protection hidden="1"/>
    </xf>
    <xf numFmtId="0" fontId="13" fillId="2" borderId="10" xfId="0" applyFont="1" applyFill="1" applyBorder="1" applyAlignment="1" applyProtection="1">
      <alignment horizontal="center" vertical="center"/>
      <protection hidden="1"/>
    </xf>
    <xf numFmtId="165" fontId="13" fillId="2" borderId="4" xfId="0" applyNumberFormat="1" applyFont="1" applyFill="1" applyBorder="1" applyAlignment="1" applyProtection="1">
      <alignment horizontal="center" vertical="center"/>
      <protection hidden="1"/>
    </xf>
    <xf numFmtId="2" fontId="13" fillId="2" borderId="0" xfId="0" applyNumberFormat="1" applyFont="1" applyFill="1" applyBorder="1" applyProtection="1">
      <protection hidden="1"/>
    </xf>
    <xf numFmtId="165" fontId="13" fillId="2" borderId="1" xfId="0" applyNumberFormat="1" applyFont="1" applyFill="1" applyBorder="1" applyAlignment="1" applyProtection="1">
      <alignment horizontal="center" vertical="center"/>
      <protection hidden="1"/>
    </xf>
    <xf numFmtId="165" fontId="13" fillId="2" borderId="0" xfId="0" applyNumberFormat="1" applyFont="1" applyFill="1" applyBorder="1" applyAlignment="1" applyProtection="1">
      <alignment horizontal="center" vertical="center"/>
      <protection hidden="1"/>
    </xf>
    <xf numFmtId="0" fontId="17" fillId="2" borderId="1" xfId="0" applyFont="1" applyFill="1" applyBorder="1" applyAlignment="1" applyProtection="1">
      <alignment horizontal="center" vertical="center"/>
      <protection hidden="1"/>
    </xf>
    <xf numFmtId="165" fontId="17" fillId="2" borderId="1" xfId="0" applyNumberFormat="1" applyFont="1" applyFill="1" applyBorder="1" applyAlignment="1" applyProtection="1">
      <alignment horizontal="center" vertical="center"/>
      <protection hidden="1"/>
    </xf>
    <xf numFmtId="165" fontId="17" fillId="2" borderId="0" xfId="0" applyNumberFormat="1" applyFont="1" applyFill="1" applyBorder="1" applyAlignment="1" applyProtection="1">
      <alignment vertical="center"/>
      <protection hidden="1"/>
    </xf>
    <xf numFmtId="0" fontId="17" fillId="2" borderId="29" xfId="0" applyFont="1" applyFill="1" applyBorder="1" applyAlignment="1" applyProtection="1">
      <alignment vertical="center"/>
      <protection hidden="1"/>
    </xf>
    <xf numFmtId="2" fontId="13" fillId="2" borderId="4" xfId="0" applyNumberFormat="1" applyFont="1" applyFill="1" applyBorder="1" applyAlignment="1" applyProtection="1">
      <alignment vertical="center"/>
      <protection hidden="1"/>
    </xf>
    <xf numFmtId="0" fontId="13" fillId="2" borderId="21" xfId="0" applyFont="1" applyFill="1" applyBorder="1" applyAlignment="1" applyProtection="1">
      <alignment vertical="center"/>
      <protection hidden="1"/>
    </xf>
    <xf numFmtId="0" fontId="13" fillId="2" borderId="0" xfId="0" applyFont="1" applyFill="1" applyAlignment="1" applyProtection="1">
      <alignment horizontal="left"/>
      <protection hidden="1"/>
    </xf>
    <xf numFmtId="2" fontId="13" fillId="2" borderId="0" xfId="0" applyNumberFormat="1" applyFont="1" applyFill="1" applyAlignment="1" applyProtection="1">
      <alignment horizontal="center" vertical="center"/>
      <protection hidden="1"/>
    </xf>
    <xf numFmtId="0" fontId="13" fillId="2" borderId="26" xfId="0"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protection hidden="1"/>
    </xf>
    <xf numFmtId="0" fontId="17" fillId="2" borderId="26" xfId="0" applyFont="1" applyFill="1" applyBorder="1" applyAlignment="1" applyProtection="1">
      <alignment vertical="center"/>
      <protection hidden="1"/>
    </xf>
    <xf numFmtId="0" fontId="34" fillId="2" borderId="26" xfId="0" applyFont="1" applyFill="1" applyBorder="1" applyAlignment="1" applyProtection="1">
      <alignment vertical="center"/>
      <protection hidden="1"/>
    </xf>
    <xf numFmtId="1" fontId="17" fillId="2" borderId="0" xfId="0" applyNumberFormat="1" applyFont="1" applyFill="1" applyAlignment="1" applyProtection="1">
      <alignment horizontal="center" vertical="center"/>
      <protection hidden="1"/>
    </xf>
    <xf numFmtId="0" fontId="35" fillId="2" borderId="0" xfId="0" applyFont="1" applyFill="1" applyBorder="1" applyProtection="1">
      <protection hidden="1"/>
    </xf>
    <xf numFmtId="0" fontId="35" fillId="2" borderId="28" xfId="0" applyFont="1" applyFill="1" applyBorder="1" applyProtection="1">
      <protection hidden="1"/>
    </xf>
    <xf numFmtId="0" fontId="0" fillId="2" borderId="28" xfId="0" applyFill="1" applyBorder="1" applyProtection="1">
      <protection hidden="1"/>
    </xf>
    <xf numFmtId="0" fontId="35" fillId="2" borderId="29" xfId="0" applyFont="1" applyFill="1" applyBorder="1" applyProtection="1">
      <protection hidden="1"/>
    </xf>
    <xf numFmtId="0" fontId="0" fillId="2" borderId="29" xfId="0" applyFill="1" applyBorder="1" applyProtection="1">
      <protection hidden="1"/>
    </xf>
    <xf numFmtId="0" fontId="0" fillId="2" borderId="21" xfId="0" applyFill="1" applyBorder="1" applyProtection="1">
      <protection hidden="1"/>
    </xf>
    <xf numFmtId="0" fontId="34" fillId="2" borderId="25" xfId="0" applyFont="1" applyFill="1" applyBorder="1" applyAlignment="1" applyProtection="1">
      <alignment vertical="center"/>
      <protection hidden="1"/>
    </xf>
    <xf numFmtId="0" fontId="13" fillId="2" borderId="23" xfId="0" applyFont="1" applyFill="1" applyBorder="1" applyAlignment="1" applyProtection="1">
      <alignment vertical="center"/>
      <protection hidden="1"/>
    </xf>
    <xf numFmtId="0" fontId="35" fillId="2" borderId="0" xfId="0" applyFont="1" applyFill="1" applyProtection="1">
      <protection hidden="1"/>
    </xf>
    <xf numFmtId="0" fontId="19" fillId="2" borderId="0" xfId="0" applyFont="1" applyFill="1" applyAlignment="1" applyProtection="1">
      <alignment vertical="center"/>
      <protection hidden="1"/>
    </xf>
    <xf numFmtId="0" fontId="13" fillId="2" borderId="0" xfId="0" applyFont="1" applyFill="1" applyAlignment="1" applyProtection="1">
      <alignment horizontal="left" vertical="center"/>
      <protection hidden="1"/>
    </xf>
    <xf numFmtId="0" fontId="44" fillId="4" borderId="0" xfId="0" applyFont="1" applyFill="1" applyAlignment="1" applyProtection="1">
      <alignment horizontal="left"/>
      <protection hidden="1"/>
    </xf>
    <xf numFmtId="0" fontId="63" fillId="4" borderId="0" xfId="0" applyFont="1" applyFill="1" applyAlignment="1" applyProtection="1">
      <alignment horizontal="left"/>
      <protection hidden="1"/>
    </xf>
    <xf numFmtId="0" fontId="64" fillId="4" borderId="0" xfId="0" applyFont="1" applyFill="1" applyAlignment="1" applyProtection="1">
      <alignment horizontal="left"/>
      <protection hidden="1"/>
    </xf>
    <xf numFmtId="0" fontId="17" fillId="2" borderId="0" xfId="0" applyFont="1" applyFill="1" applyAlignment="1" applyProtection="1">
      <alignment horizontal="left"/>
      <protection hidden="1"/>
    </xf>
    <xf numFmtId="0" fontId="50" fillId="0" borderId="32" xfId="0" applyFont="1" applyFill="1" applyBorder="1" applyProtection="1">
      <protection hidden="1"/>
    </xf>
    <xf numFmtId="2" fontId="50" fillId="0" borderId="28" xfId="0" applyNumberFormat="1" applyFont="1" applyFill="1" applyBorder="1" applyProtection="1">
      <protection hidden="1"/>
    </xf>
    <xf numFmtId="2" fontId="50" fillId="0" borderId="28" xfId="0" applyNumberFormat="1" applyFont="1" applyFill="1" applyBorder="1" applyAlignment="1" applyProtection="1">
      <alignment horizontal="left"/>
      <protection hidden="1"/>
    </xf>
    <xf numFmtId="0" fontId="50" fillId="0" borderId="45" xfId="0" applyFont="1" applyFill="1" applyBorder="1" applyProtection="1">
      <protection hidden="1"/>
    </xf>
    <xf numFmtId="0" fontId="59" fillId="0" borderId="29" xfId="0" applyFont="1" applyFill="1" applyBorder="1" applyAlignment="1" applyProtection="1">
      <protection hidden="1"/>
    </xf>
    <xf numFmtId="0" fontId="50" fillId="0" borderId="29" xfId="0" applyFont="1" applyFill="1" applyBorder="1" applyProtection="1">
      <protection hidden="1"/>
    </xf>
    <xf numFmtId="2" fontId="50" fillId="0" borderId="29" xfId="0" applyNumberFormat="1" applyFont="1" applyFill="1" applyBorder="1" applyProtection="1">
      <protection hidden="1"/>
    </xf>
    <xf numFmtId="2" fontId="50" fillId="0" borderId="21" xfId="0" applyNumberFormat="1" applyFont="1" applyFill="1" applyBorder="1" applyProtection="1">
      <protection hidden="1"/>
    </xf>
    <xf numFmtId="0" fontId="44" fillId="8" borderId="1" xfId="0" applyFont="1" applyFill="1" applyBorder="1" applyAlignment="1" applyProtection="1">
      <alignment horizontal="center" vertical="center"/>
      <protection hidden="1"/>
    </xf>
    <xf numFmtId="165" fontId="10" fillId="7" borderId="36" xfId="0" applyNumberFormat="1" applyFont="1" applyFill="1" applyBorder="1" applyAlignment="1" applyProtection="1">
      <alignment horizontal="center" vertical="center" shrinkToFit="1"/>
      <protection hidden="1"/>
    </xf>
    <xf numFmtId="165" fontId="10" fillId="7" borderId="36" xfId="0" applyNumberFormat="1" applyFont="1" applyFill="1" applyBorder="1" applyAlignment="1" applyProtection="1">
      <alignment horizontal="center" vertical="center"/>
      <protection hidden="1"/>
    </xf>
    <xf numFmtId="164" fontId="10" fillId="7" borderId="36" xfId="0" applyNumberFormat="1" applyFont="1" applyFill="1" applyBorder="1" applyAlignment="1" applyProtection="1">
      <alignment horizontal="center" vertical="center" shrinkToFit="1"/>
      <protection hidden="1"/>
    </xf>
    <xf numFmtId="2" fontId="10" fillId="7" borderId="36" xfId="0" applyNumberFormat="1" applyFont="1" applyFill="1" applyBorder="1" applyAlignment="1" applyProtection="1">
      <alignment horizontal="center" vertical="center"/>
      <protection hidden="1"/>
    </xf>
    <xf numFmtId="165" fontId="10" fillId="7" borderId="3" xfId="0" applyNumberFormat="1" applyFont="1" applyFill="1" applyBorder="1" applyAlignment="1" applyProtection="1">
      <alignment horizontal="center" vertical="center" shrinkToFit="1"/>
      <protection hidden="1"/>
    </xf>
    <xf numFmtId="0" fontId="45" fillId="4" borderId="0" xfId="0" applyFont="1" applyFill="1" applyProtection="1">
      <protection hidden="1"/>
    </xf>
    <xf numFmtId="0" fontId="74" fillId="5" borderId="5" xfId="0" applyFont="1" applyFill="1" applyBorder="1" applyAlignment="1" applyProtection="1">
      <alignment horizontal="left" vertical="center"/>
      <protection hidden="1"/>
    </xf>
    <xf numFmtId="0" fontId="74" fillId="5" borderId="5" xfId="0" applyFont="1" applyFill="1" applyBorder="1" applyAlignment="1" applyProtection="1">
      <alignment vertical="center"/>
      <protection hidden="1"/>
    </xf>
    <xf numFmtId="0" fontId="13" fillId="10" borderId="0" xfId="0" applyFont="1" applyFill="1" applyAlignment="1" applyProtection="1">
      <alignment vertical="center"/>
      <protection hidden="1"/>
    </xf>
    <xf numFmtId="0" fontId="13" fillId="2" borderId="4" xfId="0" applyFont="1" applyFill="1" applyBorder="1" applyAlignment="1" applyProtection="1">
      <alignment horizontal="center" vertical="center"/>
      <protection hidden="1"/>
    </xf>
    <xf numFmtId="0" fontId="67" fillId="2" borderId="1" xfId="0" applyFont="1" applyFill="1" applyBorder="1" applyAlignment="1" applyProtection="1">
      <alignment horizontal="center" vertical="center"/>
      <protection hidden="1"/>
    </xf>
    <xf numFmtId="0" fontId="13" fillId="2" borderId="20" xfId="0" applyFont="1" applyFill="1" applyBorder="1" applyAlignment="1" applyProtection="1">
      <alignment horizontal="center" vertical="center"/>
      <protection hidden="1"/>
    </xf>
    <xf numFmtId="0" fontId="25" fillId="2" borderId="0" xfId="0" applyFont="1" applyFill="1" applyAlignment="1" applyProtection="1">
      <alignment vertical="center"/>
      <protection hidden="1"/>
    </xf>
    <xf numFmtId="0" fontId="13" fillId="2" borderId="37" xfId="0" applyFont="1" applyFill="1" applyBorder="1" applyAlignment="1" applyProtection="1">
      <alignment horizontal="center" vertical="center"/>
      <protection hidden="1"/>
    </xf>
    <xf numFmtId="0" fontId="13" fillId="2" borderId="38" xfId="0" applyFont="1" applyFill="1" applyBorder="1" applyAlignment="1" applyProtection="1">
      <alignment horizontal="center" vertical="center"/>
      <protection hidden="1"/>
    </xf>
    <xf numFmtId="0" fontId="13" fillId="2" borderId="39" xfId="0" applyFont="1" applyFill="1" applyBorder="1" applyAlignment="1" applyProtection="1">
      <alignment horizontal="center" vertical="center"/>
      <protection hidden="1"/>
    </xf>
    <xf numFmtId="0" fontId="29" fillId="2" borderId="1" xfId="0" applyFont="1" applyFill="1" applyBorder="1" applyAlignment="1" applyProtection="1">
      <alignment horizontal="center" vertical="center"/>
      <protection hidden="1"/>
    </xf>
    <xf numFmtId="2" fontId="13" fillId="2" borderId="1" xfId="0" applyNumberFormat="1" applyFont="1" applyFill="1" applyBorder="1" applyAlignment="1" applyProtection="1">
      <alignment horizontal="center" vertical="center"/>
      <protection hidden="1"/>
    </xf>
    <xf numFmtId="2" fontId="13" fillId="2" borderId="10" xfId="0" applyNumberFormat="1" applyFont="1" applyFill="1" applyBorder="1" applyAlignment="1" applyProtection="1">
      <alignment horizontal="center" vertical="center"/>
      <protection hidden="1"/>
    </xf>
    <xf numFmtId="2" fontId="13" fillId="2" borderId="11" xfId="0" applyNumberFormat="1" applyFont="1" applyFill="1" applyBorder="1" applyAlignment="1" applyProtection="1">
      <alignment horizontal="center" vertical="center"/>
      <protection hidden="1"/>
    </xf>
    <xf numFmtId="2" fontId="13" fillId="2" borderId="12" xfId="0" applyNumberFormat="1" applyFont="1" applyFill="1" applyBorder="1" applyAlignment="1" applyProtection="1">
      <alignment horizontal="center" vertical="center"/>
      <protection hidden="1"/>
    </xf>
    <xf numFmtId="2" fontId="13" fillId="2" borderId="13" xfId="0" applyNumberFormat="1" applyFont="1" applyFill="1" applyBorder="1" applyAlignment="1" applyProtection="1">
      <alignment horizontal="center" vertical="center"/>
      <protection hidden="1"/>
    </xf>
    <xf numFmtId="2" fontId="13" fillId="2" borderId="34" xfId="0" applyNumberFormat="1" applyFont="1" applyFill="1" applyBorder="1" applyAlignment="1" applyProtection="1">
      <alignment horizontal="center" vertical="center"/>
      <protection hidden="1"/>
    </xf>
    <xf numFmtId="2" fontId="13" fillId="2" borderId="35" xfId="0" applyNumberFormat="1" applyFont="1" applyFill="1" applyBorder="1" applyAlignment="1" applyProtection="1">
      <alignment horizontal="center" vertical="center"/>
      <protection hidden="1"/>
    </xf>
    <xf numFmtId="2" fontId="13" fillId="2" borderId="16" xfId="0" applyNumberFormat="1" applyFont="1" applyFill="1" applyBorder="1" applyAlignment="1" applyProtection="1">
      <alignment horizontal="center" vertical="center"/>
      <protection hidden="1"/>
    </xf>
    <xf numFmtId="2" fontId="70" fillId="0" borderId="29" xfId="0" applyNumberFormat="1" applyFont="1" applyFill="1" applyBorder="1" applyAlignment="1" applyProtection="1">
      <alignment horizontal="right"/>
      <protection hidden="1"/>
    </xf>
    <xf numFmtId="2" fontId="13" fillId="2" borderId="0" xfId="0" applyNumberFormat="1" applyFont="1" applyFill="1" applyAlignment="1" applyProtection="1">
      <alignment vertical="center"/>
      <protection hidden="1"/>
    </xf>
    <xf numFmtId="0" fontId="0" fillId="10" borderId="0" xfId="0" applyFill="1" applyProtection="1">
      <protection hidden="1"/>
    </xf>
    <xf numFmtId="0" fontId="50" fillId="11" borderId="0" xfId="0" applyFont="1" applyFill="1" applyBorder="1" applyAlignment="1" applyProtection="1">
      <protection hidden="1"/>
    </xf>
    <xf numFmtId="0" fontId="50" fillId="11" borderId="28" xfId="0" applyFont="1" applyFill="1" applyBorder="1" applyAlignment="1" applyProtection="1">
      <protection hidden="1"/>
    </xf>
    <xf numFmtId="0" fontId="50" fillId="0" borderId="0" xfId="0" applyFont="1" applyFill="1" applyBorder="1" applyAlignment="1" applyProtection="1">
      <alignment vertical="top"/>
      <protection hidden="1"/>
    </xf>
    <xf numFmtId="0" fontId="50" fillId="0" borderId="28" xfId="0" applyFont="1" applyFill="1" applyBorder="1" applyAlignment="1" applyProtection="1">
      <alignment vertical="top"/>
      <protection hidden="1"/>
    </xf>
    <xf numFmtId="0" fontId="50" fillId="5" borderId="6" xfId="0" applyNumberFormat="1" applyFont="1" applyFill="1" applyBorder="1" applyAlignment="1" applyProtection="1">
      <alignment vertical="center"/>
      <protection hidden="1"/>
    </xf>
    <xf numFmtId="0" fontId="50" fillId="5" borderId="31" xfId="0" applyNumberFormat="1" applyFont="1" applyFill="1" applyBorder="1" applyAlignment="1" applyProtection="1">
      <alignment vertical="center"/>
      <protection hidden="1"/>
    </xf>
    <xf numFmtId="0" fontId="50" fillId="5" borderId="7" xfId="0" applyNumberFormat="1" applyFont="1" applyFill="1" applyBorder="1" applyAlignment="1" applyProtection="1">
      <alignment vertical="center"/>
      <protection hidden="1"/>
    </xf>
    <xf numFmtId="0" fontId="50" fillId="5" borderId="32" xfId="0" applyNumberFormat="1" applyFont="1" applyFill="1" applyBorder="1" applyAlignment="1" applyProtection="1">
      <alignment vertical="center"/>
      <protection hidden="1"/>
    </xf>
    <xf numFmtId="0" fontId="50" fillId="5" borderId="0" xfId="0" applyNumberFormat="1" applyFont="1" applyFill="1" applyBorder="1" applyAlignment="1" applyProtection="1">
      <alignment vertical="center"/>
      <protection hidden="1"/>
    </xf>
    <xf numFmtId="0" fontId="50" fillId="5" borderId="33" xfId="0" applyNumberFormat="1" applyFont="1" applyFill="1" applyBorder="1" applyAlignment="1" applyProtection="1">
      <alignment vertical="center"/>
      <protection hidden="1"/>
    </xf>
    <xf numFmtId="0" fontId="50" fillId="5" borderId="8" xfId="0" applyNumberFormat="1" applyFont="1" applyFill="1" applyBorder="1" applyAlignment="1" applyProtection="1">
      <alignment vertical="center"/>
      <protection hidden="1"/>
    </xf>
    <xf numFmtId="0" fontId="50" fillId="5" borderId="30" xfId="0" applyNumberFormat="1" applyFont="1" applyFill="1" applyBorder="1" applyAlignment="1" applyProtection="1">
      <alignment vertical="center"/>
      <protection hidden="1"/>
    </xf>
    <xf numFmtId="0" fontId="50" fillId="0" borderId="18" xfId="0" applyNumberFormat="1" applyFont="1" applyFill="1" applyBorder="1" applyAlignment="1" applyProtection="1">
      <alignment vertical="center"/>
      <protection hidden="1"/>
    </xf>
    <xf numFmtId="0" fontId="50" fillId="0" borderId="26" xfId="0" applyNumberFormat="1" applyFont="1" applyFill="1" applyBorder="1" applyAlignment="1" applyProtection="1">
      <alignment vertical="center"/>
      <protection hidden="1"/>
    </xf>
    <xf numFmtId="0" fontId="50" fillId="0" borderId="19" xfId="0" applyNumberFormat="1" applyFont="1" applyFill="1" applyBorder="1" applyAlignment="1" applyProtection="1">
      <alignment vertical="center"/>
      <protection hidden="1"/>
    </xf>
    <xf numFmtId="0" fontId="50" fillId="0" borderId="27" xfId="0" applyNumberFormat="1" applyFont="1" applyFill="1" applyBorder="1" applyAlignment="1" applyProtection="1">
      <alignment vertical="center"/>
      <protection hidden="1"/>
    </xf>
    <xf numFmtId="0" fontId="50" fillId="0" borderId="0" xfId="0" applyNumberFormat="1" applyFont="1" applyFill="1" applyBorder="1" applyAlignment="1" applyProtection="1">
      <alignment vertical="center"/>
      <protection hidden="1"/>
    </xf>
    <xf numFmtId="0" fontId="50" fillId="0" borderId="28" xfId="0" applyNumberFormat="1" applyFont="1" applyFill="1" applyBorder="1" applyAlignment="1" applyProtection="1">
      <alignment vertical="center"/>
      <protection hidden="1"/>
    </xf>
    <xf numFmtId="0" fontId="50" fillId="0" borderId="20" xfId="0" applyNumberFormat="1" applyFont="1" applyFill="1" applyBorder="1" applyAlignment="1" applyProtection="1">
      <alignment vertical="center"/>
      <protection hidden="1"/>
    </xf>
    <xf numFmtId="0" fontId="50" fillId="0" borderId="29" xfId="0" applyNumberFormat="1" applyFont="1" applyFill="1" applyBorder="1" applyAlignment="1" applyProtection="1">
      <alignment vertical="center"/>
      <protection hidden="1"/>
    </xf>
    <xf numFmtId="0" fontId="50" fillId="0" borderId="21" xfId="0" applyNumberFormat="1" applyFont="1" applyFill="1" applyBorder="1" applyAlignment="1" applyProtection="1">
      <alignment vertical="center"/>
      <protection hidden="1"/>
    </xf>
    <xf numFmtId="0" fontId="50" fillId="5" borderId="70" xfId="0" applyFont="1" applyFill="1" applyBorder="1" applyAlignment="1" applyProtection="1">
      <alignment horizontal="right" vertical="center"/>
      <protection hidden="1"/>
    </xf>
    <xf numFmtId="0" fontId="50" fillId="5" borderId="63" xfId="0" applyFont="1" applyFill="1" applyBorder="1" applyAlignment="1" applyProtection="1">
      <alignment horizontal="right" vertical="center"/>
      <protection hidden="1"/>
    </xf>
    <xf numFmtId="0" fontId="69" fillId="5" borderId="9" xfId="0" applyNumberFormat="1" applyFont="1" applyFill="1" applyBorder="1" applyAlignment="1" applyProtection="1">
      <alignment horizontal="right" indent="1"/>
      <protection hidden="1"/>
    </xf>
    <xf numFmtId="0" fontId="51" fillId="5" borderId="0" xfId="0" applyFont="1" applyFill="1" applyBorder="1" applyAlignment="1" applyProtection="1">
      <alignment vertical="center"/>
      <protection hidden="1"/>
    </xf>
    <xf numFmtId="0" fontId="50" fillId="0" borderId="0" xfId="0" quotePrefix="1" applyFont="1" applyFill="1" applyBorder="1" applyAlignment="1" applyProtection="1">
      <alignment vertical="top"/>
      <protection hidden="1"/>
    </xf>
    <xf numFmtId="0" fontId="13" fillId="2" borderId="23" xfId="0" applyFont="1" applyFill="1" applyBorder="1" applyAlignment="1" applyProtection="1">
      <alignment horizontal="center" vertical="center"/>
      <protection hidden="1"/>
    </xf>
    <xf numFmtId="0" fontId="13" fillId="2" borderId="0"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3" fillId="2" borderId="30"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 xfId="0" applyFont="1" applyFill="1" applyBorder="1" applyAlignment="1" applyProtection="1">
      <alignment horizontal="center" vertical="center"/>
      <protection hidden="1"/>
    </xf>
    <xf numFmtId="0" fontId="50" fillId="5" borderId="48" xfId="0" applyFont="1" applyFill="1" applyBorder="1" applyAlignment="1" applyProtection="1">
      <alignment horizontal="right" vertical="center"/>
      <protection hidden="1"/>
    </xf>
    <xf numFmtId="0" fontId="50" fillId="5" borderId="62" xfId="0" applyFont="1" applyFill="1" applyBorder="1" applyAlignment="1" applyProtection="1">
      <alignment horizontal="right" vertical="center"/>
      <protection hidden="1"/>
    </xf>
    <xf numFmtId="0" fontId="13" fillId="10" borderId="10" xfId="0" applyFont="1" applyFill="1" applyBorder="1" applyAlignment="1" applyProtection="1">
      <alignment horizontal="left"/>
      <protection hidden="1"/>
    </xf>
    <xf numFmtId="0" fontId="13" fillId="10" borderId="5" xfId="0" applyFont="1" applyFill="1" applyBorder="1" applyAlignment="1" applyProtection="1">
      <alignment horizontal="left"/>
      <protection hidden="1"/>
    </xf>
    <xf numFmtId="0" fontId="32" fillId="2" borderId="0" xfId="0" applyFont="1" applyFill="1" applyAlignment="1" applyProtection="1">
      <alignment vertical="center"/>
      <protection hidden="1"/>
    </xf>
    <xf numFmtId="0" fontId="32" fillId="2" borderId="26" xfId="0" applyFont="1" applyFill="1" applyBorder="1" applyAlignment="1" applyProtection="1">
      <alignment vertical="center"/>
      <protection hidden="1"/>
    </xf>
    <xf numFmtId="2" fontId="19" fillId="2" borderId="1" xfId="0" applyNumberFormat="1" applyFont="1" applyFill="1" applyBorder="1" applyAlignment="1" applyProtection="1">
      <alignment horizontal="center" vertical="center"/>
      <protection hidden="1"/>
    </xf>
    <xf numFmtId="0" fontId="82" fillId="5" borderId="5" xfId="0" applyFont="1" applyFill="1" applyBorder="1" applyAlignment="1" applyProtection="1">
      <alignment horizontal="left" vertical="center"/>
      <protection hidden="1"/>
    </xf>
    <xf numFmtId="0" fontId="50" fillId="0" borderId="32" xfId="0" applyFont="1" applyFill="1" applyBorder="1" applyAlignment="1" applyProtection="1">
      <protection hidden="1"/>
    </xf>
    <xf numFmtId="0" fontId="50" fillId="0" borderId="0" xfId="0" applyFont="1" applyFill="1" applyBorder="1" applyAlignment="1" applyProtection="1">
      <protection hidden="1"/>
    </xf>
    <xf numFmtId="2" fontId="50" fillId="0" borderId="28" xfId="0" applyNumberFormat="1" applyFont="1" applyFill="1" applyBorder="1" applyAlignment="1" applyProtection="1">
      <protection hidden="1"/>
    </xf>
    <xf numFmtId="0" fontId="13" fillId="2" borderId="0" xfId="0" applyFont="1" applyFill="1" applyAlignment="1" applyProtection="1">
      <protection hidden="1"/>
    </xf>
    <xf numFmtId="0" fontId="13" fillId="2" borderId="0" xfId="0" applyFont="1" applyFill="1" applyAlignment="1" applyProtection="1">
      <alignment horizontal="right" vertical="center"/>
      <protection hidden="1"/>
    </xf>
    <xf numFmtId="164" fontId="67" fillId="2" borderId="1" xfId="0" applyNumberFormat="1" applyFont="1" applyFill="1" applyBorder="1" applyAlignment="1" applyProtection="1">
      <alignment horizontal="center" vertical="center"/>
      <protection hidden="1"/>
    </xf>
    <xf numFmtId="164" fontId="13" fillId="2" borderId="1" xfId="0" applyNumberFormat="1" applyFont="1" applyFill="1" applyBorder="1" applyAlignment="1" applyProtection="1">
      <alignment horizontal="center" vertical="center"/>
      <protection hidden="1"/>
    </xf>
    <xf numFmtId="0" fontId="13" fillId="2" borderId="1" xfId="0" applyFont="1" applyFill="1" applyBorder="1" applyAlignment="1" applyProtection="1">
      <alignment vertical="center"/>
      <protection hidden="1"/>
    </xf>
    <xf numFmtId="0" fontId="13" fillId="2" borderId="3" xfId="0" applyFont="1" applyFill="1" applyBorder="1" applyAlignment="1" applyProtection="1">
      <alignment horizontal="center" vertical="center"/>
      <protection hidden="1"/>
    </xf>
    <xf numFmtId="165" fontId="13" fillId="2" borderId="10" xfId="0" applyNumberFormat="1" applyFont="1" applyFill="1" applyBorder="1" applyAlignment="1" applyProtection="1">
      <alignment horizontal="center" vertical="center"/>
      <protection hidden="1"/>
    </xf>
    <xf numFmtId="0" fontId="13" fillId="2" borderId="8" xfId="0" applyFont="1" applyFill="1" applyBorder="1" applyAlignment="1" applyProtection="1">
      <alignment horizontal="center" vertical="center"/>
      <protection hidden="1"/>
    </xf>
    <xf numFmtId="1" fontId="13" fillId="2" borderId="0" xfId="0" applyNumberFormat="1" applyFont="1" applyFill="1" applyBorder="1" applyAlignment="1" applyProtection="1">
      <alignment horizontal="center" vertical="center"/>
      <protection hidden="1"/>
    </xf>
    <xf numFmtId="0" fontId="13" fillId="2" borderId="78" xfId="0" applyFont="1" applyFill="1" applyBorder="1" applyAlignment="1" applyProtection="1">
      <alignment vertical="center"/>
      <protection hidden="1"/>
    </xf>
    <xf numFmtId="0" fontId="13" fillId="2" borderId="79" xfId="0" applyFont="1" applyFill="1" applyBorder="1" applyAlignment="1" applyProtection="1">
      <alignment vertical="center"/>
      <protection hidden="1"/>
    </xf>
    <xf numFmtId="0" fontId="0" fillId="4" borderId="0" xfId="0" applyFill="1" applyAlignment="1" applyProtection="1">
      <protection hidden="1"/>
    </xf>
    <xf numFmtId="0" fontId="13" fillId="10" borderId="33" xfId="0" applyFont="1" applyFill="1" applyBorder="1" applyAlignment="1" applyProtection="1">
      <alignment vertical="center"/>
      <protection hidden="1"/>
    </xf>
    <xf numFmtId="0" fontId="32" fillId="2" borderId="0" xfId="0" applyFont="1" applyFill="1" applyBorder="1" applyAlignment="1" applyProtection="1">
      <alignment vertical="center"/>
      <protection hidden="1"/>
    </xf>
    <xf numFmtId="0" fontId="13" fillId="2" borderId="32" xfId="0" applyFont="1" applyFill="1" applyBorder="1" applyAlignment="1" applyProtection="1">
      <alignment vertical="center"/>
      <protection hidden="1"/>
    </xf>
    <xf numFmtId="0" fontId="13" fillId="2" borderId="33" xfId="0" applyFont="1" applyFill="1" applyBorder="1" applyAlignment="1" applyProtection="1">
      <alignment vertical="center"/>
      <protection hidden="1"/>
    </xf>
    <xf numFmtId="2" fontId="13" fillId="10" borderId="1" xfId="0" applyNumberFormat="1" applyFont="1" applyFill="1" applyBorder="1" applyAlignment="1" applyProtection="1">
      <alignment horizontal="center" vertical="center"/>
      <protection hidden="1"/>
    </xf>
    <xf numFmtId="0" fontId="13" fillId="10" borderId="1" xfId="0" applyFont="1" applyFill="1" applyBorder="1" applyAlignment="1" applyProtection="1">
      <alignment horizontal="center" vertical="center"/>
      <protection hidden="1"/>
    </xf>
    <xf numFmtId="2" fontId="13" fillId="2" borderId="1" xfId="0" applyNumberFormat="1" applyFont="1" applyFill="1" applyBorder="1" applyAlignment="1" applyProtection="1">
      <alignment horizontal="center"/>
      <protection hidden="1"/>
    </xf>
    <xf numFmtId="0" fontId="45" fillId="3" borderId="0" xfId="3" applyFill="1" applyProtection="1">
      <protection hidden="1"/>
    </xf>
    <xf numFmtId="0" fontId="46" fillId="0" borderId="6" xfId="3" applyFont="1" applyFill="1" applyBorder="1" applyAlignment="1" applyProtection="1">
      <alignment vertical="center" wrapText="1"/>
      <protection hidden="1"/>
    </xf>
    <xf numFmtId="0" fontId="46" fillId="0" borderId="31" xfId="3" applyFont="1" applyFill="1" applyBorder="1" applyAlignment="1" applyProtection="1">
      <alignment vertical="center" wrapText="1"/>
      <protection hidden="1"/>
    </xf>
    <xf numFmtId="0" fontId="46" fillId="0" borderId="7" xfId="3" applyFont="1" applyFill="1" applyBorder="1" applyAlignment="1" applyProtection="1">
      <alignment vertical="center" wrapText="1"/>
      <protection hidden="1"/>
    </xf>
    <xf numFmtId="0" fontId="46" fillId="0" borderId="32" xfId="3" applyFont="1" applyFill="1" applyBorder="1" applyAlignment="1" applyProtection="1">
      <alignment vertical="center" wrapText="1"/>
      <protection hidden="1"/>
    </xf>
    <xf numFmtId="0" fontId="46" fillId="0" borderId="33" xfId="3" applyFont="1" applyFill="1" applyBorder="1" applyAlignment="1" applyProtection="1">
      <alignment vertical="center" wrapText="1"/>
      <protection hidden="1"/>
    </xf>
    <xf numFmtId="0" fontId="46" fillId="0" borderId="8" xfId="3" applyFont="1" applyFill="1" applyBorder="1" applyAlignment="1" applyProtection="1">
      <alignment vertical="center" wrapText="1"/>
      <protection hidden="1"/>
    </xf>
    <xf numFmtId="0" fontId="46" fillId="0" borderId="30" xfId="3" applyFont="1" applyFill="1" applyBorder="1" applyAlignment="1" applyProtection="1">
      <alignment vertical="center" wrapText="1"/>
      <protection hidden="1"/>
    </xf>
    <xf numFmtId="0" fontId="46" fillId="0" borderId="9" xfId="3" applyFont="1" applyFill="1" applyBorder="1" applyAlignment="1" applyProtection="1">
      <alignment vertical="center" wrapText="1"/>
      <protection hidden="1"/>
    </xf>
    <xf numFmtId="0" fontId="45" fillId="3" borderId="0" xfId="3" applyFill="1" applyAlignment="1" applyProtection="1">
      <alignment wrapText="1"/>
      <protection hidden="1"/>
    </xf>
    <xf numFmtId="0" fontId="50" fillId="0" borderId="6" xfId="0" applyFont="1" applyFill="1" applyBorder="1" applyAlignment="1" applyProtection="1">
      <protection hidden="1"/>
    </xf>
    <xf numFmtId="0" fontId="50" fillId="0" borderId="31" xfId="0" applyFont="1" applyFill="1" applyBorder="1" applyAlignment="1" applyProtection="1">
      <alignment wrapText="1"/>
      <protection hidden="1"/>
    </xf>
    <xf numFmtId="0" fontId="6" fillId="0" borderId="31" xfId="0" applyFont="1" applyFill="1" applyBorder="1" applyAlignment="1" applyProtection="1">
      <protection hidden="1"/>
    </xf>
    <xf numFmtId="2" fontId="6" fillId="0" borderId="31" xfId="0" applyNumberFormat="1" applyFont="1" applyFill="1" applyBorder="1" applyAlignment="1" applyProtection="1">
      <protection hidden="1"/>
    </xf>
    <xf numFmtId="2" fontId="50" fillId="0" borderId="80" xfId="0" applyNumberFormat="1" applyFont="1" applyFill="1" applyBorder="1" applyAlignment="1" applyProtection="1">
      <protection hidden="1"/>
    </xf>
    <xf numFmtId="0" fontId="50" fillId="0" borderId="0" xfId="0" applyFont="1" applyFill="1" applyBorder="1" applyAlignment="1" applyProtection="1">
      <alignment wrapText="1"/>
      <protection hidden="1"/>
    </xf>
    <xf numFmtId="2" fontId="50" fillId="0" borderId="0" xfId="0" applyNumberFormat="1" applyFont="1" applyFill="1" applyBorder="1" applyAlignment="1" applyProtection="1">
      <protection hidden="1"/>
    </xf>
    <xf numFmtId="0" fontId="13" fillId="2" borderId="17" xfId="0" applyFont="1" applyFill="1" applyBorder="1" applyAlignment="1" applyProtection="1">
      <alignment horizontal="center" vertical="center"/>
      <protection hidden="1"/>
    </xf>
    <xf numFmtId="0" fontId="13" fillId="2" borderId="5" xfId="0" applyFont="1" applyFill="1" applyBorder="1" applyAlignment="1" applyProtection="1">
      <alignment horizontal="center" vertical="center"/>
      <protection hidden="1"/>
    </xf>
    <xf numFmtId="2" fontId="13" fillId="2" borderId="10" xfId="0" applyNumberFormat="1" applyFont="1" applyFill="1" applyBorder="1" applyAlignment="1" applyProtection="1">
      <alignment vertical="center"/>
      <protection hidden="1"/>
    </xf>
    <xf numFmtId="2" fontId="13" fillId="2" borderId="5" xfId="0" applyNumberFormat="1" applyFont="1" applyFill="1" applyBorder="1" applyAlignment="1" applyProtection="1">
      <alignment vertical="center"/>
      <protection hidden="1"/>
    </xf>
    <xf numFmtId="2" fontId="13" fillId="2" borderId="0" xfId="0" applyNumberFormat="1" applyFont="1" applyFill="1" applyBorder="1" applyAlignment="1" applyProtection="1">
      <alignment vertical="center"/>
      <protection hidden="1"/>
    </xf>
    <xf numFmtId="0" fontId="6" fillId="0" borderId="0" xfId="0" applyFont="1" applyFill="1" applyBorder="1" applyAlignment="1" applyProtection="1">
      <protection hidden="1"/>
    </xf>
    <xf numFmtId="167" fontId="50" fillId="0" borderId="0" xfId="0" applyNumberFormat="1" applyFont="1" applyFill="1" applyBorder="1" applyAlignment="1" applyProtection="1">
      <protection hidden="1"/>
    </xf>
    <xf numFmtId="167" fontId="50" fillId="0" borderId="28" xfId="0" applyNumberFormat="1" applyFont="1" applyFill="1" applyBorder="1" applyAlignment="1" applyProtection="1">
      <protection hidden="1"/>
    </xf>
    <xf numFmtId="2" fontId="13" fillId="2" borderId="17" xfId="0" applyNumberFormat="1" applyFont="1" applyFill="1" applyBorder="1" applyAlignment="1" applyProtection="1">
      <alignment vertical="center"/>
      <protection hidden="1"/>
    </xf>
    <xf numFmtId="2" fontId="13" fillId="2" borderId="1" xfId="0" applyNumberFormat="1" applyFont="1" applyFill="1" applyBorder="1" applyAlignment="1" applyProtection="1">
      <alignment vertical="center"/>
      <protection hidden="1"/>
    </xf>
    <xf numFmtId="0" fontId="67" fillId="4" borderId="2" xfId="0" applyFont="1" applyFill="1" applyBorder="1" applyAlignment="1" applyProtection="1">
      <alignment vertical="center"/>
      <protection hidden="1"/>
    </xf>
    <xf numFmtId="0" fontId="67" fillId="4" borderId="1" xfId="0" applyFont="1" applyFill="1" applyBorder="1" applyAlignment="1" applyProtection="1">
      <alignment horizontal="center" vertical="center"/>
      <protection hidden="1"/>
    </xf>
    <xf numFmtId="2" fontId="13" fillId="10" borderId="0" xfId="0" applyNumberFormat="1" applyFont="1" applyFill="1" applyAlignment="1" applyProtection="1">
      <alignment vertical="center"/>
      <protection hidden="1"/>
    </xf>
    <xf numFmtId="1" fontId="13" fillId="2" borderId="1" xfId="0" applyNumberFormat="1" applyFont="1" applyFill="1" applyBorder="1" applyAlignment="1" applyProtection="1">
      <alignment horizontal="center" vertical="center"/>
      <protection hidden="1"/>
    </xf>
    <xf numFmtId="2" fontId="67" fillId="4" borderId="2" xfId="0" applyNumberFormat="1" applyFont="1" applyFill="1" applyBorder="1" applyAlignment="1" applyProtection="1">
      <alignment vertical="center"/>
      <protection hidden="1"/>
    </xf>
    <xf numFmtId="0" fontId="67" fillId="4" borderId="1" xfId="0" applyFont="1" applyFill="1" applyBorder="1" applyAlignment="1" applyProtection="1">
      <alignment vertical="center"/>
      <protection hidden="1"/>
    </xf>
    <xf numFmtId="2" fontId="67" fillId="4" borderId="1" xfId="0" applyNumberFormat="1" applyFont="1" applyFill="1" applyBorder="1" applyAlignment="1" applyProtection="1">
      <alignment vertical="center"/>
      <protection hidden="1"/>
    </xf>
    <xf numFmtId="0" fontId="13" fillId="10" borderId="0" xfId="0" applyFont="1" applyFill="1" applyAlignment="1" applyProtection="1">
      <alignment horizontal="center" vertical="center"/>
      <protection hidden="1"/>
    </xf>
    <xf numFmtId="0" fontId="13" fillId="2" borderId="6" xfId="0" applyFont="1" applyFill="1" applyBorder="1" applyAlignment="1" applyProtection="1">
      <alignment vertical="center"/>
      <protection hidden="1"/>
    </xf>
    <xf numFmtId="0" fontId="13" fillId="2" borderId="31" xfId="0" applyFont="1" applyFill="1" applyBorder="1" applyAlignment="1" applyProtection="1">
      <alignment vertical="center"/>
      <protection hidden="1"/>
    </xf>
    <xf numFmtId="0" fontId="13" fillId="2" borderId="31" xfId="0" applyFont="1" applyFill="1" applyBorder="1" applyAlignment="1" applyProtection="1">
      <alignment horizontal="center" vertical="center"/>
      <protection hidden="1"/>
    </xf>
    <xf numFmtId="0" fontId="13" fillId="2" borderId="32" xfId="0" applyFont="1" applyFill="1" applyBorder="1" applyAlignment="1" applyProtection="1">
      <alignment horizontal="center" vertical="center"/>
      <protection hidden="1"/>
    </xf>
    <xf numFmtId="2" fontId="13" fillId="2" borderId="33" xfId="0" applyNumberFormat="1" applyFont="1" applyFill="1" applyBorder="1" applyAlignment="1" applyProtection="1">
      <alignment horizontal="center" vertical="center"/>
      <protection hidden="1"/>
    </xf>
    <xf numFmtId="2" fontId="13" fillId="2" borderId="32" xfId="0" applyNumberFormat="1" applyFont="1" applyFill="1" applyBorder="1" applyAlignment="1" applyProtection="1">
      <alignment horizontal="center" vertical="center"/>
      <protection hidden="1"/>
    </xf>
    <xf numFmtId="0" fontId="13" fillId="2" borderId="33" xfId="0" applyFont="1" applyFill="1" applyBorder="1" applyAlignment="1" applyProtection="1">
      <alignment horizontal="center" vertical="center"/>
      <protection hidden="1"/>
    </xf>
    <xf numFmtId="2" fontId="13" fillId="2" borderId="30" xfId="0" applyNumberFormat="1" applyFont="1" applyFill="1" applyBorder="1" applyAlignment="1" applyProtection="1">
      <alignment horizontal="center" vertical="center"/>
      <protection hidden="1"/>
    </xf>
    <xf numFmtId="2" fontId="13" fillId="2" borderId="9" xfId="0" applyNumberFormat="1" applyFont="1" applyFill="1" applyBorder="1" applyAlignment="1" applyProtection="1">
      <alignment horizontal="center" vertical="center"/>
      <protection hidden="1"/>
    </xf>
    <xf numFmtId="2" fontId="13" fillId="2" borderId="8" xfId="0" applyNumberFormat="1" applyFont="1" applyFill="1" applyBorder="1" applyAlignment="1" applyProtection="1">
      <alignment horizontal="center" vertical="center"/>
      <protection hidden="1"/>
    </xf>
    <xf numFmtId="2" fontId="13" fillId="2" borderId="7" xfId="0" applyNumberFormat="1" applyFont="1" applyFill="1" applyBorder="1" applyAlignment="1" applyProtection="1">
      <alignment horizontal="center" vertical="center"/>
      <protection hidden="1"/>
    </xf>
    <xf numFmtId="2" fontId="13" fillId="2" borderId="33" xfId="0" applyNumberFormat="1" applyFont="1" applyFill="1" applyBorder="1" applyAlignment="1" applyProtection="1">
      <alignment vertical="center"/>
      <protection hidden="1"/>
    </xf>
    <xf numFmtId="2" fontId="13" fillId="2" borderId="9" xfId="0" applyNumberFormat="1" applyFont="1" applyFill="1" applyBorder="1" applyAlignment="1" applyProtection="1">
      <alignment vertical="center"/>
      <protection hidden="1"/>
    </xf>
    <xf numFmtId="0" fontId="13" fillId="2" borderId="6" xfId="0" applyFont="1" applyFill="1" applyBorder="1" applyAlignment="1" applyProtection="1">
      <alignment horizontal="center" vertical="center"/>
      <protection hidden="1"/>
    </xf>
    <xf numFmtId="2" fontId="13" fillId="2" borderId="31" xfId="0" applyNumberFormat="1" applyFont="1" applyFill="1" applyBorder="1" applyAlignment="1" applyProtection="1">
      <alignment horizontal="center" vertical="center"/>
      <protection hidden="1"/>
    </xf>
    <xf numFmtId="2" fontId="13" fillId="2" borderId="7" xfId="0" applyNumberFormat="1" applyFont="1" applyFill="1" applyBorder="1" applyAlignment="1" applyProtection="1">
      <alignment vertical="center"/>
      <protection hidden="1"/>
    </xf>
    <xf numFmtId="2" fontId="13" fillId="2" borderId="6" xfId="0" applyNumberFormat="1" applyFont="1" applyFill="1" applyBorder="1" applyAlignment="1" applyProtection="1">
      <alignment horizontal="center" vertical="center"/>
      <protection hidden="1"/>
    </xf>
    <xf numFmtId="2" fontId="13" fillId="2" borderId="4" xfId="0" applyNumberFormat="1" applyFont="1" applyFill="1" applyBorder="1" applyAlignment="1" applyProtection="1">
      <alignment horizontal="center" vertical="center"/>
      <protection hidden="1"/>
    </xf>
    <xf numFmtId="1" fontId="13" fillId="2" borderId="0" xfId="0" applyNumberFormat="1" applyFont="1" applyFill="1" applyAlignment="1" applyProtection="1">
      <alignment horizontal="center" vertical="center"/>
      <protection hidden="1"/>
    </xf>
    <xf numFmtId="2" fontId="13" fillId="2" borderId="31" xfId="0" applyNumberFormat="1" applyFont="1" applyFill="1" applyBorder="1" applyAlignment="1" applyProtection="1">
      <alignment vertical="center"/>
      <protection hidden="1"/>
    </xf>
    <xf numFmtId="2" fontId="13" fillId="2" borderId="40" xfId="0" applyNumberFormat="1" applyFont="1" applyFill="1" applyBorder="1" applyAlignment="1" applyProtection="1">
      <alignment horizontal="center" vertical="center"/>
      <protection hidden="1"/>
    </xf>
    <xf numFmtId="2" fontId="13" fillId="2" borderId="41" xfId="0" applyNumberFormat="1" applyFont="1" applyFill="1" applyBorder="1" applyAlignment="1" applyProtection="1">
      <alignment horizontal="center" vertical="center"/>
      <protection hidden="1"/>
    </xf>
    <xf numFmtId="2" fontId="13" fillId="2" borderId="42" xfId="0" applyNumberFormat="1" applyFont="1" applyFill="1" applyBorder="1" applyAlignment="1" applyProtection="1">
      <alignment horizontal="center" vertical="center"/>
      <protection hidden="1"/>
    </xf>
    <xf numFmtId="0" fontId="32" fillId="2" borderId="0" xfId="0" applyFont="1" applyFill="1" applyAlignment="1" applyProtection="1">
      <alignment horizontal="center" vertical="center"/>
      <protection hidden="1"/>
    </xf>
    <xf numFmtId="2" fontId="32" fillId="2" borderId="0" xfId="0" applyNumberFormat="1" applyFont="1" applyFill="1" applyAlignment="1" applyProtection="1">
      <alignment horizontal="center" vertical="center"/>
      <protection hidden="1"/>
    </xf>
    <xf numFmtId="2" fontId="13" fillId="10" borderId="0" xfId="0" applyNumberFormat="1" applyFont="1" applyFill="1" applyAlignment="1" applyProtection="1">
      <alignment horizontal="center" vertical="center"/>
      <protection hidden="1"/>
    </xf>
    <xf numFmtId="2" fontId="32" fillId="10" borderId="0" xfId="0" applyNumberFormat="1" applyFont="1" applyFill="1" applyAlignment="1" applyProtection="1">
      <alignment horizontal="center" vertical="center"/>
      <protection hidden="1"/>
    </xf>
    <xf numFmtId="0" fontId="32" fillId="10" borderId="0" xfId="0" applyFont="1" applyFill="1" applyAlignment="1" applyProtection="1">
      <alignment horizontal="center" vertical="center"/>
      <protection hidden="1"/>
    </xf>
    <xf numFmtId="0" fontId="31" fillId="2" borderId="0" xfId="0" applyFont="1" applyFill="1" applyAlignment="1" applyProtection="1">
      <alignment horizontal="center" vertical="center"/>
      <protection hidden="1"/>
    </xf>
    <xf numFmtId="0" fontId="67" fillId="4" borderId="1" xfId="0" applyFont="1" applyFill="1" applyBorder="1" applyAlignment="1" applyProtection="1">
      <alignment horizontal="left" vertical="center"/>
      <protection hidden="1"/>
    </xf>
    <xf numFmtId="0" fontId="13" fillId="2" borderId="7" xfId="0" applyFont="1" applyFill="1" applyBorder="1" applyAlignment="1" applyProtection="1">
      <alignment horizontal="center" vertical="center"/>
      <protection hidden="1"/>
    </xf>
    <xf numFmtId="0" fontId="80" fillId="4" borderId="1" xfId="0" applyFont="1" applyFill="1" applyBorder="1" applyAlignment="1" applyProtection="1">
      <alignment horizontal="center" vertical="center"/>
      <protection hidden="1"/>
    </xf>
    <xf numFmtId="2" fontId="67" fillId="4" borderId="1" xfId="0" applyNumberFormat="1" applyFont="1" applyFill="1" applyBorder="1" applyAlignment="1" applyProtection="1">
      <alignment horizontal="center" vertical="center"/>
      <protection hidden="1"/>
    </xf>
    <xf numFmtId="0" fontId="13" fillId="2" borderId="9" xfId="0" applyFont="1" applyFill="1" applyBorder="1" applyAlignment="1" applyProtection="1">
      <alignment horizontal="center" vertical="center"/>
      <protection hidden="1"/>
    </xf>
    <xf numFmtId="2" fontId="32" fillId="2" borderId="1" xfId="0" applyNumberFormat="1" applyFont="1" applyFill="1" applyBorder="1" applyAlignment="1" applyProtection="1">
      <alignment horizontal="center" vertical="center"/>
      <protection hidden="1"/>
    </xf>
    <xf numFmtId="0" fontId="31" fillId="10" borderId="0" xfId="0" applyFont="1" applyFill="1" applyAlignment="1" applyProtection="1">
      <alignment horizontal="center" vertical="center"/>
      <protection hidden="1"/>
    </xf>
    <xf numFmtId="2" fontId="32" fillId="10" borderId="1" xfId="0" applyNumberFormat="1" applyFont="1" applyFill="1" applyBorder="1" applyAlignment="1" applyProtection="1">
      <alignment horizontal="center" vertical="center"/>
      <protection hidden="1"/>
    </xf>
    <xf numFmtId="0" fontId="61" fillId="2" borderId="0" xfId="0" applyFont="1" applyFill="1" applyAlignment="1" applyProtection="1">
      <alignment vertical="center"/>
      <protection hidden="1"/>
    </xf>
    <xf numFmtId="2" fontId="67" fillId="4" borderId="0" xfId="0" applyNumberFormat="1" applyFont="1" applyFill="1" applyAlignment="1" applyProtection="1">
      <alignment horizontal="center" vertical="center"/>
      <protection hidden="1"/>
    </xf>
    <xf numFmtId="2" fontId="20" fillId="2" borderId="0" xfId="0" applyNumberFormat="1" applyFont="1" applyFill="1" applyAlignment="1" applyProtection="1">
      <alignment horizontal="center" vertical="center"/>
      <protection hidden="1"/>
    </xf>
    <xf numFmtId="1" fontId="31" fillId="2" borderId="0" xfId="0" applyNumberFormat="1" applyFont="1" applyFill="1" applyAlignment="1" applyProtection="1">
      <alignment horizontal="center" vertical="center"/>
      <protection hidden="1"/>
    </xf>
    <xf numFmtId="2" fontId="31" fillId="2" borderId="0" xfId="0" applyNumberFormat="1" applyFont="1" applyFill="1" applyAlignment="1" applyProtection="1">
      <alignment horizontal="center" vertical="center"/>
      <protection hidden="1"/>
    </xf>
    <xf numFmtId="0" fontId="13" fillId="2" borderId="2" xfId="0" applyFont="1" applyFill="1" applyBorder="1" applyAlignment="1" applyProtection="1">
      <alignment vertical="center"/>
      <protection hidden="1"/>
    </xf>
    <xf numFmtId="0" fontId="31" fillId="2" borderId="2" xfId="0" applyFont="1" applyFill="1" applyBorder="1" applyAlignment="1" applyProtection="1">
      <alignment horizontal="center" vertical="center"/>
      <protection hidden="1"/>
    </xf>
    <xf numFmtId="2" fontId="13" fillId="2" borderId="2" xfId="0" applyNumberFormat="1" applyFont="1" applyFill="1" applyBorder="1" applyAlignment="1" applyProtection="1">
      <alignment horizontal="center" vertical="center"/>
      <protection hidden="1"/>
    </xf>
    <xf numFmtId="0" fontId="31" fillId="2" borderId="1" xfId="0" applyFont="1" applyFill="1" applyBorder="1" applyAlignment="1" applyProtection="1">
      <alignment horizontal="center" vertical="center"/>
      <protection hidden="1"/>
    </xf>
    <xf numFmtId="0" fontId="32" fillId="2" borderId="1" xfId="0" applyFont="1" applyFill="1" applyBorder="1" applyAlignment="1" applyProtection="1">
      <alignment horizontal="center" vertical="center"/>
      <protection hidden="1"/>
    </xf>
    <xf numFmtId="0" fontId="32" fillId="2" borderId="0" xfId="0" applyFont="1" applyFill="1" applyBorder="1" applyAlignment="1" applyProtection="1">
      <alignment horizontal="center" vertical="center"/>
      <protection hidden="1"/>
    </xf>
    <xf numFmtId="0" fontId="67" fillId="2" borderId="0" xfId="0" applyFont="1" applyFill="1" applyAlignment="1" applyProtection="1">
      <protection hidden="1"/>
    </xf>
    <xf numFmtId="0" fontId="68" fillId="2" borderId="0" xfId="0" applyFont="1" applyFill="1" applyAlignment="1" applyProtection="1">
      <protection hidden="1"/>
    </xf>
    <xf numFmtId="0" fontId="67" fillId="10" borderId="0" xfId="0" applyFont="1" applyFill="1" applyAlignment="1" applyProtection="1">
      <protection hidden="1"/>
    </xf>
    <xf numFmtId="0" fontId="61" fillId="2" borderId="0" xfId="0" applyFont="1" applyFill="1" applyAlignment="1" applyProtection="1">
      <alignment horizontal="center" vertical="center"/>
      <protection hidden="1"/>
    </xf>
    <xf numFmtId="0" fontId="13" fillId="9" borderId="0" xfId="0" applyFont="1" applyFill="1" applyAlignment="1" applyProtection="1">
      <alignment horizontal="center" vertical="center"/>
      <protection hidden="1"/>
    </xf>
    <xf numFmtId="0" fontId="13" fillId="8" borderId="0" xfId="0" applyFont="1" applyFill="1" applyAlignment="1" applyProtection="1">
      <alignment horizontal="center" vertical="center"/>
      <protection hidden="1"/>
    </xf>
    <xf numFmtId="2" fontId="61" fillId="9" borderId="10" xfId="0" applyNumberFormat="1" applyFont="1" applyFill="1" applyBorder="1" applyAlignment="1" applyProtection="1">
      <alignment horizontal="center" vertical="center"/>
      <protection hidden="1"/>
    </xf>
    <xf numFmtId="0" fontId="61" fillId="9" borderId="17" xfId="0" applyFont="1" applyFill="1" applyBorder="1" applyAlignment="1" applyProtection="1">
      <alignment horizontal="center" vertical="center"/>
      <protection hidden="1"/>
    </xf>
    <xf numFmtId="0" fontId="61" fillId="9" borderId="5" xfId="0" applyFont="1" applyFill="1" applyBorder="1" applyAlignment="1" applyProtection="1">
      <alignment horizontal="center" vertical="center"/>
      <protection hidden="1"/>
    </xf>
    <xf numFmtId="0" fontId="13" fillId="0" borderId="0" xfId="0" applyFont="1" applyFill="1" applyAlignment="1" applyProtection="1">
      <alignment vertical="center"/>
      <protection hidden="1"/>
    </xf>
    <xf numFmtId="0" fontId="67" fillId="2" borderId="0" xfId="0" applyFont="1" applyFill="1" applyAlignment="1" applyProtection="1">
      <alignment vertical="center"/>
      <protection hidden="1"/>
    </xf>
    <xf numFmtId="0" fontId="17" fillId="2" borderId="26" xfId="0" applyFont="1" applyFill="1" applyBorder="1" applyAlignment="1" applyProtection="1">
      <alignment horizontal="center" vertical="center"/>
      <protection hidden="1"/>
    </xf>
    <xf numFmtId="0" fontId="35" fillId="2" borderId="0" xfId="0" applyFont="1" applyFill="1" applyBorder="1" applyAlignment="1" applyProtection="1">
      <alignment horizontal="center"/>
      <protection hidden="1"/>
    </xf>
    <xf numFmtId="0" fontId="37" fillId="2" borderId="0" xfId="0" applyFont="1" applyFill="1" applyBorder="1" applyAlignment="1" applyProtection="1">
      <alignment horizontal="center"/>
      <protection hidden="1"/>
    </xf>
    <xf numFmtId="0" fontId="37" fillId="2" borderId="0" xfId="0" applyFont="1" applyFill="1" applyBorder="1" applyProtection="1">
      <protection hidden="1"/>
    </xf>
    <xf numFmtId="0" fontId="0" fillId="2" borderId="0" xfId="0" applyFill="1" applyBorder="1" applyAlignment="1" applyProtection="1">
      <alignment horizontal="center"/>
      <protection hidden="1"/>
    </xf>
    <xf numFmtId="0" fontId="13" fillId="2" borderId="10" xfId="0" applyFont="1" applyFill="1" applyBorder="1" applyAlignment="1" applyProtection="1">
      <alignment vertical="center"/>
      <protection hidden="1"/>
    </xf>
    <xf numFmtId="0" fontId="13" fillId="2" borderId="0" xfId="0" applyFont="1" applyFill="1" applyBorder="1" applyAlignment="1" applyProtection="1">
      <alignment horizontal="left" vertical="center"/>
      <protection hidden="1"/>
    </xf>
    <xf numFmtId="0" fontId="17" fillId="2" borderId="1" xfId="0" applyFont="1" applyFill="1" applyBorder="1" applyAlignment="1" applyProtection="1">
      <alignment vertical="center"/>
      <protection hidden="1"/>
    </xf>
    <xf numFmtId="1" fontId="13" fillId="2" borderId="0" xfId="0" applyNumberFormat="1" applyFont="1" applyFill="1" applyAlignment="1" applyProtection="1">
      <alignment vertical="center"/>
      <protection hidden="1"/>
    </xf>
    <xf numFmtId="0" fontId="35" fillId="2" borderId="0" xfId="0" applyFont="1" applyFill="1" applyAlignment="1" applyProtection="1">
      <protection hidden="1"/>
    </xf>
    <xf numFmtId="0" fontId="13" fillId="2" borderId="42" xfId="0" applyFont="1" applyFill="1" applyBorder="1" applyAlignment="1" applyProtection="1">
      <alignment horizontal="center" vertical="center"/>
      <protection hidden="1"/>
    </xf>
    <xf numFmtId="0" fontId="38" fillId="2" borderId="0" xfId="0" applyFont="1" applyFill="1" applyAlignment="1" applyProtection="1">
      <protection hidden="1"/>
    </xf>
    <xf numFmtId="0" fontId="39" fillId="2" borderId="0" xfId="0" applyFont="1" applyFill="1" applyAlignment="1" applyProtection="1">
      <alignment horizontal="center"/>
      <protection hidden="1"/>
    </xf>
    <xf numFmtId="0" fontId="13" fillId="2" borderId="7" xfId="0" applyFont="1" applyFill="1" applyBorder="1" applyAlignment="1" applyProtection="1">
      <alignment vertical="center"/>
      <protection hidden="1"/>
    </xf>
    <xf numFmtId="0" fontId="38" fillId="2" borderId="0" xfId="0" applyFont="1" applyFill="1" applyBorder="1" applyAlignment="1" applyProtection="1">
      <protection hidden="1"/>
    </xf>
    <xf numFmtId="0" fontId="38" fillId="2" borderId="30" xfId="0" applyFont="1" applyFill="1" applyBorder="1" applyAlignment="1" applyProtection="1">
      <protection hidden="1"/>
    </xf>
    <xf numFmtId="0" fontId="0" fillId="2" borderId="30" xfId="0" applyFill="1" applyBorder="1" applyAlignment="1" applyProtection="1">
      <alignment horizontal="center"/>
      <protection hidden="1"/>
    </xf>
    <xf numFmtId="0" fontId="38" fillId="2" borderId="9" xfId="0" applyFont="1" applyFill="1" applyBorder="1" applyAlignment="1" applyProtection="1">
      <protection hidden="1"/>
    </xf>
    <xf numFmtId="0" fontId="38" fillId="2" borderId="0" xfId="0" applyFont="1" applyFill="1" applyProtection="1">
      <protection hidden="1"/>
    </xf>
    <xf numFmtId="0" fontId="0" fillId="2" borderId="0" xfId="0" applyFill="1" applyAlignment="1" applyProtection="1">
      <alignment horizontal="center"/>
      <protection hidden="1"/>
    </xf>
    <xf numFmtId="0" fontId="38" fillId="2" borderId="0" xfId="0" applyFont="1" applyFill="1" applyAlignment="1" applyProtection="1">
      <alignment horizontal="center"/>
      <protection hidden="1"/>
    </xf>
    <xf numFmtId="0" fontId="13" fillId="2" borderId="0" xfId="0" quotePrefix="1" applyFont="1" applyFill="1" applyAlignment="1" applyProtection="1">
      <alignment vertical="center"/>
      <protection hidden="1"/>
    </xf>
    <xf numFmtId="0" fontId="35" fillId="2" borderId="0" xfId="0" applyFont="1" applyFill="1" applyAlignment="1" applyProtection="1">
      <alignment horizontal="center"/>
      <protection hidden="1"/>
    </xf>
    <xf numFmtId="0" fontId="34" fillId="2" borderId="0" xfId="0" applyFont="1" applyFill="1" applyAlignment="1" applyProtection="1">
      <alignment horizontal="center" vertical="center"/>
      <protection hidden="1"/>
    </xf>
    <xf numFmtId="165" fontId="0" fillId="2" borderId="0" xfId="0" applyNumberFormat="1" applyFill="1" applyAlignment="1" applyProtection="1">
      <alignment horizontal="center"/>
      <protection hidden="1"/>
    </xf>
    <xf numFmtId="165" fontId="13" fillId="2" borderId="0" xfId="0" applyNumberFormat="1" applyFont="1" applyFill="1" applyAlignment="1" applyProtection="1">
      <alignment horizontal="center" vertical="center"/>
      <protection hidden="1"/>
    </xf>
    <xf numFmtId="0" fontId="20" fillId="2" borderId="0" xfId="0" applyFont="1" applyFill="1" applyAlignment="1" applyProtection="1">
      <alignment horizontal="center"/>
      <protection hidden="1"/>
    </xf>
    <xf numFmtId="0" fontId="10" fillId="8" borderId="1" xfId="0" applyFont="1" applyFill="1" applyBorder="1" applyAlignment="1" applyProtection="1">
      <alignment horizontal="left" vertical="center" indent="1"/>
      <protection hidden="1"/>
    </xf>
    <xf numFmtId="0" fontId="10" fillId="7" borderId="36" xfId="0" applyFont="1" applyFill="1" applyBorder="1" applyAlignment="1" applyProtection="1">
      <alignment horizontal="left" vertical="center" indent="1"/>
      <protection hidden="1"/>
    </xf>
    <xf numFmtId="0" fontId="10" fillId="7" borderId="3" xfId="0" applyFont="1" applyFill="1" applyBorder="1" applyAlignment="1" applyProtection="1">
      <alignment horizontal="left" vertical="center" indent="1"/>
      <protection hidden="1"/>
    </xf>
    <xf numFmtId="0" fontId="13" fillId="2" borderId="34" xfId="0" applyFont="1" applyFill="1" applyBorder="1" applyProtection="1">
      <protection hidden="1"/>
    </xf>
    <xf numFmtId="165" fontId="13" fillId="2" borderId="16" xfId="0" applyNumberFormat="1" applyFont="1" applyFill="1" applyBorder="1" applyAlignment="1" applyProtection="1">
      <alignment horizontal="center"/>
      <protection hidden="1"/>
    </xf>
    <xf numFmtId="2" fontId="0" fillId="4" borderId="0" xfId="0" applyNumberFormat="1" applyFill="1" applyProtection="1">
      <protection hidden="1"/>
    </xf>
    <xf numFmtId="0" fontId="13" fillId="0" borderId="0" xfId="0" applyFont="1" applyAlignment="1" applyProtection="1">
      <alignment horizontal="center"/>
      <protection hidden="1"/>
    </xf>
    <xf numFmtId="0" fontId="13" fillId="0" borderId="0" xfId="0" applyFont="1" applyAlignment="1" applyProtection="1">
      <alignment horizontal="left"/>
      <protection hidden="1"/>
    </xf>
    <xf numFmtId="0" fontId="13" fillId="0" borderId="0" xfId="0" applyFont="1" applyProtection="1">
      <protection hidden="1"/>
    </xf>
    <xf numFmtId="0" fontId="13" fillId="0" borderId="0" xfId="0" applyFont="1" applyFill="1" applyAlignment="1" applyProtection="1">
      <alignment horizontal="center"/>
      <protection hidden="1"/>
    </xf>
    <xf numFmtId="0" fontId="13" fillId="0" borderId="1" xfId="0" applyFont="1" applyFill="1" applyBorder="1" applyAlignment="1" applyProtection="1">
      <alignment horizontal="center"/>
      <protection hidden="1"/>
    </xf>
    <xf numFmtId="0" fontId="13" fillId="0" borderId="1" xfId="0" applyFont="1" applyBorder="1" applyAlignment="1" applyProtection="1">
      <alignment horizontal="center"/>
      <protection hidden="1"/>
    </xf>
    <xf numFmtId="2" fontId="13" fillId="0" borderId="1" xfId="0" applyNumberFormat="1" applyFont="1" applyBorder="1" applyAlignment="1" applyProtection="1">
      <alignment horizontal="center"/>
      <protection hidden="1"/>
    </xf>
    <xf numFmtId="2" fontId="13" fillId="0" borderId="1"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vertical="center"/>
      <protection hidden="1"/>
    </xf>
    <xf numFmtId="0" fontId="27" fillId="0" borderId="0" xfId="0" applyFont="1" applyFill="1" applyBorder="1" applyAlignment="1" applyProtection="1">
      <alignment horizontal="center"/>
      <protection hidden="1"/>
    </xf>
    <xf numFmtId="0" fontId="13" fillId="0" borderId="0" xfId="0" applyFont="1" applyFill="1" applyAlignment="1" applyProtection="1">
      <alignment horizontal="center" vertical="center"/>
      <protection hidden="1"/>
    </xf>
    <xf numFmtId="0" fontId="13" fillId="0" borderId="18" xfId="0" applyFont="1" applyBorder="1" applyAlignment="1" applyProtection="1">
      <alignment horizontal="center"/>
      <protection hidden="1"/>
    </xf>
    <xf numFmtId="0" fontId="13" fillId="0" borderId="26" xfId="0" applyFont="1" applyBorder="1" applyProtection="1">
      <protection hidden="1"/>
    </xf>
    <xf numFmtId="0" fontId="13" fillId="0" borderId="19" xfId="0" applyFont="1" applyBorder="1" applyProtection="1">
      <protection hidden="1"/>
    </xf>
    <xf numFmtId="1" fontId="13" fillId="0" borderId="27" xfId="0" applyNumberFormat="1" applyFont="1" applyBorder="1" applyAlignment="1" applyProtection="1">
      <alignment horizontal="center"/>
      <protection hidden="1"/>
    </xf>
    <xf numFmtId="0" fontId="13" fillId="0" borderId="0" xfId="0" applyFont="1" applyBorder="1" applyAlignment="1" applyProtection="1">
      <alignment horizontal="center"/>
      <protection hidden="1"/>
    </xf>
    <xf numFmtId="2" fontId="13" fillId="0" borderId="0" xfId="0" applyNumberFormat="1" applyFont="1" applyBorder="1" applyAlignment="1" applyProtection="1">
      <alignment horizontal="center"/>
      <protection hidden="1"/>
    </xf>
    <xf numFmtId="0" fontId="13" fillId="0" borderId="0" xfId="0" applyFont="1" applyBorder="1" applyProtection="1">
      <protection hidden="1"/>
    </xf>
    <xf numFmtId="2" fontId="13" fillId="0" borderId="28" xfId="0" applyNumberFormat="1" applyFont="1" applyBorder="1" applyAlignment="1" applyProtection="1">
      <alignment horizontal="center"/>
      <protection hidden="1"/>
    </xf>
    <xf numFmtId="2" fontId="13" fillId="0" borderId="0" xfId="0" applyNumberFormat="1" applyFont="1" applyProtection="1">
      <protection hidden="1"/>
    </xf>
    <xf numFmtId="0" fontId="13" fillId="0" borderId="27" xfId="0" applyFont="1" applyBorder="1" applyProtection="1">
      <protection hidden="1"/>
    </xf>
    <xf numFmtId="1" fontId="13" fillId="0" borderId="28" xfId="0" applyNumberFormat="1" applyFont="1" applyBorder="1" applyAlignment="1" applyProtection="1">
      <alignment horizontal="center"/>
      <protection hidden="1"/>
    </xf>
    <xf numFmtId="0" fontId="13" fillId="0" borderId="28" xfId="0" applyFont="1" applyBorder="1" applyAlignment="1" applyProtection="1">
      <alignment horizontal="center"/>
      <protection hidden="1"/>
    </xf>
    <xf numFmtId="2" fontId="13" fillId="0" borderId="0" xfId="0" applyNumberFormat="1" applyFont="1" applyBorder="1" applyAlignment="1" applyProtection="1">
      <alignment horizontal="left"/>
      <protection hidden="1"/>
    </xf>
    <xf numFmtId="1" fontId="13" fillId="0" borderId="20" xfId="0" applyNumberFormat="1" applyFont="1" applyBorder="1" applyAlignment="1" applyProtection="1">
      <alignment horizontal="center"/>
      <protection hidden="1"/>
    </xf>
    <xf numFmtId="2" fontId="13" fillId="0" borderId="29" xfId="0" applyNumberFormat="1" applyFont="1" applyBorder="1" applyAlignment="1" applyProtection="1">
      <alignment horizontal="left"/>
      <protection hidden="1"/>
    </xf>
    <xf numFmtId="2" fontId="13" fillId="0" borderId="29" xfId="0" applyNumberFormat="1" applyFont="1" applyBorder="1" applyAlignment="1" applyProtection="1">
      <alignment horizontal="center"/>
      <protection hidden="1"/>
    </xf>
    <xf numFmtId="0" fontId="13" fillId="0" borderId="29" xfId="0" applyFont="1" applyBorder="1" applyProtection="1">
      <protection hidden="1"/>
    </xf>
    <xf numFmtId="1" fontId="13" fillId="0" borderId="21" xfId="0" applyNumberFormat="1" applyFont="1" applyBorder="1" applyAlignment="1" applyProtection="1">
      <alignment horizontal="center"/>
      <protection hidden="1"/>
    </xf>
    <xf numFmtId="1" fontId="13" fillId="0" borderId="0" xfId="0" applyNumberFormat="1" applyFont="1" applyAlignment="1" applyProtection="1">
      <alignment horizontal="center"/>
      <protection hidden="1"/>
    </xf>
    <xf numFmtId="2" fontId="13" fillId="0" borderId="0" xfId="0" applyNumberFormat="1" applyFont="1" applyAlignment="1" applyProtection="1">
      <alignment horizontal="center"/>
      <protection hidden="1"/>
    </xf>
    <xf numFmtId="0" fontId="17" fillId="5" borderId="4" xfId="0" applyFont="1" applyFill="1" applyBorder="1" applyAlignment="1" applyProtection="1">
      <alignment horizontal="center" vertical="center"/>
      <protection hidden="1"/>
    </xf>
    <xf numFmtId="0" fontId="14" fillId="5" borderId="24" xfId="0" applyFont="1" applyFill="1" applyBorder="1" applyAlignment="1" applyProtection="1">
      <alignment horizontal="center"/>
      <protection hidden="1"/>
    </xf>
    <xf numFmtId="0" fontId="14" fillId="5" borderId="1" xfId="0" applyFont="1" applyFill="1" applyBorder="1" applyAlignment="1" applyProtection="1">
      <alignment horizontal="center" vertical="center"/>
      <protection hidden="1"/>
    </xf>
    <xf numFmtId="0" fontId="17" fillId="5" borderId="4" xfId="0" applyFont="1" applyFill="1" applyBorder="1" applyAlignment="1" applyProtection="1">
      <alignment horizontal="center"/>
      <protection hidden="1"/>
    </xf>
    <xf numFmtId="0" fontId="13" fillId="5" borderId="4"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1" xfId="0" applyFont="1" applyFill="1" applyBorder="1" applyAlignment="1" applyProtection="1">
      <alignment horizontal="center" vertical="center"/>
      <protection hidden="1"/>
    </xf>
    <xf numFmtId="0" fontId="17" fillId="5" borderId="1" xfId="0" applyFont="1" applyFill="1" applyBorder="1" applyAlignment="1" applyProtection="1">
      <alignment horizontal="center"/>
      <protection hidden="1"/>
    </xf>
    <xf numFmtId="0" fontId="84" fillId="0" borderId="1" xfId="0" applyFont="1" applyFill="1" applyBorder="1" applyAlignment="1" applyProtection="1">
      <alignment horizontal="center"/>
      <protection hidden="1"/>
    </xf>
    <xf numFmtId="0" fontId="84" fillId="0" borderId="1" xfId="0" applyFont="1" applyBorder="1" applyAlignment="1" applyProtection="1">
      <alignment horizontal="center"/>
      <protection hidden="1"/>
    </xf>
    <xf numFmtId="0" fontId="13" fillId="2" borderId="0" xfId="0" applyFont="1" applyFill="1" applyBorder="1" applyAlignment="1" applyProtection="1">
      <alignment horizontal="center" vertical="center"/>
      <protection hidden="1"/>
    </xf>
    <xf numFmtId="0" fontId="13" fillId="2" borderId="0" xfId="0" applyFont="1" applyFill="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 xfId="0" applyFont="1" applyFill="1" applyBorder="1" applyAlignment="1" applyProtection="1">
      <alignment horizontal="center" vertical="center"/>
      <protection hidden="1"/>
    </xf>
    <xf numFmtId="0" fontId="13" fillId="2" borderId="3" xfId="0" applyFont="1" applyFill="1" applyBorder="1" applyAlignment="1" applyProtection="1">
      <alignment horizontal="center" vertical="center"/>
      <protection hidden="1"/>
    </xf>
    <xf numFmtId="2" fontId="13" fillId="2" borderId="1" xfId="0" applyNumberFormat="1" applyFont="1" applyFill="1" applyBorder="1" applyAlignment="1" applyProtection="1">
      <alignment horizontal="center" vertical="center"/>
      <protection hidden="1"/>
    </xf>
    <xf numFmtId="0" fontId="13" fillId="2" borderId="8" xfId="0" applyFont="1" applyFill="1" applyBorder="1" applyAlignment="1" applyProtection="1">
      <alignment horizontal="center" vertical="center"/>
      <protection hidden="1"/>
    </xf>
    <xf numFmtId="0" fontId="0" fillId="0" borderId="31" xfId="0" applyFill="1" applyBorder="1" applyAlignment="1" applyProtection="1">
      <alignment vertical="center"/>
      <protection locked="0"/>
    </xf>
    <xf numFmtId="2" fontId="0" fillId="0" borderId="31" xfId="0" applyNumberFormat="1" applyFill="1" applyBorder="1" applyAlignment="1" applyProtection="1">
      <alignment vertical="center"/>
      <protection locked="0"/>
    </xf>
    <xf numFmtId="2" fontId="45" fillId="0" borderId="44" xfId="0" applyNumberFormat="1" applyFont="1" applyFill="1" applyBorder="1" applyAlignment="1" applyProtection="1">
      <alignment vertical="center"/>
      <protection locked="0"/>
    </xf>
    <xf numFmtId="0" fontId="0" fillId="13" borderId="0" xfId="0" applyFill="1" applyAlignment="1" applyProtection="1">
      <alignment horizontal="left"/>
      <protection locked="0"/>
    </xf>
    <xf numFmtId="2" fontId="0" fillId="13" borderId="0" xfId="0" applyNumberFormat="1" applyFill="1" applyAlignment="1" applyProtection="1">
      <alignment horizontal="left"/>
      <protection locked="0"/>
    </xf>
    <xf numFmtId="0" fontId="0" fillId="2" borderId="0" xfId="0" applyFill="1" applyAlignment="1" applyProtection="1">
      <alignment horizontal="left"/>
      <protection locked="0"/>
    </xf>
    <xf numFmtId="0" fontId="0" fillId="4" borderId="0" xfId="0" applyFill="1" applyAlignment="1" applyProtection="1">
      <alignment horizontal="left"/>
      <protection locked="0"/>
    </xf>
    <xf numFmtId="0" fontId="13" fillId="2" borderId="0" xfId="0" applyFont="1" applyFill="1" applyAlignment="1" applyProtection="1">
      <alignment horizontal="left" vertical="center"/>
      <protection locked="0"/>
    </xf>
    <xf numFmtId="2" fontId="0" fillId="2" borderId="0" xfId="0" applyNumberFormat="1" applyFill="1" applyAlignment="1" applyProtection="1">
      <alignment horizontal="left"/>
      <protection locked="0"/>
    </xf>
    <xf numFmtId="1" fontId="0" fillId="2" borderId="0" xfId="0" applyNumberFormat="1" applyFill="1" applyAlignment="1" applyProtection="1">
      <alignment horizontal="left"/>
      <protection locked="0"/>
    </xf>
    <xf numFmtId="1" fontId="0" fillId="13" borderId="0" xfId="0" applyNumberFormat="1" applyFill="1" applyAlignment="1" applyProtection="1">
      <alignment horizontal="left"/>
      <protection locked="0"/>
    </xf>
    <xf numFmtId="0" fontId="13" fillId="2" borderId="0" xfId="0" applyFont="1" applyFill="1" applyAlignment="1" applyProtection="1">
      <alignment vertical="center"/>
      <protection locked="0"/>
    </xf>
    <xf numFmtId="2" fontId="0" fillId="13" borderId="0" xfId="0" applyNumberFormat="1" applyFill="1" applyProtection="1">
      <protection locked="0"/>
    </xf>
    <xf numFmtId="0" fontId="69" fillId="0" borderId="0" xfId="0" applyFont="1" applyFill="1" applyBorder="1" applyAlignment="1" applyProtection="1">
      <alignment horizontal="right" vertical="top" indent="1"/>
    </xf>
    <xf numFmtId="2" fontId="70" fillId="0" borderId="29" xfId="0" applyNumberFormat="1" applyFont="1" applyFill="1" applyBorder="1" applyAlignment="1" applyProtection="1">
      <alignment horizontal="right"/>
    </xf>
    <xf numFmtId="0" fontId="6" fillId="5" borderId="0" xfId="0" quotePrefix="1" applyFont="1" applyFill="1" applyBorder="1" applyAlignment="1" applyProtection="1">
      <alignment horizontal="right" vertical="center"/>
    </xf>
    <xf numFmtId="0" fontId="6" fillId="5" borderId="49" xfId="0" quotePrefix="1" applyFont="1" applyFill="1" applyBorder="1" applyAlignment="1" applyProtection="1">
      <alignment horizontal="right" vertical="center"/>
    </xf>
    <xf numFmtId="0" fontId="6" fillId="5" borderId="52" xfId="0" quotePrefix="1" applyFont="1" applyFill="1" applyBorder="1" applyAlignment="1" applyProtection="1">
      <alignment horizontal="right" vertical="center"/>
    </xf>
    <xf numFmtId="0" fontId="6" fillId="5" borderId="30" xfId="0" quotePrefix="1" applyFont="1" applyFill="1" applyBorder="1" applyAlignment="1" applyProtection="1">
      <alignment horizontal="right" vertical="center"/>
    </xf>
    <xf numFmtId="0" fontId="7" fillId="5" borderId="52" xfId="0" applyFont="1" applyFill="1" applyBorder="1" applyAlignment="1" applyProtection="1">
      <alignment horizontal="right" vertical="center"/>
    </xf>
    <xf numFmtId="0" fontId="7" fillId="5" borderId="0" xfId="0" applyFont="1" applyFill="1" applyBorder="1" applyAlignment="1" applyProtection="1">
      <alignment horizontal="right" vertical="center"/>
    </xf>
    <xf numFmtId="0" fontId="7" fillId="5" borderId="49" xfId="0" applyFont="1" applyFill="1" applyBorder="1" applyAlignment="1" applyProtection="1">
      <alignment horizontal="right" vertical="center"/>
    </xf>
    <xf numFmtId="0" fontId="7" fillId="5" borderId="30" xfId="0" applyFont="1" applyFill="1" applyBorder="1" applyAlignment="1" applyProtection="1">
      <alignment horizontal="right" vertical="center"/>
    </xf>
    <xf numFmtId="2" fontId="55" fillId="5" borderId="32" xfId="0" applyNumberFormat="1" applyFont="1" applyFill="1" applyBorder="1" applyAlignment="1" applyProtection="1">
      <alignment horizontal="center" vertical="center"/>
      <protection locked="0"/>
    </xf>
    <xf numFmtId="2" fontId="50" fillId="5" borderId="32" xfId="0" applyNumberFormat="1" applyFont="1" applyFill="1" applyBorder="1" applyAlignment="1" applyProtection="1">
      <alignment horizontal="center" vertical="center"/>
      <protection hidden="1"/>
    </xf>
    <xf numFmtId="2" fontId="50" fillId="5" borderId="8" xfId="0" applyNumberFormat="1" applyFont="1" applyFill="1" applyBorder="1" applyAlignment="1" applyProtection="1">
      <alignment horizontal="center" vertical="center"/>
      <protection hidden="1"/>
    </xf>
    <xf numFmtId="0" fontId="69" fillId="0" borderId="0" xfId="0" applyFont="1" applyFill="1" applyBorder="1" applyAlignment="1" applyProtection="1">
      <alignment horizontal="right" vertical="top" indent="1"/>
    </xf>
    <xf numFmtId="0" fontId="69" fillId="0" borderId="0" xfId="0" applyFont="1" applyFill="1" applyBorder="1" applyAlignment="1" applyProtection="1">
      <alignment horizontal="right" vertical="top" indent="1"/>
      <protection hidden="1"/>
    </xf>
    <xf numFmtId="0" fontId="13" fillId="2" borderId="0" xfId="0" applyFont="1" applyFill="1" applyAlignment="1" applyProtection="1">
      <alignment horizontal="right"/>
      <protection hidden="1"/>
    </xf>
    <xf numFmtId="0" fontId="50" fillId="0" borderId="0" xfId="0" applyFont="1" applyFill="1" applyBorder="1" applyAlignment="1" applyProtection="1">
      <alignment horizontal="center" vertical="top"/>
      <protection hidden="1"/>
    </xf>
    <xf numFmtId="0" fontId="59" fillId="0" borderId="0" xfId="0" applyFont="1" applyFill="1" applyBorder="1" applyAlignment="1" applyProtection="1">
      <alignment horizontal="center"/>
      <protection hidden="1"/>
    </xf>
    <xf numFmtId="165" fontId="10" fillId="7" borderId="3" xfId="0" applyNumberFormat="1" applyFont="1" applyFill="1" applyBorder="1" applyAlignment="1" applyProtection="1">
      <alignment horizontal="center" vertical="center"/>
      <protection hidden="1"/>
    </xf>
    <xf numFmtId="0" fontId="51" fillId="5" borderId="10" xfId="0" applyFont="1" applyFill="1" applyBorder="1" applyAlignment="1" applyProtection="1">
      <alignment vertical="center"/>
    </xf>
    <xf numFmtId="0" fontId="6" fillId="6" borderId="59" xfId="0" applyFont="1" applyFill="1" applyBorder="1" applyAlignment="1" applyProtection="1">
      <alignment vertical="center"/>
    </xf>
    <xf numFmtId="0" fontId="13" fillId="2" borderId="0"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0" xfId="0" applyFont="1" applyFill="1" applyAlignment="1" applyProtection="1">
      <alignment horizontal="center" vertical="center"/>
      <protection hidden="1"/>
    </xf>
    <xf numFmtId="0" fontId="35" fillId="2" borderId="0" xfId="0" applyFont="1" applyFill="1" applyAlignment="1" applyProtection="1">
      <alignment horizontal="center"/>
      <protection hidden="1"/>
    </xf>
    <xf numFmtId="0" fontId="87" fillId="2" borderId="0" xfId="0" applyFont="1" applyFill="1" applyProtection="1">
      <protection hidden="1"/>
    </xf>
    <xf numFmtId="0" fontId="13" fillId="2" borderId="11" xfId="0" applyFont="1" applyFill="1" applyBorder="1" applyProtection="1">
      <protection hidden="1"/>
    </xf>
    <xf numFmtId="165" fontId="13" fillId="2" borderId="13" xfId="0" applyNumberFormat="1" applyFont="1" applyFill="1" applyBorder="1" applyAlignment="1" applyProtection="1">
      <alignment horizontal="center" vertical="center"/>
      <protection hidden="1"/>
    </xf>
    <xf numFmtId="165" fontId="13" fillId="2" borderId="35" xfId="0" applyNumberFormat="1" applyFont="1" applyFill="1" applyBorder="1" applyAlignment="1" applyProtection="1">
      <alignment horizontal="center" vertical="center"/>
      <protection hidden="1"/>
    </xf>
    <xf numFmtId="165" fontId="13" fillId="2" borderId="81" xfId="0" applyNumberFormat="1" applyFont="1" applyFill="1" applyBorder="1" applyAlignment="1" applyProtection="1">
      <alignment horizontal="center" vertical="center"/>
      <protection hidden="1"/>
    </xf>
    <xf numFmtId="0" fontId="27" fillId="2" borderId="14" xfId="0" applyFont="1" applyFill="1" applyBorder="1" applyAlignment="1" applyProtection="1">
      <alignment horizontal="center"/>
      <protection hidden="1"/>
    </xf>
    <xf numFmtId="0" fontId="13" fillId="2" borderId="0" xfId="0" applyFont="1" applyFill="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 xfId="0" applyFont="1" applyFill="1" applyBorder="1" applyAlignment="1" applyProtection="1">
      <alignment horizontal="center" vertical="center"/>
      <protection hidden="1"/>
    </xf>
    <xf numFmtId="0" fontId="13" fillId="2" borderId="3" xfId="0" applyFont="1" applyFill="1" applyBorder="1" applyAlignment="1" applyProtection="1">
      <alignment horizontal="center" vertical="center"/>
      <protection hidden="1"/>
    </xf>
    <xf numFmtId="2" fontId="13" fillId="2" borderId="1" xfId="0" applyNumberFormat="1" applyFont="1" applyFill="1" applyBorder="1" applyAlignment="1" applyProtection="1">
      <alignment horizontal="center" vertical="center"/>
      <protection hidden="1"/>
    </xf>
    <xf numFmtId="0" fontId="33" fillId="2" borderId="30" xfId="0" applyFont="1" applyFill="1" applyBorder="1" applyAlignment="1" applyProtection="1">
      <alignment horizontal="center" vertical="center"/>
      <protection hidden="1"/>
    </xf>
    <xf numFmtId="0" fontId="14" fillId="2" borderId="4" xfId="0" applyFont="1" applyFill="1" applyBorder="1" applyAlignment="1" applyProtection="1">
      <alignment horizontal="center" vertical="center"/>
      <protection hidden="1"/>
    </xf>
    <xf numFmtId="0" fontId="88" fillId="2" borderId="0" xfId="0" applyFont="1" applyFill="1" applyProtection="1">
      <protection hidden="1"/>
    </xf>
    <xf numFmtId="0" fontId="0" fillId="2" borderId="0" xfId="0" applyFill="1" applyAlignment="1" applyProtection="1">
      <alignment horizontal="center" vertical="center"/>
      <protection hidden="1"/>
    </xf>
    <xf numFmtId="164" fontId="34" fillId="2" borderId="0" xfId="0" applyNumberFormat="1" applyFont="1" applyFill="1" applyAlignment="1" applyProtection="1">
      <alignment horizontal="center" vertical="center"/>
      <protection hidden="1"/>
    </xf>
    <xf numFmtId="164" fontId="35" fillId="2" borderId="0" xfId="0" applyNumberFormat="1" applyFont="1" applyFill="1" applyAlignment="1" applyProtection="1">
      <alignment horizontal="center"/>
      <protection hidden="1"/>
    </xf>
    <xf numFmtId="165" fontId="13" fillId="2" borderId="31" xfId="0" applyNumberFormat="1" applyFont="1" applyFill="1" applyBorder="1" applyAlignment="1" applyProtection="1">
      <alignment horizontal="center" vertical="center"/>
      <protection hidden="1"/>
    </xf>
    <xf numFmtId="165" fontId="0" fillId="2" borderId="31" xfId="0" applyNumberFormat="1" applyFill="1" applyBorder="1" applyAlignment="1" applyProtection="1">
      <alignment horizontal="center"/>
      <protection hidden="1"/>
    </xf>
    <xf numFmtId="165" fontId="13" fillId="2" borderId="7" xfId="0" applyNumberFormat="1" applyFont="1" applyFill="1" applyBorder="1" applyAlignment="1" applyProtection="1">
      <alignment horizontal="center" vertical="center"/>
      <protection hidden="1"/>
    </xf>
    <xf numFmtId="165" fontId="0" fillId="2" borderId="0" xfId="0" applyNumberFormat="1" applyFill="1" applyBorder="1" applyAlignment="1" applyProtection="1">
      <alignment horizontal="center"/>
      <protection hidden="1"/>
    </xf>
    <xf numFmtId="165" fontId="13" fillId="2" borderId="33" xfId="0" applyNumberFormat="1" applyFont="1" applyFill="1" applyBorder="1" applyAlignment="1" applyProtection="1">
      <alignment horizontal="center" vertical="center"/>
      <protection hidden="1"/>
    </xf>
    <xf numFmtId="165" fontId="13" fillId="2" borderId="30" xfId="0" applyNumberFormat="1" applyFont="1" applyFill="1" applyBorder="1" applyAlignment="1" applyProtection="1">
      <alignment horizontal="center" vertical="center"/>
      <protection hidden="1"/>
    </xf>
    <xf numFmtId="165" fontId="0" fillId="2" borderId="30" xfId="0" applyNumberFormat="1" applyFill="1" applyBorder="1" applyAlignment="1" applyProtection="1">
      <alignment horizontal="center"/>
      <protection hidden="1"/>
    </xf>
    <xf numFmtId="165" fontId="13" fillId="2" borderId="9" xfId="0" applyNumberFormat="1" applyFont="1" applyFill="1" applyBorder="1" applyAlignment="1" applyProtection="1">
      <alignment horizontal="center" vertical="center"/>
      <protection hidden="1"/>
    </xf>
    <xf numFmtId="165" fontId="0" fillId="2" borderId="33" xfId="0" applyNumberFormat="1" applyFill="1" applyBorder="1" applyAlignment="1" applyProtection="1">
      <alignment horizontal="center"/>
      <protection hidden="1"/>
    </xf>
    <xf numFmtId="0" fontId="61" fillId="2" borderId="0" xfId="0" applyFont="1" applyFill="1" applyAlignment="1" applyProtection="1">
      <alignment horizontal="right" vertical="center"/>
      <protection hidden="1"/>
    </xf>
    <xf numFmtId="0" fontId="89" fillId="2" borderId="0" xfId="0" applyFont="1" applyFill="1" applyAlignment="1" applyProtection="1">
      <alignment horizontal="right" vertical="center"/>
      <protection hidden="1"/>
    </xf>
    <xf numFmtId="2" fontId="13" fillId="2" borderId="0" xfId="0" applyNumberFormat="1" applyFont="1" applyFill="1" applyAlignment="1" applyProtection="1">
      <alignment horizontal="right" vertical="center"/>
      <protection hidden="1"/>
    </xf>
    <xf numFmtId="165" fontId="13" fillId="2" borderId="0" xfId="0" applyNumberFormat="1" applyFont="1" applyFill="1" applyAlignment="1" applyProtection="1">
      <alignment vertical="center"/>
      <protection hidden="1"/>
    </xf>
    <xf numFmtId="0" fontId="4" fillId="5" borderId="0" xfId="0" applyNumberFormat="1" applyFont="1" applyFill="1" applyBorder="1" applyAlignment="1" applyProtection="1">
      <alignment vertical="center"/>
      <protection hidden="1"/>
    </xf>
    <xf numFmtId="0" fontId="4" fillId="0" borderId="26" xfId="0" applyNumberFormat="1" applyFont="1" applyFill="1" applyBorder="1" applyAlignment="1" applyProtection="1">
      <alignment vertical="center" textRotation="90"/>
      <protection hidden="1"/>
    </xf>
    <xf numFmtId="0" fontId="4" fillId="0" borderId="0" xfId="0" applyNumberFormat="1" applyFont="1" applyFill="1" applyBorder="1" applyAlignment="1" applyProtection="1">
      <alignment vertical="center" textRotation="90"/>
      <protection hidden="1"/>
    </xf>
    <xf numFmtId="0" fontId="4" fillId="0" borderId="29" xfId="0" applyNumberFormat="1" applyFont="1" applyFill="1" applyBorder="1" applyAlignment="1" applyProtection="1">
      <alignment vertical="center" textRotation="90"/>
      <protection hidden="1"/>
    </xf>
    <xf numFmtId="0" fontId="13" fillId="10" borderId="2" xfId="0" applyFont="1" applyFill="1" applyBorder="1" applyAlignment="1" applyProtection="1">
      <alignment vertical="center"/>
      <protection hidden="1"/>
    </xf>
    <xf numFmtId="0" fontId="13" fillId="10" borderId="36" xfId="0" applyFont="1" applyFill="1" applyBorder="1" applyAlignment="1" applyProtection="1">
      <alignment vertical="center"/>
      <protection hidden="1"/>
    </xf>
    <xf numFmtId="0" fontId="13" fillId="10" borderId="3" xfId="0" applyFont="1" applyFill="1" applyBorder="1" applyAlignment="1" applyProtection="1">
      <alignment vertical="center"/>
      <protection hidden="1"/>
    </xf>
    <xf numFmtId="2" fontId="13" fillId="2" borderId="27" xfId="0" applyNumberFormat="1" applyFont="1" applyFill="1" applyBorder="1" applyAlignment="1" applyProtection="1">
      <alignment horizontal="center" vertical="center"/>
      <protection hidden="1"/>
    </xf>
    <xf numFmtId="165" fontId="13" fillId="2" borderId="3" xfId="0" applyNumberFormat="1" applyFont="1" applyFill="1" applyBorder="1" applyAlignment="1" applyProtection="1">
      <alignment horizontal="center" vertical="center"/>
      <protection hidden="1"/>
    </xf>
    <xf numFmtId="165" fontId="13" fillId="2" borderId="11" xfId="0" applyNumberFormat="1" applyFont="1" applyFill="1" applyBorder="1" applyAlignment="1" applyProtection="1">
      <alignment horizontal="center" vertical="center"/>
      <protection hidden="1"/>
    </xf>
    <xf numFmtId="165" fontId="13" fillId="2" borderId="12" xfId="0" applyNumberFormat="1" applyFont="1" applyFill="1" applyBorder="1" applyAlignment="1" applyProtection="1">
      <alignment horizontal="center" vertical="center"/>
      <protection hidden="1"/>
    </xf>
    <xf numFmtId="165" fontId="13" fillId="2" borderId="34" xfId="0" applyNumberFormat="1" applyFont="1" applyFill="1" applyBorder="1" applyAlignment="1" applyProtection="1">
      <alignment horizontal="center" vertical="center"/>
      <protection hidden="1"/>
    </xf>
    <xf numFmtId="165" fontId="13" fillId="2" borderId="14" xfId="0" applyNumberFormat="1" applyFont="1" applyFill="1" applyBorder="1" applyAlignment="1" applyProtection="1">
      <alignment horizontal="center" vertical="center"/>
      <protection hidden="1"/>
    </xf>
    <xf numFmtId="165" fontId="13" fillId="2" borderId="15" xfId="0" applyNumberFormat="1" applyFont="1" applyFill="1" applyBorder="1" applyAlignment="1" applyProtection="1">
      <alignment horizontal="center" vertical="center"/>
      <protection hidden="1"/>
    </xf>
    <xf numFmtId="165" fontId="13" fillId="2" borderId="16" xfId="0" applyNumberFormat="1" applyFont="1" applyFill="1" applyBorder="1" applyAlignment="1" applyProtection="1">
      <alignment horizontal="center" vertical="center"/>
      <protection hidden="1"/>
    </xf>
    <xf numFmtId="0" fontId="45" fillId="0" borderId="6" xfId="0" applyFont="1" applyFill="1" applyBorder="1" applyAlignment="1" applyProtection="1">
      <alignment vertical="center"/>
    </xf>
    <xf numFmtId="0" fontId="42" fillId="0" borderId="31" xfId="0" applyFont="1" applyFill="1" applyBorder="1" applyAlignment="1" applyProtection="1">
      <alignment vertical="center" wrapText="1"/>
    </xf>
    <xf numFmtId="0" fontId="45" fillId="0" borderId="32" xfId="0" applyFont="1" applyFill="1" applyBorder="1" applyAlignment="1" applyProtection="1">
      <alignment vertical="center"/>
    </xf>
    <xf numFmtId="0" fontId="42" fillId="0" borderId="0" xfId="0" applyFont="1" applyFill="1" applyBorder="1" applyAlignment="1" applyProtection="1">
      <alignment vertical="center" wrapText="1"/>
    </xf>
    <xf numFmtId="0" fontId="0" fillId="0" borderId="0" xfId="0" applyFill="1" applyBorder="1" applyAlignment="1" applyProtection="1"/>
    <xf numFmtId="0" fontId="72" fillId="0" borderId="29" xfId="1" applyFont="1" applyFill="1" applyBorder="1" applyAlignment="1" applyProtection="1"/>
    <xf numFmtId="0" fontId="0" fillId="3" borderId="0" xfId="0" applyFill="1" applyProtection="1">
      <protection locked="0"/>
    </xf>
    <xf numFmtId="0" fontId="0" fillId="2" borderId="0" xfId="0" applyFill="1"/>
    <xf numFmtId="0" fontId="0" fillId="2" borderId="0" xfId="0" applyFill="1" applyAlignment="1">
      <alignment horizontal="right"/>
    </xf>
    <xf numFmtId="0" fontId="0" fillId="3" borderId="0" xfId="0" applyFill="1"/>
    <xf numFmtId="49" fontId="0" fillId="3" borderId="0" xfId="0" applyNumberFormat="1" applyFill="1"/>
    <xf numFmtId="0" fontId="12" fillId="3" borderId="0" xfId="2" applyFill="1"/>
    <xf numFmtId="0" fontId="46" fillId="0" borderId="6" xfId="2" applyFont="1" applyFill="1" applyBorder="1" applyAlignment="1">
      <alignment vertical="center" wrapText="1"/>
    </xf>
    <xf numFmtId="0" fontId="46" fillId="0" borderId="31" xfId="2" applyFont="1" applyFill="1" applyBorder="1" applyAlignment="1">
      <alignment vertical="center" wrapText="1"/>
    </xf>
    <xf numFmtId="0" fontId="46" fillId="0" borderId="7" xfId="2" applyFont="1" applyFill="1" applyBorder="1" applyAlignment="1">
      <alignment vertical="center" wrapText="1"/>
    </xf>
    <xf numFmtId="0" fontId="46" fillId="0" borderId="32" xfId="2" applyFont="1" applyFill="1" applyBorder="1" applyAlignment="1">
      <alignment vertical="center" wrapText="1"/>
    </xf>
    <xf numFmtId="0" fontId="46" fillId="0" borderId="33" xfId="2" applyFont="1" applyFill="1" applyBorder="1" applyAlignment="1">
      <alignment vertical="center" wrapText="1"/>
    </xf>
    <xf numFmtId="0" fontId="46" fillId="0" borderId="8" xfId="2" applyFont="1" applyFill="1" applyBorder="1" applyAlignment="1">
      <alignment vertical="center" wrapText="1"/>
    </xf>
    <xf numFmtId="0" fontId="46" fillId="0" borderId="30" xfId="2" applyFont="1" applyFill="1" applyBorder="1" applyAlignment="1">
      <alignment vertical="center" wrapText="1"/>
    </xf>
    <xf numFmtId="0" fontId="46" fillId="0" borderId="9" xfId="2" applyFont="1" applyFill="1" applyBorder="1" applyAlignment="1">
      <alignment vertical="center" wrapText="1"/>
    </xf>
    <xf numFmtId="0" fontId="12" fillId="3" borderId="0" xfId="2" applyFill="1" applyAlignment="1" applyProtection="1">
      <alignment horizontal="center"/>
      <protection locked="0"/>
    </xf>
    <xf numFmtId="0" fontId="46" fillId="0" borderId="6" xfId="0" applyFont="1" applyFill="1" applyBorder="1" applyAlignment="1">
      <alignment vertical="center" wrapText="1"/>
    </xf>
    <xf numFmtId="0" fontId="46" fillId="0" borderId="7" xfId="0" applyFont="1" applyFill="1" applyBorder="1" applyAlignment="1">
      <alignment vertical="center"/>
    </xf>
    <xf numFmtId="0" fontId="12" fillId="3" borderId="0" xfId="2" applyFill="1" applyAlignment="1">
      <alignment horizontal="left"/>
    </xf>
    <xf numFmtId="0" fontId="46" fillId="0" borderId="32" xfId="0" applyFont="1" applyFill="1" applyBorder="1" applyAlignment="1">
      <alignment vertical="center" wrapText="1"/>
    </xf>
    <xf numFmtId="0" fontId="46" fillId="0" borderId="33" xfId="0" applyFont="1" applyFill="1" applyBorder="1" applyAlignment="1">
      <alignment vertical="center"/>
    </xf>
    <xf numFmtId="0" fontId="46" fillId="0" borderId="8" xfId="0" applyFont="1" applyFill="1" applyBorder="1" applyAlignment="1">
      <alignment vertical="center"/>
    </xf>
    <xf numFmtId="0" fontId="46" fillId="0" borderId="9" xfId="0" applyFont="1" applyFill="1" applyBorder="1" applyAlignment="1">
      <alignment vertical="center"/>
    </xf>
    <xf numFmtId="0" fontId="12" fillId="0" borderId="0" xfId="2"/>
    <xf numFmtId="0" fontId="46" fillId="0" borderId="31" xfId="0" applyFont="1" applyFill="1" applyBorder="1" applyAlignment="1">
      <alignment vertical="center" wrapText="1"/>
    </xf>
    <xf numFmtId="0" fontId="46" fillId="0" borderId="7" xfId="0" applyFont="1" applyFill="1" applyBorder="1" applyAlignment="1">
      <alignment vertical="center" wrapText="1"/>
    </xf>
    <xf numFmtId="0" fontId="46" fillId="0" borderId="33" xfId="0" applyFont="1" applyFill="1" applyBorder="1" applyAlignment="1">
      <alignment vertical="center" wrapText="1"/>
    </xf>
    <xf numFmtId="0" fontId="46" fillId="0" borderId="8" xfId="0" applyFont="1" applyFill="1" applyBorder="1" applyAlignment="1">
      <alignment vertical="center" wrapText="1"/>
    </xf>
    <xf numFmtId="0" fontId="46" fillId="0" borderId="30" xfId="0" applyFont="1" applyFill="1" applyBorder="1" applyAlignment="1">
      <alignment vertical="center" wrapText="1"/>
    </xf>
    <xf numFmtId="0" fontId="46" fillId="0" borderId="9" xfId="0" applyFont="1" applyFill="1" applyBorder="1" applyAlignment="1">
      <alignment vertical="center" wrapText="1"/>
    </xf>
    <xf numFmtId="0" fontId="2" fillId="5" borderId="0" xfId="0" applyNumberFormat="1" applyFont="1" applyFill="1" applyBorder="1" applyAlignment="1" applyProtection="1">
      <alignment vertical="center"/>
      <protection hidden="1"/>
    </xf>
    <xf numFmtId="0" fontId="2" fillId="0" borderId="26" xfId="0" applyNumberFormat="1" applyFont="1" applyFill="1" applyBorder="1" applyAlignment="1" applyProtection="1">
      <alignment vertical="center" textRotation="90"/>
      <protection hidden="1"/>
    </xf>
    <xf numFmtId="0" fontId="2" fillId="0" borderId="0" xfId="0" applyNumberFormat="1" applyFont="1" applyFill="1" applyBorder="1" applyAlignment="1" applyProtection="1">
      <alignment vertical="center" textRotation="90"/>
      <protection hidden="1"/>
    </xf>
    <xf numFmtId="0" fontId="2" fillId="0" borderId="29" xfId="0" applyNumberFormat="1" applyFont="1" applyFill="1" applyBorder="1" applyAlignment="1" applyProtection="1">
      <alignment vertical="center" textRotation="90"/>
      <protection hidden="1"/>
    </xf>
    <xf numFmtId="0" fontId="13" fillId="9" borderId="1" xfId="0" applyFont="1" applyFill="1" applyBorder="1" applyAlignment="1" applyProtection="1">
      <alignment horizontal="center"/>
      <protection hidden="1"/>
    </xf>
    <xf numFmtId="2" fontId="13" fillId="4" borderId="12" xfId="0" applyNumberFormat="1" applyFont="1" applyFill="1" applyBorder="1" applyAlignment="1" applyProtection="1">
      <alignment horizontal="center"/>
      <protection hidden="1"/>
    </xf>
    <xf numFmtId="1" fontId="17" fillId="5" borderId="0" xfId="0" applyNumberFormat="1" applyFont="1" applyFill="1" applyBorder="1" applyAlignment="1" applyProtection="1">
      <alignment horizontal="center"/>
      <protection hidden="1"/>
    </xf>
    <xf numFmtId="0" fontId="61" fillId="0" borderId="30" xfId="0" applyFont="1" applyBorder="1" applyAlignment="1" applyProtection="1">
      <alignment horizontal="center"/>
      <protection hidden="1"/>
    </xf>
    <xf numFmtId="0" fontId="91" fillId="0" borderId="31" xfId="0" applyFont="1" applyBorder="1" applyAlignment="1" applyProtection="1">
      <alignment horizontal="right" vertical="center" indent="1"/>
      <protection hidden="1"/>
    </xf>
    <xf numFmtId="0" fontId="50" fillId="5" borderId="32" xfId="0" applyFont="1" applyFill="1" applyBorder="1" applyAlignment="1" applyProtection="1">
      <alignment horizontal="left" vertical="center" indent="2"/>
      <protection locked="0"/>
    </xf>
    <xf numFmtId="0" fontId="50" fillId="5" borderId="0" xfId="0" applyFont="1" applyFill="1" applyBorder="1" applyAlignment="1" applyProtection="1">
      <alignment horizontal="left" vertical="center" indent="2"/>
      <protection locked="0"/>
    </xf>
    <xf numFmtId="0" fontId="50" fillId="5" borderId="33" xfId="0" applyFont="1" applyFill="1" applyBorder="1" applyAlignment="1" applyProtection="1">
      <alignment horizontal="left" vertical="center" indent="2"/>
      <protection locked="0"/>
    </xf>
    <xf numFmtId="0" fontId="13" fillId="2" borderId="22" xfId="0" applyFont="1" applyFill="1" applyBorder="1" applyAlignment="1" applyProtection="1">
      <alignment horizontal="center" vertical="center"/>
      <protection hidden="1"/>
    </xf>
    <xf numFmtId="0" fontId="13" fillId="2" borderId="23" xfId="0" applyFont="1" applyFill="1" applyBorder="1" applyAlignment="1" applyProtection="1">
      <alignment horizontal="center" vertical="center"/>
      <protection hidden="1"/>
    </xf>
    <xf numFmtId="0" fontId="61" fillId="2" borderId="29" xfId="0" applyFont="1" applyFill="1" applyBorder="1" applyAlignment="1" applyProtection="1">
      <alignment horizontal="center" vertical="center"/>
      <protection hidden="1"/>
    </xf>
    <xf numFmtId="0" fontId="61" fillId="2" borderId="22" xfId="0" applyFont="1" applyFill="1" applyBorder="1" applyAlignment="1" applyProtection="1">
      <alignment horizontal="center" vertical="center"/>
      <protection hidden="1"/>
    </xf>
    <xf numFmtId="0" fontId="61" fillId="2" borderId="23" xfId="0" applyFont="1" applyFill="1" applyBorder="1" applyAlignment="1" applyProtection="1">
      <alignment horizontal="center" vertical="center"/>
      <protection hidden="1"/>
    </xf>
    <xf numFmtId="0" fontId="55" fillId="14" borderId="0" xfId="0" applyFont="1" applyFill="1" applyBorder="1" applyAlignment="1" applyProtection="1">
      <alignment horizontal="center"/>
    </xf>
    <xf numFmtId="0" fontId="55" fillId="14" borderId="33" xfId="0" applyFont="1" applyFill="1" applyBorder="1" applyAlignment="1" applyProtection="1">
      <alignment horizontal="center"/>
    </xf>
    <xf numFmtId="2" fontId="11" fillId="5" borderId="0" xfId="0" applyNumberFormat="1" applyFont="1" applyFill="1" applyBorder="1" applyAlignment="1" applyProtection="1">
      <alignment horizontal="center" vertical="center"/>
      <protection hidden="1"/>
    </xf>
    <xf numFmtId="0" fontId="55" fillId="5" borderId="0" xfId="0" applyFont="1" applyFill="1" applyBorder="1" applyAlignment="1" applyProtection="1">
      <alignment horizontal="center" vertical="center"/>
      <protection locked="0"/>
    </xf>
    <xf numFmtId="0" fontId="55" fillId="5" borderId="33" xfId="0" applyFont="1" applyFill="1" applyBorder="1" applyAlignment="1" applyProtection="1">
      <alignment horizontal="center" vertical="center"/>
      <protection locked="0"/>
    </xf>
    <xf numFmtId="0" fontId="55" fillId="5" borderId="52" xfId="0" applyFont="1" applyFill="1" applyBorder="1" applyAlignment="1" applyProtection="1">
      <alignment horizontal="center" vertical="center"/>
      <protection locked="0"/>
    </xf>
    <xf numFmtId="0" fontId="50" fillId="5" borderId="32" xfId="0" applyFont="1" applyFill="1" applyBorder="1" applyAlignment="1" applyProtection="1">
      <alignment horizontal="right" vertical="center"/>
    </xf>
    <xf numFmtId="0" fontId="50" fillId="5" borderId="0" xfId="0" applyFont="1" applyFill="1" applyBorder="1" applyAlignment="1" applyProtection="1">
      <alignment horizontal="right" vertical="center"/>
    </xf>
    <xf numFmtId="2" fontId="44" fillId="6" borderId="76" xfId="0" applyNumberFormat="1" applyFont="1" applyFill="1" applyBorder="1" applyAlignment="1" applyProtection="1">
      <alignment horizontal="center" vertical="center"/>
      <protection hidden="1"/>
    </xf>
    <xf numFmtId="2" fontId="44" fillId="5" borderId="30" xfId="0" applyNumberFormat="1" applyFont="1" applyFill="1" applyBorder="1" applyAlignment="1" applyProtection="1">
      <alignment horizontal="center"/>
      <protection hidden="1"/>
    </xf>
    <xf numFmtId="2" fontId="44" fillId="5" borderId="9" xfId="0" applyNumberFormat="1" applyFont="1" applyFill="1" applyBorder="1" applyAlignment="1" applyProtection="1">
      <alignment horizontal="center"/>
      <protection hidden="1"/>
    </xf>
    <xf numFmtId="0" fontId="17" fillId="2" borderId="26" xfId="0" applyFont="1" applyFill="1" applyBorder="1" applyAlignment="1" applyProtection="1">
      <alignment horizontal="center"/>
      <protection hidden="1"/>
    </xf>
    <xf numFmtId="0" fontId="17" fillId="2" borderId="0" xfId="0" applyFont="1" applyFill="1" applyBorder="1" applyAlignment="1" applyProtection="1">
      <alignment horizontal="center" vertical="center"/>
      <protection hidden="1"/>
    </xf>
    <xf numFmtId="0" fontId="13" fillId="2" borderId="25" xfId="0" applyFont="1" applyFill="1" applyBorder="1" applyAlignment="1" applyProtection="1">
      <alignment horizontal="center" vertical="center"/>
      <protection hidden="1"/>
    </xf>
    <xf numFmtId="0" fontId="44" fillId="7" borderId="10" xfId="0" applyFont="1" applyFill="1" applyBorder="1" applyAlignment="1" applyProtection="1">
      <alignment horizontal="center" vertical="center"/>
      <protection hidden="1"/>
    </xf>
    <xf numFmtId="0" fontId="44" fillId="7" borderId="17" xfId="0" applyFont="1" applyFill="1" applyBorder="1" applyAlignment="1" applyProtection="1">
      <alignment horizontal="center" vertical="center"/>
      <protection hidden="1"/>
    </xf>
    <xf numFmtId="0" fontId="44" fillId="7" borderId="5" xfId="0" applyFont="1" applyFill="1" applyBorder="1" applyAlignment="1" applyProtection="1">
      <alignment horizontal="center" vertical="center"/>
      <protection hidden="1"/>
    </xf>
    <xf numFmtId="0" fontId="13" fillId="2" borderId="0" xfId="0" applyFont="1" applyFill="1" applyAlignment="1" applyProtection="1">
      <alignment horizontal="center" vertical="center" wrapText="1"/>
      <protection hidden="1"/>
    </xf>
    <xf numFmtId="0" fontId="11" fillId="5" borderId="32" xfId="0" applyFont="1" applyFill="1" applyBorder="1" applyAlignment="1" applyProtection="1">
      <alignment horizontal="right" vertical="center"/>
    </xf>
    <xf numFmtId="0" fontId="11" fillId="5" borderId="0" xfId="0" applyFont="1" applyFill="1" applyBorder="1" applyAlignment="1" applyProtection="1">
      <alignment horizontal="right" vertical="center"/>
    </xf>
    <xf numFmtId="2" fontId="50" fillId="5" borderId="0" xfId="0" applyNumberFormat="1" applyFont="1" applyFill="1" applyBorder="1" applyAlignment="1" applyProtection="1">
      <alignment horizontal="center" vertical="center"/>
      <protection hidden="1"/>
    </xf>
    <xf numFmtId="2" fontId="50" fillId="5" borderId="33" xfId="0" applyNumberFormat="1" applyFont="1" applyFill="1" applyBorder="1" applyAlignment="1" applyProtection="1">
      <alignment horizontal="center" vertical="center"/>
      <protection hidden="1"/>
    </xf>
    <xf numFmtId="0" fontId="11" fillId="5" borderId="8" xfId="0" applyFont="1" applyFill="1" applyBorder="1" applyAlignment="1" applyProtection="1">
      <alignment horizontal="right" vertical="center"/>
    </xf>
    <xf numFmtId="0" fontId="11" fillId="5" borderId="30" xfId="0" applyFont="1" applyFill="1" applyBorder="1" applyAlignment="1" applyProtection="1">
      <alignment horizontal="right" vertical="center"/>
    </xf>
    <xf numFmtId="0" fontId="50" fillId="5" borderId="8" xfId="0" applyFont="1" applyFill="1" applyBorder="1" applyAlignment="1" applyProtection="1">
      <alignment horizontal="right" vertical="center"/>
    </xf>
    <xf numFmtId="0" fontId="50" fillId="5" borderId="30" xfId="0" applyFont="1" applyFill="1" applyBorder="1" applyAlignment="1" applyProtection="1">
      <alignment horizontal="right" vertical="center"/>
    </xf>
    <xf numFmtId="165" fontId="51" fillId="5" borderId="30" xfId="0" applyNumberFormat="1" applyFont="1" applyFill="1" applyBorder="1" applyAlignment="1" applyProtection="1">
      <alignment horizontal="center" vertical="center"/>
      <protection hidden="1"/>
    </xf>
    <xf numFmtId="165" fontId="51" fillId="5" borderId="9" xfId="0" applyNumberFormat="1" applyFont="1" applyFill="1" applyBorder="1" applyAlignment="1" applyProtection="1">
      <alignment horizontal="center" vertical="center"/>
      <protection hidden="1"/>
    </xf>
    <xf numFmtId="0" fontId="11" fillId="5" borderId="32" xfId="0" applyFont="1" applyFill="1" applyBorder="1" applyAlignment="1" applyProtection="1">
      <alignment horizontal="right" vertical="center"/>
      <protection hidden="1"/>
    </xf>
    <xf numFmtId="0" fontId="11" fillId="5" borderId="0" xfId="0" applyFont="1" applyFill="1" applyBorder="1" applyAlignment="1" applyProtection="1">
      <alignment horizontal="right" vertical="center"/>
      <protection hidden="1"/>
    </xf>
    <xf numFmtId="0" fontId="11" fillId="5" borderId="33" xfId="0" applyFont="1" applyFill="1" applyBorder="1" applyAlignment="1" applyProtection="1">
      <alignment horizontal="right" vertical="center"/>
      <protection hidden="1"/>
    </xf>
    <xf numFmtId="0" fontId="11" fillId="5" borderId="8" xfId="0" applyFont="1" applyFill="1" applyBorder="1" applyAlignment="1" applyProtection="1">
      <alignment horizontal="right" vertical="center"/>
      <protection hidden="1"/>
    </xf>
    <xf numFmtId="0" fontId="11" fillId="5" borderId="30" xfId="0" applyFont="1" applyFill="1" applyBorder="1" applyAlignment="1" applyProtection="1">
      <alignment horizontal="right" vertical="center"/>
      <protection hidden="1"/>
    </xf>
    <xf numFmtId="0" fontId="11" fillId="5" borderId="9" xfId="0" applyFont="1" applyFill="1" applyBorder="1" applyAlignment="1" applyProtection="1">
      <alignment horizontal="right" vertical="center"/>
      <protection hidden="1"/>
    </xf>
    <xf numFmtId="2" fontId="11" fillId="5" borderId="33" xfId="0" applyNumberFormat="1" applyFont="1" applyFill="1" applyBorder="1" applyAlignment="1" applyProtection="1">
      <alignment horizontal="center" vertical="center"/>
      <protection hidden="1"/>
    </xf>
    <xf numFmtId="2" fontId="55" fillId="5" borderId="31" xfId="0" applyNumberFormat="1" applyFont="1" applyFill="1" applyBorder="1" applyAlignment="1" applyProtection="1">
      <alignment horizontal="center" vertical="center"/>
      <protection locked="0"/>
    </xf>
    <xf numFmtId="2" fontId="55" fillId="5" borderId="7" xfId="0" applyNumberFormat="1" applyFont="1" applyFill="1" applyBorder="1" applyAlignment="1" applyProtection="1">
      <alignment horizontal="center" vertical="center"/>
      <protection locked="0"/>
    </xf>
    <xf numFmtId="2" fontId="5" fillId="5" borderId="0" xfId="0" applyNumberFormat="1" applyFont="1" applyFill="1" applyBorder="1" applyAlignment="1" applyProtection="1">
      <alignment horizontal="center" vertical="center"/>
      <protection hidden="1"/>
    </xf>
    <xf numFmtId="0" fontId="51" fillId="6" borderId="55" xfId="0" applyFont="1" applyFill="1" applyBorder="1" applyAlignment="1" applyProtection="1">
      <alignment horizontal="center" vertical="center"/>
      <protection hidden="1"/>
    </xf>
    <xf numFmtId="0" fontId="50" fillId="6" borderId="54" xfId="0" applyFont="1" applyFill="1" applyBorder="1" applyAlignment="1" applyProtection="1">
      <alignment horizontal="right" vertical="center"/>
    </xf>
    <xf numFmtId="0" fontId="50" fillId="6" borderId="55" xfId="0" applyFont="1" applyFill="1" applyBorder="1" applyAlignment="1" applyProtection="1">
      <alignment horizontal="right" vertical="center"/>
    </xf>
    <xf numFmtId="0" fontId="50" fillId="5" borderId="57" xfId="0" applyFont="1" applyFill="1" applyBorder="1" applyAlignment="1" applyProtection="1">
      <alignment horizontal="right"/>
    </xf>
    <xf numFmtId="0" fontId="50" fillId="5" borderId="58" xfId="0" applyFont="1" applyFill="1" applyBorder="1" applyAlignment="1" applyProtection="1">
      <alignment horizontal="right"/>
    </xf>
    <xf numFmtId="0" fontId="51" fillId="5" borderId="10" xfId="0" applyFont="1" applyFill="1" applyBorder="1" applyAlignment="1" applyProtection="1">
      <alignment horizontal="center" vertical="center"/>
    </xf>
    <xf numFmtId="0" fontId="51" fillId="5" borderId="17" xfId="0" applyFont="1" applyFill="1" applyBorder="1" applyAlignment="1" applyProtection="1">
      <alignment horizontal="center" vertical="center"/>
    </xf>
    <xf numFmtId="0" fontId="51" fillId="5" borderId="5" xfId="0" applyFont="1" applyFill="1" applyBorder="1" applyAlignment="1" applyProtection="1">
      <alignment horizontal="center" vertical="center"/>
    </xf>
    <xf numFmtId="165" fontId="11" fillId="5" borderId="0" xfId="0" applyNumberFormat="1" applyFont="1" applyFill="1" applyBorder="1" applyAlignment="1" applyProtection="1">
      <alignment horizontal="center" vertical="center"/>
      <protection hidden="1"/>
    </xf>
    <xf numFmtId="165" fontId="11" fillId="5" borderId="33" xfId="0" applyNumberFormat="1" applyFont="1" applyFill="1" applyBorder="1" applyAlignment="1" applyProtection="1">
      <alignment horizontal="center" vertical="center"/>
      <protection hidden="1"/>
    </xf>
    <xf numFmtId="164" fontId="11" fillId="5" borderId="0" xfId="0" applyNumberFormat="1" applyFont="1" applyFill="1" applyBorder="1" applyAlignment="1" applyProtection="1">
      <alignment horizontal="center" vertical="center"/>
      <protection hidden="1"/>
    </xf>
    <xf numFmtId="164" fontId="11" fillId="5" borderId="33" xfId="0" applyNumberFormat="1" applyFont="1" applyFill="1" applyBorder="1" applyAlignment="1" applyProtection="1">
      <alignment horizontal="center" vertical="center"/>
      <protection hidden="1"/>
    </xf>
    <xf numFmtId="0" fontId="11" fillId="5" borderId="32" xfId="0" applyFont="1" applyFill="1" applyBorder="1" applyAlignment="1" applyProtection="1">
      <alignment horizontal="center" vertical="center"/>
      <protection hidden="1"/>
    </xf>
    <xf numFmtId="0" fontId="11" fillId="5" borderId="0" xfId="0" applyFont="1" applyFill="1" applyBorder="1" applyAlignment="1" applyProtection="1">
      <alignment horizontal="center" vertical="center"/>
      <protection hidden="1"/>
    </xf>
    <xf numFmtId="0" fontId="11" fillId="5" borderId="33" xfId="0" applyFont="1" applyFill="1" applyBorder="1" applyAlignment="1" applyProtection="1">
      <alignment horizontal="center" vertical="center"/>
      <protection hidden="1"/>
    </xf>
    <xf numFmtId="0" fontId="13" fillId="2" borderId="0"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164" fontId="55" fillId="5" borderId="0" xfId="0" applyNumberFormat="1" applyFont="1" applyFill="1" applyBorder="1" applyAlignment="1" applyProtection="1">
      <alignment horizontal="center" vertical="center"/>
      <protection locked="0"/>
    </xf>
    <xf numFmtId="164" fontId="55" fillId="5" borderId="33" xfId="0" applyNumberFormat="1" applyFont="1" applyFill="1" applyBorder="1" applyAlignment="1" applyProtection="1">
      <alignment horizontal="center" vertical="center"/>
      <protection locked="0"/>
    </xf>
    <xf numFmtId="2" fontId="50" fillId="5" borderId="30" xfId="0" applyNumberFormat="1" applyFont="1" applyFill="1" applyBorder="1" applyAlignment="1" applyProtection="1">
      <alignment horizontal="center" vertical="center"/>
      <protection hidden="1"/>
    </xf>
    <xf numFmtId="2" fontId="50" fillId="5" borderId="9" xfId="0" applyNumberFormat="1" applyFont="1" applyFill="1" applyBorder="1" applyAlignment="1" applyProtection="1">
      <alignment horizontal="center" vertical="center"/>
      <protection hidden="1"/>
    </xf>
    <xf numFmtId="0" fontId="3" fillId="5" borderId="32" xfId="0" applyFont="1" applyFill="1" applyBorder="1" applyAlignment="1" applyProtection="1">
      <alignment horizontal="right" vertical="center"/>
      <protection hidden="1"/>
    </xf>
    <xf numFmtId="164" fontId="55" fillId="14" borderId="0" xfId="0" applyNumberFormat="1" applyFont="1" applyFill="1" applyBorder="1" applyAlignment="1" applyProtection="1">
      <alignment horizontal="center" vertical="center"/>
    </xf>
    <xf numFmtId="164" fontId="55" fillId="14" borderId="33" xfId="0" applyNumberFormat="1" applyFont="1" applyFill="1" applyBorder="1" applyAlignment="1" applyProtection="1">
      <alignment horizontal="center" vertical="center"/>
    </xf>
    <xf numFmtId="0" fontId="50" fillId="5" borderId="32" xfId="0" applyFont="1" applyFill="1" applyBorder="1" applyAlignment="1" applyProtection="1">
      <alignment horizontal="right" vertical="center" shrinkToFit="1"/>
    </xf>
    <xf numFmtId="0" fontId="50" fillId="5" borderId="0" xfId="0" applyFont="1" applyFill="1" applyBorder="1" applyAlignment="1" applyProtection="1">
      <alignment horizontal="right" vertical="center" shrinkToFit="1"/>
    </xf>
    <xf numFmtId="0" fontId="51" fillId="6" borderId="49" xfId="0" applyFont="1" applyFill="1" applyBorder="1" applyAlignment="1" applyProtection="1">
      <alignment horizontal="center" vertical="center"/>
      <protection hidden="1"/>
    </xf>
    <xf numFmtId="0" fontId="50" fillId="6" borderId="57"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50" fillId="5" borderId="51" xfId="0" applyFont="1" applyFill="1" applyBorder="1" applyAlignment="1" applyProtection="1">
      <alignment horizontal="right" vertical="center"/>
    </xf>
    <xf numFmtId="0" fontId="50" fillId="5" borderId="52" xfId="0" applyFont="1" applyFill="1" applyBorder="1" applyAlignment="1" applyProtection="1">
      <alignment horizontal="right" vertical="center"/>
    </xf>
    <xf numFmtId="0" fontId="17" fillId="2" borderId="0" xfId="0" applyFont="1" applyFill="1" applyAlignment="1" applyProtection="1">
      <alignment horizontal="right" vertical="center" textRotation="90"/>
      <protection hidden="1"/>
    </xf>
    <xf numFmtId="0" fontId="17" fillId="2" borderId="27" xfId="0" applyFont="1" applyFill="1" applyBorder="1" applyAlignment="1" applyProtection="1">
      <alignment horizontal="right" vertical="center" textRotation="90"/>
      <protection hidden="1"/>
    </xf>
    <xf numFmtId="0" fontId="62" fillId="5" borderId="6" xfId="0" applyFont="1" applyFill="1" applyBorder="1" applyAlignment="1" applyProtection="1">
      <alignment horizontal="left" vertical="center" indent="1"/>
    </xf>
    <xf numFmtId="0" fontId="62" fillId="5" borderId="31" xfId="0" applyFont="1" applyFill="1" applyBorder="1" applyAlignment="1" applyProtection="1">
      <alignment horizontal="left" vertical="center" indent="1"/>
    </xf>
    <xf numFmtId="0" fontId="62" fillId="5" borderId="7" xfId="0" applyFont="1" applyFill="1" applyBorder="1" applyAlignment="1" applyProtection="1">
      <alignment horizontal="left" vertical="center" indent="1"/>
    </xf>
    <xf numFmtId="0" fontId="50" fillId="5" borderId="8" xfId="0" applyFont="1" applyFill="1" applyBorder="1" applyAlignment="1" applyProtection="1">
      <alignment horizontal="left" vertical="center" indent="2"/>
      <protection locked="0"/>
    </xf>
    <xf numFmtId="0" fontId="50" fillId="5" borderId="30" xfId="0" applyFont="1" applyFill="1" applyBorder="1" applyAlignment="1" applyProtection="1">
      <alignment horizontal="left" vertical="center" indent="2"/>
      <protection locked="0"/>
    </xf>
    <xf numFmtId="0" fontId="50" fillId="5" borderId="9" xfId="0" applyFont="1" applyFill="1" applyBorder="1" applyAlignment="1" applyProtection="1">
      <alignment horizontal="left" vertical="center" indent="2"/>
      <protection locked="0"/>
    </xf>
    <xf numFmtId="0" fontId="51" fillId="6" borderId="58" xfId="0" applyFont="1" applyFill="1" applyBorder="1" applyAlignment="1" applyProtection="1">
      <alignment horizontal="center" vertical="center"/>
      <protection hidden="1"/>
    </xf>
    <xf numFmtId="0" fontId="7" fillId="3" borderId="30" xfId="0" applyFont="1" applyFill="1" applyBorder="1" applyAlignment="1" applyProtection="1">
      <alignment horizontal="left"/>
    </xf>
    <xf numFmtId="0" fontId="7" fillId="3" borderId="30" xfId="0" applyFont="1" applyFill="1" applyBorder="1" applyAlignment="1" applyProtection="1">
      <alignment horizontal="right"/>
    </xf>
    <xf numFmtId="0" fontId="48" fillId="0" borderId="3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xf>
    <xf numFmtId="0" fontId="48" fillId="0" borderId="0" xfId="0" applyFont="1" applyFill="1" applyBorder="1" applyAlignment="1" applyProtection="1">
      <alignment horizontal="left" vertical="center" wrapText="1"/>
    </xf>
    <xf numFmtId="0" fontId="48" fillId="0" borderId="33" xfId="0" applyFont="1" applyFill="1" applyBorder="1" applyAlignment="1" applyProtection="1">
      <alignment horizontal="left" vertical="center" wrapText="1"/>
    </xf>
    <xf numFmtId="0" fontId="48" fillId="0" borderId="30" xfId="0" applyFont="1" applyFill="1" applyBorder="1" applyAlignment="1" applyProtection="1">
      <alignment horizontal="left" vertical="center" wrapText="1"/>
    </xf>
    <xf numFmtId="0" fontId="48" fillId="0" borderId="9" xfId="0" applyFont="1" applyFill="1" applyBorder="1" applyAlignment="1" applyProtection="1">
      <alignment horizontal="left" vertical="center" wrapText="1"/>
    </xf>
    <xf numFmtId="0" fontId="49" fillId="0" borderId="6" xfId="0" applyFont="1" applyFill="1" applyBorder="1" applyAlignment="1" applyProtection="1">
      <alignment horizontal="center" vertical="center" wrapText="1"/>
      <protection locked="0"/>
    </xf>
    <xf numFmtId="0" fontId="49" fillId="0" borderId="31" xfId="0" applyFont="1" applyFill="1" applyBorder="1" applyAlignment="1" applyProtection="1">
      <alignment horizontal="center" vertical="center" wrapText="1"/>
      <protection locked="0"/>
    </xf>
    <xf numFmtId="0" fontId="49" fillId="0" borderId="8" xfId="0" applyFont="1" applyFill="1" applyBorder="1" applyAlignment="1" applyProtection="1">
      <alignment horizontal="center" vertical="center" wrapText="1"/>
      <protection locked="0"/>
    </xf>
    <xf numFmtId="0" fontId="49" fillId="0" borderId="30" xfId="0" applyFont="1" applyFill="1" applyBorder="1" applyAlignment="1" applyProtection="1">
      <alignment horizontal="center" vertical="center" wrapText="1"/>
      <protection locked="0"/>
    </xf>
    <xf numFmtId="0" fontId="50" fillId="0" borderId="10" xfId="0" applyFont="1" applyFill="1" applyBorder="1" applyAlignment="1" applyProtection="1">
      <alignment horizontal="center" vertical="center"/>
    </xf>
    <xf numFmtId="0" fontId="50" fillId="0" borderId="46" xfId="0" applyFont="1" applyFill="1" applyBorder="1" applyAlignment="1" applyProtection="1">
      <alignment horizontal="center" vertical="center"/>
    </xf>
    <xf numFmtId="2" fontId="51" fillId="0" borderId="47" xfId="0" applyNumberFormat="1" applyFont="1" applyFill="1" applyBorder="1" applyAlignment="1" applyProtection="1">
      <alignment horizontal="center" vertical="center"/>
      <protection locked="0"/>
    </xf>
    <xf numFmtId="2" fontId="51" fillId="0" borderId="17" xfId="0" applyNumberFormat="1" applyFont="1" applyFill="1" applyBorder="1" applyAlignment="1" applyProtection="1">
      <alignment horizontal="center" vertical="center"/>
      <protection locked="0"/>
    </xf>
    <xf numFmtId="2" fontId="51" fillId="0" borderId="44" xfId="0" applyNumberFormat="1" applyFont="1" applyFill="1" applyBorder="1" applyAlignment="1" applyProtection="1">
      <alignment horizontal="center" vertical="center"/>
      <protection locked="0"/>
    </xf>
    <xf numFmtId="0" fontId="50" fillId="0" borderId="17" xfId="0" applyFont="1" applyFill="1" applyBorder="1" applyAlignment="1" applyProtection="1">
      <alignment horizontal="center" vertical="center"/>
    </xf>
    <xf numFmtId="0" fontId="51" fillId="0" borderId="47" xfId="0" applyFont="1" applyFill="1" applyBorder="1" applyAlignment="1" applyProtection="1">
      <alignment horizontal="center" vertical="center"/>
      <protection locked="0"/>
    </xf>
    <xf numFmtId="0" fontId="51" fillId="0" borderId="17" xfId="0" applyFont="1" applyFill="1" applyBorder="1" applyAlignment="1" applyProtection="1">
      <alignment horizontal="center" vertical="center"/>
      <protection locked="0"/>
    </xf>
    <xf numFmtId="0" fontId="51" fillId="0" borderId="5"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xf>
    <xf numFmtId="167" fontId="51" fillId="0" borderId="47" xfId="0" applyNumberFormat="1" applyFont="1" applyFill="1" applyBorder="1" applyAlignment="1" applyProtection="1">
      <alignment horizontal="center" vertical="center"/>
      <protection locked="0"/>
    </xf>
    <xf numFmtId="167" fontId="51" fillId="0" borderId="17" xfId="0" applyNumberFormat="1" applyFont="1" applyFill="1" applyBorder="1" applyAlignment="1" applyProtection="1">
      <alignment horizontal="center" vertical="center"/>
      <protection locked="0"/>
    </xf>
    <xf numFmtId="167" fontId="51" fillId="0" borderId="44" xfId="0" applyNumberFormat="1" applyFont="1" applyFill="1" applyBorder="1" applyAlignment="1" applyProtection="1">
      <alignment horizontal="center" vertical="center"/>
      <protection locked="0"/>
    </xf>
    <xf numFmtId="0" fontId="11" fillId="5" borderId="6" xfId="0" applyFont="1" applyFill="1" applyBorder="1" applyAlignment="1" applyProtection="1">
      <alignment horizontal="right" vertical="center" indent="1"/>
    </xf>
    <xf numFmtId="0" fontId="11" fillId="5" borderId="31" xfId="0" applyFont="1" applyFill="1" applyBorder="1" applyAlignment="1" applyProtection="1">
      <alignment horizontal="right" vertical="center" indent="1"/>
    </xf>
    <xf numFmtId="0" fontId="11" fillId="5" borderId="32" xfId="0" applyFont="1" applyFill="1" applyBorder="1" applyAlignment="1" applyProtection="1">
      <alignment horizontal="right" vertical="center" indent="1"/>
    </xf>
    <xf numFmtId="0" fontId="11" fillId="5" borderId="0" xfId="0" applyFont="1" applyFill="1" applyBorder="1" applyAlignment="1" applyProtection="1">
      <alignment horizontal="right" vertical="center" indent="1"/>
    </xf>
    <xf numFmtId="0" fontId="55" fillId="5" borderId="31" xfId="0" applyFont="1" applyFill="1" applyBorder="1" applyAlignment="1" applyProtection="1">
      <alignment horizontal="left" vertical="center"/>
      <protection locked="0"/>
    </xf>
    <xf numFmtId="0" fontId="55" fillId="5" borderId="7" xfId="0" applyFont="1" applyFill="1" applyBorder="1" applyAlignment="1" applyProtection="1">
      <alignment horizontal="left" vertical="center"/>
      <protection locked="0"/>
    </xf>
    <xf numFmtId="0" fontId="55" fillId="5" borderId="0" xfId="0" applyFont="1" applyFill="1" applyBorder="1" applyAlignment="1" applyProtection="1">
      <alignment horizontal="left" vertical="center"/>
      <protection locked="0"/>
    </xf>
    <xf numFmtId="0" fontId="55" fillId="5" borderId="33" xfId="0" applyFont="1" applyFill="1" applyBorder="1" applyAlignment="1" applyProtection="1">
      <alignment horizontal="left" vertical="center"/>
      <protection locked="0"/>
    </xf>
    <xf numFmtId="0" fontId="51" fillId="5" borderId="10" xfId="0" applyFont="1" applyFill="1" applyBorder="1" applyAlignment="1" applyProtection="1">
      <alignment horizontal="left" vertical="center" indent="12"/>
    </xf>
    <xf numFmtId="0" fontId="51" fillId="5" borderId="17" xfId="0" applyFont="1" applyFill="1" applyBorder="1" applyAlignment="1" applyProtection="1">
      <alignment horizontal="left" vertical="center" indent="12"/>
    </xf>
    <xf numFmtId="0" fontId="0" fillId="0" borderId="10" xfId="0" applyFont="1" applyFill="1" applyBorder="1" applyAlignment="1" applyProtection="1">
      <alignment horizontal="right" vertical="center"/>
    </xf>
    <xf numFmtId="0" fontId="0" fillId="0" borderId="46" xfId="0" applyFont="1" applyFill="1" applyBorder="1" applyAlignment="1" applyProtection="1">
      <alignment horizontal="right" vertical="center"/>
    </xf>
    <xf numFmtId="0" fontId="49" fillId="0" borderId="47" xfId="0" applyFont="1" applyFill="1" applyBorder="1" applyAlignment="1" applyProtection="1">
      <alignment horizontal="left" vertical="center" indent="1"/>
      <protection locked="0"/>
    </xf>
    <xf numFmtId="0" fontId="49" fillId="0" borderId="17" xfId="0" applyFont="1" applyFill="1" applyBorder="1" applyAlignment="1" applyProtection="1">
      <alignment horizontal="left" vertical="center" indent="1"/>
      <protection locked="0"/>
    </xf>
    <xf numFmtId="0" fontId="49" fillId="0" borderId="5" xfId="0" applyFont="1" applyFill="1" applyBorder="1" applyAlignment="1" applyProtection="1">
      <alignment horizontal="left" vertical="center" indent="1"/>
      <protection locked="0"/>
    </xf>
    <xf numFmtId="0" fontId="0" fillId="0" borderId="17" xfId="0" applyFont="1" applyFill="1" applyBorder="1" applyAlignment="1" applyProtection="1">
      <alignment horizontal="center" vertical="center"/>
    </xf>
    <xf numFmtId="0" fontId="51" fillId="0" borderId="48" xfId="0" applyFont="1" applyFill="1" applyBorder="1" applyAlignment="1" applyProtection="1">
      <alignment horizontal="center" vertical="center"/>
      <protection locked="0"/>
    </xf>
    <xf numFmtId="0" fontId="51" fillId="0" borderId="30" xfId="0" applyFont="1" applyFill="1" applyBorder="1" applyAlignment="1" applyProtection="1">
      <alignment horizontal="center" vertical="center"/>
      <protection locked="0"/>
    </xf>
    <xf numFmtId="0" fontId="51" fillId="0" borderId="9" xfId="0" applyFont="1" applyFill="1" applyBorder="1" applyAlignment="1" applyProtection="1">
      <alignment horizontal="center" vertical="center"/>
      <protection locked="0"/>
    </xf>
    <xf numFmtId="0" fontId="51" fillId="6" borderId="56" xfId="0" applyFont="1" applyFill="1" applyBorder="1" applyAlignment="1" applyProtection="1">
      <alignment horizontal="center" vertical="center"/>
      <protection hidden="1"/>
    </xf>
    <xf numFmtId="2" fontId="55" fillId="5" borderId="0" xfId="0" applyNumberFormat="1" applyFont="1" applyFill="1" applyBorder="1" applyAlignment="1" applyProtection="1">
      <alignment horizontal="center" vertical="center"/>
      <protection locked="0"/>
    </xf>
    <xf numFmtId="2" fontId="55" fillId="5" borderId="33" xfId="0" applyNumberFormat="1" applyFont="1" applyFill="1" applyBorder="1" applyAlignment="1" applyProtection="1">
      <alignment horizontal="center" vertical="center"/>
      <protection locked="0"/>
    </xf>
    <xf numFmtId="2" fontId="5" fillId="5" borderId="33" xfId="0" applyNumberFormat="1" applyFont="1" applyFill="1" applyBorder="1" applyAlignment="1" applyProtection="1">
      <alignment horizontal="center" vertical="center"/>
      <protection hidden="1"/>
    </xf>
    <xf numFmtId="0" fontId="51" fillId="6" borderId="50" xfId="0" applyFont="1" applyFill="1" applyBorder="1" applyAlignment="1" applyProtection="1">
      <alignment horizontal="center" vertical="center"/>
      <protection hidden="1"/>
    </xf>
    <xf numFmtId="0" fontId="55" fillId="5" borderId="53" xfId="0" applyFont="1" applyFill="1" applyBorder="1" applyAlignment="1" applyProtection="1">
      <alignment horizontal="center" vertical="center"/>
      <protection locked="0"/>
    </xf>
    <xf numFmtId="2" fontId="44" fillId="6" borderId="77" xfId="0" applyNumberFormat="1" applyFont="1" applyFill="1" applyBorder="1" applyAlignment="1" applyProtection="1">
      <alignment horizontal="center" vertical="center"/>
      <protection hidden="1"/>
    </xf>
    <xf numFmtId="0" fontId="51" fillId="6" borderId="75" xfId="0" applyFont="1" applyFill="1" applyBorder="1" applyAlignment="1" applyProtection="1">
      <alignment horizontal="right" vertical="center"/>
    </xf>
    <xf numFmtId="0" fontId="51" fillId="6" borderId="76" xfId="0" applyFont="1" applyFill="1" applyBorder="1" applyAlignment="1" applyProtection="1">
      <alignment horizontal="right" vertical="center"/>
    </xf>
    <xf numFmtId="0" fontId="51" fillId="6" borderId="59" xfId="0" applyFont="1" applyFill="1" applyBorder="1" applyAlignment="1" applyProtection="1">
      <alignment horizontal="center" vertical="center"/>
      <protection hidden="1"/>
    </xf>
    <xf numFmtId="0" fontId="50" fillId="6" borderId="54" xfId="0" applyFont="1" applyFill="1" applyBorder="1" applyAlignment="1" applyProtection="1">
      <alignment horizontal="center" vertical="center"/>
    </xf>
    <xf numFmtId="0" fontId="50" fillId="6" borderId="55" xfId="0" applyFont="1" applyFill="1" applyBorder="1" applyAlignment="1" applyProtection="1">
      <alignment horizontal="center" vertical="center"/>
    </xf>
    <xf numFmtId="0" fontId="50" fillId="6" borderId="56" xfId="0" applyFont="1" applyFill="1" applyBorder="1" applyAlignment="1" applyProtection="1">
      <alignment horizontal="center" vertical="center"/>
    </xf>
    <xf numFmtId="0" fontId="50" fillId="5" borderId="26" xfId="0" applyNumberFormat="1" applyFont="1" applyFill="1" applyBorder="1" applyAlignment="1" applyProtection="1">
      <alignment horizontal="left" vertical="top" shrinkToFit="1"/>
      <protection hidden="1"/>
    </xf>
    <xf numFmtId="0" fontId="50" fillId="5" borderId="26" xfId="0" applyNumberFormat="1" applyFont="1" applyFill="1" applyBorder="1" applyAlignment="1" applyProtection="1">
      <alignment horizontal="center" vertical="top"/>
      <protection hidden="1"/>
    </xf>
    <xf numFmtId="0" fontId="50" fillId="5" borderId="26" xfId="0" applyNumberFormat="1" applyFont="1" applyFill="1" applyBorder="1" applyAlignment="1" applyProtection="1">
      <alignment horizontal="right" vertical="top" shrinkToFit="1"/>
      <protection hidden="1"/>
    </xf>
    <xf numFmtId="0" fontId="51" fillId="5" borderId="10" xfId="0" applyFont="1" applyFill="1" applyBorder="1" applyAlignment="1" applyProtection="1">
      <alignment horizontal="center" vertical="center"/>
      <protection hidden="1"/>
    </xf>
    <xf numFmtId="0" fontId="51" fillId="5" borderId="17" xfId="0" applyFont="1" applyFill="1" applyBorder="1" applyAlignment="1" applyProtection="1">
      <alignment horizontal="center" vertical="center"/>
      <protection hidden="1"/>
    </xf>
    <xf numFmtId="0" fontId="51" fillId="5" borderId="5" xfId="0" applyFont="1" applyFill="1" applyBorder="1" applyAlignment="1" applyProtection="1">
      <alignment horizontal="center" vertical="center"/>
      <protection hidden="1"/>
    </xf>
    <xf numFmtId="0" fontId="50" fillId="5" borderId="29" xfId="0" applyNumberFormat="1" applyFont="1" applyFill="1" applyBorder="1" applyAlignment="1" applyProtection="1">
      <alignment horizontal="center" vertical="center"/>
      <protection hidden="1"/>
    </xf>
    <xf numFmtId="0" fontId="50" fillId="5" borderId="32" xfId="0" applyNumberFormat="1" applyFont="1" applyFill="1" applyBorder="1" applyAlignment="1" applyProtection="1">
      <alignment horizontal="right" vertical="center" textRotation="90"/>
      <protection hidden="1"/>
    </xf>
    <xf numFmtId="0" fontId="50" fillId="5" borderId="27" xfId="0" applyNumberFormat="1" applyFont="1" applyFill="1" applyBorder="1" applyAlignment="1" applyProtection="1">
      <alignment horizontal="left" vertical="center" textRotation="90"/>
      <protection hidden="1"/>
    </xf>
    <xf numFmtId="0" fontId="8" fillId="5" borderId="8" xfId="0" applyFont="1" applyFill="1" applyBorder="1" applyAlignment="1" applyProtection="1">
      <alignment horizontal="right" vertical="center"/>
    </xf>
    <xf numFmtId="0" fontId="8" fillId="5" borderId="30" xfId="0" applyFont="1" applyFill="1" applyBorder="1" applyAlignment="1" applyProtection="1">
      <alignment horizontal="right" vertical="center"/>
    </xf>
    <xf numFmtId="0" fontId="10" fillId="5" borderId="6" xfId="0" applyFont="1" applyFill="1" applyBorder="1" applyAlignment="1" applyProtection="1">
      <alignment horizontal="right" vertical="center"/>
    </xf>
    <xf numFmtId="0" fontId="11" fillId="5" borderId="31" xfId="0" applyFont="1" applyFill="1" applyBorder="1" applyAlignment="1" applyProtection="1">
      <alignment horizontal="right" vertical="center"/>
    </xf>
    <xf numFmtId="2" fontId="50" fillId="5" borderId="31" xfId="0" applyNumberFormat="1" applyFont="1" applyFill="1" applyBorder="1" applyAlignment="1" applyProtection="1">
      <alignment horizontal="center" vertical="center"/>
      <protection hidden="1"/>
    </xf>
    <xf numFmtId="2" fontId="50" fillId="5" borderId="7" xfId="0" applyNumberFormat="1" applyFont="1" applyFill="1" applyBorder="1" applyAlignment="1" applyProtection="1">
      <alignment horizontal="center" vertical="center"/>
      <protection hidden="1"/>
    </xf>
    <xf numFmtId="0" fontId="10" fillId="5" borderId="8" xfId="0" applyFont="1" applyFill="1" applyBorder="1" applyAlignment="1" applyProtection="1">
      <alignment horizontal="right" vertical="center"/>
    </xf>
    <xf numFmtId="0" fontId="10" fillId="5" borderId="30" xfId="0" applyFont="1" applyFill="1" applyBorder="1" applyAlignment="1" applyProtection="1">
      <alignment horizontal="right" vertical="center"/>
    </xf>
    <xf numFmtId="2" fontId="55" fillId="5" borderId="30" xfId="0" applyNumberFormat="1" applyFont="1" applyFill="1" applyBorder="1" applyAlignment="1" applyProtection="1">
      <alignment horizontal="center" vertical="center"/>
      <protection locked="0"/>
    </xf>
    <xf numFmtId="2" fontId="55" fillId="5" borderId="9" xfId="0" applyNumberFormat="1" applyFont="1" applyFill="1" applyBorder="1" applyAlignment="1" applyProtection="1">
      <alignment horizontal="center" vertical="center"/>
      <protection locked="0"/>
    </xf>
    <xf numFmtId="0" fontId="7" fillId="4" borderId="30" xfId="0" applyFont="1" applyFill="1" applyBorder="1" applyAlignment="1" applyProtection="1">
      <alignment horizontal="left"/>
      <protection hidden="1"/>
    </xf>
    <xf numFmtId="0" fontId="7" fillId="4" borderId="30" xfId="0" applyFont="1" applyFill="1" applyBorder="1" applyAlignment="1" applyProtection="1">
      <alignment horizontal="right"/>
      <protection hidden="1"/>
    </xf>
    <xf numFmtId="0" fontId="10" fillId="5" borderId="32" xfId="0" applyFont="1" applyFill="1" applyBorder="1" applyAlignment="1" applyProtection="1">
      <alignment horizontal="right" vertical="center"/>
    </xf>
    <xf numFmtId="0" fontId="10" fillId="5" borderId="0" xfId="0" applyFont="1" applyFill="1" applyBorder="1" applyAlignment="1" applyProtection="1">
      <alignment horizontal="right" vertical="center"/>
    </xf>
    <xf numFmtId="2" fontId="55" fillId="14" borderId="0" xfId="0" applyNumberFormat="1" applyFont="1" applyFill="1" applyBorder="1" applyAlignment="1" applyProtection="1">
      <alignment horizontal="center" vertical="center"/>
    </xf>
    <xf numFmtId="2" fontId="55" fillId="14" borderId="33" xfId="0" applyNumberFormat="1" applyFont="1" applyFill="1" applyBorder="1" applyAlignment="1" applyProtection="1">
      <alignment horizontal="center" vertical="center"/>
    </xf>
    <xf numFmtId="0" fontId="50" fillId="5" borderId="6" xfId="0" applyFont="1" applyFill="1" applyBorder="1" applyAlignment="1" applyProtection="1">
      <alignment horizontal="right" vertical="center" indent="1"/>
    </xf>
    <xf numFmtId="0" fontId="50" fillId="5" borderId="31" xfId="0" applyFont="1" applyFill="1" applyBorder="1" applyAlignment="1" applyProtection="1">
      <alignment horizontal="right" vertical="center" indent="1"/>
    </xf>
    <xf numFmtId="0" fontId="50" fillId="5" borderId="8" xfId="0" applyFont="1" applyFill="1" applyBorder="1" applyAlignment="1" applyProtection="1">
      <alignment horizontal="right" vertical="center" shrinkToFit="1"/>
    </xf>
    <xf numFmtId="0" fontId="50" fillId="5" borderId="30" xfId="0" applyFont="1" applyFill="1" applyBorder="1" applyAlignment="1" applyProtection="1">
      <alignment horizontal="right" vertical="center" shrinkToFit="1"/>
    </xf>
    <xf numFmtId="2" fontId="55" fillId="14" borderId="30" xfId="0" applyNumberFormat="1" applyFont="1" applyFill="1" applyBorder="1" applyAlignment="1" applyProtection="1">
      <alignment horizontal="center" vertical="center"/>
    </xf>
    <xf numFmtId="2" fontId="55" fillId="14" borderId="9" xfId="0" applyNumberFormat="1" applyFont="1" applyFill="1" applyBorder="1" applyAlignment="1" applyProtection="1">
      <alignment horizontal="center" vertical="center"/>
    </xf>
    <xf numFmtId="0" fontId="50" fillId="5" borderId="32" xfId="0" applyFont="1" applyFill="1" applyBorder="1" applyAlignment="1" applyProtection="1">
      <alignment horizontal="right" vertical="center" indent="1"/>
    </xf>
    <xf numFmtId="0" fontId="50" fillId="5" borderId="0" xfId="0" applyFont="1" applyFill="1" applyBorder="1" applyAlignment="1" applyProtection="1">
      <alignment horizontal="right" vertical="center" indent="1"/>
    </xf>
    <xf numFmtId="0" fontId="35" fillId="2" borderId="1" xfId="0" applyFont="1" applyFill="1" applyBorder="1" applyAlignment="1" applyProtection="1">
      <alignment horizontal="center"/>
      <protection hidden="1"/>
    </xf>
    <xf numFmtId="0" fontId="50" fillId="5" borderId="10" xfId="0" applyFont="1" applyFill="1" applyBorder="1" applyAlignment="1" applyProtection="1">
      <alignment horizontal="center" vertical="center"/>
    </xf>
    <xf numFmtId="0" fontId="50" fillId="5" borderId="17" xfId="0" applyFont="1" applyFill="1" applyBorder="1" applyAlignment="1" applyProtection="1">
      <alignment horizontal="center" vertical="center"/>
    </xf>
    <xf numFmtId="0" fontId="50" fillId="5" borderId="5" xfId="0" applyFont="1" applyFill="1" applyBorder="1" applyAlignment="1" applyProtection="1">
      <alignment horizontal="center" vertical="center"/>
    </xf>
    <xf numFmtId="0" fontId="50" fillId="5" borderId="6" xfId="0" applyFont="1" applyFill="1" applyBorder="1" applyAlignment="1" applyProtection="1">
      <alignment horizontal="right" vertical="center"/>
    </xf>
    <xf numFmtId="0" fontId="50" fillId="5" borderId="31" xfId="0" applyFont="1" applyFill="1" applyBorder="1" applyAlignment="1" applyProtection="1">
      <alignment horizontal="right" vertical="center"/>
    </xf>
    <xf numFmtId="0" fontId="55" fillId="14" borderId="31" xfId="0" applyFont="1" applyFill="1" applyBorder="1" applyAlignment="1" applyProtection="1">
      <alignment horizontal="center" vertical="center"/>
    </xf>
    <xf numFmtId="0" fontId="55" fillId="14" borderId="7" xfId="0" applyFont="1" applyFill="1" applyBorder="1" applyAlignment="1" applyProtection="1">
      <alignment horizontal="center" vertical="center"/>
    </xf>
    <xf numFmtId="0" fontId="51" fillId="5" borderId="10" xfId="0" applyFont="1" applyFill="1" applyBorder="1" applyAlignment="1" applyProtection="1">
      <alignment horizontal="left" vertical="center" indent="13"/>
    </xf>
    <xf numFmtId="0" fontId="51" fillId="5" borderId="17" xfId="0" applyFont="1" applyFill="1" applyBorder="1" applyAlignment="1" applyProtection="1">
      <alignment horizontal="left" vertical="center" indent="13"/>
    </xf>
    <xf numFmtId="0" fontId="38" fillId="2" borderId="0" xfId="0" applyFont="1" applyFill="1" applyAlignment="1" applyProtection="1">
      <alignment horizontal="center"/>
      <protection hidden="1"/>
    </xf>
    <xf numFmtId="0" fontId="13" fillId="2" borderId="0" xfId="0" applyFont="1" applyFill="1" applyAlignment="1" applyProtection="1">
      <alignment horizontal="center" vertical="center"/>
      <protection hidden="1"/>
    </xf>
    <xf numFmtId="0" fontId="35" fillId="2" borderId="0" xfId="0" applyFont="1" applyFill="1" applyAlignment="1" applyProtection="1">
      <alignment horizontal="center"/>
      <protection hidden="1"/>
    </xf>
    <xf numFmtId="165" fontId="6" fillId="5" borderId="52" xfId="0" applyNumberFormat="1" applyFont="1" applyFill="1" applyBorder="1" applyAlignment="1" applyProtection="1">
      <alignment horizontal="center" vertical="center"/>
      <protection hidden="1"/>
    </xf>
    <xf numFmtId="165" fontId="6" fillId="5" borderId="53" xfId="0" applyNumberFormat="1" applyFont="1" applyFill="1" applyBorder="1" applyAlignment="1" applyProtection="1">
      <alignment horizontal="center" vertical="center"/>
      <protection hidden="1"/>
    </xf>
    <xf numFmtId="0" fontId="13" fillId="2" borderId="32" xfId="0" applyFont="1" applyFill="1" applyBorder="1" applyAlignment="1" applyProtection="1">
      <alignment horizontal="center" vertical="center"/>
      <protection hidden="1"/>
    </xf>
    <xf numFmtId="0" fontId="6" fillId="5" borderId="32" xfId="0" applyFont="1" applyFill="1" applyBorder="1" applyAlignment="1" applyProtection="1">
      <alignment horizontal="right" vertical="center"/>
    </xf>
    <xf numFmtId="0" fontId="6" fillId="5" borderId="0" xfId="0" applyFont="1" applyFill="1" applyBorder="1" applyAlignment="1" applyProtection="1">
      <alignment horizontal="right" vertical="center"/>
    </xf>
    <xf numFmtId="0" fontId="6" fillId="5" borderId="6" xfId="0" applyFont="1" applyFill="1" applyBorder="1" applyAlignment="1" applyProtection="1">
      <alignment horizontal="right" vertical="center"/>
    </xf>
    <xf numFmtId="0" fontId="6" fillId="5" borderId="31" xfId="0" applyFont="1" applyFill="1" applyBorder="1" applyAlignment="1" applyProtection="1">
      <alignment horizontal="right" vertical="center"/>
    </xf>
    <xf numFmtId="0" fontId="6" fillId="5" borderId="51" xfId="0" applyFont="1" applyFill="1" applyBorder="1" applyAlignment="1" applyProtection="1">
      <alignment horizontal="right" vertical="center"/>
    </xf>
    <xf numFmtId="0" fontId="6" fillId="5" borderId="52" xfId="0" applyFont="1" applyFill="1" applyBorder="1" applyAlignment="1" applyProtection="1">
      <alignment horizontal="right" vertical="center"/>
    </xf>
    <xf numFmtId="0" fontId="51" fillId="5" borderId="0" xfId="0" applyFont="1" applyFill="1" applyBorder="1" applyAlignment="1" applyProtection="1">
      <alignment horizontal="center" vertical="center"/>
      <protection hidden="1"/>
    </xf>
    <xf numFmtId="0" fontId="59" fillId="11" borderId="18" xfId="0" applyFont="1" applyFill="1" applyBorder="1" applyAlignment="1" applyProtection="1">
      <alignment horizontal="center"/>
      <protection hidden="1"/>
    </xf>
    <xf numFmtId="0" fontId="59" fillId="11" borderId="26" xfId="0" applyFont="1" applyFill="1" applyBorder="1" applyAlignment="1" applyProtection="1">
      <alignment horizontal="center"/>
      <protection hidden="1"/>
    </xf>
    <xf numFmtId="0" fontId="59" fillId="11" borderId="19" xfId="0" applyFont="1" applyFill="1" applyBorder="1" applyAlignment="1" applyProtection="1">
      <alignment horizontal="center"/>
      <protection hidden="1"/>
    </xf>
    <xf numFmtId="0" fontId="59" fillId="11" borderId="27" xfId="0" applyFont="1" applyFill="1" applyBorder="1" applyAlignment="1" applyProtection="1">
      <alignment horizontal="center"/>
      <protection hidden="1"/>
    </xf>
    <xf numFmtId="0" fontId="59" fillId="11" borderId="0" xfId="0" applyFont="1" applyFill="1" applyBorder="1" applyAlignment="1" applyProtection="1">
      <alignment horizontal="center"/>
      <protection hidden="1"/>
    </xf>
    <xf numFmtId="0" fontId="59" fillId="11" borderId="28" xfId="0" applyFont="1" applyFill="1" applyBorder="1" applyAlignment="1" applyProtection="1">
      <alignment horizontal="center"/>
      <protection hidden="1"/>
    </xf>
    <xf numFmtId="0" fontId="50" fillId="11" borderId="27" xfId="0" applyFont="1" applyFill="1" applyBorder="1" applyAlignment="1" applyProtection="1">
      <alignment horizontal="center" vertical="top"/>
      <protection hidden="1"/>
    </xf>
    <xf numFmtId="0" fontId="50" fillId="11" borderId="0" xfId="0" applyFont="1" applyFill="1" applyBorder="1" applyAlignment="1" applyProtection="1">
      <alignment horizontal="center" vertical="top"/>
      <protection hidden="1"/>
    </xf>
    <xf numFmtId="0" fontId="50" fillId="11" borderId="28" xfId="0" applyFont="1" applyFill="1" applyBorder="1" applyAlignment="1" applyProtection="1">
      <alignment horizontal="center" vertical="top"/>
      <protection hidden="1"/>
    </xf>
    <xf numFmtId="0" fontId="50" fillId="11" borderId="20" xfId="0" applyFont="1" applyFill="1" applyBorder="1" applyAlignment="1" applyProtection="1">
      <alignment horizontal="center" vertical="top"/>
      <protection hidden="1"/>
    </xf>
    <xf numFmtId="0" fontId="50" fillId="11" borderId="29" xfId="0" applyFont="1" applyFill="1" applyBorder="1" applyAlignment="1" applyProtection="1">
      <alignment horizontal="center" vertical="top"/>
      <protection hidden="1"/>
    </xf>
    <xf numFmtId="0" fontId="50" fillId="11" borderId="21" xfId="0" applyFont="1" applyFill="1" applyBorder="1" applyAlignment="1" applyProtection="1">
      <alignment horizontal="center" vertical="top"/>
      <protection hidden="1"/>
    </xf>
    <xf numFmtId="0" fontId="50" fillId="11" borderId="27" xfId="0" applyFont="1" applyFill="1" applyBorder="1" applyAlignment="1" applyProtection="1">
      <alignment horizontal="center" vertical="top" wrapText="1"/>
      <protection hidden="1"/>
    </xf>
    <xf numFmtId="0" fontId="50" fillId="11" borderId="0" xfId="0" applyFont="1" applyFill="1" applyBorder="1" applyAlignment="1" applyProtection="1">
      <alignment horizontal="center" vertical="top" wrapText="1"/>
      <protection hidden="1"/>
    </xf>
    <xf numFmtId="0" fontId="50" fillId="11" borderId="28" xfId="0" applyFont="1" applyFill="1" applyBorder="1" applyAlignment="1" applyProtection="1">
      <alignment horizontal="center" vertical="top" wrapText="1"/>
      <protection hidden="1"/>
    </xf>
    <xf numFmtId="0" fontId="50" fillId="12" borderId="26" xfId="0" applyFont="1" applyFill="1" applyBorder="1" applyAlignment="1" applyProtection="1">
      <alignment horizontal="center" vertical="center"/>
      <protection hidden="1"/>
    </xf>
    <xf numFmtId="0" fontId="50" fillId="5" borderId="29" xfId="0" applyFont="1" applyFill="1" applyBorder="1" applyAlignment="1" applyProtection="1">
      <alignment horizontal="center" vertical="center"/>
      <protection hidden="1"/>
    </xf>
    <xf numFmtId="0" fontId="6" fillId="6" borderId="58" xfId="0" applyFont="1" applyFill="1" applyBorder="1" applyAlignment="1" applyProtection="1">
      <alignment horizontal="center" vertical="center"/>
    </xf>
    <xf numFmtId="0" fontId="6" fillId="5" borderId="8" xfId="0" applyFont="1" applyFill="1" applyBorder="1" applyAlignment="1" applyProtection="1">
      <alignment horizontal="right" vertical="center"/>
    </xf>
    <xf numFmtId="0" fontId="6" fillId="5" borderId="30" xfId="0" applyFont="1" applyFill="1" applyBorder="1" applyAlignment="1" applyProtection="1">
      <alignment horizontal="right" vertical="center"/>
    </xf>
    <xf numFmtId="2" fontId="50" fillId="5" borderId="28" xfId="0" applyNumberFormat="1" applyFont="1" applyFill="1" applyBorder="1" applyAlignment="1" applyProtection="1">
      <alignment horizontal="right" vertical="top" textRotation="90" shrinkToFit="1"/>
      <protection hidden="1"/>
    </xf>
    <xf numFmtId="2" fontId="50" fillId="5" borderId="28" xfId="0" applyNumberFormat="1" applyFont="1" applyFill="1" applyBorder="1" applyAlignment="1" applyProtection="1">
      <alignment horizontal="right" vertical="center" textRotation="90" shrinkToFit="1"/>
      <protection hidden="1"/>
    </xf>
    <xf numFmtId="2" fontId="50" fillId="5" borderId="28" xfId="0" applyNumberFormat="1" applyFont="1" applyFill="1" applyBorder="1" applyAlignment="1" applyProtection="1">
      <alignment horizontal="right" textRotation="90" shrinkToFit="1"/>
      <protection hidden="1"/>
    </xf>
    <xf numFmtId="0" fontId="69" fillId="0" borderId="0" xfId="0" quotePrefix="1" applyFont="1" applyFill="1" applyBorder="1" applyAlignment="1" applyProtection="1">
      <alignment horizontal="right" vertical="top" indent="1"/>
    </xf>
    <xf numFmtId="0" fontId="69" fillId="0" borderId="0" xfId="0" applyFont="1" applyFill="1" applyBorder="1" applyAlignment="1" applyProtection="1">
      <alignment horizontal="right" vertical="top" indent="1"/>
    </xf>
    <xf numFmtId="165" fontId="6" fillId="5" borderId="49" xfId="0" applyNumberFormat="1" applyFont="1" applyFill="1" applyBorder="1" applyAlignment="1" applyProtection="1">
      <alignment horizontal="center" vertical="center"/>
      <protection hidden="1"/>
    </xf>
    <xf numFmtId="165" fontId="6" fillId="5" borderId="50" xfId="0" applyNumberFormat="1" applyFont="1" applyFill="1" applyBorder="1" applyAlignment="1" applyProtection="1">
      <alignment horizontal="center" vertical="center"/>
      <protection hidden="1"/>
    </xf>
    <xf numFmtId="0" fontId="6" fillId="6" borderId="54" xfId="0" applyFont="1" applyFill="1" applyBorder="1" applyAlignment="1" applyProtection="1">
      <alignment horizontal="right" vertical="center"/>
    </xf>
    <xf numFmtId="0" fontId="6" fillId="6" borderId="55" xfId="0" applyFont="1" applyFill="1" applyBorder="1" applyAlignment="1" applyProtection="1">
      <alignment horizontal="right" vertical="center"/>
    </xf>
    <xf numFmtId="0" fontId="6" fillId="5" borderId="60" xfId="0" quotePrefix="1" applyFont="1" applyFill="1" applyBorder="1" applyAlignment="1" applyProtection="1">
      <alignment horizontal="right" vertical="center"/>
    </xf>
    <xf numFmtId="0" fontId="6" fillId="5" borderId="49" xfId="0" quotePrefix="1" applyFont="1" applyFill="1" applyBorder="1" applyAlignment="1" applyProtection="1">
      <alignment horizontal="right" vertical="center"/>
    </xf>
    <xf numFmtId="0" fontId="6" fillId="5" borderId="51" xfId="0" quotePrefix="1" applyFont="1" applyFill="1" applyBorder="1" applyAlignment="1" applyProtection="1">
      <alignment horizontal="right" vertical="center"/>
    </xf>
    <xf numFmtId="0" fontId="6" fillId="5" borderId="52" xfId="0" quotePrefix="1" applyFont="1" applyFill="1" applyBorder="1" applyAlignment="1" applyProtection="1">
      <alignment horizontal="right" vertical="center"/>
    </xf>
    <xf numFmtId="0" fontId="6" fillId="5" borderId="8" xfId="0" quotePrefix="1" applyFont="1" applyFill="1" applyBorder="1" applyAlignment="1" applyProtection="1">
      <alignment horizontal="right" vertical="center"/>
    </xf>
    <xf numFmtId="0" fontId="6" fillId="5" borderId="30" xfId="0" quotePrefix="1" applyFont="1" applyFill="1" applyBorder="1" applyAlignment="1" applyProtection="1">
      <alignment horizontal="right" vertical="center"/>
    </xf>
    <xf numFmtId="0" fontId="51" fillId="6" borderId="54" xfId="0" applyFont="1" applyFill="1" applyBorder="1" applyAlignment="1" applyProtection="1">
      <alignment horizontal="center" vertical="center"/>
    </xf>
    <xf numFmtId="0" fontId="51" fillId="6" borderId="55" xfId="0" applyFont="1" applyFill="1" applyBorder="1" applyAlignment="1" applyProtection="1">
      <alignment horizontal="center" vertical="center"/>
    </xf>
    <xf numFmtId="0" fontId="13" fillId="2" borderId="1" xfId="0" applyFont="1" applyFill="1" applyBorder="1" applyAlignment="1" applyProtection="1">
      <alignment horizontal="center" vertical="center"/>
      <protection hidden="1"/>
    </xf>
    <xf numFmtId="0" fontId="67" fillId="2" borderId="10" xfId="0" applyFont="1" applyFill="1" applyBorder="1" applyAlignment="1" applyProtection="1">
      <alignment horizontal="center" vertical="center"/>
      <protection hidden="1"/>
    </xf>
    <xf numFmtId="0" fontId="67" fillId="2" borderId="17" xfId="0" applyFont="1" applyFill="1" applyBorder="1" applyAlignment="1" applyProtection="1">
      <alignment horizontal="center" vertical="center"/>
      <protection hidden="1"/>
    </xf>
    <xf numFmtId="0" fontId="67" fillId="2" borderId="5" xfId="0" applyFont="1" applyFill="1" applyBorder="1" applyAlignment="1" applyProtection="1">
      <alignment horizontal="center" vertical="center"/>
      <protection hidden="1"/>
    </xf>
    <xf numFmtId="0" fontId="22" fillId="2" borderId="10" xfId="0" applyFont="1" applyFill="1" applyBorder="1" applyAlignment="1" applyProtection="1">
      <alignment horizontal="right" vertical="center" wrapText="1"/>
      <protection hidden="1"/>
    </xf>
    <xf numFmtId="0" fontId="22" fillId="2" borderId="17" xfId="0" applyFont="1" applyFill="1" applyBorder="1" applyAlignment="1" applyProtection="1">
      <alignment horizontal="right" vertical="center" wrapText="1"/>
      <protection hidden="1"/>
    </xf>
    <xf numFmtId="0" fontId="22" fillId="2" borderId="5" xfId="0" applyFont="1" applyFill="1" applyBorder="1" applyAlignment="1" applyProtection="1">
      <alignment horizontal="right" vertical="center" wrapText="1"/>
      <protection hidden="1"/>
    </xf>
    <xf numFmtId="0" fontId="20" fillId="2" borderId="10" xfId="0" applyFont="1" applyFill="1" applyBorder="1" applyAlignment="1" applyProtection="1">
      <alignment horizontal="right"/>
      <protection hidden="1"/>
    </xf>
    <xf numFmtId="0" fontId="20" fillId="2" borderId="17" xfId="0" applyFont="1" applyFill="1" applyBorder="1" applyAlignment="1" applyProtection="1">
      <alignment horizontal="right"/>
      <protection hidden="1"/>
    </xf>
    <xf numFmtId="0" fontId="20" fillId="2" borderId="5" xfId="0" applyFont="1" applyFill="1" applyBorder="1" applyAlignment="1" applyProtection="1">
      <alignment horizontal="right"/>
      <protection hidden="1"/>
    </xf>
    <xf numFmtId="165" fontId="6" fillId="5" borderId="30" xfId="0" applyNumberFormat="1" applyFont="1" applyFill="1" applyBorder="1" applyAlignment="1" applyProtection="1">
      <alignment horizontal="center" vertical="center"/>
      <protection hidden="1"/>
    </xf>
    <xf numFmtId="0" fontId="7" fillId="4" borderId="30" xfId="0" applyFont="1" applyFill="1" applyBorder="1" applyAlignment="1" applyProtection="1">
      <alignment horizontal="left"/>
    </xf>
    <xf numFmtId="0" fontId="7" fillId="4" borderId="30" xfId="0" applyFont="1" applyFill="1" applyBorder="1" applyAlignment="1" applyProtection="1">
      <alignment horizontal="right"/>
    </xf>
    <xf numFmtId="0" fontId="6" fillId="6" borderId="59" xfId="0" applyFont="1" applyFill="1" applyBorder="1" applyAlignment="1" applyProtection="1">
      <alignment horizontal="center" vertical="center"/>
    </xf>
    <xf numFmtId="165" fontId="6" fillId="5" borderId="76" xfId="0" applyNumberFormat="1" applyFont="1" applyFill="1" applyBorder="1" applyAlignment="1" applyProtection="1">
      <alignment horizontal="center" vertical="center"/>
      <protection hidden="1"/>
    </xf>
    <xf numFmtId="165" fontId="6" fillId="5" borderId="77" xfId="0" applyNumberFormat="1" applyFont="1" applyFill="1" applyBorder="1" applyAlignment="1" applyProtection="1">
      <alignment horizontal="center" vertical="center"/>
      <protection hidden="1"/>
    </xf>
    <xf numFmtId="0" fontId="3" fillId="5" borderId="32" xfId="0" applyFont="1" applyFill="1" applyBorder="1" applyAlignment="1" applyProtection="1">
      <alignment horizontal="right" vertical="center"/>
    </xf>
    <xf numFmtId="0" fontId="69" fillId="0" borderId="31" xfId="0" applyFont="1" applyFill="1" applyBorder="1" applyAlignment="1" applyProtection="1">
      <alignment horizontal="right" vertical="top" indent="1"/>
    </xf>
    <xf numFmtId="0" fontId="6" fillId="5" borderId="0" xfId="0" applyFont="1" applyFill="1" applyBorder="1" applyAlignment="1" applyProtection="1">
      <alignment horizontal="center" vertical="center"/>
      <protection hidden="1"/>
    </xf>
    <xf numFmtId="0" fontId="6" fillId="5" borderId="33" xfId="0" applyFont="1" applyFill="1" applyBorder="1" applyAlignment="1" applyProtection="1">
      <alignment horizontal="center" vertical="center"/>
      <protection hidden="1"/>
    </xf>
    <xf numFmtId="2" fontId="50" fillId="5" borderId="28" xfId="0" applyNumberFormat="1" applyFont="1" applyFill="1" applyBorder="1" applyAlignment="1" applyProtection="1">
      <alignment horizontal="right" vertical="center" textRotation="90"/>
      <protection hidden="1"/>
    </xf>
    <xf numFmtId="0" fontId="50" fillId="12" borderId="0" xfId="0" applyFont="1" applyFill="1" applyBorder="1" applyAlignment="1" applyProtection="1">
      <alignment horizontal="center" vertical="center"/>
      <protection hidden="1"/>
    </xf>
    <xf numFmtId="2" fontId="50" fillId="5" borderId="29" xfId="0" applyNumberFormat="1" applyFont="1" applyFill="1" applyBorder="1" applyAlignment="1" applyProtection="1">
      <alignment horizontal="center" vertical="center"/>
      <protection hidden="1"/>
    </xf>
    <xf numFmtId="0" fontId="13" fillId="2" borderId="10" xfId="0" applyFont="1" applyFill="1" applyBorder="1" applyAlignment="1" applyProtection="1">
      <alignment horizontal="right"/>
      <protection hidden="1"/>
    </xf>
    <xf numFmtId="0" fontId="13" fillId="2" borderId="17" xfId="0" applyFont="1" applyFill="1" applyBorder="1" applyAlignment="1" applyProtection="1">
      <alignment horizontal="right"/>
      <protection hidden="1"/>
    </xf>
    <xf numFmtId="0" fontId="13" fillId="2" borderId="5" xfId="0" applyFont="1" applyFill="1" applyBorder="1" applyAlignment="1" applyProtection="1">
      <alignment horizontal="right"/>
      <protection hidden="1"/>
    </xf>
    <xf numFmtId="0" fontId="69" fillId="0" borderId="0" xfId="0" applyFont="1" applyFill="1" applyBorder="1" applyAlignment="1" applyProtection="1">
      <alignment horizontal="right" vertical="top" indent="1"/>
      <protection hidden="1"/>
    </xf>
    <xf numFmtId="0" fontId="13" fillId="10" borderId="1" xfId="0" applyFont="1" applyFill="1" applyBorder="1" applyAlignment="1" applyProtection="1">
      <alignment horizontal="left" vertical="center"/>
      <protection hidden="1"/>
    </xf>
    <xf numFmtId="0" fontId="40" fillId="10" borderId="10" xfId="0" applyFont="1" applyFill="1" applyBorder="1" applyAlignment="1" applyProtection="1">
      <alignment horizontal="left" vertical="center" wrapText="1"/>
      <protection hidden="1"/>
    </xf>
    <xf numFmtId="0" fontId="40" fillId="10" borderId="5" xfId="0" applyFont="1" applyFill="1" applyBorder="1" applyAlignment="1" applyProtection="1">
      <alignment horizontal="left" vertical="center" wrapText="1"/>
      <protection hidden="1"/>
    </xf>
    <xf numFmtId="0" fontId="13" fillId="2" borderId="6" xfId="0" applyFont="1" applyFill="1" applyBorder="1" applyAlignment="1" applyProtection="1">
      <alignment horizontal="center" vertical="center"/>
      <protection hidden="1"/>
    </xf>
    <xf numFmtId="0" fontId="13" fillId="2" borderId="8" xfId="0" applyFont="1" applyFill="1" applyBorder="1" applyAlignment="1" applyProtection="1">
      <alignment horizontal="center" vertical="center"/>
      <protection hidden="1"/>
    </xf>
    <xf numFmtId="0" fontId="13" fillId="2" borderId="3" xfId="0" applyFont="1" applyFill="1" applyBorder="1" applyAlignment="1" applyProtection="1">
      <alignment horizontal="center" vertical="center"/>
      <protection hidden="1"/>
    </xf>
    <xf numFmtId="0" fontId="61" fillId="2" borderId="25" xfId="0" applyFont="1" applyFill="1" applyBorder="1" applyAlignment="1" applyProtection="1">
      <alignment horizontal="center" vertical="center"/>
      <protection hidden="1"/>
    </xf>
    <xf numFmtId="0" fontId="6" fillId="6" borderId="57" xfId="0" applyFont="1" applyFill="1" applyBorder="1" applyAlignment="1" applyProtection="1">
      <alignment horizontal="center"/>
    </xf>
    <xf numFmtId="0" fontId="6" fillId="6" borderId="58" xfId="0" applyFont="1" applyFill="1" applyBorder="1" applyAlignment="1" applyProtection="1">
      <alignment horizontal="center"/>
    </xf>
    <xf numFmtId="0" fontId="6" fillId="6" borderId="59" xfId="0" applyFont="1" applyFill="1" applyBorder="1" applyAlignment="1" applyProtection="1">
      <alignment horizontal="center"/>
    </xf>
    <xf numFmtId="165" fontId="6" fillId="5" borderId="51" xfId="0" applyNumberFormat="1" applyFont="1" applyFill="1" applyBorder="1" applyAlignment="1" applyProtection="1">
      <alignment horizontal="center" vertical="center"/>
      <protection hidden="1"/>
    </xf>
    <xf numFmtId="165" fontId="6" fillId="5" borderId="8" xfId="0" applyNumberFormat="1" applyFont="1" applyFill="1" applyBorder="1" applyAlignment="1" applyProtection="1">
      <alignment horizontal="center" vertical="center"/>
      <protection hidden="1"/>
    </xf>
    <xf numFmtId="165" fontId="6" fillId="5" borderId="9" xfId="0" applyNumberFormat="1" applyFont="1" applyFill="1" applyBorder="1" applyAlignment="1" applyProtection="1">
      <alignment horizontal="center" vertical="center"/>
      <protection hidden="1"/>
    </xf>
    <xf numFmtId="0" fontId="85" fillId="10" borderId="31" xfId="0" applyFont="1" applyFill="1" applyBorder="1" applyAlignment="1" applyProtection="1">
      <alignment horizontal="left" vertical="top" wrapText="1" indent="1"/>
      <protection hidden="1"/>
    </xf>
    <xf numFmtId="0" fontId="85" fillId="10" borderId="0" xfId="0" applyFont="1" applyFill="1" applyBorder="1" applyAlignment="1" applyProtection="1">
      <alignment horizontal="left" vertical="top" wrapText="1" indent="1"/>
      <protection hidden="1"/>
    </xf>
    <xf numFmtId="0" fontId="50" fillId="5" borderId="6" xfId="0" applyFont="1" applyFill="1" applyBorder="1" applyAlignment="1" applyProtection="1">
      <alignment horizontal="center" vertical="center"/>
    </xf>
    <xf numFmtId="0" fontId="50" fillId="5" borderId="31" xfId="0" applyFont="1" applyFill="1" applyBorder="1" applyAlignment="1" applyProtection="1">
      <alignment horizontal="center" vertical="center"/>
    </xf>
    <xf numFmtId="0" fontId="50" fillId="5" borderId="7" xfId="0" applyFont="1" applyFill="1" applyBorder="1" applyAlignment="1" applyProtection="1">
      <alignment horizontal="center" vertical="center"/>
    </xf>
    <xf numFmtId="0" fontId="50" fillId="5" borderId="32" xfId="0" applyFont="1" applyFill="1" applyBorder="1" applyAlignment="1" applyProtection="1">
      <alignment horizontal="center" vertical="center"/>
    </xf>
    <xf numFmtId="0" fontId="50" fillId="5" borderId="0" xfId="0" applyFont="1" applyFill="1" applyBorder="1" applyAlignment="1" applyProtection="1">
      <alignment horizontal="center" vertical="center"/>
    </xf>
    <xf numFmtId="0" fontId="50" fillId="5" borderId="33" xfId="0" applyFont="1" applyFill="1" applyBorder="1" applyAlignment="1" applyProtection="1">
      <alignment horizontal="center" vertical="center"/>
    </xf>
    <xf numFmtId="0" fontId="50" fillId="5" borderId="8" xfId="0" applyFont="1" applyFill="1" applyBorder="1" applyAlignment="1" applyProtection="1">
      <alignment horizontal="center" vertical="center"/>
    </xf>
    <xf numFmtId="0" fontId="50" fillId="5" borderId="30" xfId="0" applyFont="1" applyFill="1" applyBorder="1" applyAlignment="1" applyProtection="1">
      <alignment horizontal="center" vertical="center"/>
    </xf>
    <xf numFmtId="0" fontId="50" fillId="5" borderId="9" xfId="0" applyFont="1" applyFill="1" applyBorder="1" applyAlignment="1" applyProtection="1">
      <alignment horizontal="center" vertical="center"/>
    </xf>
    <xf numFmtId="0" fontId="6" fillId="6" borderId="57" xfId="0" applyFont="1" applyFill="1" applyBorder="1" applyAlignment="1" applyProtection="1">
      <alignment horizontal="right" vertical="center"/>
    </xf>
    <xf numFmtId="0" fontId="6" fillId="6" borderId="58" xfId="0" applyFont="1" applyFill="1" applyBorder="1" applyAlignment="1" applyProtection="1">
      <alignment horizontal="right" vertical="center"/>
    </xf>
    <xf numFmtId="0" fontId="6" fillId="5" borderId="75" xfId="0" quotePrefix="1" applyFont="1" applyFill="1" applyBorder="1" applyAlignment="1" applyProtection="1">
      <alignment horizontal="right" vertical="center"/>
    </xf>
    <xf numFmtId="0" fontId="6" fillId="5" borderId="76" xfId="0" quotePrefix="1" applyFont="1" applyFill="1" applyBorder="1" applyAlignment="1" applyProtection="1">
      <alignment horizontal="right" vertical="center"/>
    </xf>
    <xf numFmtId="0" fontId="50" fillId="11" borderId="41" xfId="0" applyFont="1" applyFill="1" applyBorder="1" applyAlignment="1" applyProtection="1">
      <alignment horizontal="center" vertical="top"/>
      <protection hidden="1"/>
    </xf>
    <xf numFmtId="0" fontId="50" fillId="11" borderId="42" xfId="0" applyFont="1" applyFill="1" applyBorder="1" applyAlignment="1" applyProtection="1">
      <alignment horizontal="center" vertical="top"/>
      <protection hidden="1"/>
    </xf>
    <xf numFmtId="0" fontId="59" fillId="11" borderId="40" xfId="0" applyFont="1" applyFill="1" applyBorder="1" applyAlignment="1" applyProtection="1">
      <alignment horizontal="center"/>
      <protection hidden="1"/>
    </xf>
    <xf numFmtId="0" fontId="59" fillId="11" borderId="41" xfId="0" applyFont="1" applyFill="1" applyBorder="1" applyAlignment="1" applyProtection="1">
      <alignment horizontal="center"/>
      <protection hidden="1"/>
    </xf>
    <xf numFmtId="0" fontId="6" fillId="5" borderId="60" xfId="0" applyFont="1" applyFill="1" applyBorder="1" applyAlignment="1" applyProtection="1">
      <alignment horizontal="center"/>
    </xf>
    <xf numFmtId="0" fontId="6" fillId="5" borderId="49" xfId="0" applyFont="1" applyFill="1" applyBorder="1" applyAlignment="1" applyProtection="1">
      <alignment horizontal="center"/>
    </xf>
    <xf numFmtId="0" fontId="6" fillId="5" borderId="50" xfId="0" applyFont="1" applyFill="1" applyBorder="1" applyAlignment="1" applyProtection="1">
      <alignment horizontal="center"/>
    </xf>
    <xf numFmtId="0" fontId="6" fillId="6" borderId="55" xfId="0" applyFont="1" applyFill="1" applyBorder="1" applyAlignment="1" applyProtection="1">
      <alignment horizontal="center" vertical="center"/>
    </xf>
    <xf numFmtId="0" fontId="6" fillId="6" borderId="56" xfId="0" applyFont="1" applyFill="1" applyBorder="1" applyAlignment="1" applyProtection="1">
      <alignment horizontal="center" vertical="center"/>
    </xf>
    <xf numFmtId="0" fontId="50" fillId="0" borderId="0" xfId="0" applyFont="1" applyFill="1" applyBorder="1" applyAlignment="1" applyProtection="1">
      <alignment horizontal="center" vertical="center" wrapText="1"/>
      <protection hidden="1"/>
    </xf>
    <xf numFmtId="0" fontId="50" fillId="5" borderId="0" xfId="0" applyFont="1" applyFill="1" applyBorder="1" applyAlignment="1" applyProtection="1">
      <alignment horizontal="center" vertical="center"/>
      <protection hidden="1"/>
    </xf>
    <xf numFmtId="2" fontId="50" fillId="5" borderId="0" xfId="0" applyNumberFormat="1" applyFont="1" applyFill="1" applyBorder="1" applyAlignment="1" applyProtection="1">
      <alignment horizontal="right" vertical="center" textRotation="90"/>
      <protection hidden="1"/>
    </xf>
    <xf numFmtId="2" fontId="9" fillId="5" borderId="28" xfId="0" applyNumberFormat="1" applyFont="1" applyFill="1" applyBorder="1" applyAlignment="1" applyProtection="1">
      <alignment horizontal="right" vertical="center" textRotation="90" shrinkToFit="1"/>
      <protection hidden="1"/>
    </xf>
    <xf numFmtId="0" fontId="6" fillId="6" borderId="61" xfId="0" applyFont="1" applyFill="1" applyBorder="1" applyAlignment="1" applyProtection="1">
      <alignment horizontal="center"/>
    </xf>
    <xf numFmtId="165" fontId="6" fillId="5" borderId="62" xfId="0" applyNumberFormat="1" applyFont="1" applyFill="1" applyBorder="1" applyAlignment="1" applyProtection="1">
      <alignment horizontal="center" vertical="center"/>
      <protection hidden="1"/>
    </xf>
    <xf numFmtId="165" fontId="6" fillId="5" borderId="48" xfId="0" applyNumberFormat="1" applyFont="1" applyFill="1" applyBorder="1" applyAlignment="1" applyProtection="1">
      <alignment horizontal="center" vertical="center"/>
      <protection hidden="1"/>
    </xf>
    <xf numFmtId="2" fontId="9" fillId="5" borderId="29" xfId="0" applyNumberFormat="1" applyFont="1" applyFill="1" applyBorder="1" applyAlignment="1" applyProtection="1">
      <alignment horizontal="center" vertical="center" shrinkToFit="1"/>
      <protection hidden="1"/>
    </xf>
    <xf numFmtId="2" fontId="50" fillId="5" borderId="0" xfId="0" applyNumberFormat="1" applyFont="1" applyFill="1" applyBorder="1" applyAlignment="1" applyProtection="1">
      <alignment horizontal="center" vertical="center" shrinkToFit="1"/>
      <protection hidden="1"/>
    </xf>
    <xf numFmtId="0" fontId="13" fillId="2" borderId="30" xfId="0" applyFont="1" applyFill="1" applyBorder="1" applyAlignment="1" applyProtection="1">
      <alignment horizontal="center" vertical="center"/>
      <protection hidden="1"/>
    </xf>
    <xf numFmtId="1" fontId="55" fillId="5" borderId="30" xfId="0" applyNumberFormat="1" applyFont="1" applyFill="1" applyBorder="1" applyAlignment="1" applyProtection="1">
      <alignment horizontal="center" vertical="center"/>
      <protection locked="0"/>
    </xf>
    <xf numFmtId="1" fontId="55" fillId="5" borderId="9" xfId="0" applyNumberFormat="1" applyFont="1" applyFill="1" applyBorder="1" applyAlignment="1" applyProtection="1">
      <alignment horizontal="center" vertical="center"/>
      <protection locked="0"/>
    </xf>
    <xf numFmtId="0" fontId="13" fillId="2" borderId="2" xfId="0" applyFont="1" applyFill="1" applyBorder="1" applyAlignment="1" applyProtection="1">
      <alignment horizontal="center" vertical="center"/>
      <protection hidden="1"/>
    </xf>
    <xf numFmtId="0" fontId="6" fillId="5" borderId="60" xfId="0" applyFont="1" applyFill="1" applyBorder="1" applyAlignment="1" applyProtection="1">
      <alignment horizontal="center" vertical="center"/>
    </xf>
    <xf numFmtId="0" fontId="6" fillId="5" borderId="49" xfId="0" applyFont="1" applyFill="1" applyBorder="1" applyAlignment="1" applyProtection="1">
      <alignment horizontal="center" vertical="center"/>
    </xf>
    <xf numFmtId="0" fontId="6" fillId="5" borderId="49" xfId="0" applyFont="1" applyFill="1" applyBorder="1" applyAlignment="1" applyProtection="1">
      <alignment horizontal="right" vertical="center"/>
    </xf>
    <xf numFmtId="0" fontId="6" fillId="5" borderId="51" xfId="0" quotePrefix="1" applyFont="1" applyFill="1" applyBorder="1" applyAlignment="1" applyProtection="1">
      <alignment horizontal="center" vertical="center"/>
    </xf>
    <xf numFmtId="0" fontId="6" fillId="5" borderId="52" xfId="0" quotePrefix="1" applyFont="1" applyFill="1" applyBorder="1" applyAlignment="1" applyProtection="1">
      <alignment horizontal="center" vertical="center"/>
    </xf>
    <xf numFmtId="0" fontId="6" fillId="5" borderId="8" xfId="0" quotePrefix="1" applyFont="1" applyFill="1" applyBorder="1" applyAlignment="1" applyProtection="1">
      <alignment horizontal="center" vertical="center"/>
    </xf>
    <xf numFmtId="0" fontId="6" fillId="5" borderId="30" xfId="0" quotePrefix="1" applyFont="1" applyFill="1" applyBorder="1" applyAlignment="1" applyProtection="1">
      <alignment horizontal="center" vertical="center"/>
    </xf>
    <xf numFmtId="165" fontId="6" fillId="5" borderId="52" xfId="0" applyNumberFormat="1" applyFont="1" applyFill="1" applyBorder="1" applyAlignment="1" applyProtection="1">
      <alignment horizontal="center" vertical="center" shrinkToFit="1"/>
      <protection hidden="1"/>
    </xf>
    <xf numFmtId="165" fontId="6" fillId="6" borderId="32" xfId="0" applyNumberFormat="1" applyFont="1" applyFill="1" applyBorder="1" applyAlignment="1" applyProtection="1">
      <alignment horizontal="center" vertical="center"/>
    </xf>
    <xf numFmtId="165" fontId="6" fillId="6" borderId="0" xfId="0" applyNumberFormat="1" applyFont="1" applyFill="1" applyBorder="1" applyAlignment="1" applyProtection="1">
      <alignment horizontal="center" vertical="center"/>
    </xf>
    <xf numFmtId="0" fontId="50" fillId="0" borderId="27" xfId="0" applyFont="1" applyFill="1" applyBorder="1" applyAlignment="1" applyProtection="1">
      <alignment horizontal="center" vertical="top"/>
      <protection hidden="1"/>
    </xf>
    <xf numFmtId="0" fontId="50" fillId="0" borderId="0" xfId="0" applyFont="1" applyFill="1" applyBorder="1" applyAlignment="1" applyProtection="1">
      <alignment horizontal="center" vertical="top"/>
      <protection hidden="1"/>
    </xf>
    <xf numFmtId="0" fontId="50" fillId="0" borderId="28" xfId="0" applyFont="1" applyFill="1" applyBorder="1" applyAlignment="1" applyProtection="1">
      <alignment horizontal="center" vertical="top"/>
      <protection hidden="1"/>
    </xf>
    <xf numFmtId="0" fontId="50" fillId="0" borderId="20" xfId="0" applyFont="1" applyFill="1" applyBorder="1" applyAlignment="1" applyProtection="1">
      <alignment horizontal="center" vertical="top"/>
      <protection hidden="1"/>
    </xf>
    <xf numFmtId="0" fontId="50" fillId="0" borderId="29" xfId="0" applyFont="1" applyFill="1" applyBorder="1" applyAlignment="1" applyProtection="1">
      <alignment horizontal="center" vertical="top"/>
      <protection hidden="1"/>
    </xf>
    <xf numFmtId="0" fontId="50" fillId="0" borderId="21" xfId="0" applyFont="1" applyFill="1" applyBorder="1" applyAlignment="1" applyProtection="1">
      <alignment horizontal="center" vertical="top"/>
      <protection hidden="1"/>
    </xf>
    <xf numFmtId="0" fontId="6" fillId="5" borderId="52" xfId="0" quotePrefix="1" applyFont="1" applyFill="1" applyBorder="1" applyAlignment="1" applyProtection="1">
      <alignment horizontal="center" vertical="center" shrinkToFit="1"/>
      <protection hidden="1"/>
    </xf>
    <xf numFmtId="0" fontId="79" fillId="0" borderId="18" xfId="0" applyFont="1" applyFill="1" applyBorder="1" applyAlignment="1" applyProtection="1">
      <alignment horizontal="right" vertical="top" indent="1"/>
      <protection hidden="1"/>
    </xf>
    <xf numFmtId="0" fontId="79" fillId="0" borderId="26" xfId="0" applyFont="1" applyFill="1" applyBorder="1" applyAlignment="1" applyProtection="1">
      <alignment horizontal="right" vertical="top" indent="1"/>
      <protection hidden="1"/>
    </xf>
    <xf numFmtId="0" fontId="59" fillId="0" borderId="27" xfId="0" applyFont="1" applyFill="1" applyBorder="1" applyAlignment="1" applyProtection="1">
      <alignment horizontal="center"/>
      <protection hidden="1"/>
    </xf>
    <xf numFmtId="0" fontId="59" fillId="0" borderId="0" xfId="0" applyFont="1" applyFill="1" applyBorder="1" applyAlignment="1" applyProtection="1">
      <alignment horizontal="center"/>
      <protection hidden="1"/>
    </xf>
    <xf numFmtId="0" fontId="78" fillId="11" borderId="20" xfId="0" applyFont="1" applyFill="1" applyBorder="1" applyAlignment="1" applyProtection="1">
      <alignment horizontal="right" indent="1"/>
      <protection hidden="1"/>
    </xf>
    <xf numFmtId="0" fontId="78" fillId="11" borderId="29" xfId="0" applyFont="1" applyFill="1" applyBorder="1" applyAlignment="1" applyProtection="1">
      <alignment horizontal="right" indent="1"/>
      <protection hidden="1"/>
    </xf>
    <xf numFmtId="0" fontId="78" fillId="11" borderId="20" xfId="0" applyFont="1" applyFill="1" applyBorder="1" applyAlignment="1" applyProtection="1">
      <alignment horizontal="left" indent="1"/>
      <protection hidden="1"/>
    </xf>
    <xf numFmtId="0" fontId="78" fillId="11" borderId="29" xfId="0" applyFont="1" applyFill="1" applyBorder="1" applyAlignment="1" applyProtection="1">
      <alignment horizontal="left" indent="1"/>
      <protection hidden="1"/>
    </xf>
    <xf numFmtId="0" fontId="78" fillId="11" borderId="21" xfId="0" applyFont="1" applyFill="1" applyBorder="1" applyAlignment="1" applyProtection="1">
      <alignment horizontal="left" indent="1"/>
      <protection hidden="1"/>
    </xf>
    <xf numFmtId="165" fontId="6" fillId="5" borderId="63" xfId="0" applyNumberFormat="1" applyFont="1" applyFill="1" applyBorder="1" applyAlignment="1" applyProtection="1">
      <alignment horizontal="center" vertical="center"/>
      <protection hidden="1"/>
    </xf>
    <xf numFmtId="0" fontId="4" fillId="5" borderId="32" xfId="0" applyFont="1" applyFill="1" applyBorder="1" applyAlignment="1" applyProtection="1">
      <alignment horizontal="right" vertical="center"/>
    </xf>
    <xf numFmtId="165" fontId="6" fillId="5" borderId="30" xfId="0" applyNumberFormat="1" applyFont="1" applyFill="1" applyBorder="1" applyAlignment="1" applyProtection="1">
      <alignment horizontal="center" vertical="center" shrinkToFit="1"/>
      <protection hidden="1"/>
    </xf>
    <xf numFmtId="165" fontId="6" fillId="5" borderId="49" xfId="0" applyNumberFormat="1" applyFont="1" applyFill="1" applyBorder="1" applyAlignment="1" applyProtection="1">
      <alignment horizontal="center" vertical="center" shrinkToFit="1"/>
      <protection hidden="1"/>
    </xf>
    <xf numFmtId="0" fontId="6" fillId="5" borderId="51" xfId="0" applyFont="1" applyFill="1" applyBorder="1" applyAlignment="1" applyProtection="1">
      <alignment horizontal="center" vertical="center"/>
    </xf>
    <xf numFmtId="0" fontId="6" fillId="5" borderId="52" xfId="0" applyFont="1" applyFill="1" applyBorder="1" applyAlignment="1" applyProtection="1">
      <alignment horizontal="center" vertical="center"/>
    </xf>
    <xf numFmtId="0" fontId="6" fillId="6" borderId="49" xfId="0" applyFont="1" applyFill="1" applyBorder="1" applyAlignment="1" applyProtection="1">
      <alignment horizontal="center" vertical="center"/>
    </xf>
    <xf numFmtId="0" fontId="6" fillId="6" borderId="50" xfId="0" applyFont="1" applyFill="1" applyBorder="1" applyAlignment="1" applyProtection="1">
      <alignment horizontal="center" vertical="center"/>
    </xf>
    <xf numFmtId="0" fontId="69" fillId="0" borderId="0" xfId="0" quotePrefix="1" applyFont="1" applyFill="1" applyBorder="1" applyAlignment="1" applyProtection="1">
      <alignment horizontal="right" vertical="top" indent="1"/>
      <protection hidden="1"/>
    </xf>
    <xf numFmtId="0" fontId="6" fillId="6" borderId="6" xfId="0" applyFont="1" applyFill="1" applyBorder="1" applyAlignment="1" applyProtection="1">
      <alignment horizontal="right" vertical="center"/>
    </xf>
    <xf numFmtId="0" fontId="6" fillId="6" borderId="31" xfId="0" applyFont="1" applyFill="1" applyBorder="1" applyAlignment="1" applyProtection="1">
      <alignment horizontal="right" vertical="center"/>
    </xf>
    <xf numFmtId="0" fontId="67" fillId="4" borderId="30" xfId="0" applyFont="1" applyFill="1" applyBorder="1" applyAlignment="1" applyProtection="1">
      <alignment horizontal="left" vertical="center"/>
      <protection hidden="1"/>
    </xf>
    <xf numFmtId="2" fontId="67" fillId="4" borderId="2" xfId="0" applyNumberFormat="1" applyFont="1" applyFill="1" applyBorder="1" applyAlignment="1" applyProtection="1">
      <alignment horizontal="center" vertical="center"/>
      <protection hidden="1"/>
    </xf>
    <xf numFmtId="2" fontId="67" fillId="4" borderId="3" xfId="0" applyNumberFormat="1" applyFont="1" applyFill="1" applyBorder="1" applyAlignment="1" applyProtection="1">
      <alignment horizontal="center" vertical="center"/>
      <protection hidden="1"/>
    </xf>
    <xf numFmtId="0" fontId="67" fillId="4" borderId="2" xfId="0" applyFont="1" applyFill="1" applyBorder="1" applyAlignment="1" applyProtection="1">
      <alignment horizontal="center" vertical="center"/>
      <protection hidden="1"/>
    </xf>
    <xf numFmtId="0" fontId="67" fillId="4" borderId="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top" textRotation="90"/>
      <protection hidden="1"/>
    </xf>
    <xf numFmtId="1" fontId="13" fillId="2" borderId="0" xfId="0" applyNumberFormat="1" applyFont="1" applyFill="1" applyAlignment="1" applyProtection="1">
      <alignment horizontal="center" vertical="center"/>
      <protection hidden="1"/>
    </xf>
    <xf numFmtId="2" fontId="13" fillId="2" borderId="1" xfId="0" applyNumberFormat="1" applyFont="1" applyFill="1" applyBorder="1" applyAlignment="1" applyProtection="1">
      <alignment horizontal="center" vertical="center"/>
      <protection hidden="1"/>
    </xf>
    <xf numFmtId="0" fontId="32" fillId="2" borderId="1" xfId="0" applyFont="1" applyFill="1" applyBorder="1" applyAlignment="1" applyProtection="1">
      <alignment horizontal="center" vertical="top" textRotation="90"/>
      <protection hidden="1"/>
    </xf>
    <xf numFmtId="0" fontId="67" fillId="4" borderId="0" xfId="0" applyFont="1" applyFill="1" applyBorder="1" applyAlignment="1" applyProtection="1">
      <alignment horizontal="left" vertical="center"/>
      <protection hidden="1"/>
    </xf>
    <xf numFmtId="165" fontId="6" fillId="5" borderId="51" xfId="0" applyNumberFormat="1" applyFont="1" applyFill="1" applyBorder="1" applyAlignment="1" applyProtection="1">
      <alignment horizontal="right" vertical="center" indent="1"/>
    </xf>
    <xf numFmtId="165" fontId="6" fillId="5" borderId="52" xfId="0" applyNumberFormat="1" applyFont="1" applyFill="1" applyBorder="1" applyAlignment="1" applyProtection="1">
      <alignment horizontal="right" vertical="center" indent="1"/>
    </xf>
    <xf numFmtId="165" fontId="6" fillId="5" borderId="60" xfId="0" applyNumberFormat="1" applyFont="1" applyFill="1" applyBorder="1" applyAlignment="1" applyProtection="1">
      <alignment horizontal="right" vertical="center" indent="1"/>
    </xf>
    <xf numFmtId="165" fontId="6" fillId="5" borderId="49" xfId="0" applyNumberFormat="1" applyFont="1" applyFill="1" applyBorder="1" applyAlignment="1" applyProtection="1">
      <alignment horizontal="right" vertical="center" indent="1"/>
    </xf>
    <xf numFmtId="165" fontId="6" fillId="5" borderId="8" xfId="0" applyNumberFormat="1" applyFont="1" applyFill="1" applyBorder="1" applyAlignment="1" applyProtection="1">
      <alignment horizontal="right" vertical="center" indent="1"/>
    </xf>
    <xf numFmtId="165" fontId="6" fillId="5" borderId="30" xfId="0" applyNumberFormat="1" applyFont="1" applyFill="1" applyBorder="1" applyAlignment="1" applyProtection="1">
      <alignment horizontal="right" vertical="center" indent="1"/>
    </xf>
    <xf numFmtId="0" fontId="6" fillId="5" borderId="49" xfId="0" quotePrefix="1" applyFont="1" applyFill="1" applyBorder="1" applyAlignment="1" applyProtection="1">
      <alignment horizontal="center" vertical="center" shrinkToFit="1"/>
      <protection hidden="1"/>
    </xf>
    <xf numFmtId="0" fontId="6" fillId="5" borderId="30" xfId="0" quotePrefix="1" applyFont="1" applyFill="1" applyBorder="1" applyAlignment="1" applyProtection="1">
      <alignment horizontal="center" vertical="center" shrinkToFit="1"/>
      <protection hidden="1"/>
    </xf>
    <xf numFmtId="0" fontId="59" fillId="0" borderId="18" xfId="0" applyFont="1" applyFill="1" applyBorder="1" applyAlignment="1" applyProtection="1">
      <alignment horizontal="center"/>
      <protection hidden="1"/>
    </xf>
    <xf numFmtId="0" fontId="59" fillId="0" borderId="26" xfId="0" applyFont="1" applyFill="1" applyBorder="1" applyAlignment="1" applyProtection="1">
      <alignment horizontal="center"/>
      <protection hidden="1"/>
    </xf>
    <xf numFmtId="0" fontId="59" fillId="0" borderId="19" xfId="0" applyFont="1" applyFill="1" applyBorder="1" applyAlignment="1" applyProtection="1">
      <alignment horizontal="center"/>
      <protection hidden="1"/>
    </xf>
    <xf numFmtId="0" fontId="59" fillId="0" borderId="28" xfId="0" applyFont="1" applyFill="1" applyBorder="1" applyAlignment="1" applyProtection="1">
      <alignment horizontal="center"/>
      <protection hidden="1"/>
    </xf>
    <xf numFmtId="0" fontId="50" fillId="0" borderId="0" xfId="0" applyFont="1" applyFill="1" applyBorder="1" applyAlignment="1" applyProtection="1">
      <alignment horizontal="center"/>
      <protection hidden="1"/>
    </xf>
    <xf numFmtId="0" fontId="50" fillId="0" borderId="28" xfId="0" applyFont="1" applyFill="1" applyBorder="1" applyAlignment="1" applyProtection="1">
      <alignment horizontal="center"/>
      <protection hidden="1"/>
    </xf>
    <xf numFmtId="0" fontId="50" fillId="11" borderId="26" xfId="0" applyFont="1" applyFill="1" applyBorder="1" applyAlignment="1" applyProtection="1">
      <alignment horizontal="center"/>
      <protection hidden="1"/>
    </xf>
    <xf numFmtId="0" fontId="50" fillId="11" borderId="19" xfId="0" applyFont="1" applyFill="1" applyBorder="1" applyAlignment="1" applyProtection="1">
      <alignment horizontal="center"/>
      <protection hidden="1"/>
    </xf>
    <xf numFmtId="0" fontId="50" fillId="11" borderId="0" xfId="0" applyFont="1" applyFill="1" applyBorder="1" applyAlignment="1" applyProtection="1">
      <alignment horizontal="center"/>
      <protection hidden="1"/>
    </xf>
    <xf numFmtId="0" fontId="50" fillId="11" borderId="28" xfId="0" applyFont="1" applyFill="1" applyBorder="1" applyAlignment="1" applyProtection="1">
      <alignment horizontal="center"/>
      <protection hidden="1"/>
    </xf>
    <xf numFmtId="0" fontId="50" fillId="11" borderId="43" xfId="0" applyFont="1" applyFill="1" applyBorder="1" applyAlignment="1" applyProtection="1">
      <alignment horizontal="center"/>
      <protection hidden="1"/>
    </xf>
    <xf numFmtId="0" fontId="50" fillId="11" borderId="65" xfId="0" applyFont="1" applyFill="1" applyBorder="1" applyAlignment="1" applyProtection="1">
      <alignment horizontal="center"/>
      <protection hidden="1"/>
    </xf>
    <xf numFmtId="0" fontId="50" fillId="0" borderId="43" xfId="0" applyFont="1" applyFill="1" applyBorder="1" applyAlignment="1" applyProtection="1">
      <alignment horizontal="center" vertical="top"/>
      <protection hidden="1"/>
    </xf>
    <xf numFmtId="0" fontId="50" fillId="0" borderId="65" xfId="0" applyFont="1" applyFill="1" applyBorder="1" applyAlignment="1" applyProtection="1">
      <alignment horizontal="center" vertical="top"/>
      <protection hidden="1"/>
    </xf>
    <xf numFmtId="0" fontId="50" fillId="0" borderId="26" xfId="0" applyFont="1" applyFill="1" applyBorder="1" applyAlignment="1" applyProtection="1">
      <alignment horizontal="center" vertical="top"/>
      <protection hidden="1"/>
    </xf>
    <xf numFmtId="0" fontId="50" fillId="0" borderId="19" xfId="0" applyFont="1" applyFill="1" applyBorder="1" applyAlignment="1" applyProtection="1">
      <alignment horizontal="center" vertical="top"/>
      <protection hidden="1"/>
    </xf>
    <xf numFmtId="0" fontId="6" fillId="6" borderId="0" xfId="0" applyFont="1" applyFill="1" applyBorder="1" applyAlignment="1" applyProtection="1">
      <alignment horizontal="center" vertical="center"/>
    </xf>
    <xf numFmtId="165" fontId="6" fillId="6" borderId="32" xfId="0" applyNumberFormat="1" applyFont="1" applyFill="1" applyBorder="1" applyAlignment="1" applyProtection="1">
      <alignment horizontal="center" vertical="center"/>
      <protection hidden="1"/>
    </xf>
    <xf numFmtId="165" fontId="6" fillId="6" borderId="0" xfId="0" applyNumberFormat="1" applyFont="1" applyFill="1" applyBorder="1" applyAlignment="1" applyProtection="1">
      <alignment horizontal="center" vertical="center"/>
      <protection hidden="1"/>
    </xf>
    <xf numFmtId="0" fontId="6" fillId="6" borderId="49" xfId="0" applyFont="1" applyFill="1" applyBorder="1" applyAlignment="1" applyProtection="1">
      <alignment horizontal="right" vertical="center"/>
    </xf>
    <xf numFmtId="0" fontId="6" fillId="6" borderId="63" xfId="0" applyFont="1" applyFill="1" applyBorder="1" applyAlignment="1" applyProtection="1">
      <alignment horizontal="center"/>
    </xf>
    <xf numFmtId="0" fontId="6" fillId="6" borderId="49" xfId="0" applyFont="1" applyFill="1" applyBorder="1" applyAlignment="1" applyProtection="1">
      <alignment horizontal="center"/>
    </xf>
    <xf numFmtId="0" fontId="6" fillId="6" borderId="50" xfId="0" applyFont="1" applyFill="1" applyBorder="1" applyAlignment="1" applyProtection="1">
      <alignment horizontal="center"/>
    </xf>
    <xf numFmtId="0" fontId="59" fillId="0" borderId="67" xfId="0" applyFont="1" applyFill="1" applyBorder="1" applyAlignment="1" applyProtection="1">
      <alignment horizontal="center"/>
      <protection hidden="1"/>
    </xf>
    <xf numFmtId="0" fontId="50" fillId="0" borderId="67" xfId="0" applyFont="1" applyFill="1" applyBorder="1" applyAlignment="1" applyProtection="1">
      <alignment horizontal="center" vertical="top"/>
      <protection hidden="1"/>
    </xf>
    <xf numFmtId="0" fontId="59" fillId="0" borderId="66" xfId="0" applyFont="1" applyFill="1" applyBorder="1" applyAlignment="1" applyProtection="1">
      <alignment horizontal="center"/>
      <protection hidden="1"/>
    </xf>
    <xf numFmtId="0" fontId="50" fillId="0" borderId="27" xfId="0" applyFont="1" applyFill="1" applyBorder="1" applyAlignment="1" applyProtection="1">
      <alignment horizontal="center"/>
      <protection hidden="1"/>
    </xf>
    <xf numFmtId="0" fontId="50" fillId="0" borderId="67" xfId="0" applyFont="1" applyFill="1" applyBorder="1" applyAlignment="1" applyProtection="1">
      <alignment horizontal="center"/>
      <protection hidden="1"/>
    </xf>
    <xf numFmtId="0" fontId="50" fillId="0" borderId="69" xfId="0" applyFont="1" applyFill="1" applyBorder="1" applyAlignment="1" applyProtection="1">
      <alignment horizontal="center" vertical="top"/>
      <protection hidden="1"/>
    </xf>
    <xf numFmtId="0" fontId="50" fillId="0" borderId="64" xfId="0" applyFont="1" applyFill="1" applyBorder="1" applyAlignment="1" applyProtection="1">
      <alignment horizontal="center" vertical="top"/>
      <protection hidden="1"/>
    </xf>
    <xf numFmtId="0" fontId="50" fillId="0" borderId="68" xfId="0" applyFont="1" applyFill="1" applyBorder="1" applyAlignment="1" applyProtection="1">
      <alignment horizontal="center" vertical="top"/>
      <protection hidden="1"/>
    </xf>
    <xf numFmtId="0" fontId="59" fillId="0" borderId="27" xfId="0" applyFont="1" applyFill="1" applyBorder="1" applyAlignment="1" applyProtection="1">
      <alignment horizontal="center" vertical="center"/>
      <protection hidden="1"/>
    </xf>
    <xf numFmtId="0" fontId="59" fillId="0" borderId="0" xfId="0" applyFont="1" applyFill="1" applyBorder="1" applyAlignment="1" applyProtection="1">
      <alignment horizontal="center" vertical="center"/>
      <protection hidden="1"/>
    </xf>
    <xf numFmtId="0" fontId="59" fillId="0" borderId="28" xfId="0" applyFont="1" applyFill="1" applyBorder="1" applyAlignment="1" applyProtection="1">
      <alignment horizontal="center" vertical="center"/>
      <protection hidden="1"/>
    </xf>
    <xf numFmtId="0" fontId="50" fillId="0" borderId="64" xfId="0" applyFont="1" applyFill="1" applyBorder="1" applyAlignment="1" applyProtection="1">
      <alignment horizontal="center" vertical="center"/>
      <protection hidden="1"/>
    </xf>
    <xf numFmtId="0" fontId="50" fillId="0" borderId="43" xfId="0" applyFont="1" applyFill="1" applyBorder="1" applyAlignment="1" applyProtection="1">
      <alignment horizontal="center" vertical="center"/>
      <protection hidden="1"/>
    </xf>
    <xf numFmtId="0" fontId="50" fillId="0" borderId="65" xfId="0" applyFont="1" applyFill="1" applyBorder="1" applyAlignment="1" applyProtection="1">
      <alignment horizontal="center" vertical="center"/>
      <protection hidden="1"/>
    </xf>
    <xf numFmtId="0" fontId="50" fillId="0" borderId="27" xfId="0" applyFont="1" applyFill="1" applyBorder="1" applyAlignment="1" applyProtection="1">
      <alignment horizontal="center" vertical="center"/>
      <protection hidden="1"/>
    </xf>
    <xf numFmtId="0" fontId="50" fillId="0" borderId="0" xfId="0" applyFont="1" applyFill="1" applyBorder="1" applyAlignment="1" applyProtection="1">
      <alignment horizontal="center" vertical="center"/>
      <protection hidden="1"/>
    </xf>
    <xf numFmtId="0" fontId="50" fillId="0" borderId="28" xfId="0" applyFont="1" applyFill="1" applyBorder="1" applyAlignment="1" applyProtection="1">
      <alignment horizontal="center" vertical="center"/>
      <protection hidden="1"/>
    </xf>
    <xf numFmtId="165" fontId="6" fillId="5" borderId="32" xfId="0" applyNumberFormat="1" applyFont="1" applyFill="1" applyBorder="1" applyAlignment="1" applyProtection="1">
      <alignment horizontal="center" vertical="center"/>
      <protection hidden="1"/>
    </xf>
    <xf numFmtId="165" fontId="6" fillId="5" borderId="0" xfId="0" applyNumberFormat="1" applyFont="1" applyFill="1" applyBorder="1" applyAlignment="1" applyProtection="1">
      <alignment horizontal="center" vertical="center"/>
      <protection hidden="1"/>
    </xf>
    <xf numFmtId="165" fontId="6" fillId="5" borderId="33" xfId="0" applyNumberFormat="1" applyFont="1" applyFill="1" applyBorder="1" applyAlignment="1" applyProtection="1">
      <alignment horizontal="center" vertical="center"/>
      <protection hidden="1"/>
    </xf>
    <xf numFmtId="165" fontId="6" fillId="5" borderId="51" xfId="0" applyNumberFormat="1" applyFont="1" applyFill="1" applyBorder="1" applyAlignment="1" applyProtection="1">
      <alignment horizontal="right" vertical="center"/>
    </xf>
    <xf numFmtId="165" fontId="6" fillId="5" borderId="52" xfId="0" applyNumberFormat="1" applyFont="1" applyFill="1" applyBorder="1" applyAlignment="1" applyProtection="1">
      <alignment horizontal="right" vertical="center"/>
    </xf>
    <xf numFmtId="165" fontId="6" fillId="5" borderId="8" xfId="0" applyNumberFormat="1" applyFont="1" applyFill="1" applyBorder="1" applyAlignment="1" applyProtection="1">
      <alignment horizontal="right" vertical="center"/>
    </xf>
    <xf numFmtId="165" fontId="6" fillId="5" borderId="30" xfId="0" applyNumberFormat="1" applyFont="1" applyFill="1" applyBorder="1" applyAlignment="1" applyProtection="1">
      <alignment horizontal="right" vertical="center"/>
    </xf>
    <xf numFmtId="2" fontId="13" fillId="2" borderId="0" xfId="0" applyNumberFormat="1" applyFont="1" applyFill="1" applyAlignment="1" applyProtection="1">
      <alignment horizontal="center" vertical="center"/>
      <protection hidden="1"/>
    </xf>
    <xf numFmtId="2" fontId="13" fillId="2" borderId="30" xfId="0" applyNumberFormat="1" applyFont="1" applyFill="1" applyBorder="1" applyAlignment="1" applyProtection="1">
      <alignment horizontal="center" vertical="center"/>
      <protection hidden="1"/>
    </xf>
    <xf numFmtId="0" fontId="6" fillId="5" borderId="60" xfId="0" applyFont="1" applyFill="1" applyBorder="1" applyAlignment="1" applyProtection="1">
      <alignment horizontal="right" vertical="center"/>
    </xf>
    <xf numFmtId="0" fontId="6" fillId="5" borderId="32" xfId="0" quotePrefix="1" applyFont="1" applyFill="1" applyBorder="1" applyAlignment="1" applyProtection="1">
      <alignment horizontal="right" vertical="center"/>
    </xf>
    <xf numFmtId="0" fontId="6" fillId="5" borderId="0" xfId="0" quotePrefix="1" applyFont="1" applyFill="1" applyBorder="1" applyAlignment="1" applyProtection="1">
      <alignment horizontal="right" vertical="center"/>
    </xf>
    <xf numFmtId="0" fontId="50" fillId="5" borderId="27" xfId="0" applyNumberFormat="1" applyFont="1" applyFill="1" applyBorder="1" applyAlignment="1" applyProtection="1">
      <alignment horizontal="left" vertical="center" textRotation="90" shrinkToFit="1"/>
      <protection hidden="1"/>
    </xf>
    <xf numFmtId="0" fontId="69" fillId="0" borderId="31" xfId="0" quotePrefix="1" applyFont="1" applyFill="1" applyBorder="1" applyAlignment="1" applyProtection="1">
      <alignment horizontal="right" vertical="top" indent="1"/>
      <protection hidden="1"/>
    </xf>
    <xf numFmtId="165" fontId="6" fillId="5" borderId="60" xfId="0" applyNumberFormat="1" applyFont="1" applyFill="1" applyBorder="1" applyAlignment="1" applyProtection="1">
      <alignment horizontal="center" vertical="center"/>
      <protection hidden="1"/>
    </xf>
    <xf numFmtId="165" fontId="6" fillId="5" borderId="32" xfId="0" applyNumberFormat="1" applyFont="1" applyFill="1" applyBorder="1" applyAlignment="1" applyProtection="1">
      <alignment horizontal="right" vertical="center"/>
    </xf>
    <xf numFmtId="165" fontId="6" fillId="5" borderId="0" xfId="0" applyNumberFormat="1" applyFont="1" applyFill="1" applyBorder="1" applyAlignment="1" applyProtection="1">
      <alignment horizontal="right" vertical="center"/>
    </xf>
    <xf numFmtId="165" fontId="6" fillId="5" borderId="60" xfId="0" applyNumberFormat="1" applyFont="1" applyFill="1" applyBorder="1" applyAlignment="1" applyProtection="1">
      <alignment horizontal="right" vertical="center"/>
    </xf>
    <xf numFmtId="165" fontId="6" fillId="5" borderId="49" xfId="0" applyNumberFormat="1" applyFont="1" applyFill="1" applyBorder="1" applyAlignment="1" applyProtection="1">
      <alignment horizontal="right" vertical="center"/>
    </xf>
    <xf numFmtId="0" fontId="4" fillId="5" borderId="0" xfId="0" applyNumberFormat="1" applyFont="1" applyFill="1" applyBorder="1" applyAlignment="1" applyProtection="1">
      <alignment horizontal="center" vertical="center"/>
      <protection hidden="1"/>
    </xf>
    <xf numFmtId="0" fontId="50" fillId="5" borderId="29" xfId="0" applyNumberFormat="1" applyFont="1" applyFill="1" applyBorder="1" applyAlignment="1" applyProtection="1">
      <alignment horizontal="left" vertical="center"/>
      <protection hidden="1"/>
    </xf>
    <xf numFmtId="0" fontId="50" fillId="5" borderId="29" xfId="0" applyNumberFormat="1" applyFont="1" applyFill="1" applyBorder="1" applyAlignment="1" applyProtection="1">
      <alignment horizontal="left" vertical="center" indent="1"/>
      <protection hidden="1"/>
    </xf>
    <xf numFmtId="0" fontId="50" fillId="5" borderId="27" xfId="0" applyNumberFormat="1" applyFont="1" applyFill="1" applyBorder="1" applyAlignment="1" applyProtection="1">
      <alignment horizontal="left" textRotation="90" shrinkToFit="1"/>
      <protection hidden="1"/>
    </xf>
    <xf numFmtId="0" fontId="50" fillId="5" borderId="28" xfId="0" applyNumberFormat="1" applyFont="1" applyFill="1" applyBorder="1" applyAlignment="1" applyProtection="1">
      <alignment horizontal="right" vertical="center" textRotation="90"/>
      <protection hidden="1"/>
    </xf>
    <xf numFmtId="0" fontId="6" fillId="6" borderId="61" xfId="0" applyFont="1" applyFill="1" applyBorder="1" applyAlignment="1" applyProtection="1">
      <alignment horizontal="right" vertical="center"/>
    </xf>
    <xf numFmtId="0" fontId="6" fillId="6" borderId="31" xfId="0" applyFont="1" applyFill="1" applyBorder="1" applyAlignment="1" applyProtection="1">
      <alignment horizontal="center" vertical="center"/>
    </xf>
    <xf numFmtId="0" fontId="6" fillId="6" borderId="71" xfId="0" applyFont="1" applyFill="1" applyBorder="1" applyAlignment="1" applyProtection="1">
      <alignment horizontal="center" vertical="center"/>
    </xf>
    <xf numFmtId="0" fontId="6" fillId="6" borderId="7" xfId="0" applyFont="1" applyFill="1" applyBorder="1" applyAlignment="1" applyProtection="1">
      <alignment horizontal="center" vertical="center"/>
    </xf>
    <xf numFmtId="2" fontId="13" fillId="2" borderId="6" xfId="0" applyNumberFormat="1" applyFont="1" applyFill="1" applyBorder="1" applyAlignment="1" applyProtection="1">
      <alignment horizontal="center" vertical="center"/>
      <protection hidden="1"/>
    </xf>
    <xf numFmtId="2" fontId="13" fillId="2" borderId="31" xfId="0" applyNumberFormat="1" applyFont="1" applyFill="1" applyBorder="1" applyAlignment="1" applyProtection="1">
      <alignment horizontal="center" vertical="center"/>
      <protection hidden="1"/>
    </xf>
    <xf numFmtId="2" fontId="13" fillId="2" borderId="7" xfId="0" applyNumberFormat="1" applyFont="1" applyFill="1" applyBorder="1" applyAlignment="1" applyProtection="1">
      <alignment horizontal="center" vertical="center"/>
      <protection hidden="1"/>
    </xf>
    <xf numFmtId="0" fontId="13" fillId="2" borderId="36" xfId="0" applyFont="1" applyFill="1" applyBorder="1" applyAlignment="1" applyProtection="1">
      <alignment horizontal="center" vertical="center"/>
      <protection hidden="1"/>
    </xf>
    <xf numFmtId="2" fontId="13" fillId="2" borderId="33" xfId="0" applyNumberFormat="1" applyFont="1" applyFill="1" applyBorder="1" applyAlignment="1" applyProtection="1">
      <alignment horizontal="center" vertical="center"/>
      <protection hidden="1"/>
    </xf>
    <xf numFmtId="2" fontId="13" fillId="2" borderId="9" xfId="0" applyNumberFormat="1" applyFont="1" applyFill="1" applyBorder="1" applyAlignment="1" applyProtection="1">
      <alignment horizontal="center" vertical="center"/>
      <protection hidden="1"/>
    </xf>
    <xf numFmtId="0" fontId="6" fillId="5" borderId="31" xfId="0" applyFont="1" applyFill="1" applyBorder="1" applyAlignment="1" applyProtection="1">
      <alignment horizontal="center" vertical="center"/>
      <protection hidden="1"/>
    </xf>
    <xf numFmtId="0" fontId="6" fillId="5" borderId="7" xfId="0" applyFont="1" applyFill="1" applyBorder="1" applyAlignment="1" applyProtection="1">
      <alignment horizontal="center" vertical="center"/>
      <protection hidden="1"/>
    </xf>
    <xf numFmtId="0" fontId="50" fillId="5" borderId="48" xfId="0" applyFont="1" applyFill="1" applyBorder="1" applyAlignment="1" applyProtection="1">
      <alignment horizontal="right" vertical="center"/>
      <protection hidden="1"/>
    </xf>
    <xf numFmtId="0" fontId="50" fillId="5" borderId="30" xfId="0" applyFont="1" applyFill="1" applyBorder="1" applyAlignment="1" applyProtection="1">
      <alignment horizontal="right" vertical="center"/>
      <protection hidden="1"/>
    </xf>
    <xf numFmtId="164" fontId="6" fillId="5" borderId="52" xfId="0" applyNumberFormat="1" applyFont="1" applyFill="1" applyBorder="1" applyAlignment="1" applyProtection="1">
      <alignment horizontal="center" vertical="center"/>
      <protection hidden="1"/>
    </xf>
    <xf numFmtId="164" fontId="6" fillId="5" borderId="53" xfId="0" applyNumberFormat="1" applyFont="1" applyFill="1" applyBorder="1" applyAlignment="1" applyProtection="1">
      <alignment horizontal="center" vertical="center"/>
      <protection hidden="1"/>
    </xf>
    <xf numFmtId="164" fontId="6" fillId="5" borderId="30" xfId="0" applyNumberFormat="1" applyFont="1" applyFill="1" applyBorder="1" applyAlignment="1" applyProtection="1">
      <alignment horizontal="center" vertical="center"/>
      <protection hidden="1"/>
    </xf>
    <xf numFmtId="164" fontId="6" fillId="5" borderId="9" xfId="0" applyNumberFormat="1" applyFont="1" applyFill="1" applyBorder="1" applyAlignment="1" applyProtection="1">
      <alignment horizontal="center" vertical="center"/>
      <protection hidden="1"/>
    </xf>
    <xf numFmtId="2" fontId="13" fillId="2" borderId="33" xfId="0" applyNumberFormat="1" applyFont="1" applyFill="1" applyBorder="1" applyAlignment="1" applyProtection="1">
      <alignment horizontal="center" vertical="center" wrapText="1"/>
      <protection hidden="1"/>
    </xf>
    <xf numFmtId="2" fontId="13" fillId="2" borderId="9" xfId="0" applyNumberFormat="1" applyFont="1" applyFill="1" applyBorder="1" applyAlignment="1" applyProtection="1">
      <alignment horizontal="center" vertical="center" wrapText="1"/>
      <protection hidden="1"/>
    </xf>
    <xf numFmtId="0" fontId="50" fillId="5" borderId="62" xfId="0" applyFont="1" applyFill="1" applyBorder="1" applyAlignment="1" applyProtection="1">
      <alignment horizontal="right" vertical="center"/>
      <protection hidden="1"/>
    </xf>
    <xf numFmtId="0" fontId="50" fillId="5" borderId="52" xfId="0" applyFont="1" applyFill="1" applyBorder="1" applyAlignment="1" applyProtection="1">
      <alignment horizontal="right" vertical="center"/>
      <protection hidden="1"/>
    </xf>
    <xf numFmtId="0" fontId="50" fillId="5" borderId="29" xfId="0" applyFont="1" applyFill="1" applyBorder="1" applyAlignment="1" applyProtection="1">
      <alignment horizontal="left" vertical="center" shrinkToFit="1"/>
      <protection hidden="1"/>
    </xf>
    <xf numFmtId="0" fontId="50" fillId="5" borderId="29" xfId="0" applyFont="1" applyFill="1" applyBorder="1" applyAlignment="1" applyProtection="1">
      <alignment horizontal="right" vertical="center" shrinkToFit="1"/>
      <protection hidden="1"/>
    </xf>
    <xf numFmtId="0" fontId="50" fillId="5" borderId="28" xfId="0" applyFont="1" applyFill="1" applyBorder="1" applyAlignment="1" applyProtection="1">
      <alignment horizontal="right" vertical="center" textRotation="90" shrinkToFit="1"/>
      <protection hidden="1"/>
    </xf>
    <xf numFmtId="0" fontId="50" fillId="5" borderId="28" xfId="0" applyFont="1" applyFill="1" applyBorder="1" applyAlignment="1" applyProtection="1">
      <alignment horizontal="right" textRotation="90" shrinkToFit="1"/>
      <protection hidden="1"/>
    </xf>
    <xf numFmtId="0" fontId="50" fillId="5" borderId="28" xfId="0" applyFont="1" applyFill="1" applyBorder="1" applyAlignment="1" applyProtection="1">
      <alignment horizontal="right" vertical="center" textRotation="90"/>
      <protection hidden="1"/>
    </xf>
    <xf numFmtId="0" fontId="50" fillId="5" borderId="0" xfId="0" applyFont="1" applyFill="1" applyBorder="1" applyAlignment="1" applyProtection="1">
      <alignment horizontal="right" vertical="center" textRotation="90"/>
      <protection hidden="1"/>
    </xf>
    <xf numFmtId="0" fontId="59" fillId="0" borderId="18" xfId="0" applyFont="1" applyFill="1" applyBorder="1" applyAlignment="1" applyProtection="1">
      <alignment horizontal="right" vertical="center" textRotation="90"/>
      <protection hidden="1"/>
    </xf>
    <xf numFmtId="0" fontId="59" fillId="0" borderId="27" xfId="0" applyFont="1" applyFill="1" applyBorder="1" applyAlignment="1" applyProtection="1">
      <alignment horizontal="right" vertical="center" textRotation="90"/>
      <protection hidden="1"/>
    </xf>
    <xf numFmtId="0" fontId="59" fillId="0" borderId="20" xfId="0" applyFont="1" applyFill="1" applyBorder="1" applyAlignment="1" applyProtection="1">
      <alignment horizontal="right" vertical="center" textRotation="90"/>
      <protection hidden="1"/>
    </xf>
    <xf numFmtId="0" fontId="50" fillId="0" borderId="19" xfId="0" applyFont="1" applyFill="1" applyBorder="1" applyAlignment="1" applyProtection="1">
      <alignment horizontal="left" vertical="center" textRotation="90"/>
      <protection hidden="1"/>
    </xf>
    <xf numFmtId="0" fontId="50" fillId="0" borderId="28" xfId="0" applyFont="1" applyFill="1" applyBorder="1" applyAlignment="1" applyProtection="1">
      <alignment horizontal="left" vertical="center" textRotation="90"/>
      <protection hidden="1"/>
    </xf>
    <xf numFmtId="0" fontId="50" fillId="0" borderId="21" xfId="0" applyFont="1" applyFill="1" applyBorder="1" applyAlignment="1" applyProtection="1">
      <alignment horizontal="left" vertical="center" textRotation="90"/>
      <protection hidden="1"/>
    </xf>
    <xf numFmtId="0" fontId="50" fillId="0" borderId="18" xfId="0" applyFont="1" applyFill="1" applyBorder="1" applyAlignment="1" applyProtection="1">
      <alignment horizontal="center" vertical="center"/>
      <protection hidden="1"/>
    </xf>
    <xf numFmtId="0" fontId="50" fillId="0" borderId="19" xfId="0" applyFont="1" applyFill="1" applyBorder="1" applyAlignment="1" applyProtection="1">
      <alignment horizontal="center" vertical="center"/>
      <protection hidden="1"/>
    </xf>
    <xf numFmtId="0" fontId="50" fillId="0" borderId="20" xfId="0" applyFont="1" applyFill="1" applyBorder="1" applyAlignment="1" applyProtection="1">
      <alignment horizontal="center" vertical="center"/>
      <protection hidden="1"/>
    </xf>
    <xf numFmtId="0" fontId="50" fillId="0" borderId="21" xfId="0" applyFont="1" applyFill="1" applyBorder="1" applyAlignment="1" applyProtection="1">
      <alignment horizontal="center" vertical="center"/>
      <protection hidden="1"/>
    </xf>
    <xf numFmtId="0" fontId="59" fillId="0" borderId="18" xfId="0" applyFont="1" applyFill="1" applyBorder="1" applyAlignment="1" applyProtection="1">
      <alignment horizontal="center" vertical="center"/>
      <protection hidden="1"/>
    </xf>
    <xf numFmtId="0" fontId="59" fillId="0" borderId="26" xfId="0" applyFont="1" applyFill="1" applyBorder="1" applyAlignment="1" applyProtection="1">
      <alignment horizontal="center" vertical="center"/>
      <protection hidden="1"/>
    </xf>
    <xf numFmtId="0" fontId="59" fillId="0" borderId="19" xfId="0" applyFont="1" applyFill="1" applyBorder="1" applyAlignment="1" applyProtection="1">
      <alignment horizontal="center" vertical="center"/>
      <protection hidden="1"/>
    </xf>
    <xf numFmtId="0" fontId="50" fillId="0" borderId="29" xfId="0" applyFont="1" applyFill="1" applyBorder="1" applyAlignment="1" applyProtection="1">
      <alignment horizontal="center" vertical="center"/>
      <protection hidden="1"/>
    </xf>
    <xf numFmtId="0" fontId="7" fillId="6" borderId="32" xfId="0" applyFont="1" applyFill="1" applyBorder="1" applyAlignment="1" applyProtection="1">
      <alignment horizontal="right" vertical="center"/>
    </xf>
    <xf numFmtId="0" fontId="7" fillId="6" borderId="0" xfId="0" applyFont="1" applyFill="1" applyBorder="1" applyAlignment="1" applyProtection="1">
      <alignment horizontal="right" vertical="center"/>
    </xf>
    <xf numFmtId="0" fontId="50" fillId="5" borderId="70" xfId="0" applyFont="1" applyFill="1" applyBorder="1" applyAlignment="1" applyProtection="1">
      <alignment horizontal="left" vertical="center" indent="1"/>
      <protection hidden="1"/>
    </xf>
    <xf numFmtId="0" fontId="50" fillId="5" borderId="0" xfId="0" applyFont="1" applyFill="1" applyBorder="1" applyAlignment="1" applyProtection="1">
      <alignment horizontal="left" vertical="center" indent="1"/>
      <protection hidden="1"/>
    </xf>
    <xf numFmtId="0" fontId="50" fillId="5" borderId="33" xfId="0" applyFont="1" applyFill="1" applyBorder="1" applyAlignment="1" applyProtection="1">
      <alignment horizontal="left" vertical="center" indent="1"/>
      <protection hidden="1"/>
    </xf>
    <xf numFmtId="165" fontId="7" fillId="5" borderId="30" xfId="0" applyNumberFormat="1" applyFont="1" applyFill="1" applyBorder="1" applyAlignment="1" applyProtection="1">
      <alignment horizontal="center" vertical="center"/>
      <protection hidden="1"/>
    </xf>
    <xf numFmtId="164" fontId="7" fillId="5" borderId="30" xfId="0" applyNumberFormat="1" applyFont="1" applyFill="1" applyBorder="1" applyAlignment="1" applyProtection="1">
      <alignment horizontal="center" vertical="center"/>
      <protection hidden="1"/>
    </xf>
    <xf numFmtId="165" fontId="7" fillId="5" borderId="49" xfId="0" applyNumberFormat="1" applyFont="1" applyFill="1" applyBorder="1" applyAlignment="1" applyProtection="1">
      <alignment horizontal="center" vertical="center"/>
      <protection hidden="1"/>
    </xf>
    <xf numFmtId="164" fontId="7" fillId="5" borderId="49" xfId="0" applyNumberFormat="1" applyFont="1" applyFill="1" applyBorder="1" applyAlignment="1" applyProtection="1">
      <alignment horizontal="center" vertical="center"/>
      <protection hidden="1"/>
    </xf>
    <xf numFmtId="165" fontId="7" fillId="5" borderId="52" xfId="0" applyNumberFormat="1" applyFont="1" applyFill="1" applyBorder="1" applyAlignment="1" applyProtection="1">
      <alignment horizontal="center" vertical="center"/>
      <protection hidden="1"/>
    </xf>
    <xf numFmtId="164" fontId="7" fillId="5" borderId="52" xfId="0" applyNumberFormat="1" applyFont="1" applyFill="1" applyBorder="1" applyAlignment="1" applyProtection="1">
      <alignment horizontal="center" vertical="center"/>
      <protection hidden="1"/>
    </xf>
    <xf numFmtId="0" fontId="7" fillId="5" borderId="32" xfId="0" applyFont="1" applyFill="1" applyBorder="1" applyAlignment="1" applyProtection="1">
      <alignment horizontal="center" vertical="center"/>
    </xf>
    <xf numFmtId="0" fontId="7" fillId="5" borderId="0" xfId="0" applyFont="1" applyFill="1" applyBorder="1" applyAlignment="1" applyProtection="1">
      <alignment horizontal="center" vertical="center"/>
    </xf>
    <xf numFmtId="0" fontId="7" fillId="5" borderId="60" xfId="0" applyFont="1" applyFill="1" applyBorder="1" applyAlignment="1" applyProtection="1">
      <alignment horizontal="center" vertical="center"/>
    </xf>
    <xf numFmtId="0" fontId="7" fillId="5" borderId="49" xfId="0" applyFont="1" applyFill="1" applyBorder="1" applyAlignment="1" applyProtection="1">
      <alignment horizontal="center" vertical="center"/>
    </xf>
    <xf numFmtId="0" fontId="50" fillId="5" borderId="48" xfId="0" applyFont="1" applyFill="1" applyBorder="1" applyAlignment="1" applyProtection="1">
      <alignment horizontal="left" vertical="center" indent="1"/>
    </xf>
    <xf numFmtId="0" fontId="50" fillId="5" borderId="30" xfId="0" applyFont="1" applyFill="1" applyBorder="1" applyAlignment="1" applyProtection="1">
      <alignment horizontal="left" vertical="center" indent="1"/>
    </xf>
    <xf numFmtId="0" fontId="50" fillId="5" borderId="9" xfId="0" applyFont="1" applyFill="1" applyBorder="1" applyAlignment="1" applyProtection="1">
      <alignment horizontal="left" vertical="center" indent="1"/>
    </xf>
    <xf numFmtId="0" fontId="50" fillId="5" borderId="70" xfId="0" applyFont="1" applyFill="1" applyBorder="1" applyAlignment="1" applyProtection="1">
      <alignment horizontal="left" vertical="center" indent="1"/>
    </xf>
    <xf numFmtId="0" fontId="50" fillId="5" borderId="0" xfId="0" applyFont="1" applyFill="1" applyBorder="1" applyAlignment="1" applyProtection="1">
      <alignment horizontal="left" vertical="center" indent="1"/>
    </xf>
    <xf numFmtId="0" fontId="50" fillId="5" borderId="33" xfId="0" applyFont="1" applyFill="1" applyBorder="1" applyAlignment="1" applyProtection="1">
      <alignment horizontal="left" vertical="center" indent="1"/>
    </xf>
    <xf numFmtId="0" fontId="7" fillId="6" borderId="0" xfId="0" applyFont="1" applyFill="1" applyBorder="1" applyAlignment="1" applyProtection="1">
      <alignment horizontal="center" vertical="center"/>
    </xf>
    <xf numFmtId="165" fontId="7" fillId="5" borderId="0" xfId="0" applyNumberFormat="1" applyFont="1" applyFill="1" applyBorder="1" applyAlignment="1" applyProtection="1">
      <alignment horizontal="center" vertical="center"/>
      <protection hidden="1"/>
    </xf>
    <xf numFmtId="0" fontId="81" fillId="6" borderId="61" xfId="0" applyFont="1" applyFill="1" applyBorder="1" applyAlignment="1" applyProtection="1">
      <alignment horizontal="center" vertical="center"/>
    </xf>
    <xf numFmtId="0" fontId="81" fillId="6" borderId="58" xfId="0" applyFont="1" applyFill="1" applyBorder="1" applyAlignment="1" applyProtection="1">
      <alignment horizontal="center" vertical="center"/>
    </xf>
    <xf numFmtId="0" fontId="81" fillId="6" borderId="59" xfId="0" applyFont="1" applyFill="1" applyBorder="1" applyAlignment="1" applyProtection="1">
      <alignment horizontal="center" vertical="center"/>
    </xf>
    <xf numFmtId="0" fontId="50" fillId="5" borderId="62" xfId="0" applyFont="1" applyFill="1" applyBorder="1" applyAlignment="1" applyProtection="1">
      <alignment horizontal="left" vertical="center" indent="1"/>
      <protection hidden="1"/>
    </xf>
    <xf numFmtId="0" fontId="50" fillId="5" borderId="52" xfId="0" applyFont="1" applyFill="1" applyBorder="1" applyAlignment="1" applyProtection="1">
      <alignment horizontal="left" vertical="center" indent="1"/>
      <protection hidden="1"/>
    </xf>
    <xf numFmtId="0" fontId="50" fillId="5" borderId="53" xfId="0" applyFont="1" applyFill="1" applyBorder="1" applyAlignment="1" applyProtection="1">
      <alignment horizontal="left" vertical="center" indent="1"/>
      <protection hidden="1"/>
    </xf>
    <xf numFmtId="0" fontId="81" fillId="6" borderId="70" xfId="0" applyFont="1" applyFill="1" applyBorder="1" applyAlignment="1" applyProtection="1">
      <alignment horizontal="center" vertical="center"/>
    </xf>
    <xf numFmtId="0" fontId="81" fillId="6" borderId="0" xfId="0" applyFont="1" applyFill="1" applyBorder="1" applyAlignment="1" applyProtection="1">
      <alignment horizontal="center" vertical="center"/>
    </xf>
    <xf numFmtId="164" fontId="7" fillId="5" borderId="0" xfId="0" applyNumberFormat="1" applyFont="1" applyFill="1" applyBorder="1" applyAlignment="1" applyProtection="1">
      <alignment horizontal="center" vertical="center"/>
      <protection hidden="1"/>
    </xf>
    <xf numFmtId="0" fontId="51" fillId="5" borderId="10" xfId="0" applyFont="1" applyFill="1" applyBorder="1" applyAlignment="1" applyProtection="1">
      <alignment horizontal="right" vertical="center"/>
    </xf>
    <xf numFmtId="0" fontId="51" fillId="5" borderId="17" xfId="0" applyFont="1" applyFill="1" applyBorder="1" applyAlignment="1" applyProtection="1">
      <alignment horizontal="right" vertical="center"/>
    </xf>
    <xf numFmtId="0" fontId="50" fillId="5" borderId="30" xfId="0" applyFont="1" applyFill="1" applyBorder="1" applyAlignment="1" applyProtection="1">
      <alignment horizontal="center" vertical="center"/>
      <protection hidden="1"/>
    </xf>
    <xf numFmtId="0" fontId="50" fillId="5" borderId="74" xfId="0" applyFont="1" applyFill="1" applyBorder="1" applyAlignment="1" applyProtection="1">
      <alignment horizontal="center" vertical="center"/>
      <protection hidden="1"/>
    </xf>
    <xf numFmtId="164" fontId="6" fillId="5" borderId="48" xfId="0" applyNumberFormat="1" applyFont="1" applyFill="1" applyBorder="1" applyAlignment="1" applyProtection="1">
      <alignment horizontal="center" vertical="center"/>
      <protection hidden="1"/>
    </xf>
    <xf numFmtId="0" fontId="6" fillId="6" borderId="58" xfId="0" applyFont="1" applyFill="1" applyBorder="1" applyAlignment="1" applyProtection="1">
      <alignment horizontal="left" vertical="center"/>
    </xf>
    <xf numFmtId="0" fontId="6" fillId="6" borderId="59" xfId="0" applyFont="1" applyFill="1" applyBorder="1" applyAlignment="1" applyProtection="1">
      <alignment horizontal="left" vertical="center"/>
    </xf>
    <xf numFmtId="0" fontId="6" fillId="6" borderId="72" xfId="0" applyFont="1" applyFill="1" applyBorder="1" applyAlignment="1" applyProtection="1">
      <alignment horizontal="center" vertical="center"/>
    </xf>
    <xf numFmtId="0" fontId="50" fillId="5" borderId="52" xfId="0" applyFont="1" applyFill="1" applyBorder="1" applyAlignment="1" applyProtection="1">
      <alignment horizontal="center" vertical="center"/>
      <protection hidden="1"/>
    </xf>
    <xf numFmtId="0" fontId="50" fillId="5" borderId="73" xfId="0" applyFont="1" applyFill="1" applyBorder="1" applyAlignment="1" applyProtection="1">
      <alignment horizontal="center" vertical="center"/>
      <protection hidden="1"/>
    </xf>
    <xf numFmtId="164" fontId="6" fillId="5" borderId="62" xfId="0" applyNumberFormat="1" applyFont="1" applyFill="1" applyBorder="1" applyAlignment="1" applyProtection="1">
      <alignment horizontal="center" vertical="center"/>
      <protection hidden="1"/>
    </xf>
    <xf numFmtId="0" fontId="69" fillId="5" borderId="26" xfId="0" applyFont="1" applyFill="1" applyBorder="1" applyAlignment="1" applyProtection="1">
      <alignment horizontal="right" vertical="top"/>
      <protection hidden="1"/>
    </xf>
    <xf numFmtId="0" fontId="7" fillId="5" borderId="8" xfId="0" applyFont="1" applyFill="1" applyBorder="1" applyAlignment="1" applyProtection="1">
      <alignment horizontal="center" vertical="center"/>
    </xf>
    <xf numFmtId="0" fontId="7" fillId="5" borderId="30" xfId="0" applyFont="1" applyFill="1" applyBorder="1" applyAlignment="1" applyProtection="1">
      <alignment horizontal="center" vertical="center"/>
    </xf>
    <xf numFmtId="0" fontId="7" fillId="5" borderId="51" xfId="0" applyFont="1" applyFill="1" applyBorder="1" applyAlignment="1" applyProtection="1">
      <alignment horizontal="center" vertical="center"/>
    </xf>
    <xf numFmtId="0" fontId="7" fillId="5" borderId="52" xfId="0" applyFont="1" applyFill="1" applyBorder="1" applyAlignment="1" applyProtection="1">
      <alignment horizontal="center" vertical="center"/>
    </xf>
    <xf numFmtId="0" fontId="69" fillId="0" borderId="31" xfId="0" quotePrefix="1" applyFont="1" applyFill="1" applyBorder="1" applyAlignment="1" applyProtection="1">
      <alignment horizontal="right" vertical="top" wrapText="1"/>
      <protection hidden="1"/>
    </xf>
    <xf numFmtId="0" fontId="69" fillId="0" borderId="0" xfId="0" quotePrefix="1" applyFont="1" applyFill="1" applyBorder="1" applyAlignment="1" applyProtection="1">
      <alignment horizontal="right" vertical="top" wrapText="1"/>
      <protection hidden="1"/>
    </xf>
    <xf numFmtId="0" fontId="69" fillId="0" borderId="31" xfId="0" quotePrefix="1" applyFont="1" applyFill="1" applyBorder="1" applyAlignment="1" applyProtection="1">
      <alignment horizontal="right" vertical="top"/>
      <protection hidden="1"/>
    </xf>
    <xf numFmtId="0" fontId="50" fillId="0" borderId="27" xfId="0" applyFont="1" applyFill="1" applyBorder="1" applyAlignment="1" applyProtection="1">
      <alignment horizontal="center" vertical="center" shrinkToFit="1"/>
      <protection hidden="1"/>
    </xf>
    <xf numFmtId="0" fontId="50" fillId="0" borderId="0" xfId="0" applyFont="1" applyFill="1" applyBorder="1" applyAlignment="1" applyProtection="1">
      <alignment horizontal="center" vertical="center" shrinkToFit="1"/>
      <protection hidden="1"/>
    </xf>
    <xf numFmtId="0" fontId="50" fillId="0" borderId="28" xfId="0" applyFont="1" applyFill="1" applyBorder="1" applyAlignment="1" applyProtection="1">
      <alignment horizontal="center" vertical="center" shrinkToFit="1"/>
      <protection hidden="1"/>
    </xf>
    <xf numFmtId="0" fontId="50" fillId="0" borderId="27" xfId="0" applyFont="1" applyFill="1" applyBorder="1" applyAlignment="1" applyProtection="1">
      <alignment horizontal="center" vertical="top" shrinkToFit="1"/>
      <protection hidden="1"/>
    </xf>
    <xf numFmtId="0" fontId="50" fillId="0" borderId="0" xfId="0" applyFont="1" applyFill="1" applyBorder="1" applyAlignment="1" applyProtection="1">
      <alignment horizontal="center" vertical="top" shrinkToFit="1"/>
      <protection hidden="1"/>
    </xf>
    <xf numFmtId="0" fontId="50" fillId="0" borderId="28" xfId="0" applyFont="1" applyFill="1" applyBorder="1" applyAlignment="1" applyProtection="1">
      <alignment horizontal="center" vertical="top" shrinkToFit="1"/>
      <protection hidden="1"/>
    </xf>
    <xf numFmtId="0" fontId="50" fillId="0" borderId="20" xfId="0" applyFont="1" applyFill="1" applyBorder="1" applyAlignment="1" applyProtection="1">
      <alignment horizontal="center" vertical="top" shrinkToFit="1"/>
      <protection hidden="1"/>
    </xf>
    <xf numFmtId="0" fontId="50" fillId="0" borderId="29" xfId="0" applyFont="1" applyFill="1" applyBorder="1" applyAlignment="1" applyProtection="1">
      <alignment horizontal="center" vertical="top" shrinkToFit="1"/>
      <protection hidden="1"/>
    </xf>
    <xf numFmtId="0" fontId="50" fillId="0" borderId="21" xfId="0" applyFont="1" applyFill="1" applyBorder="1" applyAlignment="1" applyProtection="1">
      <alignment horizontal="center" vertical="top" shrinkToFit="1"/>
      <protection hidden="1"/>
    </xf>
    <xf numFmtId="0" fontId="47" fillId="0" borderId="0" xfId="3" applyFont="1" applyFill="1" applyBorder="1" applyAlignment="1" applyProtection="1">
      <alignment horizontal="left" vertical="top" wrapText="1"/>
      <protection hidden="1"/>
    </xf>
    <xf numFmtId="0" fontId="46" fillId="0" borderId="0" xfId="3" applyFont="1" applyFill="1" applyBorder="1" applyAlignment="1" applyProtection="1">
      <alignment horizontal="left" vertical="top" wrapText="1"/>
      <protection hidden="1"/>
    </xf>
    <xf numFmtId="0" fontId="90" fillId="0" borderId="0" xfId="3" applyFont="1" applyFill="1" applyBorder="1" applyAlignment="1" applyProtection="1">
      <alignment horizontal="left" vertical="center" wrapText="1"/>
      <protection hidden="1"/>
    </xf>
    <xf numFmtId="0" fontId="56" fillId="0" borderId="0" xfId="2" applyFont="1" applyFill="1" applyBorder="1" applyAlignment="1">
      <alignment horizontal="left" wrapText="1"/>
    </xf>
    <xf numFmtId="0" fontId="53" fillId="0" borderId="0" xfId="1" applyAlignment="1" applyProtection="1">
      <protection locked="0"/>
    </xf>
    <xf numFmtId="0" fontId="56" fillId="0" borderId="0" xfId="0" applyFont="1" applyFill="1" applyBorder="1" applyAlignment="1">
      <alignment horizontal="left" vertical="center" wrapText="1"/>
    </xf>
    <xf numFmtId="0" fontId="46" fillId="0" borderId="0" xfId="2" applyFont="1" applyFill="1" applyBorder="1" applyAlignment="1">
      <alignment horizontal="left" vertical="center" wrapText="1"/>
    </xf>
    <xf numFmtId="0" fontId="46" fillId="0" borderId="0" xfId="2" applyFont="1" applyFill="1" applyBorder="1" applyAlignment="1">
      <alignment horizontal="right" vertical="center" wrapText="1"/>
    </xf>
    <xf numFmtId="0" fontId="53" fillId="0" borderId="0" xfId="1" applyFill="1" applyBorder="1" applyAlignment="1" applyProtection="1">
      <alignment horizontal="left" vertical="center" wrapText="1"/>
      <protection locked="0"/>
    </xf>
    <xf numFmtId="0" fontId="53" fillId="0" borderId="0" xfId="1" applyFill="1" applyBorder="1" applyAlignment="1" applyProtection="1">
      <alignment horizontal="right" vertical="center" wrapText="1"/>
      <protection locked="0"/>
    </xf>
    <xf numFmtId="0" fontId="46" fillId="0" borderId="31" xfId="0" applyFont="1" applyFill="1" applyBorder="1" applyAlignment="1">
      <alignment horizontal="left" vertical="center" wrapText="1"/>
    </xf>
    <xf numFmtId="0" fontId="46" fillId="0" borderId="0" xfId="0" applyFont="1" applyFill="1" applyBorder="1" applyAlignment="1">
      <alignment horizontal="left" vertical="center" wrapText="1"/>
    </xf>
    <xf numFmtId="0" fontId="46" fillId="0" borderId="30" xfId="0" applyFont="1" applyFill="1" applyBorder="1" applyAlignment="1">
      <alignment horizontal="left" vertical="center" wrapText="1"/>
    </xf>
  </cellXfs>
  <cellStyles count="4">
    <cellStyle name="Hyperlink" xfId="1" builtinId="8"/>
    <cellStyle name="Normal" xfId="0" builtinId="0"/>
    <cellStyle name="Normal 2" xfId="2" xr:uid="{00000000-0005-0000-0000-000002000000}"/>
    <cellStyle name="Normal 3" xfId="3" xr:uid="{00000000-0005-0000-0000-000003000000}"/>
  </cellStyles>
  <dxfs count="51">
    <dxf>
      <font>
        <b val="0"/>
        <i val="0"/>
        <color rgb="FFC0C0C0"/>
      </font>
      <numFmt numFmtId="169" formatCode="&quot;N/A&quot;"/>
    </dxf>
    <dxf>
      <font>
        <color rgb="FFC0C0C0"/>
      </font>
      <numFmt numFmtId="169" formatCode="&quot;N/A&quot;"/>
    </dxf>
    <dxf>
      <font>
        <color rgb="FF969696"/>
      </font>
    </dxf>
    <dxf>
      <font>
        <b val="0"/>
        <i val="0"/>
        <color rgb="FFC0C0C0"/>
      </font>
      <numFmt numFmtId="169" formatCode="&quot;N/A&quot;"/>
    </dxf>
    <dxf>
      <numFmt numFmtId="170" formatCode="&quot;-&quot;"/>
    </dxf>
    <dxf>
      <numFmt numFmtId="170" formatCode="&quot;-&quot;"/>
    </dxf>
    <dxf>
      <border>
        <right/>
        <vertical/>
        <horizontal/>
      </border>
    </dxf>
    <dxf>
      <border>
        <bottom/>
        <vertical/>
        <horizontal/>
      </border>
    </dxf>
    <dxf>
      <border>
        <right/>
        <vertical/>
        <horizontal/>
      </border>
    </dxf>
    <dxf>
      <fill>
        <patternFill>
          <bgColor rgb="FFFFFFCC"/>
        </patternFill>
      </fill>
      <border>
        <right/>
        <top/>
        <bottom/>
        <vertical/>
        <horizontal/>
      </border>
    </dxf>
    <dxf>
      <fill>
        <patternFill>
          <bgColor rgb="FFFFFFCC"/>
        </patternFill>
      </fill>
      <border>
        <right/>
        <top/>
        <bottom/>
        <vertical/>
        <horizontal/>
      </border>
    </dxf>
    <dxf>
      <numFmt numFmtId="170" formatCode="&quot;-&quot;"/>
    </dxf>
    <dxf>
      <fill>
        <patternFill>
          <bgColor rgb="FFFFFFCC"/>
        </patternFill>
      </fill>
      <border>
        <right/>
        <top/>
        <bottom/>
        <vertical/>
        <horizontal/>
      </border>
    </dxf>
    <dxf>
      <numFmt numFmtId="170" formatCode="&quot;-&quot;"/>
    </dxf>
    <dxf>
      <fill>
        <patternFill>
          <bgColor rgb="FFFFFFCC"/>
        </patternFill>
      </fill>
      <border>
        <right/>
        <top/>
        <bottom/>
        <vertical/>
        <horizontal/>
      </border>
    </dxf>
    <dxf>
      <font>
        <b val="0"/>
        <i val="0"/>
        <color rgb="FFC0C0C0"/>
      </font>
      <numFmt numFmtId="169" formatCode="&quot;N/A&quot;"/>
    </dxf>
    <dxf>
      <font>
        <b val="0"/>
        <i val="0"/>
        <color rgb="FFC0C0C0"/>
      </font>
      <numFmt numFmtId="169" formatCode="&quot;N/A&quot;"/>
    </dxf>
    <dxf>
      <font>
        <b val="0"/>
        <i val="0"/>
        <color rgb="FFC0C0C0"/>
      </font>
      <numFmt numFmtId="169" formatCode="&quot;N/A&quot;"/>
    </dxf>
    <dxf>
      <font>
        <b val="0"/>
        <i val="0"/>
        <color rgb="FFC0C0C0"/>
      </font>
      <numFmt numFmtId="169" formatCode="&quot;N/A&quot;"/>
    </dxf>
    <dxf>
      <fill>
        <patternFill patternType="solid">
          <fgColor auto="1"/>
          <bgColor rgb="FFFFFFCC"/>
        </patternFill>
      </fill>
      <border>
        <right/>
        <top/>
        <bottom/>
        <vertical/>
        <horizontal/>
      </border>
    </dxf>
    <dxf>
      <fill>
        <patternFill patternType="solid">
          <fgColor auto="1"/>
          <bgColor rgb="FFFFFFCC"/>
        </patternFill>
      </fill>
      <border>
        <right/>
        <top/>
        <bottom/>
        <vertical/>
        <horizontal/>
      </border>
    </dxf>
    <dxf>
      <fill>
        <patternFill patternType="solid">
          <fgColor auto="1"/>
          <bgColor rgb="FFFFFFCC"/>
        </patternFill>
      </fill>
      <border>
        <right/>
        <top/>
        <bottom/>
        <vertical/>
        <horizontal/>
      </border>
    </dxf>
    <dxf>
      <font>
        <strike val="0"/>
        <color auto="1"/>
      </font>
    </dxf>
    <dxf>
      <font>
        <strike val="0"/>
        <color auto="1"/>
      </font>
    </dxf>
    <dxf>
      <font>
        <strike val="0"/>
        <color auto="1"/>
      </font>
    </dxf>
    <dxf>
      <fill>
        <patternFill>
          <bgColor rgb="FFFFCC00"/>
        </patternFill>
      </fill>
      <border>
        <left style="thin">
          <color auto="1"/>
        </left>
        <right style="thin">
          <color auto="1"/>
        </right>
        <top style="thin">
          <color auto="1"/>
        </top>
        <bottom style="thin">
          <color auto="1"/>
        </bottom>
        <vertical/>
        <horizontal/>
      </border>
    </dxf>
    <dxf>
      <font>
        <color theme="0" tint="-0.24994659260841701"/>
      </font>
      <fill>
        <patternFill>
          <bgColor theme="0" tint="-0.24994659260841701"/>
        </patternFill>
      </fill>
      <border>
        <left/>
        <right/>
        <top/>
        <bottom/>
      </border>
    </dxf>
    <dxf>
      <font>
        <color rgb="FFC0C0C0"/>
      </font>
    </dxf>
    <dxf>
      <numFmt numFmtId="170" formatCode="&quot;-&quot;"/>
    </dxf>
    <dxf>
      <font>
        <color rgb="FFFFFFCC"/>
      </font>
    </dxf>
    <dxf>
      <fill>
        <patternFill>
          <bgColor rgb="FFFFC000"/>
        </patternFill>
      </fill>
      <border>
        <left style="thin">
          <color auto="1"/>
        </left>
        <right style="thin">
          <color auto="1"/>
        </right>
        <top style="thin">
          <color auto="1"/>
        </top>
        <bottom style="thin">
          <color auto="1"/>
        </bottom>
        <vertical/>
        <horizontal/>
      </border>
    </dxf>
    <dxf>
      <font>
        <color theme="0" tint="-0.24994659260841701"/>
      </font>
      <fill>
        <patternFill>
          <bgColor theme="0" tint="-0.24994659260841701"/>
        </patternFill>
      </fill>
      <border>
        <left/>
        <right/>
        <top/>
        <bottom/>
        <vertical/>
        <horizontal/>
      </border>
    </dxf>
    <dxf>
      <font>
        <color rgb="FFC0C0C0"/>
      </font>
    </dxf>
    <dxf>
      <border>
        <left/>
        <right/>
        <top/>
        <bottom/>
        <vertical/>
        <horizontal/>
      </border>
    </dxf>
    <dxf>
      <font>
        <color theme="0"/>
      </font>
      <fill>
        <patternFill>
          <bgColor theme="0"/>
        </patternFill>
      </fill>
      <border>
        <vertical/>
        <horizontal/>
      </border>
    </dxf>
    <dxf>
      <border>
        <top/>
        <vertical/>
        <horizontal/>
      </border>
    </dxf>
    <dxf>
      <border>
        <top/>
        <vertical/>
        <horizontal/>
      </border>
    </dxf>
    <dxf>
      <font>
        <b val="0"/>
        <i val="0"/>
      </font>
    </dxf>
    <dxf>
      <fill>
        <patternFill patternType="solid">
          <fgColor auto="1"/>
          <bgColor rgb="FFFFFFCC"/>
        </patternFill>
      </fill>
      <border>
        <right/>
        <top/>
        <bottom/>
        <vertical/>
        <horizontal/>
      </border>
    </dxf>
    <dxf>
      <fill>
        <patternFill patternType="solid">
          <fgColor auto="1"/>
          <bgColor rgb="FFFFFFCC"/>
        </patternFill>
      </fill>
      <border>
        <right/>
        <top/>
        <bottom/>
        <vertical/>
        <horizontal/>
      </border>
    </dxf>
    <dxf>
      <fill>
        <patternFill>
          <bgColor rgb="FFFFFFCC"/>
        </patternFill>
      </fill>
      <border>
        <left style="thin">
          <color auto="1"/>
        </left>
        <right style="thin">
          <color auto="1"/>
        </right>
        <top style="thin">
          <color auto="1"/>
        </top>
        <bottom style="thin">
          <color auto="1"/>
        </bottom>
        <vertical/>
        <horizontal/>
      </border>
    </dxf>
    <dxf>
      <font>
        <color theme="0"/>
      </font>
      <fill>
        <patternFill patternType="none">
          <bgColor auto="1"/>
        </patternFill>
      </fill>
      <border>
        <left/>
        <right/>
        <top/>
        <bottom/>
        <vertical/>
        <horizontal/>
      </border>
    </dxf>
    <dxf>
      <font>
        <color rgb="FFC0C0C0"/>
      </font>
    </dxf>
    <dxf>
      <font>
        <color rgb="FFC0C0C0"/>
      </font>
    </dxf>
    <dxf>
      <font>
        <strike val="0"/>
        <color auto="1"/>
      </font>
      <numFmt numFmtId="170" formatCode="&quot;-&quot;"/>
    </dxf>
    <dxf>
      <font>
        <color auto="1"/>
      </font>
      <numFmt numFmtId="170" formatCode="&quot;-&quot;"/>
    </dxf>
    <dxf>
      <font>
        <color auto="1"/>
      </font>
      <numFmt numFmtId="170" formatCode="&quot;-&quot;"/>
    </dxf>
    <dxf>
      <font>
        <color rgb="FFFFFFCC"/>
      </font>
    </dxf>
    <dxf>
      <font>
        <color auto="1"/>
      </font>
      <numFmt numFmtId="170" formatCode="&quot;-&quot;"/>
    </dxf>
    <dxf>
      <font>
        <b val="0"/>
        <i val="0"/>
        <color rgb="FFC0C0C0"/>
      </font>
      <numFmt numFmtId="169" formatCode="&quot;N/A&quot;"/>
    </dxf>
    <dxf>
      <font>
        <color theme="0"/>
      </font>
      <fill>
        <patternFill patternType="none">
          <bgColor auto="1"/>
        </patternFill>
      </fill>
      <border>
        <left/>
        <right/>
        <top/>
        <bottom/>
        <vertical/>
        <horizontal/>
      </border>
    </dxf>
  </dxfs>
  <tableStyles count="0" defaultTableStyle="TableStyleMedium2" defaultPivotStyle="PivotStyleLight16"/>
  <colors>
    <mruColors>
      <color rgb="FFCCFF33"/>
      <color rgb="FFEAEAEA"/>
      <color rgb="FFFFFFCC"/>
      <color rgb="FFC0C0C0"/>
      <color rgb="FFFFFF99"/>
      <color rgb="FFF8F8F8"/>
      <color rgb="FF0000CC"/>
      <color rgb="FF969696"/>
      <color rgb="FF777777"/>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15</xdr:col>
      <xdr:colOff>71438</xdr:colOff>
      <xdr:row>16</xdr:row>
      <xdr:rowOff>0</xdr:rowOff>
    </xdr:from>
    <xdr:to>
      <xdr:col>15</xdr:col>
      <xdr:colOff>251438</xdr:colOff>
      <xdr:row>17</xdr:row>
      <xdr:rowOff>0</xdr:rowOff>
    </xdr:to>
    <xdr:sp macro="[0]!Show_season" textlink="">
      <xdr:nvSpPr>
        <xdr:cNvPr id="3" name="TextBox 2">
          <a:extLst>
            <a:ext uri="{FF2B5EF4-FFF2-40B4-BE49-F238E27FC236}">
              <a16:creationId xmlns:a16="http://schemas.microsoft.com/office/drawing/2014/main" id="{00000000-0008-0000-0100-000003000000}"/>
            </a:ext>
          </a:extLst>
        </xdr:cNvPr>
        <xdr:cNvSpPr txBox="1"/>
      </xdr:nvSpPr>
      <xdr:spPr>
        <a:xfrm>
          <a:off x="4462463" y="340042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000">
              <a:solidFill>
                <a:srgbClr val="969696"/>
              </a:solidFill>
            </a:rPr>
            <a:t>(?)</a:t>
          </a:r>
          <a:endParaRPr lang="en-GB" sz="1000">
            <a:solidFill>
              <a:srgbClr val="969696"/>
            </a:solidFill>
          </a:endParaRPr>
        </a:p>
      </xdr:txBody>
    </xdr:sp>
    <xdr:clientData fPrintsWithSheet="0"/>
  </xdr:twoCellAnchor>
  <xdr:twoCellAnchor>
    <xdr:from>
      <xdr:col>15</xdr:col>
      <xdr:colOff>71438</xdr:colOff>
      <xdr:row>9</xdr:row>
      <xdr:rowOff>0</xdr:rowOff>
    </xdr:from>
    <xdr:to>
      <xdr:col>15</xdr:col>
      <xdr:colOff>251438</xdr:colOff>
      <xdr:row>10</xdr:row>
      <xdr:rowOff>0</xdr:rowOff>
    </xdr:to>
    <xdr:sp macro="[0]!Site_topography" textlink="">
      <xdr:nvSpPr>
        <xdr:cNvPr id="19" name="TextBox 18">
          <a:extLst>
            <a:ext uri="{FF2B5EF4-FFF2-40B4-BE49-F238E27FC236}">
              <a16:creationId xmlns:a16="http://schemas.microsoft.com/office/drawing/2014/main" id="{00000000-0008-0000-0100-000013000000}"/>
            </a:ext>
          </a:extLst>
        </xdr:cNvPr>
        <xdr:cNvSpPr txBox="1"/>
      </xdr:nvSpPr>
      <xdr:spPr>
        <a:xfrm>
          <a:off x="4462463" y="193357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000">
              <a:solidFill>
                <a:srgbClr val="969696"/>
              </a:solidFill>
            </a:rPr>
            <a:t>(?)</a:t>
          </a:r>
          <a:endParaRPr lang="en-GB" sz="1000">
            <a:solidFill>
              <a:srgbClr val="969696"/>
            </a:solidFill>
          </a:endParaRPr>
        </a:p>
      </xdr:txBody>
    </xdr:sp>
    <xdr:clientData fPrintsWithSheet="0"/>
  </xdr:twoCellAnchor>
  <xdr:oneCellAnchor>
    <xdr:from>
      <xdr:col>19</xdr:col>
      <xdr:colOff>114300</xdr:colOff>
      <xdr:row>22</xdr:row>
      <xdr:rowOff>200025</xdr:rowOff>
    </xdr:from>
    <xdr:ext cx="2047875" cy="2088173"/>
    <xdr:pic>
      <xdr:nvPicPr>
        <xdr:cNvPr id="20" name="WindDirectionDiagram">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 cstate="print"/>
        <a:srcRect l="27218" t="8756" r="35484" b="3687"/>
        <a:stretch>
          <a:fillRect/>
        </a:stretch>
      </xdr:blipFill>
      <xdr:spPr bwMode="auto">
        <a:xfrm>
          <a:off x="5762625" y="4648200"/>
          <a:ext cx="2047875" cy="2088173"/>
        </a:xfrm>
        <a:prstGeom prst="rect">
          <a:avLst/>
        </a:prstGeom>
        <a:noFill/>
        <a:ln w="9525">
          <a:noFill/>
          <a:miter lim="800000"/>
          <a:headEnd/>
          <a:tailEnd/>
        </a:ln>
      </xdr:spPr>
    </xdr:pic>
    <xdr:clientData/>
  </xdr:oneCellAnchor>
  <xdr:twoCellAnchor>
    <xdr:from>
      <xdr:col>15</xdr:col>
      <xdr:colOff>71438</xdr:colOff>
      <xdr:row>8</xdr:row>
      <xdr:rowOff>9525</xdr:rowOff>
    </xdr:from>
    <xdr:to>
      <xdr:col>15</xdr:col>
      <xdr:colOff>251438</xdr:colOff>
      <xdr:row>9</xdr:row>
      <xdr:rowOff>9525</xdr:rowOff>
    </xdr:to>
    <xdr:sp macro="[0]!Site_Location" textlink="">
      <xdr:nvSpPr>
        <xdr:cNvPr id="21" name="TextBox 20">
          <a:extLst>
            <a:ext uri="{FF2B5EF4-FFF2-40B4-BE49-F238E27FC236}">
              <a16:creationId xmlns:a16="http://schemas.microsoft.com/office/drawing/2014/main" id="{00000000-0008-0000-0100-000015000000}"/>
            </a:ext>
          </a:extLst>
        </xdr:cNvPr>
        <xdr:cNvSpPr txBox="1"/>
      </xdr:nvSpPr>
      <xdr:spPr>
        <a:xfrm>
          <a:off x="4500563" y="1943100"/>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000">
              <a:solidFill>
                <a:srgbClr val="969696"/>
              </a:solidFill>
            </a:rPr>
            <a:t>(?)</a:t>
          </a:r>
          <a:endParaRPr lang="en-GB" sz="1000">
            <a:solidFill>
              <a:srgbClr val="969696"/>
            </a:solidFill>
          </a:endParaRPr>
        </a:p>
      </xdr:txBody>
    </xdr:sp>
    <xdr:clientData fPrintsWithSheet="0"/>
  </xdr:twoCellAnchor>
  <xdr:twoCellAnchor>
    <xdr:from>
      <xdr:col>15</xdr:col>
      <xdr:colOff>71438</xdr:colOff>
      <xdr:row>11</xdr:row>
      <xdr:rowOff>0</xdr:rowOff>
    </xdr:from>
    <xdr:to>
      <xdr:col>15</xdr:col>
      <xdr:colOff>251438</xdr:colOff>
      <xdr:row>12</xdr:row>
      <xdr:rowOff>0</xdr:rowOff>
    </xdr:to>
    <xdr:sp macro="[0]!Nearby_Buildings" textlink="">
      <xdr:nvSpPr>
        <xdr:cNvPr id="22" name="TextBox 21">
          <a:extLst>
            <a:ext uri="{FF2B5EF4-FFF2-40B4-BE49-F238E27FC236}">
              <a16:creationId xmlns:a16="http://schemas.microsoft.com/office/drawing/2014/main" id="{00000000-0008-0000-0100-000016000000}"/>
            </a:ext>
          </a:extLst>
        </xdr:cNvPr>
        <xdr:cNvSpPr txBox="1"/>
      </xdr:nvSpPr>
      <xdr:spPr>
        <a:xfrm>
          <a:off x="4462463" y="235267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000">
              <a:solidFill>
                <a:srgbClr val="969696"/>
              </a:solidFill>
            </a:rPr>
            <a:t>(?)</a:t>
          </a:r>
          <a:endParaRPr lang="en-GB" sz="1000">
            <a:solidFill>
              <a:srgbClr val="969696"/>
            </a:solidFill>
          </a:endParaRPr>
        </a:p>
      </xdr:txBody>
    </xdr:sp>
    <xdr:clientData fPrintsWithSheet="0"/>
  </xdr:twoCellAnchor>
  <xdr:twoCellAnchor>
    <xdr:from>
      <xdr:col>26</xdr:col>
      <xdr:colOff>9524</xdr:colOff>
      <xdr:row>7</xdr:row>
      <xdr:rowOff>0</xdr:rowOff>
    </xdr:from>
    <xdr:to>
      <xdr:col>26</xdr:col>
      <xdr:colOff>211237</xdr:colOff>
      <xdr:row>7</xdr:row>
      <xdr:rowOff>152400</xdr:rowOff>
    </xdr:to>
    <xdr:sp macro="[0]!Site_topography_significant" textlink="">
      <xdr:nvSpPr>
        <xdr:cNvPr id="14" name="TextBox 13">
          <a:extLst>
            <a:ext uri="{FF2B5EF4-FFF2-40B4-BE49-F238E27FC236}">
              <a16:creationId xmlns:a16="http://schemas.microsoft.com/office/drawing/2014/main" id="{00000000-0008-0000-0100-00000E000000}"/>
            </a:ext>
          </a:extLst>
        </xdr:cNvPr>
        <xdr:cNvSpPr txBox="1"/>
      </xdr:nvSpPr>
      <xdr:spPr>
        <a:xfrm>
          <a:off x="7953374" y="1724025"/>
          <a:ext cx="201713"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000">
              <a:solidFill>
                <a:srgbClr val="969696"/>
              </a:solidFill>
            </a:rPr>
            <a:t>    </a:t>
          </a:r>
          <a:endParaRPr lang="en-GB" sz="1000">
            <a:solidFill>
              <a:srgbClr val="969696"/>
            </a:solidFill>
          </a:endParaRPr>
        </a:p>
      </xdr:txBody>
    </xdr:sp>
    <xdr:clientData fPrintsWithSheet="0"/>
  </xdr:twoCellAnchor>
  <xdr:twoCellAnchor>
    <xdr:from>
      <xdr:col>15</xdr:col>
      <xdr:colOff>71438</xdr:colOff>
      <xdr:row>10</xdr:row>
      <xdr:rowOff>0</xdr:rowOff>
    </xdr:from>
    <xdr:to>
      <xdr:col>15</xdr:col>
      <xdr:colOff>251438</xdr:colOff>
      <xdr:row>11</xdr:row>
      <xdr:rowOff>0</xdr:rowOff>
    </xdr:to>
    <xdr:sp macro="[0]!Building_Orientation" textlink="">
      <xdr:nvSpPr>
        <xdr:cNvPr id="8" name="TextBox 7">
          <a:extLst>
            <a:ext uri="{FF2B5EF4-FFF2-40B4-BE49-F238E27FC236}">
              <a16:creationId xmlns:a16="http://schemas.microsoft.com/office/drawing/2014/main" id="{00000000-0008-0000-0100-000008000000}"/>
            </a:ext>
          </a:extLst>
        </xdr:cNvPr>
        <xdr:cNvSpPr txBox="1"/>
      </xdr:nvSpPr>
      <xdr:spPr>
        <a:xfrm>
          <a:off x="4500563" y="235267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000">
              <a:solidFill>
                <a:srgbClr val="969696"/>
              </a:solidFill>
            </a:rPr>
            <a:t>(?)</a:t>
          </a:r>
          <a:endParaRPr lang="en-GB" sz="1000">
            <a:solidFill>
              <a:srgbClr val="969696"/>
            </a:solidFill>
          </a:endParaRPr>
        </a:p>
      </xdr:txBody>
    </xdr:sp>
    <xdr:clientData fPrintsWithSheet="0"/>
  </xdr:twoCellAnchor>
  <xdr:absoluteAnchor>
    <xdr:pos x="8601075" y="1057275"/>
    <xdr:ext cx="1130300" cy="342900"/>
    <xdr:sp macro="[0]!printme" textlink="">
      <xdr:nvSpPr>
        <xdr:cNvPr id="10" name="Rounded Rectangle 2">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8601075" y="1057275"/>
          <a:ext cx="1130300" cy="3429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1" i="0" u="none" strike="noStrike" baseline="0">
              <a:solidFill>
                <a:srgbClr val="333333"/>
              </a:solidFill>
              <a:latin typeface="Arial"/>
              <a:ea typeface="Arial"/>
              <a:cs typeface="Arial"/>
            </a:rPr>
            <a:t>Print Me</a:t>
          </a:r>
        </a:p>
      </xdr:txBody>
    </xdr:sp>
    <xdr:clientData fPrintsWithSheet="0"/>
  </xdr:absoluteAnchor>
  <xdr:twoCellAnchor editAs="absolute">
    <xdr:from>
      <xdr:col>2</xdr:col>
      <xdr:colOff>66675</xdr:colOff>
      <xdr:row>1</xdr:row>
      <xdr:rowOff>133350</xdr:rowOff>
    </xdr:from>
    <xdr:to>
      <xdr:col>3</xdr:col>
      <xdr:colOff>263525</xdr:colOff>
      <xdr:row>3</xdr:row>
      <xdr:rowOff>5292</xdr:rowOff>
    </xdr:to>
    <xdr:pic>
      <xdr:nvPicPr>
        <xdr:cNvPr id="12" name="logo_picture">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71475" y="323850"/>
          <a:ext cx="606425" cy="491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29</xdr:col>
      <xdr:colOff>0</xdr:colOff>
      <xdr:row>18</xdr:row>
      <xdr:rowOff>0</xdr:rowOff>
    </xdr:from>
    <xdr:to>
      <xdr:col>176</xdr:col>
      <xdr:colOff>523875</xdr:colOff>
      <xdr:row>27</xdr:row>
      <xdr:rowOff>28575</xdr:rowOff>
    </xdr:to>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8601075" y="4029075"/>
          <a:ext cx="2428875" cy="19145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0000"/>
              </a:solidFill>
            </a:rPr>
            <a:t>NOTE 1: </a:t>
          </a:r>
          <a:r>
            <a:rPr lang="en-GB" sz="1100" b="1">
              <a:solidFill>
                <a:srgbClr val="0000CC"/>
              </a:solidFill>
            </a:rPr>
            <a:t>YOU HAVE TO ENABLE</a:t>
          </a:r>
          <a:r>
            <a:rPr lang="en-GB" sz="1100" b="1" baseline="0">
              <a:solidFill>
                <a:srgbClr val="0000CC"/>
              </a:solidFill>
            </a:rPr>
            <a:t> MACROS TO </a:t>
          </a:r>
          <a:r>
            <a:rPr lang="pl-PL" sz="1100" b="1" baseline="0">
              <a:solidFill>
                <a:srgbClr val="0000CC"/>
              </a:solidFill>
            </a:rPr>
            <a:t>CHANGE SITE LOCATION, TOPOGRAPHY, ORIENTATION ETC.</a:t>
          </a:r>
        </a:p>
        <a:p>
          <a:endParaRPr lang="en-GB" sz="1100" b="1">
            <a:solidFill>
              <a:srgbClr val="FF0000"/>
            </a:solidFill>
          </a:endParaRPr>
        </a:p>
        <a:p>
          <a:r>
            <a:rPr lang="en-GB" sz="1100" b="1">
              <a:solidFill>
                <a:srgbClr val="FF0000"/>
              </a:solidFill>
            </a:rPr>
            <a:t>NOTE 2: </a:t>
          </a:r>
          <a:r>
            <a:rPr lang="en-GB" sz="1100">
              <a:solidFill>
                <a:schemeClr val="dk1"/>
              </a:solidFill>
              <a:effectLst/>
              <a:latin typeface="+mn-lt"/>
              <a:ea typeface="+mn-ea"/>
              <a:cs typeface="+mn-cs"/>
            </a:rPr>
            <a:t>In this </a:t>
          </a:r>
          <a:r>
            <a:rPr lang="pl-PL" sz="1100">
              <a:solidFill>
                <a:schemeClr val="dk1"/>
              </a:solidFill>
              <a:effectLst/>
              <a:latin typeface="+mn-lt"/>
              <a:ea typeface="+mn-ea"/>
              <a:cs typeface="+mn-cs"/>
            </a:rPr>
            <a:t>FREE L</a:t>
          </a:r>
          <a:r>
            <a:rPr lang="en-GB" sz="1100">
              <a:solidFill>
                <a:schemeClr val="dk1"/>
              </a:solidFill>
              <a:effectLst/>
              <a:latin typeface="+mn-lt"/>
              <a:ea typeface="+mn-ea"/>
              <a:cs typeface="+mn-cs"/>
            </a:rPr>
            <a:t>ite version you cannot change the company logo nor company information. Also, cells marked with this colour</a:t>
          </a:r>
          <a:r>
            <a:rPr lang="en-GB" sz="1100" baseline="0">
              <a:solidFill>
                <a:schemeClr val="dk1"/>
              </a:solidFill>
              <a:effectLst/>
              <a:latin typeface="+mn-lt"/>
              <a:ea typeface="+mn-ea"/>
              <a:cs typeface="+mn-cs"/>
            </a:rPr>
            <a:t> are locked:</a:t>
          </a:r>
          <a:endParaRPr lang="en-GB">
            <a:effectLst/>
          </a:endParaRPr>
        </a:p>
      </xdr:txBody>
    </xdr:sp>
    <xdr:clientData/>
  </xdr:twoCellAnchor>
  <xdr:twoCellAnchor editAs="absolute">
    <xdr:from>
      <xdr:col>172</xdr:col>
      <xdr:colOff>96459</xdr:colOff>
      <xdr:row>25</xdr:row>
      <xdr:rowOff>3553</xdr:rowOff>
    </xdr:from>
    <xdr:to>
      <xdr:col>173</xdr:col>
      <xdr:colOff>375708</xdr:colOff>
      <xdr:row>26</xdr:row>
      <xdr:rowOff>85045</xdr:rowOff>
    </xdr:to>
    <xdr:sp macro="" textlink="">
      <xdr:nvSpPr>
        <xdr:cNvPr id="13" name="Rectangle 12">
          <a:extLst>
            <a:ext uri="{FF2B5EF4-FFF2-40B4-BE49-F238E27FC236}">
              <a16:creationId xmlns:a16="http://schemas.microsoft.com/office/drawing/2014/main" id="{00000000-0008-0000-0100-00000D000000}"/>
            </a:ext>
          </a:extLst>
        </xdr:cNvPr>
        <xdr:cNvSpPr/>
      </xdr:nvSpPr>
      <xdr:spPr>
        <a:xfrm>
          <a:off x="8697534" y="5499478"/>
          <a:ext cx="755499" cy="291042"/>
        </a:xfrm>
        <a:prstGeom prst="rect">
          <a:avLst/>
        </a:prstGeom>
        <a:solidFill>
          <a:srgbClr val="CCFF3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173</xdr:col>
      <xdr:colOff>461433</xdr:colOff>
      <xdr:row>25</xdr:row>
      <xdr:rowOff>22604</xdr:rowOff>
    </xdr:from>
    <xdr:to>
      <xdr:col>175</xdr:col>
      <xdr:colOff>258233</xdr:colOff>
      <xdr:row>26</xdr:row>
      <xdr:rowOff>65995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9538758" y="5518529"/>
          <a:ext cx="749300" cy="25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LOCKED</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229561</xdr:colOff>
      <xdr:row>48</xdr:row>
      <xdr:rowOff>0</xdr:rowOff>
    </xdr:from>
    <xdr:to>
      <xdr:col>8</xdr:col>
      <xdr:colOff>210511</xdr:colOff>
      <xdr:row>48</xdr:row>
      <xdr:rowOff>0</xdr:rowOff>
    </xdr:to>
    <xdr:cxnSp macro="">
      <xdr:nvCxnSpPr>
        <xdr:cNvPr id="19" name="Straight Arrow Connector 18">
          <a:extLst>
            <a:ext uri="{FF2B5EF4-FFF2-40B4-BE49-F238E27FC236}">
              <a16:creationId xmlns:a16="http://schemas.microsoft.com/office/drawing/2014/main" id="{00000000-0008-0000-0A00-000013000000}"/>
            </a:ext>
          </a:extLst>
        </xdr:cNvPr>
        <xdr:cNvCxnSpPr/>
      </xdr:nvCxnSpPr>
      <xdr:spPr>
        <a:xfrm>
          <a:off x="1829761" y="10315575"/>
          <a:ext cx="609600" cy="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0</xdr:colOff>
      <xdr:row>39</xdr:row>
      <xdr:rowOff>0</xdr:rowOff>
    </xdr:from>
    <xdr:to>
      <xdr:col>6</xdr:col>
      <xdr:colOff>0</xdr:colOff>
      <xdr:row>57</xdr:row>
      <xdr:rowOff>1</xdr:rowOff>
    </xdr:to>
    <xdr:cxnSp macro="">
      <xdr:nvCxnSpPr>
        <xdr:cNvPr id="20" name="Straight Arrow Connector 19">
          <a:extLst>
            <a:ext uri="{FF2B5EF4-FFF2-40B4-BE49-F238E27FC236}">
              <a16:creationId xmlns:a16="http://schemas.microsoft.com/office/drawing/2014/main" id="{00000000-0008-0000-0A00-000014000000}"/>
            </a:ext>
          </a:extLst>
        </xdr:cNvPr>
        <xdr:cNvCxnSpPr/>
      </xdr:nvCxnSpPr>
      <xdr:spPr>
        <a:xfrm flipV="1">
          <a:off x="1600200" y="8429625"/>
          <a:ext cx="0" cy="3771901"/>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309563</xdr:colOff>
      <xdr:row>14</xdr:row>
      <xdr:rowOff>0</xdr:rowOff>
    </xdr:from>
    <xdr:to>
      <xdr:col>26</xdr:col>
      <xdr:colOff>211238</xdr:colOff>
      <xdr:row>15</xdr:row>
      <xdr:rowOff>0</xdr:rowOff>
    </xdr:to>
    <xdr:sp macro="[0]!Preassures_show" textlink="">
      <xdr:nvSpPr>
        <xdr:cNvPr id="21" name="TextBox 20">
          <a:extLst>
            <a:ext uri="{FF2B5EF4-FFF2-40B4-BE49-F238E27FC236}">
              <a16:creationId xmlns:a16="http://schemas.microsoft.com/office/drawing/2014/main" id="{00000000-0008-0000-0A00-000015000000}"/>
            </a:ext>
          </a:extLst>
        </xdr:cNvPr>
        <xdr:cNvSpPr txBox="1"/>
      </xdr:nvSpPr>
      <xdr:spPr>
        <a:xfrm>
          <a:off x="3795713" y="4029075"/>
          <a:ext cx="216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100">
              <a:solidFill>
                <a:srgbClr val="969696"/>
              </a:solidFill>
              <a:latin typeface="+mn-lt"/>
            </a:rPr>
            <a:t>    </a:t>
          </a:r>
          <a:endParaRPr lang="en-GB" sz="1100">
            <a:solidFill>
              <a:srgbClr val="969696"/>
            </a:solidFill>
            <a:latin typeface="+mn-lt"/>
          </a:endParaRPr>
        </a:p>
      </xdr:txBody>
    </xdr:sp>
    <xdr:clientData fPrintsWithSheet="0"/>
  </xdr:twoCellAnchor>
  <xdr:twoCellAnchor>
    <xdr:from>
      <xdr:col>7</xdr:col>
      <xdr:colOff>155801</xdr:colOff>
      <xdr:row>48</xdr:row>
      <xdr:rowOff>94569</xdr:rowOff>
    </xdr:from>
    <xdr:to>
      <xdr:col>8</xdr:col>
      <xdr:colOff>166007</xdr:colOff>
      <xdr:row>49</xdr:row>
      <xdr:rowOff>159205</xdr:rowOff>
    </xdr:to>
    <xdr:cxnSp macro="">
      <xdr:nvCxnSpPr>
        <xdr:cNvPr id="22" name="Straight Arrow Connector 21">
          <a:extLst>
            <a:ext uri="{FF2B5EF4-FFF2-40B4-BE49-F238E27FC236}">
              <a16:creationId xmlns:a16="http://schemas.microsoft.com/office/drawing/2014/main" id="{00000000-0008-0000-0A00-000016000000}"/>
            </a:ext>
          </a:extLst>
        </xdr:cNvPr>
        <xdr:cNvCxnSpPr/>
      </xdr:nvCxnSpPr>
      <xdr:spPr>
        <a:xfrm flipV="1">
          <a:off x="2070326" y="10410144"/>
          <a:ext cx="324531" cy="274186"/>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7</xdr:col>
      <xdr:colOff>155801</xdr:colOff>
      <xdr:row>45</xdr:row>
      <xdr:rowOff>148999</xdr:rowOff>
    </xdr:from>
    <xdr:to>
      <xdr:col>8</xdr:col>
      <xdr:colOff>164806</xdr:colOff>
      <xdr:row>47</xdr:row>
      <xdr:rowOff>66676</xdr:rowOff>
    </xdr:to>
    <xdr:cxnSp macro="">
      <xdr:nvCxnSpPr>
        <xdr:cNvPr id="23" name="Straight Arrow Connector 22">
          <a:extLst>
            <a:ext uri="{FF2B5EF4-FFF2-40B4-BE49-F238E27FC236}">
              <a16:creationId xmlns:a16="http://schemas.microsoft.com/office/drawing/2014/main" id="{00000000-0008-0000-0A00-000017000000}"/>
            </a:ext>
          </a:extLst>
        </xdr:cNvPr>
        <xdr:cNvCxnSpPr/>
      </xdr:nvCxnSpPr>
      <xdr:spPr>
        <a:xfrm>
          <a:off x="2070326" y="9835924"/>
          <a:ext cx="323330" cy="336777"/>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139087</xdr:colOff>
      <xdr:row>47</xdr:row>
      <xdr:rowOff>4234</xdr:rowOff>
    </xdr:from>
    <xdr:to>
      <xdr:col>7</xdr:col>
      <xdr:colOff>302585</xdr:colOff>
      <xdr:row>47</xdr:row>
      <xdr:rowOff>178858</xdr:rowOff>
    </xdr:to>
    <xdr:sp macro="" textlink="">
      <xdr:nvSpPr>
        <xdr:cNvPr id="24" name="TextBox 23">
          <a:extLst>
            <a:ext uri="{FF2B5EF4-FFF2-40B4-BE49-F238E27FC236}">
              <a16:creationId xmlns:a16="http://schemas.microsoft.com/office/drawing/2014/main" id="{00000000-0008-0000-0A00-000018000000}"/>
            </a:ext>
          </a:extLst>
        </xdr:cNvPr>
        <xdr:cNvSpPr txBox="1"/>
      </xdr:nvSpPr>
      <xdr:spPr>
        <a:xfrm>
          <a:off x="1739287" y="10110259"/>
          <a:ext cx="477823" cy="174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l-PL" sz="1100">
              <a:latin typeface="+mn-lt"/>
            </a:rPr>
            <a:t>wind</a:t>
          </a:r>
          <a:endParaRPr lang="en-GB" sz="1100">
            <a:latin typeface="+mn-lt"/>
          </a:endParaRPr>
        </a:p>
      </xdr:txBody>
    </xdr:sp>
    <xdr:clientData/>
  </xdr:twoCellAnchor>
  <xdr:twoCellAnchor>
    <xdr:from>
      <xdr:col>5</xdr:col>
      <xdr:colOff>247650</xdr:colOff>
      <xdr:row>39</xdr:row>
      <xdr:rowOff>0</xdr:rowOff>
    </xdr:from>
    <xdr:to>
      <xdr:col>6</xdr:col>
      <xdr:colOff>304800</xdr:colOff>
      <xdr:row>39</xdr:row>
      <xdr:rowOff>0</xdr:rowOff>
    </xdr:to>
    <xdr:cxnSp macro="">
      <xdr:nvCxnSpPr>
        <xdr:cNvPr id="25" name="Straight Connector 24">
          <a:extLst>
            <a:ext uri="{FF2B5EF4-FFF2-40B4-BE49-F238E27FC236}">
              <a16:creationId xmlns:a16="http://schemas.microsoft.com/office/drawing/2014/main" id="{00000000-0008-0000-0A00-000019000000}"/>
            </a:ext>
          </a:extLst>
        </xdr:cNvPr>
        <xdr:cNvCxnSpPr/>
      </xdr:nvCxnSpPr>
      <xdr:spPr>
        <a:xfrm>
          <a:off x="1533525" y="8429625"/>
          <a:ext cx="3714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247650</xdr:colOff>
      <xdr:row>57</xdr:row>
      <xdr:rowOff>0</xdr:rowOff>
    </xdr:from>
    <xdr:to>
      <xdr:col>6</xdr:col>
      <xdr:colOff>285750</xdr:colOff>
      <xdr:row>57</xdr:row>
      <xdr:rowOff>0</xdr:rowOff>
    </xdr:to>
    <xdr:cxnSp macro="">
      <xdr:nvCxnSpPr>
        <xdr:cNvPr id="26" name="Straight Connector 25">
          <a:extLst>
            <a:ext uri="{FF2B5EF4-FFF2-40B4-BE49-F238E27FC236}">
              <a16:creationId xmlns:a16="http://schemas.microsoft.com/office/drawing/2014/main" id="{00000000-0008-0000-0A00-00001A000000}"/>
            </a:ext>
          </a:extLst>
        </xdr:cNvPr>
        <xdr:cNvCxnSpPr/>
      </xdr:nvCxnSpPr>
      <xdr:spPr>
        <a:xfrm>
          <a:off x="1533525" y="12201525"/>
          <a:ext cx="3524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52388</xdr:colOff>
      <xdr:row>10</xdr:row>
      <xdr:rowOff>0</xdr:rowOff>
    </xdr:from>
    <xdr:to>
      <xdr:col>14</xdr:col>
      <xdr:colOff>232388</xdr:colOff>
      <xdr:row>11</xdr:row>
      <xdr:rowOff>0</xdr:rowOff>
    </xdr:to>
    <xdr:sp macro="[0]!Airflow_Over_Canopy_Roof_show" textlink="">
      <xdr:nvSpPr>
        <xdr:cNvPr id="27" name="TextBox 26">
          <a:extLst>
            <a:ext uri="{FF2B5EF4-FFF2-40B4-BE49-F238E27FC236}">
              <a16:creationId xmlns:a16="http://schemas.microsoft.com/office/drawing/2014/main" id="{00000000-0008-0000-0A00-00001B000000}"/>
            </a:ext>
          </a:extLst>
        </xdr:cNvPr>
        <xdr:cNvSpPr txBox="1"/>
      </xdr:nvSpPr>
      <xdr:spPr>
        <a:xfrm>
          <a:off x="4167188" y="235267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14</xdr:col>
      <xdr:colOff>52388</xdr:colOff>
      <xdr:row>16</xdr:row>
      <xdr:rowOff>0</xdr:rowOff>
    </xdr:from>
    <xdr:to>
      <xdr:col>14</xdr:col>
      <xdr:colOff>232388</xdr:colOff>
      <xdr:row>17</xdr:row>
      <xdr:rowOff>0</xdr:rowOff>
    </xdr:to>
    <xdr:sp macro="[0]!Monopitch_Canopy" textlink="">
      <xdr:nvSpPr>
        <xdr:cNvPr id="28" name="TextBox 27">
          <a:extLst>
            <a:ext uri="{FF2B5EF4-FFF2-40B4-BE49-F238E27FC236}">
              <a16:creationId xmlns:a16="http://schemas.microsoft.com/office/drawing/2014/main" id="{00000000-0008-0000-0A00-00001C000000}"/>
            </a:ext>
          </a:extLst>
        </xdr:cNvPr>
        <xdr:cNvSpPr txBox="1"/>
      </xdr:nvSpPr>
      <xdr:spPr>
        <a:xfrm>
          <a:off x="4167188" y="340042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26</xdr:col>
      <xdr:colOff>157724</xdr:colOff>
      <xdr:row>7</xdr:row>
      <xdr:rowOff>198345</xdr:rowOff>
    </xdr:from>
    <xdr:to>
      <xdr:col>27</xdr:col>
      <xdr:colOff>23399</xdr:colOff>
      <xdr:row>8</xdr:row>
      <xdr:rowOff>198345</xdr:rowOff>
    </xdr:to>
    <xdr:sp macro="[0]!Location_of_Force_Duopitch_Canopy_show" textlink="">
      <xdr:nvSpPr>
        <xdr:cNvPr id="29" name="TextBox 28">
          <a:extLst>
            <a:ext uri="{FF2B5EF4-FFF2-40B4-BE49-F238E27FC236}">
              <a16:creationId xmlns:a16="http://schemas.microsoft.com/office/drawing/2014/main" id="{00000000-0008-0000-0A00-00001D000000}"/>
            </a:ext>
          </a:extLst>
        </xdr:cNvPr>
        <xdr:cNvSpPr txBox="1"/>
      </xdr:nvSpPr>
      <xdr:spPr>
        <a:xfrm>
          <a:off x="8044424" y="1922370"/>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14</xdr:col>
      <xdr:colOff>52388</xdr:colOff>
      <xdr:row>17</xdr:row>
      <xdr:rowOff>0</xdr:rowOff>
    </xdr:from>
    <xdr:to>
      <xdr:col>14</xdr:col>
      <xdr:colOff>232388</xdr:colOff>
      <xdr:row>18</xdr:row>
      <xdr:rowOff>0</xdr:rowOff>
    </xdr:to>
    <xdr:sp macro="[0]!Duopitch_Canopy_angle" textlink="">
      <xdr:nvSpPr>
        <xdr:cNvPr id="30" name="TextBox 29">
          <a:extLst>
            <a:ext uri="{FF2B5EF4-FFF2-40B4-BE49-F238E27FC236}">
              <a16:creationId xmlns:a16="http://schemas.microsoft.com/office/drawing/2014/main" id="{00000000-0008-0000-0A00-00001E000000}"/>
            </a:ext>
          </a:extLst>
        </xdr:cNvPr>
        <xdr:cNvSpPr txBox="1"/>
      </xdr:nvSpPr>
      <xdr:spPr>
        <a:xfrm>
          <a:off x="4153741" y="2857500"/>
          <a:ext cx="1800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16</xdr:col>
      <xdr:colOff>161925</xdr:colOff>
      <xdr:row>39</xdr:row>
      <xdr:rowOff>0</xdr:rowOff>
    </xdr:from>
    <xdr:to>
      <xdr:col>16</xdr:col>
      <xdr:colOff>161925</xdr:colOff>
      <xdr:row>57</xdr:row>
      <xdr:rowOff>0</xdr:rowOff>
    </xdr:to>
    <xdr:cxnSp macro="">
      <xdr:nvCxnSpPr>
        <xdr:cNvPr id="3" name="Straight Connector 2">
          <a:extLst>
            <a:ext uri="{FF2B5EF4-FFF2-40B4-BE49-F238E27FC236}">
              <a16:creationId xmlns:a16="http://schemas.microsoft.com/office/drawing/2014/main" id="{00000000-0008-0000-0A00-000003000000}"/>
            </a:ext>
          </a:extLst>
        </xdr:cNvPr>
        <xdr:cNvCxnSpPr/>
      </xdr:nvCxnSpPr>
      <xdr:spPr>
        <a:xfrm>
          <a:off x="4905375" y="13801725"/>
          <a:ext cx="0" cy="3429000"/>
        </a:xfrm>
        <a:prstGeom prst="line">
          <a:avLst/>
        </a:prstGeom>
        <a:ln>
          <a:solidFill>
            <a:srgbClr val="969696"/>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9525</xdr:colOff>
      <xdr:row>42</xdr:row>
      <xdr:rowOff>0</xdr:rowOff>
    </xdr:from>
    <xdr:to>
      <xdr:col>15</xdr:col>
      <xdr:colOff>38100</xdr:colOff>
      <xdr:row>43</xdr:row>
      <xdr:rowOff>47625</xdr:rowOff>
    </xdr:to>
    <xdr:sp macro="" textlink="$AO$8">
      <xdr:nvSpPr>
        <xdr:cNvPr id="15" name="TextBox 14">
          <a:extLst>
            <a:ext uri="{FF2B5EF4-FFF2-40B4-BE49-F238E27FC236}">
              <a16:creationId xmlns:a16="http://schemas.microsoft.com/office/drawing/2014/main" id="{00000000-0008-0000-0A00-00000F000000}"/>
            </a:ext>
          </a:extLst>
        </xdr:cNvPr>
        <xdr:cNvSpPr txBox="1"/>
      </xdr:nvSpPr>
      <xdr:spPr>
        <a:xfrm>
          <a:off x="3495675" y="9058275"/>
          <a:ext cx="9715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9481847D-3AEA-4555-9847-A8AF02912EC8}" type="TxLink">
            <a:rPr lang="en-US" sz="1100" b="0" i="0" u="none" strike="noStrike">
              <a:solidFill>
                <a:srgbClr val="000000"/>
              </a:solidFill>
              <a:latin typeface="+mn-lt"/>
              <a:cs typeface="Arial"/>
            </a:rPr>
            <a:pPr/>
            <a:t>d4 = 7.50m</a:t>
          </a:fld>
          <a:endParaRPr lang="en-GB" sz="1100">
            <a:latin typeface="+mn-lt"/>
          </a:endParaRPr>
        </a:p>
      </xdr:txBody>
    </xdr:sp>
    <xdr:clientData/>
  </xdr:twoCellAnchor>
  <xdr:twoCellAnchor>
    <xdr:from>
      <xdr:col>18</xdr:col>
      <xdr:colOff>19050</xdr:colOff>
      <xdr:row>42</xdr:row>
      <xdr:rowOff>0</xdr:rowOff>
    </xdr:from>
    <xdr:to>
      <xdr:col>21</xdr:col>
      <xdr:colOff>47625</xdr:colOff>
      <xdr:row>43</xdr:row>
      <xdr:rowOff>47625</xdr:rowOff>
    </xdr:to>
    <xdr:sp macro="" textlink="$AQ$8">
      <xdr:nvSpPr>
        <xdr:cNvPr id="31" name="TextBox 30">
          <a:extLst>
            <a:ext uri="{FF2B5EF4-FFF2-40B4-BE49-F238E27FC236}">
              <a16:creationId xmlns:a16="http://schemas.microsoft.com/office/drawing/2014/main" id="{00000000-0008-0000-0A00-00001F000000}"/>
            </a:ext>
          </a:extLst>
        </xdr:cNvPr>
        <xdr:cNvSpPr txBox="1"/>
      </xdr:nvSpPr>
      <xdr:spPr>
        <a:xfrm>
          <a:off x="5391150" y="9058275"/>
          <a:ext cx="9715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43EF5726-9D5E-455B-AE37-EA5CFA484C88}" type="TxLink">
            <a:rPr lang="en-US" sz="1000" b="0" i="0" u="none" strike="noStrike">
              <a:solidFill>
                <a:srgbClr val="000000"/>
              </a:solidFill>
              <a:latin typeface="Arial"/>
              <a:cs typeface="Arial"/>
            </a:rPr>
            <a:pPr/>
            <a:t>d6 = 7.50m</a:t>
          </a:fld>
          <a:endParaRPr lang="en-GB" sz="1100">
            <a:latin typeface="+mn-lt"/>
          </a:endParaRPr>
        </a:p>
      </xdr:txBody>
    </xdr:sp>
    <xdr:clientData/>
  </xdr:twoCellAnchor>
  <xdr:twoCellAnchor>
    <xdr:from>
      <xdr:col>15</xdr:col>
      <xdr:colOff>19050</xdr:colOff>
      <xdr:row>42</xdr:row>
      <xdr:rowOff>0</xdr:rowOff>
    </xdr:from>
    <xdr:to>
      <xdr:col>18</xdr:col>
      <xdr:colOff>47625</xdr:colOff>
      <xdr:row>43</xdr:row>
      <xdr:rowOff>47625</xdr:rowOff>
    </xdr:to>
    <xdr:sp macro="" textlink="$AP$8">
      <xdr:nvSpPr>
        <xdr:cNvPr id="32" name="TextBox 31">
          <a:extLst>
            <a:ext uri="{FF2B5EF4-FFF2-40B4-BE49-F238E27FC236}">
              <a16:creationId xmlns:a16="http://schemas.microsoft.com/office/drawing/2014/main" id="{00000000-0008-0000-0A00-000020000000}"/>
            </a:ext>
          </a:extLst>
        </xdr:cNvPr>
        <xdr:cNvSpPr txBox="1"/>
      </xdr:nvSpPr>
      <xdr:spPr>
        <a:xfrm>
          <a:off x="4448175" y="9058275"/>
          <a:ext cx="9715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4C9EE7D-76A7-4892-8B19-7BE7765B8851}" type="TxLink">
            <a:rPr lang="en-US" sz="1000" b="0" i="0" u="none" strike="noStrike">
              <a:solidFill>
                <a:srgbClr val="000000"/>
              </a:solidFill>
              <a:latin typeface="Arial"/>
              <a:cs typeface="Arial"/>
            </a:rPr>
            <a:pPr/>
            <a:t>d5 = 5.00m</a:t>
          </a:fld>
          <a:endParaRPr lang="en-GB" sz="1100">
            <a:latin typeface="+mn-lt"/>
          </a:endParaRPr>
        </a:p>
      </xdr:txBody>
    </xdr:sp>
    <xdr:clientData/>
  </xdr:twoCellAnchor>
  <xdr:absoluteAnchor>
    <xdr:pos x="8562975" y="1057275"/>
    <xdr:ext cx="1130300" cy="342900"/>
    <xdr:sp macro="[0]!printme" textlink="">
      <xdr:nvSpPr>
        <xdr:cNvPr id="18" name="Rounded Rectangle 2">
          <a:extLst>
            <a:ext uri="{FF2B5EF4-FFF2-40B4-BE49-F238E27FC236}">
              <a16:creationId xmlns:a16="http://schemas.microsoft.com/office/drawing/2014/main" id="{00000000-0008-0000-0A00-000012000000}"/>
            </a:ext>
          </a:extLst>
        </xdr:cNvPr>
        <xdr:cNvSpPr>
          <a:spLocks noChangeAspect="1" noChangeArrowheads="1"/>
        </xdr:cNvSpPr>
      </xdr:nvSpPr>
      <xdr:spPr bwMode="auto">
        <a:xfrm>
          <a:off x="8562975" y="1057275"/>
          <a:ext cx="1130300" cy="3429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1" i="0" u="none" strike="noStrike" baseline="0">
              <a:solidFill>
                <a:srgbClr val="333333"/>
              </a:solidFill>
              <a:latin typeface="Arial"/>
              <a:ea typeface="Arial"/>
              <a:cs typeface="Arial"/>
            </a:rPr>
            <a:t>Print Me</a:t>
          </a:r>
        </a:p>
      </xdr:txBody>
    </xdr:sp>
    <xdr:clientData fPrintsWithSheet="0"/>
  </xdr:absoluteAnchor>
  <xdr:absoluteAnchor>
    <xdr:pos x="8562975" y="1514475"/>
    <xdr:ext cx="1130300" cy="457200"/>
    <xdr:sp macro="[0]!Import_Wind_Window_show" textlink="">
      <xdr:nvSpPr>
        <xdr:cNvPr id="33" name="Rounded Rectangle 2">
          <a:extLst>
            <a:ext uri="{FF2B5EF4-FFF2-40B4-BE49-F238E27FC236}">
              <a16:creationId xmlns:a16="http://schemas.microsoft.com/office/drawing/2014/main" id="{00000000-0008-0000-0A00-000021000000}"/>
            </a:ext>
          </a:extLst>
        </xdr:cNvPr>
        <xdr:cNvSpPr>
          <a:spLocks noChangeAspect="1" noChangeArrowheads="1"/>
        </xdr:cNvSpPr>
      </xdr:nvSpPr>
      <xdr:spPr bwMode="auto">
        <a:xfrm>
          <a:off x="8562975" y="1514475"/>
          <a:ext cx="1130300" cy="4572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0" i="0" u="none" strike="noStrike" baseline="0">
              <a:solidFill>
                <a:srgbClr val="333333"/>
              </a:solidFill>
              <a:latin typeface="Arial"/>
              <a:ea typeface="Arial"/>
              <a:cs typeface="Arial"/>
            </a:rPr>
            <a:t>Import wind pressure etc.</a:t>
          </a:r>
        </a:p>
      </xdr:txBody>
    </xdr:sp>
    <xdr:clientData fPrintsWithSheet="0"/>
  </xdr:absoluteAnchor>
  <xdr:twoCellAnchor editAs="absolute">
    <xdr:from>
      <xdr:col>29</xdr:col>
      <xdr:colOff>0</xdr:colOff>
      <xdr:row>11</xdr:row>
      <xdr:rowOff>0</xdr:rowOff>
    </xdr:from>
    <xdr:to>
      <xdr:col>53</xdr:col>
      <xdr:colOff>600075</xdr:colOff>
      <xdr:row>21</xdr:row>
      <xdr:rowOff>85725</xdr:rowOff>
    </xdr:to>
    <xdr:sp macro="" textlink="">
      <xdr:nvSpPr>
        <xdr:cNvPr id="34" name="TextBox 33">
          <a:extLst>
            <a:ext uri="{FF2B5EF4-FFF2-40B4-BE49-F238E27FC236}">
              <a16:creationId xmlns:a16="http://schemas.microsoft.com/office/drawing/2014/main" id="{00000000-0008-0000-0A00-000022000000}"/>
            </a:ext>
          </a:extLst>
        </xdr:cNvPr>
        <xdr:cNvSpPr txBox="1"/>
      </xdr:nvSpPr>
      <xdr:spPr>
        <a:xfrm>
          <a:off x="8562975" y="2562225"/>
          <a:ext cx="2428875" cy="21812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0000"/>
              </a:solidFill>
            </a:rPr>
            <a:t>NOTE 1: </a:t>
          </a:r>
          <a:r>
            <a:rPr lang="en-GB" sz="1100" b="1">
              <a:solidFill>
                <a:srgbClr val="0000CC"/>
              </a:solidFill>
            </a:rPr>
            <a:t>YOU HAVE TO ENABLE</a:t>
          </a:r>
          <a:r>
            <a:rPr lang="en-GB" sz="1100" b="1" baseline="0">
              <a:solidFill>
                <a:srgbClr val="0000CC"/>
              </a:solidFill>
            </a:rPr>
            <a:t> MACROS TO </a:t>
          </a:r>
          <a:r>
            <a:rPr lang="pl-PL" sz="1100" b="1" baseline="0">
              <a:solidFill>
                <a:srgbClr val="0000CC"/>
              </a:solidFill>
            </a:rPr>
            <a:t>IMPORT WIND PROPERTIES</a:t>
          </a:r>
          <a:r>
            <a:rPr lang="pl-PL" sz="1100" b="1" baseline="0">
              <a:solidFill>
                <a:srgbClr val="0000CC"/>
              </a:solidFill>
              <a:latin typeface="+mn-lt"/>
              <a:ea typeface="+mn-ea"/>
              <a:cs typeface="+mn-cs"/>
            </a:rPr>
            <a:t>, CHANGE STRUCTURE TYPE ETC.</a:t>
          </a:r>
        </a:p>
        <a:p>
          <a:endParaRPr lang="en-GB" sz="1100" b="1">
            <a:solidFill>
              <a:srgbClr val="FF0000"/>
            </a:solidFill>
          </a:endParaRPr>
        </a:p>
        <a:p>
          <a:r>
            <a:rPr lang="en-GB" sz="1100" b="1">
              <a:solidFill>
                <a:srgbClr val="FF0000"/>
              </a:solidFill>
            </a:rPr>
            <a:t>NOTE 2: </a:t>
          </a:r>
          <a:r>
            <a:rPr lang="en-GB" sz="1100">
              <a:solidFill>
                <a:schemeClr val="dk1"/>
              </a:solidFill>
              <a:effectLst/>
              <a:latin typeface="+mn-lt"/>
              <a:ea typeface="+mn-ea"/>
              <a:cs typeface="+mn-cs"/>
            </a:rPr>
            <a:t>In this </a:t>
          </a:r>
          <a:r>
            <a:rPr lang="pl-PL" sz="1100">
              <a:solidFill>
                <a:schemeClr val="dk1"/>
              </a:solidFill>
              <a:effectLst/>
              <a:latin typeface="+mn-lt"/>
              <a:ea typeface="+mn-ea"/>
              <a:cs typeface="+mn-cs"/>
            </a:rPr>
            <a:t>FREE L</a:t>
          </a:r>
          <a:r>
            <a:rPr lang="en-GB" sz="1100">
              <a:solidFill>
                <a:schemeClr val="dk1"/>
              </a:solidFill>
              <a:effectLst/>
              <a:latin typeface="+mn-lt"/>
              <a:ea typeface="+mn-ea"/>
              <a:cs typeface="+mn-cs"/>
            </a:rPr>
            <a:t>ite version you cannot change the company logo nor company information. Also, cells marked with this colour</a:t>
          </a:r>
          <a:r>
            <a:rPr lang="en-GB" sz="1100" baseline="0">
              <a:solidFill>
                <a:schemeClr val="dk1"/>
              </a:solidFill>
              <a:effectLst/>
              <a:latin typeface="+mn-lt"/>
              <a:ea typeface="+mn-ea"/>
              <a:cs typeface="+mn-cs"/>
            </a:rPr>
            <a:t> are locked:</a:t>
          </a:r>
          <a:endParaRPr lang="en-GB">
            <a:effectLst/>
          </a:endParaRPr>
        </a:p>
      </xdr:txBody>
    </xdr:sp>
    <xdr:clientData/>
  </xdr:twoCellAnchor>
  <xdr:twoCellAnchor editAs="absolute">
    <xdr:from>
      <xdr:col>50</xdr:col>
      <xdr:colOff>86934</xdr:colOff>
      <xdr:row>19</xdr:row>
      <xdr:rowOff>3553</xdr:rowOff>
    </xdr:from>
    <xdr:to>
      <xdr:col>51</xdr:col>
      <xdr:colOff>232833</xdr:colOff>
      <xdr:row>20</xdr:row>
      <xdr:rowOff>85045</xdr:rowOff>
    </xdr:to>
    <xdr:sp macro="" textlink="">
      <xdr:nvSpPr>
        <xdr:cNvPr id="35" name="Rectangle 34">
          <a:extLst>
            <a:ext uri="{FF2B5EF4-FFF2-40B4-BE49-F238E27FC236}">
              <a16:creationId xmlns:a16="http://schemas.microsoft.com/office/drawing/2014/main" id="{00000000-0008-0000-0A00-000023000000}"/>
            </a:ext>
          </a:extLst>
        </xdr:cNvPr>
        <xdr:cNvSpPr/>
      </xdr:nvSpPr>
      <xdr:spPr>
        <a:xfrm>
          <a:off x="8649909" y="4242178"/>
          <a:ext cx="755499" cy="291042"/>
        </a:xfrm>
        <a:prstGeom prst="rect">
          <a:avLst/>
        </a:prstGeom>
        <a:solidFill>
          <a:srgbClr val="CCFF3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51</xdr:col>
      <xdr:colOff>318558</xdr:colOff>
      <xdr:row>19</xdr:row>
      <xdr:rowOff>22604</xdr:rowOff>
    </xdr:from>
    <xdr:to>
      <xdr:col>52</xdr:col>
      <xdr:colOff>458258</xdr:colOff>
      <xdr:row>20</xdr:row>
      <xdr:rowOff>65995</xdr:rowOff>
    </xdr:to>
    <xdr:sp macro="" textlink="">
      <xdr:nvSpPr>
        <xdr:cNvPr id="36" name="TextBox 35">
          <a:extLst>
            <a:ext uri="{FF2B5EF4-FFF2-40B4-BE49-F238E27FC236}">
              <a16:creationId xmlns:a16="http://schemas.microsoft.com/office/drawing/2014/main" id="{00000000-0008-0000-0A00-000024000000}"/>
            </a:ext>
          </a:extLst>
        </xdr:cNvPr>
        <xdr:cNvSpPr txBox="1"/>
      </xdr:nvSpPr>
      <xdr:spPr>
        <a:xfrm>
          <a:off x="9491133" y="4261229"/>
          <a:ext cx="749300" cy="25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LOCKED</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25</xdr:col>
      <xdr:colOff>309563</xdr:colOff>
      <xdr:row>20</xdr:row>
      <xdr:rowOff>0</xdr:rowOff>
    </xdr:from>
    <xdr:to>
      <xdr:col>26</xdr:col>
      <xdr:colOff>211238</xdr:colOff>
      <xdr:row>21</xdr:row>
      <xdr:rowOff>0</xdr:rowOff>
    </xdr:to>
    <xdr:sp macro="[0]!Preassures_show" textlink="">
      <xdr:nvSpPr>
        <xdr:cNvPr id="5" name="TextBox 4">
          <a:extLst>
            <a:ext uri="{FF2B5EF4-FFF2-40B4-BE49-F238E27FC236}">
              <a16:creationId xmlns:a16="http://schemas.microsoft.com/office/drawing/2014/main" id="{00000000-0008-0000-0200-000005000000}"/>
            </a:ext>
          </a:extLst>
        </xdr:cNvPr>
        <xdr:cNvSpPr txBox="1"/>
      </xdr:nvSpPr>
      <xdr:spPr>
        <a:xfrm>
          <a:off x="7881938" y="2781300"/>
          <a:ext cx="216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000">
              <a:solidFill>
                <a:srgbClr val="969696"/>
              </a:solidFill>
            </a:rPr>
            <a:t>    </a:t>
          </a:r>
          <a:endParaRPr lang="en-GB" sz="1000">
            <a:solidFill>
              <a:srgbClr val="969696"/>
            </a:solidFill>
          </a:endParaRPr>
        </a:p>
      </xdr:txBody>
    </xdr:sp>
    <xdr:clientData fPrintsWithSheet="0"/>
  </xdr:twoCellAnchor>
  <xdr:twoCellAnchor>
    <xdr:from>
      <xdr:col>13</xdr:col>
      <xdr:colOff>144941</xdr:colOff>
      <xdr:row>71</xdr:row>
      <xdr:rowOff>59393</xdr:rowOff>
    </xdr:from>
    <xdr:to>
      <xdr:col>15</xdr:col>
      <xdr:colOff>217540</xdr:colOff>
      <xdr:row>72</xdr:row>
      <xdr:rowOff>85725</xdr:rowOff>
    </xdr:to>
    <xdr:sp macro="" textlink="">
      <xdr:nvSpPr>
        <xdr:cNvPr id="47" name="TextBox 46">
          <a:extLst>
            <a:ext uri="{FF2B5EF4-FFF2-40B4-BE49-F238E27FC236}">
              <a16:creationId xmlns:a16="http://schemas.microsoft.com/office/drawing/2014/main" id="{00000000-0008-0000-0200-00002F000000}"/>
            </a:ext>
          </a:extLst>
        </xdr:cNvPr>
        <xdr:cNvSpPr txBox="1"/>
      </xdr:nvSpPr>
      <xdr:spPr>
        <a:xfrm>
          <a:off x="4002566" y="15204143"/>
          <a:ext cx="70124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H</a:t>
          </a:r>
          <a:endParaRPr lang="en-GB" sz="1100" i="1">
            <a:latin typeface="+mn-lt"/>
          </a:endParaRPr>
        </a:p>
      </xdr:txBody>
    </xdr:sp>
    <xdr:clientData/>
  </xdr:twoCellAnchor>
  <xdr:twoCellAnchor>
    <xdr:from>
      <xdr:col>10</xdr:col>
      <xdr:colOff>269328</xdr:colOff>
      <xdr:row>72</xdr:row>
      <xdr:rowOff>40343</xdr:rowOff>
    </xdr:from>
    <xdr:to>
      <xdr:col>18</xdr:col>
      <xdr:colOff>55157</xdr:colOff>
      <xdr:row>73</xdr:row>
      <xdr:rowOff>66675</xdr:rowOff>
    </xdr:to>
    <xdr:sp macro="" textlink="$BD$7">
      <xdr:nvSpPr>
        <xdr:cNvPr id="48" name="TextBox 47">
          <a:extLst>
            <a:ext uri="{FF2B5EF4-FFF2-40B4-BE49-F238E27FC236}">
              <a16:creationId xmlns:a16="http://schemas.microsoft.com/office/drawing/2014/main" id="{00000000-0008-0000-0200-000030000000}"/>
            </a:ext>
          </a:extLst>
        </xdr:cNvPr>
        <xdr:cNvSpPr txBox="1"/>
      </xdr:nvSpPr>
      <xdr:spPr>
        <a:xfrm>
          <a:off x="3183978" y="15394643"/>
          <a:ext cx="230042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53E49D4-E509-463A-876D-A5BF756184F5}" type="TxLink">
            <a:rPr lang="en-US" sz="1000" b="0" i="0" u="none" strike="noStrike">
              <a:solidFill>
                <a:srgbClr val="000000"/>
              </a:solidFill>
              <a:latin typeface="Arial"/>
              <a:cs typeface="Arial"/>
            </a:rPr>
            <a:pPr algn="ctr"/>
            <a:t>1</a:t>
          </a:fld>
          <a:endParaRPr lang="en-GB" sz="1100" i="1">
            <a:latin typeface="+mn-lt"/>
          </a:endParaRPr>
        </a:p>
      </xdr:txBody>
    </xdr:sp>
    <xdr:clientData/>
  </xdr:twoCellAnchor>
  <xdr:twoCellAnchor>
    <xdr:from>
      <xdr:col>3</xdr:col>
      <xdr:colOff>0</xdr:colOff>
      <xdr:row>68</xdr:row>
      <xdr:rowOff>0</xdr:rowOff>
    </xdr:from>
    <xdr:to>
      <xdr:col>3</xdr:col>
      <xdr:colOff>0</xdr:colOff>
      <xdr:row>83</xdr:row>
      <xdr:rowOff>2</xdr:rowOff>
    </xdr:to>
    <xdr:cxnSp macro="">
      <xdr:nvCxnSpPr>
        <xdr:cNvPr id="49" name="Straight Arrow Connector 48">
          <a:extLst>
            <a:ext uri="{FF2B5EF4-FFF2-40B4-BE49-F238E27FC236}">
              <a16:creationId xmlns:a16="http://schemas.microsoft.com/office/drawing/2014/main" id="{00000000-0008-0000-0200-000031000000}"/>
            </a:ext>
          </a:extLst>
        </xdr:cNvPr>
        <xdr:cNvCxnSpPr/>
      </xdr:nvCxnSpPr>
      <xdr:spPr>
        <a:xfrm flipV="1">
          <a:off x="714375" y="14516100"/>
          <a:ext cx="0" cy="3143252"/>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295275</xdr:colOff>
      <xdr:row>67</xdr:row>
      <xdr:rowOff>200025</xdr:rowOff>
    </xdr:from>
    <xdr:to>
      <xdr:col>3</xdr:col>
      <xdr:colOff>133350</xdr:colOff>
      <xdr:row>67</xdr:row>
      <xdr:rowOff>200025</xdr:rowOff>
    </xdr:to>
    <xdr:cxnSp macro="">
      <xdr:nvCxnSpPr>
        <xdr:cNvPr id="50" name="Straight Connector 49">
          <a:extLst>
            <a:ext uri="{FF2B5EF4-FFF2-40B4-BE49-F238E27FC236}">
              <a16:creationId xmlns:a16="http://schemas.microsoft.com/office/drawing/2014/main" id="{00000000-0008-0000-0200-000032000000}"/>
            </a:ext>
          </a:extLst>
        </xdr:cNvPr>
        <xdr:cNvCxnSpPr/>
      </xdr:nvCxnSpPr>
      <xdr:spPr>
        <a:xfrm>
          <a:off x="600075" y="14506575"/>
          <a:ext cx="2476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285750</xdr:colOff>
      <xdr:row>83</xdr:row>
      <xdr:rowOff>0</xdr:rowOff>
    </xdr:from>
    <xdr:to>
      <xdr:col>3</xdr:col>
      <xdr:colOff>133350</xdr:colOff>
      <xdr:row>83</xdr:row>
      <xdr:rowOff>0</xdr:rowOff>
    </xdr:to>
    <xdr:cxnSp macro="">
      <xdr:nvCxnSpPr>
        <xdr:cNvPr id="51" name="Straight Connector 50">
          <a:extLst>
            <a:ext uri="{FF2B5EF4-FFF2-40B4-BE49-F238E27FC236}">
              <a16:creationId xmlns:a16="http://schemas.microsoft.com/office/drawing/2014/main" id="{00000000-0008-0000-0200-000033000000}"/>
            </a:ext>
          </a:extLst>
        </xdr:cNvPr>
        <xdr:cNvCxnSpPr/>
      </xdr:nvCxnSpPr>
      <xdr:spPr>
        <a:xfrm>
          <a:off x="590550" y="17659350"/>
          <a:ext cx="2571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309093</xdr:colOff>
      <xdr:row>68</xdr:row>
      <xdr:rowOff>0</xdr:rowOff>
    </xdr:from>
    <xdr:to>
      <xdr:col>24</xdr:col>
      <xdr:colOff>304799</xdr:colOff>
      <xdr:row>75</xdr:row>
      <xdr:rowOff>103121</xdr:rowOff>
    </xdr:to>
    <xdr:cxnSp macro="">
      <xdr:nvCxnSpPr>
        <xdr:cNvPr id="52" name="Straight Connector 51">
          <a:extLst>
            <a:ext uri="{FF2B5EF4-FFF2-40B4-BE49-F238E27FC236}">
              <a16:creationId xmlns:a16="http://schemas.microsoft.com/office/drawing/2014/main" id="{00000000-0008-0000-0200-000034000000}"/>
            </a:ext>
          </a:extLst>
        </xdr:cNvPr>
        <xdr:cNvCxnSpPr/>
      </xdr:nvCxnSpPr>
      <xdr:spPr>
        <a:xfrm flipH="1">
          <a:off x="6052668" y="14516100"/>
          <a:ext cx="1567331" cy="1569971"/>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309093</xdr:colOff>
      <xdr:row>75</xdr:row>
      <xdr:rowOff>103121</xdr:rowOff>
    </xdr:from>
    <xdr:to>
      <xdr:col>24</xdr:col>
      <xdr:colOff>304799</xdr:colOff>
      <xdr:row>83</xdr:row>
      <xdr:rowOff>0</xdr:rowOff>
    </xdr:to>
    <xdr:cxnSp macro="">
      <xdr:nvCxnSpPr>
        <xdr:cNvPr id="53" name="Straight Connector 52">
          <a:extLst>
            <a:ext uri="{FF2B5EF4-FFF2-40B4-BE49-F238E27FC236}">
              <a16:creationId xmlns:a16="http://schemas.microsoft.com/office/drawing/2014/main" id="{00000000-0008-0000-0200-000035000000}"/>
            </a:ext>
          </a:extLst>
        </xdr:cNvPr>
        <xdr:cNvCxnSpPr/>
      </xdr:nvCxnSpPr>
      <xdr:spPr>
        <a:xfrm>
          <a:off x="6052668" y="16086071"/>
          <a:ext cx="1567331" cy="1573279"/>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8509</xdr:colOff>
      <xdr:row>68</xdr:row>
      <xdr:rowOff>0</xdr:rowOff>
    </xdr:from>
    <xdr:to>
      <xdr:col>9</xdr:col>
      <xdr:colOff>4214</xdr:colOff>
      <xdr:row>75</xdr:row>
      <xdr:rowOff>103121</xdr:rowOff>
    </xdr:to>
    <xdr:cxnSp macro="">
      <xdr:nvCxnSpPr>
        <xdr:cNvPr id="54" name="Straight Connector 53">
          <a:extLst>
            <a:ext uri="{FF2B5EF4-FFF2-40B4-BE49-F238E27FC236}">
              <a16:creationId xmlns:a16="http://schemas.microsoft.com/office/drawing/2014/main" id="{00000000-0008-0000-0200-000036000000}"/>
            </a:ext>
          </a:extLst>
        </xdr:cNvPr>
        <xdr:cNvCxnSpPr/>
      </xdr:nvCxnSpPr>
      <xdr:spPr>
        <a:xfrm>
          <a:off x="1037209" y="14516100"/>
          <a:ext cx="1567330" cy="1569971"/>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8509</xdr:colOff>
      <xdr:row>75</xdr:row>
      <xdr:rowOff>103121</xdr:rowOff>
    </xdr:from>
    <xdr:to>
      <xdr:col>9</xdr:col>
      <xdr:colOff>4214</xdr:colOff>
      <xdr:row>83</xdr:row>
      <xdr:rowOff>0</xdr:rowOff>
    </xdr:to>
    <xdr:cxnSp macro="">
      <xdr:nvCxnSpPr>
        <xdr:cNvPr id="55" name="Straight Connector 54">
          <a:extLst>
            <a:ext uri="{FF2B5EF4-FFF2-40B4-BE49-F238E27FC236}">
              <a16:creationId xmlns:a16="http://schemas.microsoft.com/office/drawing/2014/main" id="{00000000-0008-0000-0200-000037000000}"/>
            </a:ext>
          </a:extLst>
        </xdr:cNvPr>
        <xdr:cNvCxnSpPr/>
      </xdr:nvCxnSpPr>
      <xdr:spPr>
        <a:xfrm flipH="1">
          <a:off x="1037209" y="16086071"/>
          <a:ext cx="1567330" cy="1573279"/>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4214</xdr:colOff>
      <xdr:row>75</xdr:row>
      <xdr:rowOff>103121</xdr:rowOff>
    </xdr:from>
    <xdr:to>
      <xdr:col>19</xdr:col>
      <xdr:colOff>309092</xdr:colOff>
      <xdr:row>75</xdr:row>
      <xdr:rowOff>103121</xdr:rowOff>
    </xdr:to>
    <xdr:cxnSp macro="">
      <xdr:nvCxnSpPr>
        <xdr:cNvPr id="56" name="Straight Connector 55">
          <a:extLst>
            <a:ext uri="{FF2B5EF4-FFF2-40B4-BE49-F238E27FC236}">
              <a16:creationId xmlns:a16="http://schemas.microsoft.com/office/drawing/2014/main" id="{00000000-0008-0000-0200-000038000000}"/>
            </a:ext>
          </a:extLst>
        </xdr:cNvPr>
        <xdr:cNvCxnSpPr/>
      </xdr:nvCxnSpPr>
      <xdr:spPr>
        <a:xfrm>
          <a:off x="2604539" y="16086071"/>
          <a:ext cx="3448128"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234315</xdr:colOff>
      <xdr:row>77</xdr:row>
      <xdr:rowOff>93746</xdr:rowOff>
    </xdr:from>
    <xdr:to>
      <xdr:col>21</xdr:col>
      <xdr:colOff>79553</xdr:colOff>
      <xdr:row>77</xdr:row>
      <xdr:rowOff>93746</xdr:rowOff>
    </xdr:to>
    <xdr:cxnSp macro="">
      <xdr:nvCxnSpPr>
        <xdr:cNvPr id="57" name="Straight Connector 56">
          <a:extLst>
            <a:ext uri="{FF2B5EF4-FFF2-40B4-BE49-F238E27FC236}">
              <a16:creationId xmlns:a16="http://schemas.microsoft.com/office/drawing/2014/main" id="{00000000-0008-0000-0200-000039000000}"/>
            </a:ext>
          </a:extLst>
        </xdr:cNvPr>
        <xdr:cNvCxnSpPr/>
      </xdr:nvCxnSpPr>
      <xdr:spPr>
        <a:xfrm>
          <a:off x="2205990" y="16495796"/>
          <a:ext cx="4245788" cy="0"/>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112326</xdr:colOff>
      <xdr:row>70</xdr:row>
      <xdr:rowOff>0</xdr:rowOff>
    </xdr:from>
    <xdr:to>
      <xdr:col>23</xdr:col>
      <xdr:colOff>211058</xdr:colOff>
      <xdr:row>70</xdr:row>
      <xdr:rowOff>0</xdr:rowOff>
    </xdr:to>
    <xdr:cxnSp macro="">
      <xdr:nvCxnSpPr>
        <xdr:cNvPr id="58" name="Straight Connector 57">
          <a:extLst>
            <a:ext uri="{FF2B5EF4-FFF2-40B4-BE49-F238E27FC236}">
              <a16:creationId xmlns:a16="http://schemas.microsoft.com/office/drawing/2014/main" id="{00000000-0008-0000-0200-00003A000000}"/>
            </a:ext>
          </a:extLst>
        </xdr:cNvPr>
        <xdr:cNvCxnSpPr/>
      </xdr:nvCxnSpPr>
      <xdr:spPr>
        <a:xfrm>
          <a:off x="1455351" y="14935200"/>
          <a:ext cx="5756582" cy="0"/>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70037</xdr:colOff>
      <xdr:row>71</xdr:row>
      <xdr:rowOff>168743</xdr:rowOff>
    </xdr:from>
    <xdr:to>
      <xdr:col>24</xdr:col>
      <xdr:colOff>304800</xdr:colOff>
      <xdr:row>77</xdr:row>
      <xdr:rowOff>93745</xdr:rowOff>
    </xdr:to>
    <xdr:cxnSp macro="">
      <xdr:nvCxnSpPr>
        <xdr:cNvPr id="59" name="Straight Connector 58">
          <a:extLst>
            <a:ext uri="{FF2B5EF4-FFF2-40B4-BE49-F238E27FC236}">
              <a16:creationId xmlns:a16="http://schemas.microsoft.com/office/drawing/2014/main" id="{00000000-0008-0000-0200-00003B000000}"/>
            </a:ext>
          </a:extLst>
        </xdr:cNvPr>
        <xdr:cNvCxnSpPr/>
      </xdr:nvCxnSpPr>
      <xdr:spPr>
        <a:xfrm flipH="1">
          <a:off x="6442262" y="15313493"/>
          <a:ext cx="1177738" cy="1182302"/>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8509</xdr:colOff>
      <xdr:row>71</xdr:row>
      <xdr:rowOff>159369</xdr:rowOff>
    </xdr:from>
    <xdr:to>
      <xdr:col>7</xdr:col>
      <xdr:colOff>243831</xdr:colOff>
      <xdr:row>77</xdr:row>
      <xdr:rowOff>84371</xdr:rowOff>
    </xdr:to>
    <xdr:cxnSp macro="">
      <xdr:nvCxnSpPr>
        <xdr:cNvPr id="60" name="Straight Connector 59">
          <a:extLst>
            <a:ext uri="{FF2B5EF4-FFF2-40B4-BE49-F238E27FC236}">
              <a16:creationId xmlns:a16="http://schemas.microsoft.com/office/drawing/2014/main" id="{00000000-0008-0000-0200-00003C000000}"/>
            </a:ext>
          </a:extLst>
        </xdr:cNvPr>
        <xdr:cNvCxnSpPr/>
      </xdr:nvCxnSpPr>
      <xdr:spPr>
        <a:xfrm>
          <a:off x="1037209" y="15304119"/>
          <a:ext cx="1178297" cy="1182302"/>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73404</xdr:colOff>
      <xdr:row>77</xdr:row>
      <xdr:rowOff>101175</xdr:rowOff>
    </xdr:from>
    <xdr:to>
      <xdr:col>9</xdr:col>
      <xdr:colOff>282373</xdr:colOff>
      <xdr:row>83</xdr:row>
      <xdr:rowOff>0</xdr:rowOff>
    </xdr:to>
    <xdr:cxnSp macro="">
      <xdr:nvCxnSpPr>
        <xdr:cNvPr id="61" name="Straight Connector 60">
          <a:extLst>
            <a:ext uri="{FF2B5EF4-FFF2-40B4-BE49-F238E27FC236}">
              <a16:creationId xmlns:a16="http://schemas.microsoft.com/office/drawing/2014/main" id="{00000000-0008-0000-0200-00003D000000}"/>
            </a:ext>
          </a:extLst>
        </xdr:cNvPr>
        <xdr:cNvCxnSpPr/>
      </xdr:nvCxnSpPr>
      <xdr:spPr>
        <a:xfrm flipH="1">
          <a:off x="1730754" y="16503225"/>
          <a:ext cx="1151944" cy="1156125"/>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71754</xdr:colOff>
      <xdr:row>77</xdr:row>
      <xdr:rowOff>93746</xdr:rowOff>
    </xdr:from>
    <xdr:to>
      <xdr:col>22</xdr:col>
      <xdr:colOff>288045</xdr:colOff>
      <xdr:row>83</xdr:row>
      <xdr:rowOff>0</xdr:rowOff>
    </xdr:to>
    <xdr:cxnSp macro="">
      <xdr:nvCxnSpPr>
        <xdr:cNvPr id="62" name="Straight Connector 61">
          <a:extLst>
            <a:ext uri="{FF2B5EF4-FFF2-40B4-BE49-F238E27FC236}">
              <a16:creationId xmlns:a16="http://schemas.microsoft.com/office/drawing/2014/main" id="{00000000-0008-0000-0200-00003E000000}"/>
            </a:ext>
          </a:extLst>
        </xdr:cNvPr>
        <xdr:cNvCxnSpPr/>
      </xdr:nvCxnSpPr>
      <xdr:spPr>
        <a:xfrm>
          <a:off x="5815329" y="16495796"/>
          <a:ext cx="1159266" cy="1163554"/>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3356</xdr:colOff>
      <xdr:row>68</xdr:row>
      <xdr:rowOff>0</xdr:rowOff>
    </xdr:from>
    <xdr:to>
      <xdr:col>10</xdr:col>
      <xdr:colOff>3356</xdr:colOff>
      <xdr:row>70</xdr:row>
      <xdr:rowOff>0</xdr:rowOff>
    </xdr:to>
    <xdr:cxnSp macro="">
      <xdr:nvCxnSpPr>
        <xdr:cNvPr id="63" name="Straight Connector 62">
          <a:extLst>
            <a:ext uri="{FF2B5EF4-FFF2-40B4-BE49-F238E27FC236}">
              <a16:creationId xmlns:a16="http://schemas.microsoft.com/office/drawing/2014/main" id="{00000000-0008-0000-0200-00003F000000}"/>
            </a:ext>
          </a:extLst>
        </xdr:cNvPr>
        <xdr:cNvCxnSpPr/>
      </xdr:nvCxnSpPr>
      <xdr:spPr>
        <a:xfrm>
          <a:off x="2918006" y="14516100"/>
          <a:ext cx="0" cy="419100"/>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309952</xdr:colOff>
      <xdr:row>68</xdr:row>
      <xdr:rowOff>0</xdr:rowOff>
    </xdr:from>
    <xdr:to>
      <xdr:col>18</xdr:col>
      <xdr:colOff>309952</xdr:colOff>
      <xdr:row>70</xdr:row>
      <xdr:rowOff>0</xdr:rowOff>
    </xdr:to>
    <xdr:cxnSp macro="">
      <xdr:nvCxnSpPr>
        <xdr:cNvPr id="64" name="Straight Connector 63">
          <a:extLst>
            <a:ext uri="{FF2B5EF4-FFF2-40B4-BE49-F238E27FC236}">
              <a16:creationId xmlns:a16="http://schemas.microsoft.com/office/drawing/2014/main" id="{00000000-0008-0000-0200-000040000000}"/>
            </a:ext>
          </a:extLst>
        </xdr:cNvPr>
        <xdr:cNvCxnSpPr/>
      </xdr:nvCxnSpPr>
      <xdr:spPr>
        <a:xfrm>
          <a:off x="5739202" y="14516100"/>
          <a:ext cx="0" cy="419100"/>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217446</xdr:colOff>
      <xdr:row>67</xdr:row>
      <xdr:rowOff>183218</xdr:rowOff>
    </xdr:from>
    <xdr:to>
      <xdr:col>8</xdr:col>
      <xdr:colOff>290045</xdr:colOff>
      <xdr:row>69</xdr:row>
      <xdr:rowOff>0</xdr:rowOff>
    </xdr:to>
    <xdr:sp macro="" textlink="">
      <xdr:nvSpPr>
        <xdr:cNvPr id="65" name="TextBox 64">
          <a:extLst>
            <a:ext uri="{FF2B5EF4-FFF2-40B4-BE49-F238E27FC236}">
              <a16:creationId xmlns:a16="http://schemas.microsoft.com/office/drawing/2014/main" id="{00000000-0008-0000-0200-000041000000}"/>
            </a:ext>
          </a:extLst>
        </xdr:cNvPr>
        <xdr:cNvSpPr txBox="1"/>
      </xdr:nvSpPr>
      <xdr:spPr>
        <a:xfrm>
          <a:off x="1874796" y="14489768"/>
          <a:ext cx="70124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F</a:t>
          </a:r>
        </a:p>
      </xdr:txBody>
    </xdr:sp>
    <xdr:clientData/>
  </xdr:twoCellAnchor>
  <xdr:twoCellAnchor>
    <xdr:from>
      <xdr:col>4</xdr:col>
      <xdr:colOff>188990</xdr:colOff>
      <xdr:row>68</xdr:row>
      <xdr:rowOff>164168</xdr:rowOff>
    </xdr:from>
    <xdr:to>
      <xdr:col>10</xdr:col>
      <xdr:colOff>204512</xdr:colOff>
      <xdr:row>69</xdr:row>
      <xdr:rowOff>190500</xdr:rowOff>
    </xdr:to>
    <xdr:sp macro="" textlink="$BB$7">
      <xdr:nvSpPr>
        <xdr:cNvPr id="66" name="TextBox 65">
          <a:extLst>
            <a:ext uri="{FF2B5EF4-FFF2-40B4-BE49-F238E27FC236}">
              <a16:creationId xmlns:a16="http://schemas.microsoft.com/office/drawing/2014/main" id="{00000000-0008-0000-0200-000042000000}"/>
            </a:ext>
          </a:extLst>
        </xdr:cNvPr>
        <xdr:cNvSpPr txBox="1"/>
      </xdr:nvSpPr>
      <xdr:spPr>
        <a:xfrm>
          <a:off x="1217690" y="14680268"/>
          <a:ext cx="1901472"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CCC2D2-A776-4987-B2D1-DA083947905E}" type="TxLink">
            <a:rPr lang="en-US" sz="1000" b="0" i="0" u="none" strike="noStrike">
              <a:solidFill>
                <a:srgbClr val="000000"/>
              </a:solidFill>
              <a:latin typeface="Arial"/>
              <a:cs typeface="Arial"/>
            </a:rPr>
            <a:pPr algn="ctr"/>
            <a:t>2</a:t>
          </a:fld>
          <a:endParaRPr lang="en-GB" sz="1100" i="1">
            <a:latin typeface="+mn-lt"/>
          </a:endParaRPr>
        </a:p>
      </xdr:txBody>
    </xdr:sp>
    <xdr:clientData/>
  </xdr:twoCellAnchor>
  <xdr:twoCellAnchor>
    <xdr:from>
      <xdr:col>20</xdr:col>
      <xdr:colOff>148428</xdr:colOff>
      <xdr:row>67</xdr:row>
      <xdr:rowOff>183218</xdr:rowOff>
    </xdr:from>
    <xdr:to>
      <xdr:col>22</xdr:col>
      <xdr:colOff>221027</xdr:colOff>
      <xdr:row>69</xdr:row>
      <xdr:rowOff>0</xdr:rowOff>
    </xdr:to>
    <xdr:sp macro="" textlink="">
      <xdr:nvSpPr>
        <xdr:cNvPr id="67" name="TextBox 66">
          <a:extLst>
            <a:ext uri="{FF2B5EF4-FFF2-40B4-BE49-F238E27FC236}">
              <a16:creationId xmlns:a16="http://schemas.microsoft.com/office/drawing/2014/main" id="{00000000-0008-0000-0200-000043000000}"/>
            </a:ext>
          </a:extLst>
        </xdr:cNvPr>
        <xdr:cNvSpPr txBox="1"/>
      </xdr:nvSpPr>
      <xdr:spPr>
        <a:xfrm>
          <a:off x="6206328" y="14489768"/>
          <a:ext cx="70124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F</a:t>
          </a:r>
        </a:p>
      </xdr:txBody>
    </xdr:sp>
    <xdr:clientData/>
  </xdr:twoCellAnchor>
  <xdr:twoCellAnchor>
    <xdr:from>
      <xdr:col>18</xdr:col>
      <xdr:colOff>148469</xdr:colOff>
      <xdr:row>68</xdr:row>
      <xdr:rowOff>164168</xdr:rowOff>
    </xdr:from>
    <xdr:to>
      <xdr:col>24</xdr:col>
      <xdr:colOff>163991</xdr:colOff>
      <xdr:row>69</xdr:row>
      <xdr:rowOff>190500</xdr:rowOff>
    </xdr:to>
    <xdr:sp macro="" textlink="$BB$7">
      <xdr:nvSpPr>
        <xdr:cNvPr id="68" name="TextBox 67">
          <a:extLst>
            <a:ext uri="{FF2B5EF4-FFF2-40B4-BE49-F238E27FC236}">
              <a16:creationId xmlns:a16="http://schemas.microsoft.com/office/drawing/2014/main" id="{00000000-0008-0000-0200-000044000000}"/>
            </a:ext>
          </a:extLst>
        </xdr:cNvPr>
        <xdr:cNvSpPr txBox="1"/>
      </xdr:nvSpPr>
      <xdr:spPr>
        <a:xfrm>
          <a:off x="5577719" y="14680268"/>
          <a:ext cx="1901472"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E2A2642-972F-406F-B590-322A2ABF29B9}" type="TxLink">
            <a:rPr lang="en-US" sz="1000" b="0" i="0" u="none" strike="noStrike">
              <a:solidFill>
                <a:srgbClr val="000000"/>
              </a:solidFill>
              <a:latin typeface="Arial"/>
              <a:cs typeface="Arial"/>
            </a:rPr>
            <a:pPr algn="ctr"/>
            <a:t>2</a:t>
          </a:fld>
          <a:endParaRPr lang="en-GB" sz="1100" i="1">
            <a:latin typeface="+mn-lt"/>
          </a:endParaRPr>
        </a:p>
      </xdr:txBody>
    </xdr:sp>
    <xdr:clientData/>
  </xdr:twoCellAnchor>
  <xdr:twoCellAnchor>
    <xdr:from>
      <xdr:col>13</xdr:col>
      <xdr:colOff>144941</xdr:colOff>
      <xdr:row>67</xdr:row>
      <xdr:rowOff>183218</xdr:rowOff>
    </xdr:from>
    <xdr:to>
      <xdr:col>15</xdr:col>
      <xdr:colOff>217540</xdr:colOff>
      <xdr:row>69</xdr:row>
      <xdr:rowOff>0</xdr:rowOff>
    </xdr:to>
    <xdr:sp macro="" textlink="">
      <xdr:nvSpPr>
        <xdr:cNvPr id="69" name="TextBox 68">
          <a:extLst>
            <a:ext uri="{FF2B5EF4-FFF2-40B4-BE49-F238E27FC236}">
              <a16:creationId xmlns:a16="http://schemas.microsoft.com/office/drawing/2014/main" id="{00000000-0008-0000-0200-000045000000}"/>
            </a:ext>
          </a:extLst>
        </xdr:cNvPr>
        <xdr:cNvSpPr txBox="1"/>
      </xdr:nvSpPr>
      <xdr:spPr>
        <a:xfrm>
          <a:off x="4002566" y="14489768"/>
          <a:ext cx="70124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G</a:t>
          </a:r>
          <a:endParaRPr lang="en-GB" sz="1100" i="1">
            <a:latin typeface="+mn-lt"/>
          </a:endParaRPr>
        </a:p>
      </xdr:txBody>
    </xdr:sp>
    <xdr:clientData/>
  </xdr:twoCellAnchor>
  <xdr:twoCellAnchor>
    <xdr:from>
      <xdr:col>10</xdr:col>
      <xdr:colOff>269328</xdr:colOff>
      <xdr:row>68</xdr:row>
      <xdr:rowOff>164168</xdr:rowOff>
    </xdr:from>
    <xdr:to>
      <xdr:col>18</xdr:col>
      <xdr:colOff>55157</xdr:colOff>
      <xdr:row>69</xdr:row>
      <xdr:rowOff>190500</xdr:rowOff>
    </xdr:to>
    <xdr:sp macro="" textlink="$BC$7">
      <xdr:nvSpPr>
        <xdr:cNvPr id="70" name="TextBox 69">
          <a:extLst>
            <a:ext uri="{FF2B5EF4-FFF2-40B4-BE49-F238E27FC236}">
              <a16:creationId xmlns:a16="http://schemas.microsoft.com/office/drawing/2014/main" id="{00000000-0008-0000-0200-000046000000}"/>
            </a:ext>
          </a:extLst>
        </xdr:cNvPr>
        <xdr:cNvSpPr txBox="1"/>
      </xdr:nvSpPr>
      <xdr:spPr>
        <a:xfrm>
          <a:off x="3183978" y="14680268"/>
          <a:ext cx="230042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2082C76-F168-4E6E-8985-662DF653D572}" type="TxLink">
            <a:rPr lang="en-US" sz="1000" b="0" i="0" u="none" strike="noStrike">
              <a:solidFill>
                <a:srgbClr val="000000"/>
              </a:solidFill>
              <a:latin typeface="Arial"/>
              <a:cs typeface="Arial"/>
            </a:rPr>
            <a:pPr algn="ctr"/>
            <a:t>2</a:t>
          </a:fld>
          <a:endParaRPr lang="en-GB" sz="1100" i="1">
            <a:latin typeface="+mn-lt"/>
          </a:endParaRPr>
        </a:p>
      </xdr:txBody>
    </xdr:sp>
    <xdr:clientData/>
  </xdr:twoCellAnchor>
  <xdr:twoCellAnchor>
    <xdr:from>
      <xdr:col>13</xdr:col>
      <xdr:colOff>144941</xdr:colOff>
      <xdr:row>75</xdr:row>
      <xdr:rowOff>97493</xdr:rowOff>
    </xdr:from>
    <xdr:to>
      <xdr:col>15</xdr:col>
      <xdr:colOff>217540</xdr:colOff>
      <xdr:row>76</xdr:row>
      <xdr:rowOff>123825</xdr:rowOff>
    </xdr:to>
    <xdr:sp macro="" textlink="">
      <xdr:nvSpPr>
        <xdr:cNvPr id="71" name="TextBox 70">
          <a:extLst>
            <a:ext uri="{FF2B5EF4-FFF2-40B4-BE49-F238E27FC236}">
              <a16:creationId xmlns:a16="http://schemas.microsoft.com/office/drawing/2014/main" id="{00000000-0008-0000-0200-000047000000}"/>
            </a:ext>
          </a:extLst>
        </xdr:cNvPr>
        <xdr:cNvSpPr txBox="1"/>
      </xdr:nvSpPr>
      <xdr:spPr>
        <a:xfrm>
          <a:off x="4002566" y="16080443"/>
          <a:ext cx="70124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K</a:t>
          </a:r>
          <a:endParaRPr lang="en-GB" sz="1100" i="1">
            <a:latin typeface="+mn-lt"/>
          </a:endParaRPr>
        </a:p>
      </xdr:txBody>
    </xdr:sp>
    <xdr:clientData/>
  </xdr:twoCellAnchor>
  <xdr:twoCellAnchor>
    <xdr:from>
      <xdr:col>10</xdr:col>
      <xdr:colOff>269328</xdr:colOff>
      <xdr:row>76</xdr:row>
      <xdr:rowOff>78443</xdr:rowOff>
    </xdr:from>
    <xdr:to>
      <xdr:col>18</xdr:col>
      <xdr:colOff>55157</xdr:colOff>
      <xdr:row>77</xdr:row>
      <xdr:rowOff>104775</xdr:rowOff>
    </xdr:to>
    <xdr:sp macro="" textlink="$BG$7">
      <xdr:nvSpPr>
        <xdr:cNvPr id="72" name="TextBox 71">
          <a:extLst>
            <a:ext uri="{FF2B5EF4-FFF2-40B4-BE49-F238E27FC236}">
              <a16:creationId xmlns:a16="http://schemas.microsoft.com/office/drawing/2014/main" id="{00000000-0008-0000-0200-000048000000}"/>
            </a:ext>
          </a:extLst>
        </xdr:cNvPr>
        <xdr:cNvSpPr txBox="1"/>
      </xdr:nvSpPr>
      <xdr:spPr>
        <a:xfrm>
          <a:off x="3183978" y="16270943"/>
          <a:ext cx="230042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0423150-EA04-4B0B-A33B-D6488B46F49E}" type="TxLink">
            <a:rPr lang="en-US" sz="1000" b="0" i="0" u="none" strike="noStrike">
              <a:solidFill>
                <a:srgbClr val="000000"/>
              </a:solidFill>
              <a:latin typeface="Arial"/>
              <a:cs typeface="Arial"/>
            </a:rPr>
            <a:pPr algn="ctr"/>
            <a:t>1</a:t>
          </a:fld>
          <a:endParaRPr lang="en-GB" sz="1100" i="1">
            <a:latin typeface="+mn-lt"/>
          </a:endParaRPr>
        </a:p>
      </xdr:txBody>
    </xdr:sp>
    <xdr:clientData/>
  </xdr:twoCellAnchor>
  <xdr:twoCellAnchor>
    <xdr:from>
      <xdr:col>13</xdr:col>
      <xdr:colOff>144941</xdr:colOff>
      <xdr:row>79</xdr:row>
      <xdr:rowOff>68918</xdr:rowOff>
    </xdr:from>
    <xdr:to>
      <xdr:col>15</xdr:col>
      <xdr:colOff>217540</xdr:colOff>
      <xdr:row>80</xdr:row>
      <xdr:rowOff>95250</xdr:rowOff>
    </xdr:to>
    <xdr:sp macro="" textlink="">
      <xdr:nvSpPr>
        <xdr:cNvPr id="73" name="TextBox 72">
          <a:extLst>
            <a:ext uri="{FF2B5EF4-FFF2-40B4-BE49-F238E27FC236}">
              <a16:creationId xmlns:a16="http://schemas.microsoft.com/office/drawing/2014/main" id="{00000000-0008-0000-0200-000049000000}"/>
            </a:ext>
          </a:extLst>
        </xdr:cNvPr>
        <xdr:cNvSpPr txBox="1"/>
      </xdr:nvSpPr>
      <xdr:spPr>
        <a:xfrm>
          <a:off x="4002566" y="16890068"/>
          <a:ext cx="70124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I</a:t>
          </a:r>
          <a:endParaRPr lang="en-GB" sz="1100" i="1">
            <a:latin typeface="+mn-lt"/>
          </a:endParaRPr>
        </a:p>
      </xdr:txBody>
    </xdr:sp>
    <xdr:clientData/>
  </xdr:twoCellAnchor>
  <xdr:twoCellAnchor>
    <xdr:from>
      <xdr:col>10</xdr:col>
      <xdr:colOff>269328</xdr:colOff>
      <xdr:row>80</xdr:row>
      <xdr:rowOff>49868</xdr:rowOff>
    </xdr:from>
    <xdr:to>
      <xdr:col>18</xdr:col>
      <xdr:colOff>55157</xdr:colOff>
      <xdr:row>81</xdr:row>
      <xdr:rowOff>76200</xdr:rowOff>
    </xdr:to>
    <xdr:sp macro="" textlink="$BE$7">
      <xdr:nvSpPr>
        <xdr:cNvPr id="74" name="TextBox 73">
          <a:extLst>
            <a:ext uri="{FF2B5EF4-FFF2-40B4-BE49-F238E27FC236}">
              <a16:creationId xmlns:a16="http://schemas.microsoft.com/office/drawing/2014/main" id="{00000000-0008-0000-0200-00004A000000}"/>
            </a:ext>
          </a:extLst>
        </xdr:cNvPr>
        <xdr:cNvSpPr txBox="1"/>
      </xdr:nvSpPr>
      <xdr:spPr>
        <a:xfrm>
          <a:off x="3183978" y="17080568"/>
          <a:ext cx="230042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087D6C1-9119-4C2B-A068-EBEC0B85176D}" type="TxLink">
            <a:rPr lang="en-US" sz="1000" b="0" i="0" u="none" strike="noStrike">
              <a:solidFill>
                <a:srgbClr val="000000"/>
              </a:solidFill>
              <a:latin typeface="Arial"/>
              <a:cs typeface="Arial"/>
            </a:rPr>
            <a:pPr algn="ctr"/>
            <a:t>1</a:t>
          </a:fld>
          <a:endParaRPr lang="en-GB" sz="1100" i="1">
            <a:latin typeface="+mn-lt"/>
          </a:endParaRPr>
        </a:p>
      </xdr:txBody>
    </xdr:sp>
    <xdr:clientData/>
  </xdr:twoCellAnchor>
  <xdr:twoCellAnchor>
    <xdr:from>
      <xdr:col>23</xdr:col>
      <xdr:colOff>84389</xdr:colOff>
      <xdr:row>75</xdr:row>
      <xdr:rowOff>121024</xdr:rowOff>
    </xdr:from>
    <xdr:to>
      <xdr:col>24</xdr:col>
      <xdr:colOff>5301</xdr:colOff>
      <xdr:row>78</xdr:row>
      <xdr:rowOff>195544</xdr:rowOff>
    </xdr:to>
    <xdr:sp macro="" textlink="">
      <xdr:nvSpPr>
        <xdr:cNvPr id="75" name="TextBox 74">
          <a:extLst>
            <a:ext uri="{FF2B5EF4-FFF2-40B4-BE49-F238E27FC236}">
              <a16:creationId xmlns:a16="http://schemas.microsoft.com/office/drawing/2014/main" id="{00000000-0008-0000-0200-00004B000000}"/>
            </a:ext>
          </a:extLst>
        </xdr:cNvPr>
        <xdr:cNvSpPr txBox="1"/>
      </xdr:nvSpPr>
      <xdr:spPr>
        <a:xfrm rot="16200000">
          <a:off x="6851298" y="16337940"/>
          <a:ext cx="703170" cy="23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M</a:t>
          </a:r>
          <a:endParaRPr lang="en-GB" sz="1100" i="1">
            <a:latin typeface="+mn-lt"/>
          </a:endParaRPr>
        </a:p>
      </xdr:txBody>
    </xdr:sp>
    <xdr:clientData/>
  </xdr:twoCellAnchor>
  <xdr:twoCellAnchor>
    <xdr:from>
      <xdr:col>23</xdr:col>
      <xdr:colOff>274368</xdr:colOff>
      <xdr:row>72</xdr:row>
      <xdr:rowOff>133350</xdr:rowOff>
    </xdr:from>
    <xdr:to>
      <xdr:col>24</xdr:col>
      <xdr:colOff>195280</xdr:colOff>
      <xdr:row>82</xdr:row>
      <xdr:rowOff>30818</xdr:rowOff>
    </xdr:to>
    <xdr:sp macro="" textlink="$BI$7">
      <xdr:nvSpPr>
        <xdr:cNvPr id="76" name="TextBox 75">
          <a:extLst>
            <a:ext uri="{FF2B5EF4-FFF2-40B4-BE49-F238E27FC236}">
              <a16:creationId xmlns:a16="http://schemas.microsoft.com/office/drawing/2014/main" id="{00000000-0008-0000-0200-00004C000000}"/>
            </a:ext>
          </a:extLst>
        </xdr:cNvPr>
        <xdr:cNvSpPr txBox="1"/>
      </xdr:nvSpPr>
      <xdr:spPr>
        <a:xfrm rot="16200000">
          <a:off x="6396378" y="16366515"/>
          <a:ext cx="1992968" cy="23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CD7FB2D-D47F-4815-BC77-F46ECC20459C}" type="TxLink">
            <a:rPr lang="en-US" sz="1000" b="0" i="0" u="none" strike="noStrike">
              <a:solidFill>
                <a:srgbClr val="000000"/>
              </a:solidFill>
              <a:latin typeface="Arial"/>
              <a:cs typeface="Arial"/>
            </a:rPr>
            <a:pPr algn="ctr"/>
            <a:t>1</a:t>
          </a:fld>
          <a:endParaRPr lang="en-GB" sz="1100" i="1">
            <a:latin typeface="+mn-lt"/>
          </a:endParaRPr>
        </a:p>
      </xdr:txBody>
    </xdr:sp>
    <xdr:clientData/>
  </xdr:twoCellAnchor>
  <xdr:twoCellAnchor>
    <xdr:from>
      <xdr:col>4</xdr:col>
      <xdr:colOff>72210</xdr:colOff>
      <xdr:row>75</xdr:row>
      <xdr:rowOff>121024</xdr:rowOff>
    </xdr:from>
    <xdr:to>
      <xdr:col>4</xdr:col>
      <xdr:colOff>307447</xdr:colOff>
      <xdr:row>78</xdr:row>
      <xdr:rowOff>195544</xdr:rowOff>
    </xdr:to>
    <xdr:sp macro="" textlink="">
      <xdr:nvSpPr>
        <xdr:cNvPr id="77" name="TextBox 76">
          <a:extLst>
            <a:ext uri="{FF2B5EF4-FFF2-40B4-BE49-F238E27FC236}">
              <a16:creationId xmlns:a16="http://schemas.microsoft.com/office/drawing/2014/main" id="{00000000-0008-0000-0200-00004D000000}"/>
            </a:ext>
          </a:extLst>
        </xdr:cNvPr>
        <xdr:cNvSpPr txBox="1"/>
      </xdr:nvSpPr>
      <xdr:spPr>
        <a:xfrm rot="16200000">
          <a:off x="866944" y="16337940"/>
          <a:ext cx="703170" cy="23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M</a:t>
          </a:r>
          <a:endParaRPr lang="en-GB" sz="1100" i="1">
            <a:latin typeface="+mn-lt"/>
          </a:endParaRPr>
        </a:p>
      </xdr:txBody>
    </xdr:sp>
    <xdr:clientData/>
  </xdr:twoCellAnchor>
  <xdr:twoCellAnchor>
    <xdr:from>
      <xdr:col>4</xdr:col>
      <xdr:colOff>271688</xdr:colOff>
      <xdr:row>72</xdr:row>
      <xdr:rowOff>152400</xdr:rowOff>
    </xdr:from>
    <xdr:to>
      <xdr:col>5</xdr:col>
      <xdr:colOff>192600</xdr:colOff>
      <xdr:row>82</xdr:row>
      <xdr:rowOff>49868</xdr:rowOff>
    </xdr:to>
    <xdr:sp macro="" textlink="$BI$7">
      <xdr:nvSpPr>
        <xdr:cNvPr id="78" name="TextBox 77">
          <a:extLst>
            <a:ext uri="{FF2B5EF4-FFF2-40B4-BE49-F238E27FC236}">
              <a16:creationId xmlns:a16="http://schemas.microsoft.com/office/drawing/2014/main" id="{00000000-0008-0000-0200-00004E000000}"/>
            </a:ext>
          </a:extLst>
        </xdr:cNvPr>
        <xdr:cNvSpPr txBox="1"/>
      </xdr:nvSpPr>
      <xdr:spPr>
        <a:xfrm rot="16200000">
          <a:off x="421523" y="16385565"/>
          <a:ext cx="1992968" cy="23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BD98243-828B-4B05-9959-0361274A4826}" type="TxLink">
            <a:rPr lang="en-US" sz="1000" b="0" i="0" u="none" strike="noStrike">
              <a:solidFill>
                <a:srgbClr val="000000"/>
              </a:solidFill>
              <a:latin typeface="Arial"/>
              <a:cs typeface="Arial"/>
            </a:rPr>
            <a:pPr algn="ctr"/>
            <a:t>1</a:t>
          </a:fld>
          <a:endParaRPr lang="en-GB" sz="1100" i="1">
            <a:latin typeface="+mn-lt"/>
          </a:endParaRPr>
        </a:p>
      </xdr:txBody>
    </xdr:sp>
    <xdr:clientData/>
  </xdr:twoCellAnchor>
  <xdr:twoCellAnchor>
    <xdr:from>
      <xdr:col>5</xdr:col>
      <xdr:colOff>94818</xdr:colOff>
      <xdr:row>72</xdr:row>
      <xdr:rowOff>78442</xdr:rowOff>
    </xdr:from>
    <xdr:to>
      <xdr:col>7</xdr:col>
      <xdr:colOff>167417</xdr:colOff>
      <xdr:row>73</xdr:row>
      <xdr:rowOff>104774</xdr:rowOff>
    </xdr:to>
    <xdr:sp macro="" textlink="">
      <xdr:nvSpPr>
        <xdr:cNvPr id="79" name="TextBox 78">
          <a:extLst>
            <a:ext uri="{FF2B5EF4-FFF2-40B4-BE49-F238E27FC236}">
              <a16:creationId xmlns:a16="http://schemas.microsoft.com/office/drawing/2014/main" id="{00000000-0008-0000-0200-00004F000000}"/>
            </a:ext>
          </a:extLst>
        </xdr:cNvPr>
        <xdr:cNvSpPr txBox="1"/>
      </xdr:nvSpPr>
      <xdr:spPr>
        <a:xfrm rot="2696533">
          <a:off x="1437843" y="15432742"/>
          <a:ext cx="70124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L</a:t>
          </a:r>
          <a:endParaRPr lang="en-GB" sz="1100" i="1">
            <a:latin typeface="+mn-lt"/>
          </a:endParaRPr>
        </a:p>
      </xdr:txBody>
    </xdr:sp>
    <xdr:clientData/>
  </xdr:twoCellAnchor>
  <xdr:twoCellAnchor>
    <xdr:from>
      <xdr:col>2</xdr:col>
      <xdr:colOff>304799</xdr:colOff>
      <xdr:row>72</xdr:row>
      <xdr:rowOff>202268</xdr:rowOff>
    </xdr:from>
    <xdr:to>
      <xdr:col>9</xdr:col>
      <xdr:colOff>82041</xdr:colOff>
      <xdr:row>74</xdr:row>
      <xdr:rowOff>19050</xdr:rowOff>
    </xdr:to>
    <xdr:sp macro="" textlink="$BH$7">
      <xdr:nvSpPr>
        <xdr:cNvPr id="80" name="TextBox 79">
          <a:extLst>
            <a:ext uri="{FF2B5EF4-FFF2-40B4-BE49-F238E27FC236}">
              <a16:creationId xmlns:a16="http://schemas.microsoft.com/office/drawing/2014/main" id="{00000000-0008-0000-0200-000050000000}"/>
            </a:ext>
          </a:extLst>
        </xdr:cNvPr>
        <xdr:cNvSpPr txBox="1"/>
      </xdr:nvSpPr>
      <xdr:spPr>
        <a:xfrm rot="2696533">
          <a:off x="609599" y="15556568"/>
          <a:ext cx="2072767"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354746F-AA97-4897-8E26-A24A899B4383}" type="TxLink">
            <a:rPr lang="en-US" sz="1000" b="0" i="0" u="none" strike="noStrike">
              <a:solidFill>
                <a:srgbClr val="000000"/>
              </a:solidFill>
              <a:latin typeface="Arial"/>
              <a:cs typeface="Arial"/>
            </a:rPr>
            <a:pPr algn="ctr"/>
            <a:t>1</a:t>
          </a:fld>
          <a:endParaRPr lang="en-GB" sz="1100" i="1">
            <a:latin typeface="+mn-lt"/>
          </a:endParaRPr>
        </a:p>
      </xdr:txBody>
    </xdr:sp>
    <xdr:clientData/>
  </xdr:twoCellAnchor>
  <xdr:twoCellAnchor>
    <xdr:from>
      <xdr:col>21</xdr:col>
      <xdr:colOff>5085</xdr:colOff>
      <xdr:row>79</xdr:row>
      <xdr:rowOff>30817</xdr:rowOff>
    </xdr:from>
    <xdr:to>
      <xdr:col>23</xdr:col>
      <xdr:colOff>77684</xdr:colOff>
      <xdr:row>80</xdr:row>
      <xdr:rowOff>57149</xdr:rowOff>
    </xdr:to>
    <xdr:sp macro="" textlink="">
      <xdr:nvSpPr>
        <xdr:cNvPr id="81" name="TextBox 80">
          <a:extLst>
            <a:ext uri="{FF2B5EF4-FFF2-40B4-BE49-F238E27FC236}">
              <a16:creationId xmlns:a16="http://schemas.microsoft.com/office/drawing/2014/main" id="{00000000-0008-0000-0200-000051000000}"/>
            </a:ext>
          </a:extLst>
        </xdr:cNvPr>
        <xdr:cNvSpPr txBox="1"/>
      </xdr:nvSpPr>
      <xdr:spPr>
        <a:xfrm rot="2696533">
          <a:off x="6377310" y="16851967"/>
          <a:ext cx="701249"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J</a:t>
          </a:r>
          <a:endParaRPr lang="en-GB" sz="1100" i="1">
            <a:latin typeface="+mn-lt"/>
          </a:endParaRPr>
        </a:p>
      </xdr:txBody>
    </xdr:sp>
    <xdr:clientData/>
  </xdr:twoCellAnchor>
  <xdr:twoCellAnchor>
    <xdr:from>
      <xdr:col>18</xdr:col>
      <xdr:colOff>153877</xdr:colOff>
      <xdr:row>79</xdr:row>
      <xdr:rowOff>76396</xdr:rowOff>
    </xdr:from>
    <xdr:to>
      <xdr:col>24</xdr:col>
      <xdr:colOff>173092</xdr:colOff>
      <xdr:row>80</xdr:row>
      <xdr:rowOff>102728</xdr:rowOff>
    </xdr:to>
    <xdr:sp macro="" textlink="$BF$7">
      <xdr:nvSpPr>
        <xdr:cNvPr id="82" name="TextBox 81">
          <a:extLst>
            <a:ext uri="{FF2B5EF4-FFF2-40B4-BE49-F238E27FC236}">
              <a16:creationId xmlns:a16="http://schemas.microsoft.com/office/drawing/2014/main" id="{00000000-0008-0000-0200-000052000000}"/>
            </a:ext>
          </a:extLst>
        </xdr:cNvPr>
        <xdr:cNvSpPr txBox="1"/>
      </xdr:nvSpPr>
      <xdr:spPr>
        <a:xfrm rot="2696533">
          <a:off x="5583127" y="16897546"/>
          <a:ext cx="1905165"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A9EB401-C1C0-44B3-84B4-B9D1D1C34A74}" type="TxLink">
            <a:rPr lang="en-US" sz="1000" b="0" i="0" u="none" strike="noStrike">
              <a:solidFill>
                <a:srgbClr val="000000"/>
              </a:solidFill>
              <a:latin typeface="Arial"/>
              <a:cs typeface="Arial"/>
            </a:rPr>
            <a:pPr algn="ctr"/>
            <a:t>1</a:t>
          </a:fld>
          <a:endParaRPr lang="en-GB" sz="1100" i="1">
            <a:latin typeface="+mn-lt"/>
          </a:endParaRPr>
        </a:p>
      </xdr:txBody>
    </xdr:sp>
    <xdr:clientData/>
  </xdr:twoCellAnchor>
  <xdr:twoCellAnchor>
    <xdr:from>
      <xdr:col>22</xdr:col>
      <xdr:colOff>94746</xdr:colOff>
      <xdr:row>70</xdr:row>
      <xdr:rowOff>206748</xdr:rowOff>
    </xdr:from>
    <xdr:to>
      <xdr:col>23</xdr:col>
      <xdr:colOff>15658</xdr:colOff>
      <xdr:row>74</xdr:row>
      <xdr:rowOff>71718</xdr:rowOff>
    </xdr:to>
    <xdr:sp macro="" textlink="">
      <xdr:nvSpPr>
        <xdr:cNvPr id="83" name="TextBox 82">
          <a:extLst>
            <a:ext uri="{FF2B5EF4-FFF2-40B4-BE49-F238E27FC236}">
              <a16:creationId xmlns:a16="http://schemas.microsoft.com/office/drawing/2014/main" id="{00000000-0008-0000-0200-000053000000}"/>
            </a:ext>
          </a:extLst>
        </xdr:cNvPr>
        <xdr:cNvSpPr txBox="1"/>
      </xdr:nvSpPr>
      <xdr:spPr>
        <a:xfrm rot="18877681">
          <a:off x="6547330" y="15375914"/>
          <a:ext cx="703170" cy="23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L</a:t>
          </a:r>
          <a:endParaRPr lang="en-GB" sz="1100" i="1">
            <a:latin typeface="+mn-lt"/>
          </a:endParaRPr>
        </a:p>
      </xdr:txBody>
    </xdr:sp>
    <xdr:clientData/>
  </xdr:twoCellAnchor>
  <xdr:twoCellAnchor>
    <xdr:from>
      <xdr:col>22</xdr:col>
      <xdr:colOff>208733</xdr:colOff>
      <xdr:row>68</xdr:row>
      <xdr:rowOff>194403</xdr:rowOff>
    </xdr:from>
    <xdr:to>
      <xdr:col>23</xdr:col>
      <xdr:colOff>129645</xdr:colOff>
      <xdr:row>78</xdr:row>
      <xdr:rowOff>45965</xdr:rowOff>
    </xdr:to>
    <xdr:sp macro="" textlink="$BH$7">
      <xdr:nvSpPr>
        <xdr:cNvPr id="84" name="TextBox 83">
          <a:extLst>
            <a:ext uri="{FF2B5EF4-FFF2-40B4-BE49-F238E27FC236}">
              <a16:creationId xmlns:a16="http://schemas.microsoft.com/office/drawing/2014/main" id="{00000000-0008-0000-0200-000054000000}"/>
            </a:ext>
          </a:extLst>
        </xdr:cNvPr>
        <xdr:cNvSpPr txBox="1"/>
      </xdr:nvSpPr>
      <xdr:spPr>
        <a:xfrm rot="18877681">
          <a:off x="6039371" y="15566415"/>
          <a:ext cx="1947062" cy="23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4942004-36CD-4134-A1E0-8CD1025A28FD}" type="TxLink">
            <a:rPr lang="en-US" sz="1000" b="0" i="0" u="none" strike="noStrike">
              <a:solidFill>
                <a:srgbClr val="000000"/>
              </a:solidFill>
              <a:latin typeface="Arial"/>
              <a:cs typeface="Arial"/>
            </a:rPr>
            <a:pPr algn="ctr"/>
            <a:t>1</a:t>
          </a:fld>
          <a:endParaRPr lang="en-GB" sz="1100" i="1">
            <a:latin typeface="+mn-lt"/>
          </a:endParaRPr>
        </a:p>
      </xdr:txBody>
    </xdr:sp>
    <xdr:clientData/>
  </xdr:twoCellAnchor>
  <xdr:twoCellAnchor>
    <xdr:from>
      <xdr:col>6</xdr:col>
      <xdr:colOff>212979</xdr:colOff>
      <xdr:row>77</xdr:row>
      <xdr:rowOff>187698</xdr:rowOff>
    </xdr:from>
    <xdr:to>
      <xdr:col>7</xdr:col>
      <xdr:colOff>133891</xdr:colOff>
      <xdr:row>81</xdr:row>
      <xdr:rowOff>52668</xdr:rowOff>
    </xdr:to>
    <xdr:sp macro="" textlink="">
      <xdr:nvSpPr>
        <xdr:cNvPr id="85" name="TextBox 84">
          <a:extLst>
            <a:ext uri="{FF2B5EF4-FFF2-40B4-BE49-F238E27FC236}">
              <a16:creationId xmlns:a16="http://schemas.microsoft.com/office/drawing/2014/main" id="{00000000-0008-0000-0200-000055000000}"/>
            </a:ext>
          </a:extLst>
        </xdr:cNvPr>
        <xdr:cNvSpPr txBox="1"/>
      </xdr:nvSpPr>
      <xdr:spPr>
        <a:xfrm rot="18877681">
          <a:off x="1636363" y="16823714"/>
          <a:ext cx="703170" cy="23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J</a:t>
          </a:r>
          <a:endParaRPr lang="en-GB" sz="1100" i="1">
            <a:latin typeface="+mn-lt"/>
          </a:endParaRPr>
        </a:p>
      </xdr:txBody>
    </xdr:sp>
    <xdr:clientData/>
  </xdr:twoCellAnchor>
  <xdr:twoCellAnchor>
    <xdr:from>
      <xdr:col>7</xdr:col>
      <xdr:colOff>70490</xdr:colOff>
      <xdr:row>75</xdr:row>
      <xdr:rowOff>180086</xdr:rowOff>
    </xdr:from>
    <xdr:to>
      <xdr:col>7</xdr:col>
      <xdr:colOff>305727</xdr:colOff>
      <xdr:row>84</xdr:row>
      <xdr:rowOff>76220</xdr:rowOff>
    </xdr:to>
    <xdr:sp macro="" textlink="$BF$7">
      <xdr:nvSpPr>
        <xdr:cNvPr id="86" name="TextBox 85">
          <a:extLst>
            <a:ext uri="{FF2B5EF4-FFF2-40B4-BE49-F238E27FC236}">
              <a16:creationId xmlns:a16="http://schemas.microsoft.com/office/drawing/2014/main" id="{00000000-0008-0000-0200-000056000000}"/>
            </a:ext>
          </a:extLst>
        </xdr:cNvPr>
        <xdr:cNvSpPr txBox="1"/>
      </xdr:nvSpPr>
      <xdr:spPr>
        <a:xfrm rot="18877681">
          <a:off x="1268742" y="16936459"/>
          <a:ext cx="1782084" cy="2352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5EAD3162-06FB-4DE2-99AB-DEEA6E22D382}" type="TxLink">
            <a:rPr lang="en-US" sz="1000" b="0" i="0" u="none" strike="noStrike">
              <a:solidFill>
                <a:srgbClr val="000000"/>
              </a:solidFill>
              <a:latin typeface="Arial"/>
              <a:cs typeface="Arial"/>
            </a:rPr>
            <a:pPr algn="ctr"/>
            <a:t>1</a:t>
          </a:fld>
          <a:endParaRPr lang="en-GB" sz="1100" i="1">
            <a:latin typeface="+mn-lt"/>
          </a:endParaRPr>
        </a:p>
      </xdr:txBody>
    </xdr:sp>
    <xdr:clientData/>
  </xdr:twoCellAnchor>
  <xdr:twoCellAnchor>
    <xdr:from>
      <xdr:col>14</xdr:col>
      <xdr:colOff>157407</xdr:colOff>
      <xdr:row>65</xdr:row>
      <xdr:rowOff>47758</xdr:rowOff>
    </xdr:from>
    <xdr:to>
      <xdr:col>14</xdr:col>
      <xdr:colOff>157407</xdr:colOff>
      <xdr:row>67</xdr:row>
      <xdr:rowOff>499</xdr:rowOff>
    </xdr:to>
    <xdr:cxnSp macro="">
      <xdr:nvCxnSpPr>
        <xdr:cNvPr id="87" name="Straight Arrow Connector 86">
          <a:extLst>
            <a:ext uri="{FF2B5EF4-FFF2-40B4-BE49-F238E27FC236}">
              <a16:creationId xmlns:a16="http://schemas.microsoft.com/office/drawing/2014/main" id="{00000000-0008-0000-0200-000057000000}"/>
            </a:ext>
          </a:extLst>
        </xdr:cNvPr>
        <xdr:cNvCxnSpPr/>
      </xdr:nvCxnSpPr>
      <xdr:spPr>
        <a:xfrm>
          <a:off x="4329357" y="13935208"/>
          <a:ext cx="0" cy="371841"/>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13</xdr:col>
      <xdr:colOff>59533</xdr:colOff>
      <xdr:row>65</xdr:row>
      <xdr:rowOff>119475</xdr:rowOff>
    </xdr:from>
    <xdr:to>
      <xdr:col>13</xdr:col>
      <xdr:colOff>274992</xdr:colOff>
      <xdr:row>66</xdr:row>
      <xdr:rowOff>165452</xdr:rowOff>
    </xdr:to>
    <xdr:cxnSp macro="">
      <xdr:nvCxnSpPr>
        <xdr:cNvPr id="88" name="Straight Arrow Connector 87">
          <a:extLst>
            <a:ext uri="{FF2B5EF4-FFF2-40B4-BE49-F238E27FC236}">
              <a16:creationId xmlns:a16="http://schemas.microsoft.com/office/drawing/2014/main" id="{00000000-0008-0000-0200-000058000000}"/>
            </a:ext>
          </a:extLst>
        </xdr:cNvPr>
        <xdr:cNvCxnSpPr/>
      </xdr:nvCxnSpPr>
      <xdr:spPr>
        <a:xfrm>
          <a:off x="3917158" y="14006925"/>
          <a:ext cx="215459" cy="255527"/>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15</xdr:col>
      <xdr:colOff>32219</xdr:colOff>
      <xdr:row>65</xdr:row>
      <xdr:rowOff>119627</xdr:rowOff>
    </xdr:from>
    <xdr:to>
      <xdr:col>15</xdr:col>
      <xdr:colOff>296438</xdr:colOff>
      <xdr:row>66</xdr:row>
      <xdr:rowOff>164249</xdr:rowOff>
    </xdr:to>
    <xdr:cxnSp macro="">
      <xdr:nvCxnSpPr>
        <xdr:cNvPr id="89" name="Straight Arrow Connector 88">
          <a:extLst>
            <a:ext uri="{FF2B5EF4-FFF2-40B4-BE49-F238E27FC236}">
              <a16:creationId xmlns:a16="http://schemas.microsoft.com/office/drawing/2014/main" id="{00000000-0008-0000-0200-000059000000}"/>
            </a:ext>
          </a:extLst>
        </xdr:cNvPr>
        <xdr:cNvCxnSpPr/>
      </xdr:nvCxnSpPr>
      <xdr:spPr>
        <a:xfrm flipH="1">
          <a:off x="4518494" y="14007077"/>
          <a:ext cx="264219" cy="254172"/>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13</xdr:col>
      <xdr:colOff>57948</xdr:colOff>
      <xdr:row>65</xdr:row>
      <xdr:rowOff>24680</xdr:rowOff>
    </xdr:from>
    <xdr:to>
      <xdr:col>14</xdr:col>
      <xdr:colOff>218230</xdr:colOff>
      <xdr:row>66</xdr:row>
      <xdr:rowOff>10525</xdr:rowOff>
    </xdr:to>
    <xdr:sp macro="" textlink="">
      <xdr:nvSpPr>
        <xdr:cNvPr id="90" name="TextBox 89">
          <a:extLst>
            <a:ext uri="{FF2B5EF4-FFF2-40B4-BE49-F238E27FC236}">
              <a16:creationId xmlns:a16="http://schemas.microsoft.com/office/drawing/2014/main" id="{00000000-0008-0000-0200-00005A000000}"/>
            </a:ext>
          </a:extLst>
        </xdr:cNvPr>
        <xdr:cNvSpPr txBox="1"/>
      </xdr:nvSpPr>
      <xdr:spPr>
        <a:xfrm>
          <a:off x="3915573" y="13912130"/>
          <a:ext cx="474607" cy="1953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l-PL" sz="1100">
              <a:latin typeface="+mn-lt"/>
            </a:rPr>
            <a:t>wind</a:t>
          </a:r>
          <a:endParaRPr lang="en-GB" sz="1100">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0</xdr:colOff>
      <xdr:row>12</xdr:row>
      <xdr:rowOff>0</xdr:rowOff>
    </xdr:from>
    <xdr:to>
      <xdr:col>26</xdr:col>
      <xdr:colOff>211238</xdr:colOff>
      <xdr:row>12</xdr:row>
      <xdr:rowOff>161925</xdr:rowOff>
    </xdr:to>
    <xdr:sp macro="[0]!Preassures_show" textlink="">
      <xdr:nvSpPr>
        <xdr:cNvPr id="7" name="TextBox 6">
          <a:extLst>
            <a:ext uri="{FF2B5EF4-FFF2-40B4-BE49-F238E27FC236}">
              <a16:creationId xmlns:a16="http://schemas.microsoft.com/office/drawing/2014/main" id="{00000000-0008-0000-0300-000007000000}"/>
            </a:ext>
          </a:extLst>
        </xdr:cNvPr>
        <xdr:cNvSpPr txBox="1"/>
      </xdr:nvSpPr>
      <xdr:spPr>
        <a:xfrm>
          <a:off x="7886700" y="2771775"/>
          <a:ext cx="211238"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000">
              <a:solidFill>
                <a:srgbClr val="969696"/>
              </a:solidFill>
            </a:rPr>
            <a:t>    </a:t>
          </a:r>
          <a:endParaRPr lang="en-GB" sz="1000">
            <a:solidFill>
              <a:srgbClr val="969696"/>
            </a:solidFill>
          </a:endParaRPr>
        </a:p>
      </xdr:txBody>
    </xdr:sp>
    <xdr:clientData fPrintsWithSheet="0"/>
  </xdr:twoCellAnchor>
  <xdr:twoCellAnchor>
    <xdr:from>
      <xdr:col>14</xdr:col>
      <xdr:colOff>38100</xdr:colOff>
      <xdr:row>13</xdr:row>
      <xdr:rowOff>200025</xdr:rowOff>
    </xdr:from>
    <xdr:to>
      <xdr:col>14</xdr:col>
      <xdr:colOff>218100</xdr:colOff>
      <xdr:row>14</xdr:row>
      <xdr:rowOff>200025</xdr:rowOff>
    </xdr:to>
    <xdr:sp macro="[0]!Wall_Height_show" textlink="">
      <xdr:nvSpPr>
        <xdr:cNvPr id="18" name="TextBox 17">
          <a:extLst>
            <a:ext uri="{FF2B5EF4-FFF2-40B4-BE49-F238E27FC236}">
              <a16:creationId xmlns:a16="http://schemas.microsoft.com/office/drawing/2014/main" id="{00000000-0008-0000-0300-000012000000}"/>
            </a:ext>
          </a:extLst>
        </xdr:cNvPr>
        <xdr:cNvSpPr txBox="1"/>
      </xdr:nvSpPr>
      <xdr:spPr>
        <a:xfrm>
          <a:off x="4152900" y="4019550"/>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000">
              <a:solidFill>
                <a:srgbClr val="969696"/>
              </a:solidFill>
            </a:rPr>
            <a:t>(?)</a:t>
          </a:r>
          <a:endParaRPr lang="en-GB" sz="1000">
            <a:solidFill>
              <a:srgbClr val="969696"/>
            </a:solidFill>
          </a:endParaRPr>
        </a:p>
      </xdr:txBody>
    </xdr:sp>
    <xdr:clientData fPrintsWithSheet="0"/>
  </xdr:twoCellAnchor>
  <xdr:twoCellAnchor>
    <xdr:from>
      <xdr:col>13</xdr:col>
      <xdr:colOff>272569</xdr:colOff>
      <xdr:row>49</xdr:row>
      <xdr:rowOff>3610</xdr:rowOff>
    </xdr:from>
    <xdr:to>
      <xdr:col>15</xdr:col>
      <xdr:colOff>209550</xdr:colOff>
      <xdr:row>49</xdr:row>
      <xdr:rowOff>3610</xdr:rowOff>
    </xdr:to>
    <xdr:cxnSp macro="">
      <xdr:nvCxnSpPr>
        <xdr:cNvPr id="20" name="Straight Arrow Connector 19">
          <a:extLst>
            <a:ext uri="{FF2B5EF4-FFF2-40B4-BE49-F238E27FC236}">
              <a16:creationId xmlns:a16="http://schemas.microsoft.com/office/drawing/2014/main" id="{00000000-0008-0000-0300-000014000000}"/>
            </a:ext>
          </a:extLst>
        </xdr:cNvPr>
        <xdr:cNvCxnSpPr/>
      </xdr:nvCxnSpPr>
      <xdr:spPr>
        <a:xfrm>
          <a:off x="4177819" y="10538260"/>
          <a:ext cx="584681" cy="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13</xdr:col>
      <xdr:colOff>181535</xdr:colOff>
      <xdr:row>48</xdr:row>
      <xdr:rowOff>11206</xdr:rowOff>
    </xdr:from>
    <xdr:to>
      <xdr:col>15</xdr:col>
      <xdr:colOff>31828</xdr:colOff>
      <xdr:row>48</xdr:row>
      <xdr:rowOff>204880</xdr:rowOff>
    </xdr:to>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4086785" y="10336306"/>
          <a:ext cx="497993" cy="193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l-PL" sz="1100">
              <a:latin typeface="+mn-lt"/>
            </a:rPr>
            <a:t>wind</a:t>
          </a:r>
          <a:endParaRPr lang="en-GB" sz="1100">
            <a:latin typeface="+mn-lt"/>
          </a:endParaRPr>
        </a:p>
      </xdr:txBody>
    </xdr:sp>
    <xdr:clientData/>
  </xdr:twoCellAnchor>
  <xdr:twoCellAnchor>
    <xdr:from>
      <xdr:col>14</xdr:col>
      <xdr:colOff>38100</xdr:colOff>
      <xdr:row>23</xdr:row>
      <xdr:rowOff>200025</xdr:rowOff>
    </xdr:from>
    <xdr:to>
      <xdr:col>14</xdr:col>
      <xdr:colOff>218100</xdr:colOff>
      <xdr:row>24</xdr:row>
      <xdr:rowOff>200025</xdr:rowOff>
    </xdr:to>
    <xdr:sp macro="[0]!Vertical_Wall_Pressure_Window_show" textlink="">
      <xdr:nvSpPr>
        <xdr:cNvPr id="8" name="TextBox 7">
          <a:extLst>
            <a:ext uri="{FF2B5EF4-FFF2-40B4-BE49-F238E27FC236}">
              <a16:creationId xmlns:a16="http://schemas.microsoft.com/office/drawing/2014/main" id="{00000000-0008-0000-0300-000008000000}"/>
            </a:ext>
          </a:extLst>
        </xdr:cNvPr>
        <xdr:cNvSpPr txBox="1"/>
      </xdr:nvSpPr>
      <xdr:spPr>
        <a:xfrm>
          <a:off x="4152900" y="3181350"/>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000">
              <a:solidFill>
                <a:srgbClr val="969696"/>
              </a:solidFill>
            </a:rPr>
            <a:t>(?)</a:t>
          </a:r>
          <a:endParaRPr lang="en-GB" sz="1000">
            <a:solidFill>
              <a:srgbClr val="969696"/>
            </a:solidFill>
          </a:endParaRPr>
        </a:p>
      </xdr:txBody>
    </xdr:sp>
    <xdr:clientData fPrintsWithSheet="0"/>
  </xdr:twoCellAnchor>
  <xdr:absoluteAnchor>
    <xdr:pos x="8562975" y="1057275"/>
    <xdr:ext cx="1130300" cy="342900"/>
    <xdr:sp macro="[0]!printme" textlink="">
      <xdr:nvSpPr>
        <xdr:cNvPr id="11" name="Rounded Rectangle 2">
          <a:extLst>
            <a:ext uri="{FF2B5EF4-FFF2-40B4-BE49-F238E27FC236}">
              <a16:creationId xmlns:a16="http://schemas.microsoft.com/office/drawing/2014/main" id="{00000000-0008-0000-0300-00000B000000}"/>
            </a:ext>
          </a:extLst>
        </xdr:cNvPr>
        <xdr:cNvSpPr>
          <a:spLocks noChangeAspect="1" noChangeArrowheads="1"/>
        </xdr:cNvSpPr>
      </xdr:nvSpPr>
      <xdr:spPr bwMode="auto">
        <a:xfrm>
          <a:off x="8562975" y="1057275"/>
          <a:ext cx="1130300" cy="3429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1" i="0" u="none" strike="noStrike" baseline="0">
              <a:solidFill>
                <a:srgbClr val="333333"/>
              </a:solidFill>
              <a:latin typeface="Arial"/>
              <a:ea typeface="Arial"/>
              <a:cs typeface="Arial"/>
            </a:rPr>
            <a:t>Print Me</a:t>
          </a:r>
        </a:p>
      </xdr:txBody>
    </xdr:sp>
    <xdr:clientData fPrintsWithSheet="0"/>
  </xdr:absoluteAnchor>
  <xdr:absoluteAnchor>
    <xdr:pos x="8562975" y="1514475"/>
    <xdr:ext cx="1130300" cy="457200"/>
    <xdr:sp macro="[0]!Import_Wind_Window_show" textlink="">
      <xdr:nvSpPr>
        <xdr:cNvPr id="10" name="Rounded Rectangle 2">
          <a:extLst>
            <a:ext uri="{FF2B5EF4-FFF2-40B4-BE49-F238E27FC236}">
              <a16:creationId xmlns:a16="http://schemas.microsoft.com/office/drawing/2014/main" id="{00000000-0008-0000-0300-00000A000000}"/>
            </a:ext>
          </a:extLst>
        </xdr:cNvPr>
        <xdr:cNvSpPr>
          <a:spLocks noChangeAspect="1" noChangeArrowheads="1"/>
        </xdr:cNvSpPr>
      </xdr:nvSpPr>
      <xdr:spPr bwMode="auto">
        <a:xfrm>
          <a:off x="8562975" y="1514475"/>
          <a:ext cx="1130300" cy="4572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0" i="0" u="none" strike="noStrike" baseline="0">
              <a:solidFill>
                <a:srgbClr val="333333"/>
              </a:solidFill>
              <a:latin typeface="Arial"/>
              <a:ea typeface="Arial"/>
              <a:cs typeface="Arial"/>
            </a:rPr>
            <a:t>Import wind pressure etc.</a:t>
          </a:r>
        </a:p>
      </xdr:txBody>
    </xdr:sp>
    <xdr:clientData fPrintsWithSheet="0"/>
  </xdr:absoluteAnchor>
  <xdr:twoCellAnchor editAs="absolute">
    <xdr:from>
      <xdr:col>47</xdr:col>
      <xdr:colOff>9525</xdr:colOff>
      <xdr:row>11</xdr:row>
      <xdr:rowOff>0</xdr:rowOff>
    </xdr:from>
    <xdr:to>
      <xdr:col>51</xdr:col>
      <xdr:colOff>0</xdr:colOff>
      <xdr:row>21</xdr:row>
      <xdr:rowOff>85725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8572500" y="2562225"/>
          <a:ext cx="2428875" cy="21812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0000"/>
              </a:solidFill>
            </a:rPr>
            <a:t>NOTE 1: </a:t>
          </a:r>
          <a:r>
            <a:rPr lang="en-GB" sz="1100" b="1">
              <a:solidFill>
                <a:srgbClr val="0000CC"/>
              </a:solidFill>
            </a:rPr>
            <a:t>YOU HAVE TO ENABLE</a:t>
          </a:r>
          <a:r>
            <a:rPr lang="en-GB" sz="1100" b="1" baseline="0">
              <a:solidFill>
                <a:srgbClr val="0000CC"/>
              </a:solidFill>
            </a:rPr>
            <a:t> MACROS TO </a:t>
          </a:r>
          <a:r>
            <a:rPr lang="pl-PL" sz="1100" b="1" baseline="0">
              <a:solidFill>
                <a:srgbClr val="0000CC"/>
              </a:solidFill>
            </a:rPr>
            <a:t>IMPORT WIND PROPERTIES</a:t>
          </a:r>
          <a:r>
            <a:rPr lang="pl-PL" sz="1100" b="1" baseline="0">
              <a:solidFill>
                <a:srgbClr val="0000CC"/>
              </a:solidFill>
              <a:latin typeface="+mn-lt"/>
              <a:ea typeface="+mn-ea"/>
              <a:cs typeface="+mn-cs"/>
            </a:rPr>
            <a:t>, CHANGE STRUCTURE TYPE ETC.</a:t>
          </a:r>
        </a:p>
        <a:p>
          <a:endParaRPr lang="en-GB" sz="1100" b="1">
            <a:solidFill>
              <a:srgbClr val="FF0000"/>
            </a:solidFill>
          </a:endParaRPr>
        </a:p>
        <a:p>
          <a:r>
            <a:rPr lang="en-GB" sz="1100" b="1">
              <a:solidFill>
                <a:srgbClr val="FF0000"/>
              </a:solidFill>
            </a:rPr>
            <a:t>NOTE 2: </a:t>
          </a:r>
          <a:r>
            <a:rPr lang="en-GB" sz="1100">
              <a:solidFill>
                <a:schemeClr val="dk1"/>
              </a:solidFill>
              <a:effectLst/>
              <a:latin typeface="+mn-lt"/>
              <a:ea typeface="+mn-ea"/>
              <a:cs typeface="+mn-cs"/>
            </a:rPr>
            <a:t>In this </a:t>
          </a:r>
          <a:r>
            <a:rPr lang="pl-PL" sz="1100">
              <a:solidFill>
                <a:schemeClr val="dk1"/>
              </a:solidFill>
              <a:effectLst/>
              <a:latin typeface="+mn-lt"/>
              <a:ea typeface="+mn-ea"/>
              <a:cs typeface="+mn-cs"/>
            </a:rPr>
            <a:t>FREE L</a:t>
          </a:r>
          <a:r>
            <a:rPr lang="en-GB" sz="1100">
              <a:solidFill>
                <a:schemeClr val="dk1"/>
              </a:solidFill>
              <a:effectLst/>
              <a:latin typeface="+mn-lt"/>
              <a:ea typeface="+mn-ea"/>
              <a:cs typeface="+mn-cs"/>
            </a:rPr>
            <a:t>ite version you cannot change the company logo nor company information. Also, cells marked with this colour</a:t>
          </a:r>
          <a:r>
            <a:rPr lang="en-GB" sz="1100" baseline="0">
              <a:solidFill>
                <a:schemeClr val="dk1"/>
              </a:solidFill>
              <a:effectLst/>
              <a:latin typeface="+mn-lt"/>
              <a:ea typeface="+mn-ea"/>
              <a:cs typeface="+mn-cs"/>
            </a:rPr>
            <a:t> are locked:</a:t>
          </a:r>
          <a:endParaRPr lang="en-GB">
            <a:effectLst/>
          </a:endParaRPr>
        </a:p>
      </xdr:txBody>
    </xdr:sp>
    <xdr:clientData/>
  </xdr:twoCellAnchor>
  <xdr:twoCellAnchor editAs="absolute">
    <xdr:from>
      <xdr:col>47</xdr:col>
      <xdr:colOff>96459</xdr:colOff>
      <xdr:row>19</xdr:row>
      <xdr:rowOff>3553</xdr:rowOff>
    </xdr:from>
    <xdr:to>
      <xdr:col>48</xdr:col>
      <xdr:colOff>242358</xdr:colOff>
      <xdr:row>20</xdr:row>
      <xdr:rowOff>85045</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8659434" y="4242178"/>
          <a:ext cx="755499" cy="291042"/>
        </a:xfrm>
        <a:prstGeom prst="rect">
          <a:avLst/>
        </a:prstGeom>
        <a:solidFill>
          <a:srgbClr val="CCFF3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48</xdr:col>
      <xdr:colOff>328083</xdr:colOff>
      <xdr:row>19</xdr:row>
      <xdr:rowOff>22604</xdr:rowOff>
    </xdr:from>
    <xdr:to>
      <xdr:col>49</xdr:col>
      <xdr:colOff>467783</xdr:colOff>
      <xdr:row>20</xdr:row>
      <xdr:rowOff>65995</xdr:rowOff>
    </xdr:to>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9500658" y="4261229"/>
          <a:ext cx="749300" cy="25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LOCKED</a:t>
          </a:r>
        </a:p>
      </xdr:txBody>
    </xdr:sp>
    <xdr:clientData/>
  </xdr:twoCellAnchor>
  <xdr:twoCellAnchor editAs="absolute">
    <xdr:from>
      <xdr:col>2</xdr:col>
      <xdr:colOff>66675</xdr:colOff>
      <xdr:row>1</xdr:row>
      <xdr:rowOff>133350</xdr:rowOff>
    </xdr:from>
    <xdr:to>
      <xdr:col>3</xdr:col>
      <xdr:colOff>263525</xdr:colOff>
      <xdr:row>3</xdr:row>
      <xdr:rowOff>5292</xdr:rowOff>
    </xdr:to>
    <xdr:pic>
      <xdr:nvPicPr>
        <xdr:cNvPr id="16" name="logo_picture">
          <a:extLst>
            <a:ext uri="{FF2B5EF4-FFF2-40B4-BE49-F238E27FC236}">
              <a16:creationId xmlns:a16="http://schemas.microsoft.com/office/drawing/2014/main" id="{00000000-0008-0000-0300-00001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323850"/>
          <a:ext cx="606425" cy="4910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304800</xdr:colOff>
      <xdr:row>20</xdr:row>
      <xdr:rowOff>0</xdr:rowOff>
    </xdr:from>
    <xdr:to>
      <xdr:col>13</xdr:col>
      <xdr:colOff>211238</xdr:colOff>
      <xdr:row>20</xdr:row>
      <xdr:rowOff>161925</xdr:rowOff>
    </xdr:to>
    <xdr:sp macro="[0]!Preassures_show" textlink="">
      <xdr:nvSpPr>
        <xdr:cNvPr id="5" name="TextBox 4">
          <a:extLst>
            <a:ext uri="{FF2B5EF4-FFF2-40B4-BE49-F238E27FC236}">
              <a16:creationId xmlns:a16="http://schemas.microsoft.com/office/drawing/2014/main" id="{00000000-0008-0000-0400-000005000000}"/>
            </a:ext>
          </a:extLst>
        </xdr:cNvPr>
        <xdr:cNvSpPr txBox="1"/>
      </xdr:nvSpPr>
      <xdr:spPr>
        <a:xfrm>
          <a:off x="3790950" y="4448175"/>
          <a:ext cx="220763"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000">
              <a:solidFill>
                <a:srgbClr val="969696"/>
              </a:solidFill>
            </a:rPr>
            <a:t>    </a:t>
          </a:r>
          <a:endParaRPr lang="en-GB" sz="1000">
            <a:solidFill>
              <a:srgbClr val="969696"/>
            </a:solidFill>
          </a:endParaRPr>
        </a:p>
      </xdr:txBody>
    </xdr:sp>
    <xdr:clientData fPrintsWithSheet="0"/>
  </xdr:twoCellAnchor>
  <xdr:twoCellAnchor>
    <xdr:from>
      <xdr:col>14</xdr:col>
      <xdr:colOff>38100</xdr:colOff>
      <xdr:row>17</xdr:row>
      <xdr:rowOff>200025</xdr:rowOff>
    </xdr:from>
    <xdr:to>
      <xdr:col>14</xdr:col>
      <xdr:colOff>218100</xdr:colOff>
      <xdr:row>18</xdr:row>
      <xdr:rowOff>200025</xdr:rowOff>
    </xdr:to>
    <xdr:sp macro="[0]!Shelter_Factor_show" textlink="">
      <xdr:nvSpPr>
        <xdr:cNvPr id="7" name="TextBox 6">
          <a:extLst>
            <a:ext uri="{FF2B5EF4-FFF2-40B4-BE49-F238E27FC236}">
              <a16:creationId xmlns:a16="http://schemas.microsoft.com/office/drawing/2014/main" id="{00000000-0008-0000-0400-000007000000}"/>
            </a:ext>
          </a:extLst>
        </xdr:cNvPr>
        <xdr:cNvSpPr txBox="1"/>
      </xdr:nvSpPr>
      <xdr:spPr>
        <a:xfrm>
          <a:off x="4152900" y="4019550"/>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000">
              <a:solidFill>
                <a:srgbClr val="969696"/>
              </a:solidFill>
            </a:rPr>
            <a:t>(?)</a:t>
          </a:r>
          <a:endParaRPr lang="en-GB" sz="1000">
            <a:solidFill>
              <a:srgbClr val="969696"/>
            </a:solidFill>
          </a:endParaRPr>
        </a:p>
      </xdr:txBody>
    </xdr:sp>
    <xdr:clientData fPrintsWithSheet="0"/>
  </xdr:twoCellAnchor>
  <xdr:absoluteAnchor>
    <xdr:pos x="8562975" y="1057275"/>
    <xdr:ext cx="1130300" cy="342900"/>
    <xdr:sp macro="[0]!printme" textlink="">
      <xdr:nvSpPr>
        <xdr:cNvPr id="4" name="Rounded Rectangle 2">
          <a:extLst>
            <a:ext uri="{FF2B5EF4-FFF2-40B4-BE49-F238E27FC236}">
              <a16:creationId xmlns:a16="http://schemas.microsoft.com/office/drawing/2014/main" id="{00000000-0008-0000-0400-000004000000}"/>
            </a:ext>
          </a:extLst>
        </xdr:cNvPr>
        <xdr:cNvSpPr>
          <a:spLocks noChangeAspect="1" noChangeArrowheads="1"/>
        </xdr:cNvSpPr>
      </xdr:nvSpPr>
      <xdr:spPr bwMode="auto">
        <a:xfrm>
          <a:off x="8562975" y="1057275"/>
          <a:ext cx="1130300" cy="3429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1" i="0" u="none" strike="noStrike" baseline="0">
              <a:solidFill>
                <a:srgbClr val="333333"/>
              </a:solidFill>
              <a:latin typeface="Arial"/>
              <a:ea typeface="Arial"/>
              <a:cs typeface="Arial"/>
            </a:rPr>
            <a:t>Print Me</a:t>
          </a:r>
        </a:p>
      </xdr:txBody>
    </xdr:sp>
    <xdr:clientData fPrintsWithSheet="0"/>
  </xdr:absoluteAnchor>
  <xdr:absoluteAnchor>
    <xdr:pos x="8562975" y="1514475"/>
    <xdr:ext cx="1130300" cy="457200"/>
    <xdr:sp macro="[0]!Import_Wind_Window_show" textlink="">
      <xdr:nvSpPr>
        <xdr:cNvPr id="6" name="Rounded Rectangle 2">
          <a:extLst>
            <a:ext uri="{FF2B5EF4-FFF2-40B4-BE49-F238E27FC236}">
              <a16:creationId xmlns:a16="http://schemas.microsoft.com/office/drawing/2014/main" id="{00000000-0008-0000-0400-000006000000}"/>
            </a:ext>
          </a:extLst>
        </xdr:cNvPr>
        <xdr:cNvSpPr>
          <a:spLocks noChangeAspect="1" noChangeArrowheads="1"/>
        </xdr:cNvSpPr>
      </xdr:nvSpPr>
      <xdr:spPr bwMode="auto">
        <a:xfrm>
          <a:off x="8562975" y="1514475"/>
          <a:ext cx="1130300" cy="4572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0" i="0" u="none" strike="noStrike" baseline="0">
              <a:solidFill>
                <a:srgbClr val="333333"/>
              </a:solidFill>
              <a:latin typeface="Arial"/>
              <a:ea typeface="Arial"/>
              <a:cs typeface="Arial"/>
            </a:rPr>
            <a:t>Import wind pressure etc.</a:t>
          </a:r>
        </a:p>
      </xdr:txBody>
    </xdr:sp>
    <xdr:clientData fPrintsWithSheet="0"/>
  </xdr:absoluteAnchor>
  <xdr:twoCellAnchor editAs="absolute">
    <xdr:from>
      <xdr:col>29</xdr:col>
      <xdr:colOff>0</xdr:colOff>
      <xdr:row>11</xdr:row>
      <xdr:rowOff>0</xdr:rowOff>
    </xdr:from>
    <xdr:to>
      <xdr:col>48</xdr:col>
      <xdr:colOff>600075</xdr:colOff>
      <xdr:row>21</xdr:row>
      <xdr:rowOff>85725</xdr:rowOff>
    </xdr:to>
    <xdr:sp macro="" textlink="">
      <xdr:nvSpPr>
        <xdr:cNvPr id="9" name="TextBox 8">
          <a:extLst>
            <a:ext uri="{FF2B5EF4-FFF2-40B4-BE49-F238E27FC236}">
              <a16:creationId xmlns:a16="http://schemas.microsoft.com/office/drawing/2014/main" id="{00000000-0008-0000-0400-000009000000}"/>
            </a:ext>
          </a:extLst>
        </xdr:cNvPr>
        <xdr:cNvSpPr txBox="1"/>
      </xdr:nvSpPr>
      <xdr:spPr>
        <a:xfrm>
          <a:off x="8562975" y="2562225"/>
          <a:ext cx="2428875" cy="21812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0000"/>
              </a:solidFill>
            </a:rPr>
            <a:t>NOTE 1: </a:t>
          </a:r>
          <a:r>
            <a:rPr lang="en-GB" sz="1100" b="1">
              <a:solidFill>
                <a:srgbClr val="0000CC"/>
              </a:solidFill>
            </a:rPr>
            <a:t>YOU HAVE TO ENABLE</a:t>
          </a:r>
          <a:r>
            <a:rPr lang="en-GB" sz="1100" b="1" baseline="0">
              <a:solidFill>
                <a:srgbClr val="0000CC"/>
              </a:solidFill>
            </a:rPr>
            <a:t> MACROS TO </a:t>
          </a:r>
          <a:r>
            <a:rPr lang="pl-PL" sz="1100" b="1" baseline="0">
              <a:solidFill>
                <a:srgbClr val="0000CC"/>
              </a:solidFill>
            </a:rPr>
            <a:t>IMPORT WIND PROPERTIES</a:t>
          </a:r>
          <a:r>
            <a:rPr lang="pl-PL" sz="1100" b="1" baseline="0">
              <a:solidFill>
                <a:srgbClr val="0000CC"/>
              </a:solidFill>
              <a:latin typeface="+mn-lt"/>
              <a:ea typeface="+mn-ea"/>
              <a:cs typeface="+mn-cs"/>
            </a:rPr>
            <a:t>, CHANGE STRUCTURE TYPE ETC.</a:t>
          </a:r>
        </a:p>
        <a:p>
          <a:endParaRPr lang="en-GB" sz="1100" b="1">
            <a:solidFill>
              <a:srgbClr val="FF0000"/>
            </a:solidFill>
          </a:endParaRPr>
        </a:p>
        <a:p>
          <a:r>
            <a:rPr lang="en-GB" sz="1100" b="1">
              <a:solidFill>
                <a:srgbClr val="FF0000"/>
              </a:solidFill>
            </a:rPr>
            <a:t>NOTE 2: </a:t>
          </a:r>
          <a:r>
            <a:rPr lang="en-GB" sz="1100">
              <a:solidFill>
                <a:schemeClr val="dk1"/>
              </a:solidFill>
              <a:effectLst/>
              <a:latin typeface="+mn-lt"/>
              <a:ea typeface="+mn-ea"/>
              <a:cs typeface="+mn-cs"/>
            </a:rPr>
            <a:t>In this </a:t>
          </a:r>
          <a:r>
            <a:rPr lang="pl-PL" sz="1100">
              <a:solidFill>
                <a:schemeClr val="dk1"/>
              </a:solidFill>
              <a:effectLst/>
              <a:latin typeface="+mn-lt"/>
              <a:ea typeface="+mn-ea"/>
              <a:cs typeface="+mn-cs"/>
            </a:rPr>
            <a:t>FREE L</a:t>
          </a:r>
          <a:r>
            <a:rPr lang="en-GB" sz="1100">
              <a:solidFill>
                <a:schemeClr val="dk1"/>
              </a:solidFill>
              <a:effectLst/>
              <a:latin typeface="+mn-lt"/>
              <a:ea typeface="+mn-ea"/>
              <a:cs typeface="+mn-cs"/>
            </a:rPr>
            <a:t>ite version you cannot change the company logo nor company information. Also, cells marked with this colour</a:t>
          </a:r>
          <a:r>
            <a:rPr lang="en-GB" sz="1100" baseline="0">
              <a:solidFill>
                <a:schemeClr val="dk1"/>
              </a:solidFill>
              <a:effectLst/>
              <a:latin typeface="+mn-lt"/>
              <a:ea typeface="+mn-ea"/>
              <a:cs typeface="+mn-cs"/>
            </a:rPr>
            <a:t> are locked:</a:t>
          </a:r>
          <a:endParaRPr lang="en-GB">
            <a:effectLst/>
          </a:endParaRPr>
        </a:p>
      </xdr:txBody>
    </xdr:sp>
    <xdr:clientData/>
  </xdr:twoCellAnchor>
  <xdr:twoCellAnchor editAs="absolute">
    <xdr:from>
      <xdr:col>45</xdr:col>
      <xdr:colOff>86934</xdr:colOff>
      <xdr:row>19</xdr:row>
      <xdr:rowOff>3553</xdr:rowOff>
    </xdr:from>
    <xdr:to>
      <xdr:col>46</xdr:col>
      <xdr:colOff>232833</xdr:colOff>
      <xdr:row>20</xdr:row>
      <xdr:rowOff>85045</xdr:rowOff>
    </xdr:to>
    <xdr:sp macro="" textlink="">
      <xdr:nvSpPr>
        <xdr:cNvPr id="10" name="Rectangle 9">
          <a:extLst>
            <a:ext uri="{FF2B5EF4-FFF2-40B4-BE49-F238E27FC236}">
              <a16:creationId xmlns:a16="http://schemas.microsoft.com/office/drawing/2014/main" id="{00000000-0008-0000-0400-00000A000000}"/>
            </a:ext>
          </a:extLst>
        </xdr:cNvPr>
        <xdr:cNvSpPr/>
      </xdr:nvSpPr>
      <xdr:spPr>
        <a:xfrm>
          <a:off x="8649909" y="4242178"/>
          <a:ext cx="755499" cy="291042"/>
        </a:xfrm>
        <a:prstGeom prst="rect">
          <a:avLst/>
        </a:prstGeom>
        <a:solidFill>
          <a:srgbClr val="CCFF3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46</xdr:col>
      <xdr:colOff>318558</xdr:colOff>
      <xdr:row>19</xdr:row>
      <xdr:rowOff>22604</xdr:rowOff>
    </xdr:from>
    <xdr:to>
      <xdr:col>47</xdr:col>
      <xdr:colOff>458258</xdr:colOff>
      <xdr:row>20</xdr:row>
      <xdr:rowOff>65995</xdr:rowOff>
    </xdr:to>
    <xdr:sp macro="" textlink="">
      <xdr:nvSpPr>
        <xdr:cNvPr id="11" name="TextBox 10">
          <a:extLst>
            <a:ext uri="{FF2B5EF4-FFF2-40B4-BE49-F238E27FC236}">
              <a16:creationId xmlns:a16="http://schemas.microsoft.com/office/drawing/2014/main" id="{00000000-0008-0000-0400-00000B000000}"/>
            </a:ext>
          </a:extLst>
        </xdr:cNvPr>
        <xdr:cNvSpPr txBox="1"/>
      </xdr:nvSpPr>
      <xdr:spPr>
        <a:xfrm>
          <a:off x="9491133" y="4261229"/>
          <a:ext cx="749300" cy="25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LOCKED</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267661</xdr:colOff>
      <xdr:row>49</xdr:row>
      <xdr:rowOff>180975</xdr:rowOff>
    </xdr:from>
    <xdr:to>
      <xdr:col>5</xdr:col>
      <xdr:colOff>248611</xdr:colOff>
      <xdr:row>49</xdr:row>
      <xdr:rowOff>180975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a:off x="924886" y="10915650"/>
          <a:ext cx="609600" cy="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38100</xdr:colOff>
      <xdr:row>43</xdr:row>
      <xdr:rowOff>1</xdr:rowOff>
    </xdr:from>
    <xdr:to>
      <xdr:col>3</xdr:col>
      <xdr:colOff>38100</xdr:colOff>
      <xdr:row>57</xdr:row>
      <xdr:rowOff>0</xdr:rowOff>
    </xdr:to>
    <xdr:cxnSp macro="">
      <xdr:nvCxnSpPr>
        <xdr:cNvPr id="42" name="Straight Arrow Connector 41">
          <a:extLst>
            <a:ext uri="{FF2B5EF4-FFF2-40B4-BE49-F238E27FC236}">
              <a16:creationId xmlns:a16="http://schemas.microsoft.com/office/drawing/2014/main" id="{00000000-0008-0000-0500-00002A000000}"/>
            </a:ext>
          </a:extLst>
        </xdr:cNvPr>
        <xdr:cNvCxnSpPr/>
      </xdr:nvCxnSpPr>
      <xdr:spPr>
        <a:xfrm flipV="1">
          <a:off x="695325" y="9477376"/>
          <a:ext cx="0" cy="2933699"/>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295275</xdr:colOff>
      <xdr:row>12</xdr:row>
      <xdr:rowOff>0</xdr:rowOff>
    </xdr:from>
    <xdr:to>
      <xdr:col>26</xdr:col>
      <xdr:colOff>200025</xdr:colOff>
      <xdr:row>12</xdr:row>
      <xdr:rowOff>161925</xdr:rowOff>
    </xdr:to>
    <xdr:sp macro="[0]!Preassures_show" textlink="">
      <xdr:nvSpPr>
        <xdr:cNvPr id="20" name="TextBox 19">
          <a:extLst>
            <a:ext uri="{FF2B5EF4-FFF2-40B4-BE49-F238E27FC236}">
              <a16:creationId xmlns:a16="http://schemas.microsoft.com/office/drawing/2014/main" id="{00000000-0008-0000-0500-000014000000}"/>
            </a:ext>
          </a:extLst>
        </xdr:cNvPr>
        <xdr:cNvSpPr txBox="1"/>
      </xdr:nvSpPr>
      <xdr:spPr>
        <a:xfrm>
          <a:off x="7867650" y="2771775"/>
          <a:ext cx="219075"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100">
              <a:solidFill>
                <a:srgbClr val="969696"/>
              </a:solidFill>
              <a:latin typeface="+mn-lt"/>
            </a:rPr>
            <a:t>    </a:t>
          </a:r>
          <a:endParaRPr lang="en-GB" sz="1100">
            <a:solidFill>
              <a:srgbClr val="969696"/>
            </a:solidFill>
            <a:latin typeface="+mn-lt"/>
          </a:endParaRPr>
        </a:p>
      </xdr:txBody>
    </xdr:sp>
    <xdr:clientData fPrintsWithSheet="0"/>
  </xdr:twoCellAnchor>
  <xdr:twoCellAnchor>
    <xdr:from>
      <xdr:col>25</xdr:col>
      <xdr:colOff>309563</xdr:colOff>
      <xdr:row>29</xdr:row>
      <xdr:rowOff>0</xdr:rowOff>
    </xdr:from>
    <xdr:to>
      <xdr:col>26</xdr:col>
      <xdr:colOff>211238</xdr:colOff>
      <xdr:row>30</xdr:row>
      <xdr:rowOff>0</xdr:rowOff>
    </xdr:to>
    <xdr:sp macro="[0]!Preassures_show" textlink="">
      <xdr:nvSpPr>
        <xdr:cNvPr id="21" name="TextBox 20">
          <a:extLst>
            <a:ext uri="{FF2B5EF4-FFF2-40B4-BE49-F238E27FC236}">
              <a16:creationId xmlns:a16="http://schemas.microsoft.com/office/drawing/2014/main" id="{00000000-0008-0000-0500-000015000000}"/>
            </a:ext>
          </a:extLst>
        </xdr:cNvPr>
        <xdr:cNvSpPr txBox="1"/>
      </xdr:nvSpPr>
      <xdr:spPr>
        <a:xfrm>
          <a:off x="3795713" y="4448175"/>
          <a:ext cx="216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100">
              <a:solidFill>
                <a:srgbClr val="969696"/>
              </a:solidFill>
              <a:latin typeface="+mn-lt"/>
            </a:rPr>
            <a:t>    </a:t>
          </a:r>
          <a:endParaRPr lang="en-GB" sz="1100">
            <a:solidFill>
              <a:srgbClr val="969696"/>
            </a:solidFill>
            <a:latin typeface="+mn-lt"/>
          </a:endParaRPr>
        </a:p>
      </xdr:txBody>
    </xdr:sp>
    <xdr:clientData fPrintsWithSheet="0"/>
  </xdr:twoCellAnchor>
  <xdr:twoCellAnchor>
    <xdr:from>
      <xdr:col>14</xdr:col>
      <xdr:colOff>52388</xdr:colOff>
      <xdr:row>11</xdr:row>
      <xdr:rowOff>0</xdr:rowOff>
    </xdr:from>
    <xdr:to>
      <xdr:col>14</xdr:col>
      <xdr:colOff>232388</xdr:colOff>
      <xdr:row>12</xdr:row>
      <xdr:rowOff>0</xdr:rowOff>
    </xdr:to>
    <xdr:sp macro="[0]!Eaves_show" textlink="">
      <xdr:nvSpPr>
        <xdr:cNvPr id="22" name="TextBox 21">
          <a:extLst>
            <a:ext uri="{FF2B5EF4-FFF2-40B4-BE49-F238E27FC236}">
              <a16:creationId xmlns:a16="http://schemas.microsoft.com/office/drawing/2014/main" id="{00000000-0008-0000-0500-000016000000}"/>
            </a:ext>
          </a:extLst>
        </xdr:cNvPr>
        <xdr:cNvSpPr txBox="1"/>
      </xdr:nvSpPr>
      <xdr:spPr>
        <a:xfrm>
          <a:off x="4167188" y="256222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4</xdr:col>
      <xdr:colOff>193901</xdr:colOff>
      <xdr:row>50</xdr:row>
      <xdr:rowOff>85044</xdr:rowOff>
    </xdr:from>
    <xdr:to>
      <xdr:col>5</xdr:col>
      <xdr:colOff>204107</xdr:colOff>
      <xdr:row>51</xdr:row>
      <xdr:rowOff>149680</xdr:rowOff>
    </xdr:to>
    <xdr:cxnSp macro="">
      <xdr:nvCxnSpPr>
        <xdr:cNvPr id="25" name="Straight Arrow Connector 24">
          <a:extLst>
            <a:ext uri="{FF2B5EF4-FFF2-40B4-BE49-F238E27FC236}">
              <a16:creationId xmlns:a16="http://schemas.microsoft.com/office/drawing/2014/main" id="{00000000-0008-0000-0500-000019000000}"/>
            </a:ext>
          </a:extLst>
        </xdr:cNvPr>
        <xdr:cNvCxnSpPr/>
      </xdr:nvCxnSpPr>
      <xdr:spPr>
        <a:xfrm flipV="1">
          <a:off x="1165451" y="11029269"/>
          <a:ext cx="324531" cy="274186"/>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193901</xdr:colOff>
      <xdr:row>47</xdr:row>
      <xdr:rowOff>139474</xdr:rowOff>
    </xdr:from>
    <xdr:to>
      <xdr:col>5</xdr:col>
      <xdr:colOff>202906</xdr:colOff>
      <xdr:row>49</xdr:row>
      <xdr:rowOff>57151</xdr:rowOff>
    </xdr:to>
    <xdr:cxnSp macro="">
      <xdr:nvCxnSpPr>
        <xdr:cNvPr id="28" name="Straight Arrow Connector 27">
          <a:extLst>
            <a:ext uri="{FF2B5EF4-FFF2-40B4-BE49-F238E27FC236}">
              <a16:creationId xmlns:a16="http://schemas.microsoft.com/office/drawing/2014/main" id="{00000000-0008-0000-0500-00001C000000}"/>
            </a:ext>
          </a:extLst>
        </xdr:cNvPr>
        <xdr:cNvCxnSpPr/>
      </xdr:nvCxnSpPr>
      <xdr:spPr>
        <a:xfrm>
          <a:off x="1165451" y="10455049"/>
          <a:ext cx="323330" cy="336777"/>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177187</xdr:colOff>
      <xdr:row>48</xdr:row>
      <xdr:rowOff>185209</xdr:rowOff>
    </xdr:from>
    <xdr:to>
      <xdr:col>5</xdr:col>
      <xdr:colOff>26360</xdr:colOff>
      <xdr:row>49</xdr:row>
      <xdr:rowOff>169333</xdr:rowOff>
    </xdr:to>
    <xdr:sp macro="" textlink="">
      <xdr:nvSpPr>
        <xdr:cNvPr id="12" name="TextBox 11">
          <a:extLst>
            <a:ext uri="{FF2B5EF4-FFF2-40B4-BE49-F238E27FC236}">
              <a16:creationId xmlns:a16="http://schemas.microsoft.com/office/drawing/2014/main" id="{00000000-0008-0000-0500-00000C000000}"/>
            </a:ext>
          </a:extLst>
        </xdr:cNvPr>
        <xdr:cNvSpPr txBox="1"/>
      </xdr:nvSpPr>
      <xdr:spPr>
        <a:xfrm>
          <a:off x="834412" y="10710334"/>
          <a:ext cx="477823" cy="193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l-PL" sz="1100">
              <a:latin typeface="+mn-lt"/>
            </a:rPr>
            <a:t>wind</a:t>
          </a:r>
          <a:endParaRPr lang="en-GB" sz="1100">
            <a:latin typeface="+mn-lt"/>
          </a:endParaRPr>
        </a:p>
      </xdr:txBody>
    </xdr:sp>
    <xdr:clientData/>
  </xdr:twoCellAnchor>
  <xdr:twoCellAnchor>
    <xdr:from>
      <xdr:col>2</xdr:col>
      <xdr:colOff>198438</xdr:colOff>
      <xdr:row>45</xdr:row>
      <xdr:rowOff>41275</xdr:rowOff>
    </xdr:from>
    <xdr:to>
      <xdr:col>3</xdr:col>
      <xdr:colOff>39687</xdr:colOff>
      <xdr:row>54</xdr:row>
      <xdr:rowOff>92075</xdr:rowOff>
    </xdr:to>
    <xdr:sp macro="" textlink="$AJ$9">
      <xdr:nvSpPr>
        <xdr:cNvPr id="35" name="TextBox 34">
          <a:extLst>
            <a:ext uri="{FF2B5EF4-FFF2-40B4-BE49-F238E27FC236}">
              <a16:creationId xmlns:a16="http://schemas.microsoft.com/office/drawing/2014/main" id="{00000000-0008-0000-0500-000023000000}"/>
            </a:ext>
          </a:extLst>
        </xdr:cNvPr>
        <xdr:cNvSpPr txBox="1"/>
      </xdr:nvSpPr>
      <xdr:spPr>
        <a:xfrm rot="16200000">
          <a:off x="-368300" y="10599738"/>
          <a:ext cx="1936750" cy="193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4249C319-372D-4850-951A-3B2F904198A6}" type="TxLink">
            <a:rPr lang="en-US" sz="1100" b="0" i="0" u="none" strike="noStrike">
              <a:solidFill>
                <a:srgbClr val="000000"/>
              </a:solidFill>
              <a:latin typeface="+mn-lt"/>
              <a:cs typeface="Arial"/>
            </a:rPr>
            <a:pPr algn="ctr"/>
            <a:t>Roof width b = 80.00m</a:t>
          </a:fld>
          <a:endParaRPr lang="en-GB" sz="1100">
            <a:latin typeface="+mn-lt"/>
          </a:endParaRPr>
        </a:p>
      </xdr:txBody>
    </xdr:sp>
    <xdr:clientData/>
  </xdr:twoCellAnchor>
  <xdr:twoCellAnchor>
    <xdr:from>
      <xdr:col>2</xdr:col>
      <xdr:colOff>323850</xdr:colOff>
      <xdr:row>43</xdr:row>
      <xdr:rowOff>0</xdr:rowOff>
    </xdr:from>
    <xdr:to>
      <xdr:col>4</xdr:col>
      <xdr:colOff>28575</xdr:colOff>
      <xdr:row>43</xdr:row>
      <xdr:rowOff>0</xdr:rowOff>
    </xdr:to>
    <xdr:cxnSp macro="">
      <xdr:nvCxnSpPr>
        <xdr:cNvPr id="24" name="Straight Connector 23">
          <a:extLst>
            <a:ext uri="{FF2B5EF4-FFF2-40B4-BE49-F238E27FC236}">
              <a16:creationId xmlns:a16="http://schemas.microsoft.com/office/drawing/2014/main" id="{00000000-0008-0000-0500-000018000000}"/>
            </a:ext>
          </a:extLst>
        </xdr:cNvPr>
        <xdr:cNvCxnSpPr/>
      </xdr:nvCxnSpPr>
      <xdr:spPr>
        <a:xfrm>
          <a:off x="628650" y="9477375"/>
          <a:ext cx="3714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57</xdr:row>
      <xdr:rowOff>0</xdr:rowOff>
    </xdr:from>
    <xdr:to>
      <xdr:col>4</xdr:col>
      <xdr:colOff>9525</xdr:colOff>
      <xdr:row>57</xdr:row>
      <xdr:rowOff>0</xdr:rowOff>
    </xdr:to>
    <xdr:cxnSp macro="">
      <xdr:nvCxnSpPr>
        <xdr:cNvPr id="41" name="Straight Connector 40">
          <a:extLst>
            <a:ext uri="{FF2B5EF4-FFF2-40B4-BE49-F238E27FC236}">
              <a16:creationId xmlns:a16="http://schemas.microsoft.com/office/drawing/2014/main" id="{00000000-0008-0000-0500-000029000000}"/>
            </a:ext>
          </a:extLst>
        </xdr:cNvPr>
        <xdr:cNvCxnSpPr/>
      </xdr:nvCxnSpPr>
      <xdr:spPr>
        <a:xfrm>
          <a:off x="628650" y="12411075"/>
          <a:ext cx="3524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absoluteAnchor>
    <xdr:pos x="8562975" y="1057275"/>
    <xdr:ext cx="1130300" cy="342900"/>
    <xdr:sp macro="[0]!printme" textlink="">
      <xdr:nvSpPr>
        <xdr:cNvPr id="13" name="Rounded Rectangle 2">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8562975" y="1057275"/>
          <a:ext cx="1130300" cy="3429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1" i="0" u="none" strike="noStrike" baseline="0">
              <a:solidFill>
                <a:srgbClr val="333333"/>
              </a:solidFill>
              <a:latin typeface="Arial"/>
              <a:ea typeface="Arial"/>
              <a:cs typeface="Arial"/>
            </a:rPr>
            <a:t>Print Me</a:t>
          </a:r>
        </a:p>
      </xdr:txBody>
    </xdr:sp>
    <xdr:clientData fPrintsWithSheet="0"/>
  </xdr:absoluteAnchor>
  <xdr:absoluteAnchor>
    <xdr:pos x="8562975" y="1514475"/>
    <xdr:ext cx="1130300" cy="457200"/>
    <xdr:sp macro="[0]!Import_Wind_Window_show" textlink="">
      <xdr:nvSpPr>
        <xdr:cNvPr id="17" name="Rounded Rectangle 2">
          <a:extLst>
            <a:ext uri="{FF2B5EF4-FFF2-40B4-BE49-F238E27FC236}">
              <a16:creationId xmlns:a16="http://schemas.microsoft.com/office/drawing/2014/main" id="{00000000-0008-0000-0500-000011000000}"/>
            </a:ext>
          </a:extLst>
        </xdr:cNvPr>
        <xdr:cNvSpPr>
          <a:spLocks noChangeAspect="1" noChangeArrowheads="1"/>
        </xdr:cNvSpPr>
      </xdr:nvSpPr>
      <xdr:spPr bwMode="auto">
        <a:xfrm>
          <a:off x="8562975" y="1514475"/>
          <a:ext cx="1130300" cy="4572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0" i="0" u="none" strike="noStrike" baseline="0">
              <a:solidFill>
                <a:srgbClr val="333333"/>
              </a:solidFill>
              <a:latin typeface="Arial"/>
              <a:ea typeface="Arial"/>
              <a:cs typeface="Arial"/>
            </a:rPr>
            <a:t>Import wind pressure etc.</a:t>
          </a:r>
        </a:p>
      </xdr:txBody>
    </xdr:sp>
    <xdr:clientData fPrintsWithSheet="0"/>
  </xdr:absoluteAnchor>
  <xdr:twoCellAnchor editAs="absolute">
    <xdr:from>
      <xdr:col>29</xdr:col>
      <xdr:colOff>0</xdr:colOff>
      <xdr:row>11</xdr:row>
      <xdr:rowOff>0</xdr:rowOff>
    </xdr:from>
    <xdr:to>
      <xdr:col>49</xdr:col>
      <xdr:colOff>600075</xdr:colOff>
      <xdr:row>21</xdr:row>
      <xdr:rowOff>85725</xdr:rowOff>
    </xdr:to>
    <xdr:sp macro="" textlink="">
      <xdr:nvSpPr>
        <xdr:cNvPr id="15" name="TextBox 14">
          <a:extLst>
            <a:ext uri="{FF2B5EF4-FFF2-40B4-BE49-F238E27FC236}">
              <a16:creationId xmlns:a16="http://schemas.microsoft.com/office/drawing/2014/main" id="{00000000-0008-0000-0500-00000F000000}"/>
            </a:ext>
          </a:extLst>
        </xdr:cNvPr>
        <xdr:cNvSpPr txBox="1"/>
      </xdr:nvSpPr>
      <xdr:spPr>
        <a:xfrm>
          <a:off x="8562975" y="2562225"/>
          <a:ext cx="2428875" cy="21812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0000"/>
              </a:solidFill>
            </a:rPr>
            <a:t>NOTE 1: </a:t>
          </a:r>
          <a:r>
            <a:rPr lang="en-GB" sz="1100" b="1">
              <a:solidFill>
                <a:srgbClr val="0000CC"/>
              </a:solidFill>
            </a:rPr>
            <a:t>YOU HAVE TO ENABLE</a:t>
          </a:r>
          <a:r>
            <a:rPr lang="en-GB" sz="1100" b="1" baseline="0">
              <a:solidFill>
                <a:srgbClr val="0000CC"/>
              </a:solidFill>
            </a:rPr>
            <a:t> MACROS TO </a:t>
          </a:r>
          <a:r>
            <a:rPr lang="pl-PL" sz="1100" b="1" baseline="0">
              <a:solidFill>
                <a:srgbClr val="0000CC"/>
              </a:solidFill>
            </a:rPr>
            <a:t>IMPORT WIND PROPERTIES</a:t>
          </a:r>
          <a:r>
            <a:rPr lang="pl-PL" sz="1100" b="1" baseline="0">
              <a:solidFill>
                <a:srgbClr val="0000CC"/>
              </a:solidFill>
              <a:latin typeface="+mn-lt"/>
              <a:ea typeface="+mn-ea"/>
              <a:cs typeface="+mn-cs"/>
            </a:rPr>
            <a:t>, CHANGE STRUCTURE TYPE ETC.</a:t>
          </a:r>
        </a:p>
        <a:p>
          <a:endParaRPr lang="en-GB" sz="1100" b="1">
            <a:solidFill>
              <a:srgbClr val="FF0000"/>
            </a:solidFill>
          </a:endParaRPr>
        </a:p>
        <a:p>
          <a:r>
            <a:rPr lang="en-GB" sz="1100" b="1">
              <a:solidFill>
                <a:srgbClr val="FF0000"/>
              </a:solidFill>
            </a:rPr>
            <a:t>NOTE 2: </a:t>
          </a:r>
          <a:r>
            <a:rPr lang="en-GB" sz="1100">
              <a:solidFill>
                <a:schemeClr val="dk1"/>
              </a:solidFill>
              <a:effectLst/>
              <a:latin typeface="+mn-lt"/>
              <a:ea typeface="+mn-ea"/>
              <a:cs typeface="+mn-cs"/>
            </a:rPr>
            <a:t>In this </a:t>
          </a:r>
          <a:r>
            <a:rPr lang="pl-PL" sz="1100">
              <a:solidFill>
                <a:schemeClr val="dk1"/>
              </a:solidFill>
              <a:effectLst/>
              <a:latin typeface="+mn-lt"/>
              <a:ea typeface="+mn-ea"/>
              <a:cs typeface="+mn-cs"/>
            </a:rPr>
            <a:t>FREE L</a:t>
          </a:r>
          <a:r>
            <a:rPr lang="en-GB" sz="1100">
              <a:solidFill>
                <a:schemeClr val="dk1"/>
              </a:solidFill>
              <a:effectLst/>
              <a:latin typeface="+mn-lt"/>
              <a:ea typeface="+mn-ea"/>
              <a:cs typeface="+mn-cs"/>
            </a:rPr>
            <a:t>ite version you cannot change the company logo nor company information. Also, cells marked with this colour</a:t>
          </a:r>
          <a:r>
            <a:rPr lang="en-GB" sz="1100" baseline="0">
              <a:solidFill>
                <a:schemeClr val="dk1"/>
              </a:solidFill>
              <a:effectLst/>
              <a:latin typeface="+mn-lt"/>
              <a:ea typeface="+mn-ea"/>
              <a:cs typeface="+mn-cs"/>
            </a:rPr>
            <a:t> are locked:</a:t>
          </a:r>
          <a:endParaRPr lang="en-GB">
            <a:effectLst/>
          </a:endParaRPr>
        </a:p>
      </xdr:txBody>
    </xdr:sp>
    <xdr:clientData/>
  </xdr:twoCellAnchor>
  <xdr:twoCellAnchor editAs="absolute">
    <xdr:from>
      <xdr:col>46</xdr:col>
      <xdr:colOff>86934</xdr:colOff>
      <xdr:row>19</xdr:row>
      <xdr:rowOff>3553</xdr:rowOff>
    </xdr:from>
    <xdr:to>
      <xdr:col>47</xdr:col>
      <xdr:colOff>232833</xdr:colOff>
      <xdr:row>20</xdr:row>
      <xdr:rowOff>85045</xdr:rowOff>
    </xdr:to>
    <xdr:sp macro="" textlink="">
      <xdr:nvSpPr>
        <xdr:cNvPr id="16" name="Rectangle 15">
          <a:extLst>
            <a:ext uri="{FF2B5EF4-FFF2-40B4-BE49-F238E27FC236}">
              <a16:creationId xmlns:a16="http://schemas.microsoft.com/office/drawing/2014/main" id="{00000000-0008-0000-0500-000010000000}"/>
            </a:ext>
          </a:extLst>
        </xdr:cNvPr>
        <xdr:cNvSpPr/>
      </xdr:nvSpPr>
      <xdr:spPr>
        <a:xfrm>
          <a:off x="8649909" y="4242178"/>
          <a:ext cx="755499" cy="291042"/>
        </a:xfrm>
        <a:prstGeom prst="rect">
          <a:avLst/>
        </a:prstGeom>
        <a:solidFill>
          <a:srgbClr val="CCFF3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47</xdr:col>
      <xdr:colOff>318558</xdr:colOff>
      <xdr:row>19</xdr:row>
      <xdr:rowOff>22604</xdr:rowOff>
    </xdr:from>
    <xdr:to>
      <xdr:col>48</xdr:col>
      <xdr:colOff>458258</xdr:colOff>
      <xdr:row>20</xdr:row>
      <xdr:rowOff>65995</xdr:rowOff>
    </xdr:to>
    <xdr:sp macro="" textlink="">
      <xdr:nvSpPr>
        <xdr:cNvPr id="18" name="TextBox 17">
          <a:extLst>
            <a:ext uri="{FF2B5EF4-FFF2-40B4-BE49-F238E27FC236}">
              <a16:creationId xmlns:a16="http://schemas.microsoft.com/office/drawing/2014/main" id="{00000000-0008-0000-0500-000012000000}"/>
            </a:ext>
          </a:extLst>
        </xdr:cNvPr>
        <xdr:cNvSpPr txBox="1"/>
      </xdr:nvSpPr>
      <xdr:spPr>
        <a:xfrm>
          <a:off x="9491133" y="4261229"/>
          <a:ext cx="749300" cy="25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LOCKED</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267661</xdr:colOff>
      <xdr:row>49</xdr:row>
      <xdr:rowOff>180975</xdr:rowOff>
    </xdr:from>
    <xdr:to>
      <xdr:col>5</xdr:col>
      <xdr:colOff>248611</xdr:colOff>
      <xdr:row>49</xdr:row>
      <xdr:rowOff>180975</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924886" y="10706100"/>
          <a:ext cx="609600" cy="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38100</xdr:colOff>
      <xdr:row>43</xdr:row>
      <xdr:rowOff>1</xdr:rowOff>
    </xdr:from>
    <xdr:to>
      <xdr:col>3</xdr:col>
      <xdr:colOff>38100</xdr:colOff>
      <xdr:row>57</xdr:row>
      <xdr:rowOff>0</xdr:rowOff>
    </xdr:to>
    <xdr:cxnSp macro="">
      <xdr:nvCxnSpPr>
        <xdr:cNvPr id="20" name="Straight Arrow Connector 19">
          <a:extLst>
            <a:ext uri="{FF2B5EF4-FFF2-40B4-BE49-F238E27FC236}">
              <a16:creationId xmlns:a16="http://schemas.microsoft.com/office/drawing/2014/main" id="{00000000-0008-0000-0600-000014000000}"/>
            </a:ext>
          </a:extLst>
        </xdr:cNvPr>
        <xdr:cNvCxnSpPr/>
      </xdr:nvCxnSpPr>
      <xdr:spPr>
        <a:xfrm flipV="1">
          <a:off x="695325" y="9267826"/>
          <a:ext cx="0" cy="2933699"/>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304801</xdr:colOff>
      <xdr:row>12</xdr:row>
      <xdr:rowOff>0</xdr:rowOff>
    </xdr:from>
    <xdr:to>
      <xdr:col>26</xdr:col>
      <xdr:colOff>200026</xdr:colOff>
      <xdr:row>12</xdr:row>
      <xdr:rowOff>161925</xdr:rowOff>
    </xdr:to>
    <xdr:sp macro="[0]!Preassures_show" textlink="">
      <xdr:nvSpPr>
        <xdr:cNvPr id="26" name="TextBox 25">
          <a:extLst>
            <a:ext uri="{FF2B5EF4-FFF2-40B4-BE49-F238E27FC236}">
              <a16:creationId xmlns:a16="http://schemas.microsoft.com/office/drawing/2014/main" id="{00000000-0008-0000-0600-00001A000000}"/>
            </a:ext>
          </a:extLst>
        </xdr:cNvPr>
        <xdr:cNvSpPr txBox="1"/>
      </xdr:nvSpPr>
      <xdr:spPr>
        <a:xfrm>
          <a:off x="7877176" y="2771775"/>
          <a:ext cx="209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100">
              <a:solidFill>
                <a:srgbClr val="969696"/>
              </a:solidFill>
              <a:latin typeface="+mn-lt"/>
            </a:rPr>
            <a:t>    </a:t>
          </a:r>
          <a:endParaRPr lang="en-GB" sz="1100">
            <a:solidFill>
              <a:srgbClr val="969696"/>
            </a:solidFill>
            <a:latin typeface="+mn-lt"/>
          </a:endParaRPr>
        </a:p>
      </xdr:txBody>
    </xdr:sp>
    <xdr:clientData fPrintsWithSheet="0"/>
  </xdr:twoCellAnchor>
  <xdr:twoCellAnchor>
    <xdr:from>
      <xdr:col>4</xdr:col>
      <xdr:colOff>193901</xdr:colOff>
      <xdr:row>50</xdr:row>
      <xdr:rowOff>85044</xdr:rowOff>
    </xdr:from>
    <xdr:to>
      <xdr:col>5</xdr:col>
      <xdr:colOff>204107</xdr:colOff>
      <xdr:row>51</xdr:row>
      <xdr:rowOff>149680</xdr:rowOff>
    </xdr:to>
    <xdr:cxnSp macro="">
      <xdr:nvCxnSpPr>
        <xdr:cNvPr id="31" name="Straight Arrow Connector 30">
          <a:extLst>
            <a:ext uri="{FF2B5EF4-FFF2-40B4-BE49-F238E27FC236}">
              <a16:creationId xmlns:a16="http://schemas.microsoft.com/office/drawing/2014/main" id="{00000000-0008-0000-0600-00001F000000}"/>
            </a:ext>
          </a:extLst>
        </xdr:cNvPr>
        <xdr:cNvCxnSpPr/>
      </xdr:nvCxnSpPr>
      <xdr:spPr>
        <a:xfrm flipV="1">
          <a:off x="1165451" y="10819719"/>
          <a:ext cx="324531" cy="274186"/>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193901</xdr:colOff>
      <xdr:row>47</xdr:row>
      <xdr:rowOff>139474</xdr:rowOff>
    </xdr:from>
    <xdr:to>
      <xdr:col>5</xdr:col>
      <xdr:colOff>202906</xdr:colOff>
      <xdr:row>49</xdr:row>
      <xdr:rowOff>57151</xdr:rowOff>
    </xdr:to>
    <xdr:cxnSp macro="">
      <xdr:nvCxnSpPr>
        <xdr:cNvPr id="32" name="Straight Arrow Connector 31">
          <a:extLst>
            <a:ext uri="{FF2B5EF4-FFF2-40B4-BE49-F238E27FC236}">
              <a16:creationId xmlns:a16="http://schemas.microsoft.com/office/drawing/2014/main" id="{00000000-0008-0000-0600-000020000000}"/>
            </a:ext>
          </a:extLst>
        </xdr:cNvPr>
        <xdr:cNvCxnSpPr/>
      </xdr:nvCxnSpPr>
      <xdr:spPr>
        <a:xfrm>
          <a:off x="1165451" y="10245499"/>
          <a:ext cx="323330" cy="336777"/>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177187</xdr:colOff>
      <xdr:row>48</xdr:row>
      <xdr:rowOff>185209</xdr:rowOff>
    </xdr:from>
    <xdr:to>
      <xdr:col>5</xdr:col>
      <xdr:colOff>26360</xdr:colOff>
      <xdr:row>49</xdr:row>
      <xdr:rowOff>169333</xdr:rowOff>
    </xdr:to>
    <xdr:sp macro="" textlink="">
      <xdr:nvSpPr>
        <xdr:cNvPr id="33" name="TextBox 32">
          <a:extLst>
            <a:ext uri="{FF2B5EF4-FFF2-40B4-BE49-F238E27FC236}">
              <a16:creationId xmlns:a16="http://schemas.microsoft.com/office/drawing/2014/main" id="{00000000-0008-0000-0600-000021000000}"/>
            </a:ext>
          </a:extLst>
        </xdr:cNvPr>
        <xdr:cNvSpPr txBox="1"/>
      </xdr:nvSpPr>
      <xdr:spPr>
        <a:xfrm>
          <a:off x="834412" y="10500784"/>
          <a:ext cx="477823" cy="193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l-PL" sz="1100">
              <a:latin typeface="+mn-lt"/>
            </a:rPr>
            <a:t>wind</a:t>
          </a:r>
          <a:endParaRPr lang="en-GB" sz="1100">
            <a:latin typeface="+mn-lt"/>
          </a:endParaRPr>
        </a:p>
      </xdr:txBody>
    </xdr:sp>
    <xdr:clientData/>
  </xdr:twoCellAnchor>
  <xdr:twoCellAnchor>
    <xdr:from>
      <xdr:col>2</xdr:col>
      <xdr:colOff>323850</xdr:colOff>
      <xdr:row>43</xdr:row>
      <xdr:rowOff>0</xdr:rowOff>
    </xdr:from>
    <xdr:to>
      <xdr:col>4</xdr:col>
      <xdr:colOff>28575</xdr:colOff>
      <xdr:row>43</xdr:row>
      <xdr:rowOff>0</xdr:rowOff>
    </xdr:to>
    <xdr:cxnSp macro="">
      <xdr:nvCxnSpPr>
        <xdr:cNvPr id="34" name="Straight Connector 33">
          <a:extLst>
            <a:ext uri="{FF2B5EF4-FFF2-40B4-BE49-F238E27FC236}">
              <a16:creationId xmlns:a16="http://schemas.microsoft.com/office/drawing/2014/main" id="{00000000-0008-0000-0600-000022000000}"/>
            </a:ext>
          </a:extLst>
        </xdr:cNvPr>
        <xdr:cNvCxnSpPr/>
      </xdr:nvCxnSpPr>
      <xdr:spPr>
        <a:xfrm>
          <a:off x="628650" y="9267825"/>
          <a:ext cx="3714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57</xdr:row>
      <xdr:rowOff>0</xdr:rowOff>
    </xdr:from>
    <xdr:to>
      <xdr:col>4</xdr:col>
      <xdr:colOff>9525</xdr:colOff>
      <xdr:row>57</xdr:row>
      <xdr:rowOff>0</xdr:rowOff>
    </xdr:to>
    <xdr:cxnSp macro="">
      <xdr:nvCxnSpPr>
        <xdr:cNvPr id="35" name="Straight Connector 34">
          <a:extLst>
            <a:ext uri="{FF2B5EF4-FFF2-40B4-BE49-F238E27FC236}">
              <a16:creationId xmlns:a16="http://schemas.microsoft.com/office/drawing/2014/main" id="{00000000-0008-0000-0600-000023000000}"/>
            </a:ext>
          </a:extLst>
        </xdr:cNvPr>
        <xdr:cNvCxnSpPr/>
      </xdr:nvCxnSpPr>
      <xdr:spPr>
        <a:xfrm>
          <a:off x="628650" y="12201525"/>
          <a:ext cx="3524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52388</xdr:colOff>
      <xdr:row>17</xdr:row>
      <xdr:rowOff>0</xdr:rowOff>
    </xdr:from>
    <xdr:to>
      <xdr:col>14</xdr:col>
      <xdr:colOff>232388</xdr:colOff>
      <xdr:row>18</xdr:row>
      <xdr:rowOff>0</xdr:rowOff>
    </xdr:to>
    <xdr:sp macro="[0]!Wind_Direction_show" textlink="">
      <xdr:nvSpPr>
        <xdr:cNvPr id="36" name="TextBox 35">
          <a:extLst>
            <a:ext uri="{FF2B5EF4-FFF2-40B4-BE49-F238E27FC236}">
              <a16:creationId xmlns:a16="http://schemas.microsoft.com/office/drawing/2014/main" id="{00000000-0008-0000-0600-000024000000}"/>
            </a:ext>
          </a:extLst>
        </xdr:cNvPr>
        <xdr:cNvSpPr txBox="1"/>
      </xdr:nvSpPr>
      <xdr:spPr>
        <a:xfrm>
          <a:off x="4167188" y="256222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2</xdr:col>
      <xdr:colOff>180977</xdr:colOff>
      <xdr:row>45</xdr:row>
      <xdr:rowOff>28576</xdr:rowOff>
    </xdr:from>
    <xdr:to>
      <xdr:col>3</xdr:col>
      <xdr:colOff>17183</xdr:colOff>
      <xdr:row>54</xdr:row>
      <xdr:rowOff>109632</xdr:rowOff>
    </xdr:to>
    <xdr:sp macro="" textlink="$AI$9">
      <xdr:nvSpPr>
        <xdr:cNvPr id="30" name="TextBox 29">
          <a:extLst>
            <a:ext uri="{FF2B5EF4-FFF2-40B4-BE49-F238E27FC236}">
              <a16:creationId xmlns:a16="http://schemas.microsoft.com/office/drawing/2014/main" id="{00000000-0008-0000-0600-00001E000000}"/>
            </a:ext>
          </a:extLst>
        </xdr:cNvPr>
        <xdr:cNvSpPr txBox="1"/>
      </xdr:nvSpPr>
      <xdr:spPr>
        <a:xfrm rot="16200000">
          <a:off x="-403410" y="10604688"/>
          <a:ext cx="1967006" cy="188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1AB2176D-F27C-492C-9337-0F09A571D20D}" type="TxLink">
            <a:rPr lang="en-US" sz="1100" b="0" i="0" u="none" strike="noStrike">
              <a:solidFill>
                <a:srgbClr val="000000"/>
              </a:solidFill>
              <a:latin typeface="+mn-lt"/>
              <a:cs typeface="Arial"/>
            </a:rPr>
            <a:pPr algn="ctr"/>
            <a:t>Roof width b = 80.00m</a:t>
          </a:fld>
          <a:endParaRPr lang="en-GB" sz="1100">
            <a:latin typeface="+mn-lt"/>
          </a:endParaRPr>
        </a:p>
      </xdr:txBody>
    </xdr:sp>
    <xdr:clientData/>
  </xdr:twoCellAnchor>
  <xdr:absoluteAnchor>
    <xdr:pos x="8562975" y="1057275"/>
    <xdr:ext cx="1130300" cy="342900"/>
    <xdr:sp macro="[0]!printme" textlink="">
      <xdr:nvSpPr>
        <xdr:cNvPr id="12" name="Rounded Rectangle 2">
          <a:extLst>
            <a:ext uri="{FF2B5EF4-FFF2-40B4-BE49-F238E27FC236}">
              <a16:creationId xmlns:a16="http://schemas.microsoft.com/office/drawing/2014/main" id="{00000000-0008-0000-0600-00000C000000}"/>
            </a:ext>
          </a:extLst>
        </xdr:cNvPr>
        <xdr:cNvSpPr>
          <a:spLocks noChangeAspect="1" noChangeArrowheads="1"/>
        </xdr:cNvSpPr>
      </xdr:nvSpPr>
      <xdr:spPr bwMode="auto">
        <a:xfrm>
          <a:off x="8562975" y="1057275"/>
          <a:ext cx="1130300" cy="3429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1" i="0" u="none" strike="noStrike" baseline="0">
              <a:solidFill>
                <a:srgbClr val="333333"/>
              </a:solidFill>
              <a:latin typeface="Arial"/>
              <a:ea typeface="Arial"/>
              <a:cs typeface="Arial"/>
            </a:rPr>
            <a:t>Print Me</a:t>
          </a:r>
        </a:p>
      </xdr:txBody>
    </xdr:sp>
    <xdr:clientData fPrintsWithSheet="0"/>
  </xdr:absoluteAnchor>
  <xdr:absoluteAnchor>
    <xdr:pos x="8562975" y="1514475"/>
    <xdr:ext cx="1130300" cy="457200"/>
    <xdr:sp macro="[0]!Import_Wind_Window_show" textlink="">
      <xdr:nvSpPr>
        <xdr:cNvPr id="13" name="Rounded Rectangle 2">
          <a:extLst>
            <a:ext uri="{FF2B5EF4-FFF2-40B4-BE49-F238E27FC236}">
              <a16:creationId xmlns:a16="http://schemas.microsoft.com/office/drawing/2014/main" id="{00000000-0008-0000-0600-00000D000000}"/>
            </a:ext>
          </a:extLst>
        </xdr:cNvPr>
        <xdr:cNvSpPr>
          <a:spLocks noChangeAspect="1" noChangeArrowheads="1"/>
        </xdr:cNvSpPr>
      </xdr:nvSpPr>
      <xdr:spPr bwMode="auto">
        <a:xfrm>
          <a:off x="8562975" y="1514475"/>
          <a:ext cx="1130300" cy="4572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0" i="0" u="none" strike="noStrike" baseline="0">
              <a:solidFill>
                <a:srgbClr val="333333"/>
              </a:solidFill>
              <a:latin typeface="Arial"/>
              <a:ea typeface="Arial"/>
              <a:cs typeface="Arial"/>
            </a:rPr>
            <a:t>Import wind pressure etc.</a:t>
          </a:r>
        </a:p>
      </xdr:txBody>
    </xdr:sp>
    <xdr:clientData fPrintsWithSheet="0"/>
  </xdr:absoluteAnchor>
  <xdr:twoCellAnchor editAs="absolute">
    <xdr:from>
      <xdr:col>29</xdr:col>
      <xdr:colOff>0</xdr:colOff>
      <xdr:row>11</xdr:row>
      <xdr:rowOff>0</xdr:rowOff>
    </xdr:from>
    <xdr:to>
      <xdr:col>65</xdr:col>
      <xdr:colOff>600075</xdr:colOff>
      <xdr:row>21</xdr:row>
      <xdr:rowOff>85725</xdr:rowOff>
    </xdr:to>
    <xdr:sp macro="" textlink="">
      <xdr:nvSpPr>
        <xdr:cNvPr id="14" name="TextBox 13">
          <a:extLst>
            <a:ext uri="{FF2B5EF4-FFF2-40B4-BE49-F238E27FC236}">
              <a16:creationId xmlns:a16="http://schemas.microsoft.com/office/drawing/2014/main" id="{00000000-0008-0000-0600-00000E000000}"/>
            </a:ext>
          </a:extLst>
        </xdr:cNvPr>
        <xdr:cNvSpPr txBox="1"/>
      </xdr:nvSpPr>
      <xdr:spPr>
        <a:xfrm>
          <a:off x="8562975" y="2562225"/>
          <a:ext cx="2428875" cy="21812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0000"/>
              </a:solidFill>
            </a:rPr>
            <a:t>NOTE 1: </a:t>
          </a:r>
          <a:r>
            <a:rPr lang="en-GB" sz="1100" b="1">
              <a:solidFill>
                <a:srgbClr val="0000CC"/>
              </a:solidFill>
            </a:rPr>
            <a:t>YOU HAVE TO ENABLE</a:t>
          </a:r>
          <a:r>
            <a:rPr lang="en-GB" sz="1100" b="1" baseline="0">
              <a:solidFill>
                <a:srgbClr val="0000CC"/>
              </a:solidFill>
            </a:rPr>
            <a:t> MACROS TO </a:t>
          </a:r>
          <a:r>
            <a:rPr lang="pl-PL" sz="1100" b="1" baseline="0">
              <a:solidFill>
                <a:srgbClr val="0000CC"/>
              </a:solidFill>
            </a:rPr>
            <a:t>IMPORT WIND PROPERTIES</a:t>
          </a:r>
          <a:r>
            <a:rPr lang="pl-PL" sz="1100" b="1" baseline="0">
              <a:solidFill>
                <a:srgbClr val="0000CC"/>
              </a:solidFill>
              <a:latin typeface="+mn-lt"/>
              <a:ea typeface="+mn-ea"/>
              <a:cs typeface="+mn-cs"/>
            </a:rPr>
            <a:t>, CHANGE STRUCTURE TYPE ETC.</a:t>
          </a:r>
        </a:p>
        <a:p>
          <a:endParaRPr lang="en-GB" sz="1100" b="1">
            <a:solidFill>
              <a:srgbClr val="FF0000"/>
            </a:solidFill>
          </a:endParaRPr>
        </a:p>
        <a:p>
          <a:r>
            <a:rPr lang="en-GB" sz="1100" b="1">
              <a:solidFill>
                <a:srgbClr val="FF0000"/>
              </a:solidFill>
            </a:rPr>
            <a:t>NOTE 2: </a:t>
          </a:r>
          <a:r>
            <a:rPr lang="en-GB" sz="1100">
              <a:solidFill>
                <a:schemeClr val="dk1"/>
              </a:solidFill>
              <a:effectLst/>
              <a:latin typeface="+mn-lt"/>
              <a:ea typeface="+mn-ea"/>
              <a:cs typeface="+mn-cs"/>
            </a:rPr>
            <a:t>In this </a:t>
          </a:r>
          <a:r>
            <a:rPr lang="pl-PL" sz="1100">
              <a:solidFill>
                <a:schemeClr val="dk1"/>
              </a:solidFill>
              <a:effectLst/>
              <a:latin typeface="+mn-lt"/>
              <a:ea typeface="+mn-ea"/>
              <a:cs typeface="+mn-cs"/>
            </a:rPr>
            <a:t>FREE L</a:t>
          </a:r>
          <a:r>
            <a:rPr lang="en-GB" sz="1100">
              <a:solidFill>
                <a:schemeClr val="dk1"/>
              </a:solidFill>
              <a:effectLst/>
              <a:latin typeface="+mn-lt"/>
              <a:ea typeface="+mn-ea"/>
              <a:cs typeface="+mn-cs"/>
            </a:rPr>
            <a:t>ite version you cannot change the company logo nor company information. Also, cells marked with this colour</a:t>
          </a:r>
          <a:r>
            <a:rPr lang="en-GB" sz="1100" baseline="0">
              <a:solidFill>
                <a:schemeClr val="dk1"/>
              </a:solidFill>
              <a:effectLst/>
              <a:latin typeface="+mn-lt"/>
              <a:ea typeface="+mn-ea"/>
              <a:cs typeface="+mn-cs"/>
            </a:rPr>
            <a:t> are locked:</a:t>
          </a:r>
          <a:endParaRPr lang="en-GB">
            <a:effectLst/>
          </a:endParaRPr>
        </a:p>
      </xdr:txBody>
    </xdr:sp>
    <xdr:clientData/>
  </xdr:twoCellAnchor>
  <xdr:twoCellAnchor editAs="absolute">
    <xdr:from>
      <xdr:col>62</xdr:col>
      <xdr:colOff>86934</xdr:colOff>
      <xdr:row>19</xdr:row>
      <xdr:rowOff>3553</xdr:rowOff>
    </xdr:from>
    <xdr:to>
      <xdr:col>63</xdr:col>
      <xdr:colOff>232833</xdr:colOff>
      <xdr:row>20</xdr:row>
      <xdr:rowOff>85045</xdr:rowOff>
    </xdr:to>
    <xdr:sp macro="" textlink="">
      <xdr:nvSpPr>
        <xdr:cNvPr id="15" name="Rectangle 14">
          <a:extLst>
            <a:ext uri="{FF2B5EF4-FFF2-40B4-BE49-F238E27FC236}">
              <a16:creationId xmlns:a16="http://schemas.microsoft.com/office/drawing/2014/main" id="{00000000-0008-0000-0600-00000F000000}"/>
            </a:ext>
          </a:extLst>
        </xdr:cNvPr>
        <xdr:cNvSpPr/>
      </xdr:nvSpPr>
      <xdr:spPr>
        <a:xfrm>
          <a:off x="8649909" y="4242178"/>
          <a:ext cx="755499" cy="291042"/>
        </a:xfrm>
        <a:prstGeom prst="rect">
          <a:avLst/>
        </a:prstGeom>
        <a:solidFill>
          <a:srgbClr val="CCFF3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63</xdr:col>
      <xdr:colOff>318558</xdr:colOff>
      <xdr:row>19</xdr:row>
      <xdr:rowOff>22604</xdr:rowOff>
    </xdr:from>
    <xdr:to>
      <xdr:col>64</xdr:col>
      <xdr:colOff>458258</xdr:colOff>
      <xdr:row>20</xdr:row>
      <xdr:rowOff>65995</xdr:rowOff>
    </xdr:to>
    <xdr:sp macro="" textlink="">
      <xdr:nvSpPr>
        <xdr:cNvPr id="16" name="TextBox 15">
          <a:extLst>
            <a:ext uri="{FF2B5EF4-FFF2-40B4-BE49-F238E27FC236}">
              <a16:creationId xmlns:a16="http://schemas.microsoft.com/office/drawing/2014/main" id="{00000000-0008-0000-0600-000010000000}"/>
            </a:ext>
          </a:extLst>
        </xdr:cNvPr>
        <xdr:cNvSpPr txBox="1"/>
      </xdr:nvSpPr>
      <xdr:spPr>
        <a:xfrm>
          <a:off x="9491133" y="4261229"/>
          <a:ext cx="749300" cy="25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LOCKED</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267661</xdr:colOff>
      <xdr:row>50</xdr:row>
      <xdr:rowOff>0</xdr:rowOff>
    </xdr:from>
    <xdr:to>
      <xdr:col>5</xdr:col>
      <xdr:colOff>248611</xdr:colOff>
      <xdr:row>50</xdr:row>
      <xdr:rowOff>0</xdr:rowOff>
    </xdr:to>
    <xdr:cxnSp macro="">
      <xdr:nvCxnSpPr>
        <xdr:cNvPr id="15" name="Straight Arrow Connector 14">
          <a:extLst>
            <a:ext uri="{FF2B5EF4-FFF2-40B4-BE49-F238E27FC236}">
              <a16:creationId xmlns:a16="http://schemas.microsoft.com/office/drawing/2014/main" id="{00000000-0008-0000-0700-00000F000000}"/>
            </a:ext>
          </a:extLst>
        </xdr:cNvPr>
        <xdr:cNvCxnSpPr/>
      </xdr:nvCxnSpPr>
      <xdr:spPr>
        <a:xfrm>
          <a:off x="924886" y="10734675"/>
          <a:ext cx="609600" cy="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38100</xdr:colOff>
      <xdr:row>42</xdr:row>
      <xdr:rowOff>0</xdr:rowOff>
    </xdr:from>
    <xdr:to>
      <xdr:col>3</xdr:col>
      <xdr:colOff>38100</xdr:colOff>
      <xdr:row>58</xdr:row>
      <xdr:rowOff>1</xdr:rowOff>
    </xdr:to>
    <xdr:cxnSp macro="">
      <xdr:nvCxnSpPr>
        <xdr:cNvPr id="17" name="Straight Arrow Connector 16">
          <a:extLst>
            <a:ext uri="{FF2B5EF4-FFF2-40B4-BE49-F238E27FC236}">
              <a16:creationId xmlns:a16="http://schemas.microsoft.com/office/drawing/2014/main" id="{00000000-0008-0000-0700-000011000000}"/>
            </a:ext>
          </a:extLst>
        </xdr:cNvPr>
        <xdr:cNvCxnSpPr/>
      </xdr:nvCxnSpPr>
      <xdr:spPr>
        <a:xfrm flipV="1">
          <a:off x="695325" y="9058275"/>
          <a:ext cx="0" cy="3352801"/>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304801</xdr:colOff>
      <xdr:row>12</xdr:row>
      <xdr:rowOff>0</xdr:rowOff>
    </xdr:from>
    <xdr:to>
      <xdr:col>26</xdr:col>
      <xdr:colOff>200026</xdr:colOff>
      <xdr:row>12</xdr:row>
      <xdr:rowOff>161925</xdr:rowOff>
    </xdr:to>
    <xdr:sp macro="[0]!Preassures_show" textlink="">
      <xdr:nvSpPr>
        <xdr:cNvPr id="22" name="TextBox 21">
          <a:extLst>
            <a:ext uri="{FF2B5EF4-FFF2-40B4-BE49-F238E27FC236}">
              <a16:creationId xmlns:a16="http://schemas.microsoft.com/office/drawing/2014/main" id="{00000000-0008-0000-0700-000016000000}"/>
            </a:ext>
          </a:extLst>
        </xdr:cNvPr>
        <xdr:cNvSpPr txBox="1"/>
      </xdr:nvSpPr>
      <xdr:spPr>
        <a:xfrm>
          <a:off x="7877176" y="2771775"/>
          <a:ext cx="209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100">
              <a:solidFill>
                <a:srgbClr val="969696"/>
              </a:solidFill>
              <a:latin typeface="+mn-lt"/>
            </a:rPr>
            <a:t>    </a:t>
          </a:r>
          <a:endParaRPr lang="en-GB" sz="1100">
            <a:solidFill>
              <a:srgbClr val="969696"/>
            </a:solidFill>
            <a:latin typeface="+mn-lt"/>
          </a:endParaRPr>
        </a:p>
      </xdr:txBody>
    </xdr:sp>
    <xdr:clientData fPrintsWithSheet="0"/>
  </xdr:twoCellAnchor>
  <xdr:twoCellAnchor>
    <xdr:from>
      <xdr:col>4</xdr:col>
      <xdr:colOff>193901</xdr:colOff>
      <xdr:row>50</xdr:row>
      <xdr:rowOff>113619</xdr:rowOff>
    </xdr:from>
    <xdr:to>
      <xdr:col>5</xdr:col>
      <xdr:colOff>204107</xdr:colOff>
      <xdr:row>51</xdr:row>
      <xdr:rowOff>178255</xdr:rowOff>
    </xdr:to>
    <xdr:cxnSp macro="">
      <xdr:nvCxnSpPr>
        <xdr:cNvPr id="26" name="Straight Arrow Connector 25">
          <a:extLst>
            <a:ext uri="{FF2B5EF4-FFF2-40B4-BE49-F238E27FC236}">
              <a16:creationId xmlns:a16="http://schemas.microsoft.com/office/drawing/2014/main" id="{00000000-0008-0000-0700-00001A000000}"/>
            </a:ext>
          </a:extLst>
        </xdr:cNvPr>
        <xdr:cNvCxnSpPr/>
      </xdr:nvCxnSpPr>
      <xdr:spPr>
        <a:xfrm flipV="1">
          <a:off x="1165451" y="10848294"/>
          <a:ext cx="324531" cy="274186"/>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193901</xdr:colOff>
      <xdr:row>47</xdr:row>
      <xdr:rowOff>168049</xdr:rowOff>
    </xdr:from>
    <xdr:to>
      <xdr:col>5</xdr:col>
      <xdr:colOff>202906</xdr:colOff>
      <xdr:row>49</xdr:row>
      <xdr:rowOff>85726</xdr:rowOff>
    </xdr:to>
    <xdr:cxnSp macro="">
      <xdr:nvCxnSpPr>
        <xdr:cNvPr id="27" name="Straight Arrow Connector 26">
          <a:extLst>
            <a:ext uri="{FF2B5EF4-FFF2-40B4-BE49-F238E27FC236}">
              <a16:creationId xmlns:a16="http://schemas.microsoft.com/office/drawing/2014/main" id="{00000000-0008-0000-0700-00001B000000}"/>
            </a:ext>
          </a:extLst>
        </xdr:cNvPr>
        <xdr:cNvCxnSpPr/>
      </xdr:nvCxnSpPr>
      <xdr:spPr>
        <a:xfrm>
          <a:off x="1165451" y="10274074"/>
          <a:ext cx="323330" cy="336777"/>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177187</xdr:colOff>
      <xdr:row>49</xdr:row>
      <xdr:rowOff>4234</xdr:rowOff>
    </xdr:from>
    <xdr:to>
      <xdr:col>5</xdr:col>
      <xdr:colOff>26360</xdr:colOff>
      <xdr:row>49</xdr:row>
      <xdr:rowOff>197908</xdr:rowOff>
    </xdr:to>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834412" y="10529359"/>
          <a:ext cx="477823" cy="193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l-PL" sz="1100">
              <a:latin typeface="+mn-lt"/>
            </a:rPr>
            <a:t>wind</a:t>
          </a:r>
          <a:endParaRPr lang="en-GB" sz="1100">
            <a:latin typeface="+mn-lt"/>
          </a:endParaRPr>
        </a:p>
      </xdr:txBody>
    </xdr:sp>
    <xdr:clientData/>
  </xdr:twoCellAnchor>
  <xdr:twoCellAnchor>
    <xdr:from>
      <xdr:col>2</xdr:col>
      <xdr:colOff>323850</xdr:colOff>
      <xdr:row>42</xdr:row>
      <xdr:rowOff>0</xdr:rowOff>
    </xdr:from>
    <xdr:to>
      <xdr:col>4</xdr:col>
      <xdr:colOff>28575</xdr:colOff>
      <xdr:row>42</xdr:row>
      <xdr:rowOff>0</xdr:rowOff>
    </xdr:to>
    <xdr:cxnSp macro="">
      <xdr:nvCxnSpPr>
        <xdr:cNvPr id="29" name="Straight Connector 28">
          <a:extLst>
            <a:ext uri="{FF2B5EF4-FFF2-40B4-BE49-F238E27FC236}">
              <a16:creationId xmlns:a16="http://schemas.microsoft.com/office/drawing/2014/main" id="{00000000-0008-0000-0700-00001D000000}"/>
            </a:ext>
          </a:extLst>
        </xdr:cNvPr>
        <xdr:cNvCxnSpPr/>
      </xdr:nvCxnSpPr>
      <xdr:spPr>
        <a:xfrm>
          <a:off x="628650" y="9058275"/>
          <a:ext cx="3714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323850</xdr:colOff>
      <xdr:row>58</xdr:row>
      <xdr:rowOff>0</xdr:rowOff>
    </xdr:from>
    <xdr:to>
      <xdr:col>4</xdr:col>
      <xdr:colOff>9525</xdr:colOff>
      <xdr:row>58</xdr:row>
      <xdr:rowOff>0</xdr:rowOff>
    </xdr:to>
    <xdr:cxnSp macro="">
      <xdr:nvCxnSpPr>
        <xdr:cNvPr id="30" name="Straight Connector 29">
          <a:extLst>
            <a:ext uri="{FF2B5EF4-FFF2-40B4-BE49-F238E27FC236}">
              <a16:creationId xmlns:a16="http://schemas.microsoft.com/office/drawing/2014/main" id="{00000000-0008-0000-0700-00001E000000}"/>
            </a:ext>
          </a:extLst>
        </xdr:cNvPr>
        <xdr:cNvCxnSpPr/>
      </xdr:nvCxnSpPr>
      <xdr:spPr>
        <a:xfrm>
          <a:off x="628650" y="12201525"/>
          <a:ext cx="3524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52388</xdr:colOff>
      <xdr:row>17</xdr:row>
      <xdr:rowOff>0</xdr:rowOff>
    </xdr:from>
    <xdr:to>
      <xdr:col>14</xdr:col>
      <xdr:colOff>232388</xdr:colOff>
      <xdr:row>18</xdr:row>
      <xdr:rowOff>0</xdr:rowOff>
    </xdr:to>
    <xdr:sp macro="[0]!Wind_Direction_Duo_show" textlink="">
      <xdr:nvSpPr>
        <xdr:cNvPr id="31" name="TextBox 30">
          <a:extLst>
            <a:ext uri="{FF2B5EF4-FFF2-40B4-BE49-F238E27FC236}">
              <a16:creationId xmlns:a16="http://schemas.microsoft.com/office/drawing/2014/main" id="{00000000-0008-0000-0700-00001F000000}"/>
            </a:ext>
          </a:extLst>
        </xdr:cNvPr>
        <xdr:cNvSpPr txBox="1"/>
      </xdr:nvSpPr>
      <xdr:spPr>
        <a:xfrm>
          <a:off x="4167188" y="360997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14</xdr:col>
      <xdr:colOff>52388</xdr:colOff>
      <xdr:row>16</xdr:row>
      <xdr:rowOff>0</xdr:rowOff>
    </xdr:from>
    <xdr:to>
      <xdr:col>14</xdr:col>
      <xdr:colOff>232388</xdr:colOff>
      <xdr:row>17</xdr:row>
      <xdr:rowOff>0</xdr:rowOff>
    </xdr:to>
    <xdr:sp macro="[0]!Roof_Pitch_Angle" textlink="">
      <xdr:nvSpPr>
        <xdr:cNvPr id="32" name="TextBox 31">
          <a:extLst>
            <a:ext uri="{FF2B5EF4-FFF2-40B4-BE49-F238E27FC236}">
              <a16:creationId xmlns:a16="http://schemas.microsoft.com/office/drawing/2014/main" id="{00000000-0008-0000-0700-000020000000}"/>
            </a:ext>
          </a:extLst>
        </xdr:cNvPr>
        <xdr:cNvSpPr txBox="1"/>
      </xdr:nvSpPr>
      <xdr:spPr>
        <a:xfrm>
          <a:off x="4161745" y="3537857"/>
          <a:ext cx="180000" cy="2041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2</xdr:col>
      <xdr:colOff>190502</xdr:colOff>
      <xdr:row>45</xdr:row>
      <xdr:rowOff>66676</xdr:rowOff>
    </xdr:from>
    <xdr:to>
      <xdr:col>3</xdr:col>
      <xdr:colOff>26708</xdr:colOff>
      <xdr:row>54</xdr:row>
      <xdr:rowOff>147732</xdr:rowOff>
    </xdr:to>
    <xdr:sp macro="" textlink="$AJ$8">
      <xdr:nvSpPr>
        <xdr:cNvPr id="33" name="TextBox 32">
          <a:extLst>
            <a:ext uri="{FF2B5EF4-FFF2-40B4-BE49-F238E27FC236}">
              <a16:creationId xmlns:a16="http://schemas.microsoft.com/office/drawing/2014/main" id="{00000000-0008-0000-0700-000021000000}"/>
            </a:ext>
          </a:extLst>
        </xdr:cNvPr>
        <xdr:cNvSpPr txBox="1"/>
      </xdr:nvSpPr>
      <xdr:spPr>
        <a:xfrm rot="16200000">
          <a:off x="-393885" y="10642788"/>
          <a:ext cx="1967006" cy="188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8D85C7A-DD72-455A-AE86-5F4E6C3A8241}" type="TxLink">
            <a:rPr lang="en-US" sz="1100" b="0" i="0" u="none" strike="noStrike">
              <a:solidFill>
                <a:srgbClr val="000000"/>
              </a:solidFill>
              <a:latin typeface="+mn-lt"/>
              <a:cs typeface="Arial"/>
            </a:rPr>
            <a:pPr algn="ctr"/>
            <a:t>Roof width b = 80.00m</a:t>
          </a:fld>
          <a:endParaRPr lang="en-GB" sz="1100">
            <a:latin typeface="+mn-lt"/>
          </a:endParaRPr>
        </a:p>
      </xdr:txBody>
    </xdr:sp>
    <xdr:clientData/>
  </xdr:twoCellAnchor>
  <xdr:twoCellAnchor>
    <xdr:from>
      <xdr:col>16</xdr:col>
      <xdr:colOff>95252</xdr:colOff>
      <xdr:row>45</xdr:row>
      <xdr:rowOff>38100</xdr:rowOff>
    </xdr:from>
    <xdr:to>
      <xdr:col>16</xdr:col>
      <xdr:colOff>283883</xdr:colOff>
      <xdr:row>54</xdr:row>
      <xdr:rowOff>119156</xdr:rowOff>
    </xdr:to>
    <xdr:sp macro="" textlink="$AJ$7">
      <xdr:nvSpPr>
        <xdr:cNvPr id="34" name="TextBox 33">
          <a:extLst>
            <a:ext uri="{FF2B5EF4-FFF2-40B4-BE49-F238E27FC236}">
              <a16:creationId xmlns:a16="http://schemas.microsoft.com/office/drawing/2014/main" id="{00000000-0008-0000-0700-000022000000}"/>
            </a:ext>
          </a:extLst>
        </xdr:cNvPr>
        <xdr:cNvSpPr txBox="1"/>
      </xdr:nvSpPr>
      <xdr:spPr>
        <a:xfrm rot="16200000">
          <a:off x="3949515" y="10614212"/>
          <a:ext cx="1967006" cy="188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3FB6030-E3AD-4B25-AEB6-D0403B8C4F3D}" type="TxLink">
            <a:rPr lang="en-US" sz="1100" b="1" i="1" u="none" strike="noStrike">
              <a:solidFill>
                <a:srgbClr val="000000"/>
              </a:solidFill>
              <a:latin typeface="+mn-lt"/>
              <a:cs typeface="Arial"/>
            </a:rPr>
            <a:pPr algn="ctr"/>
            <a:t> </a:t>
          </a:fld>
          <a:endParaRPr lang="en-GB" sz="1100" b="1" i="1">
            <a:latin typeface="+mn-lt"/>
          </a:endParaRPr>
        </a:p>
      </xdr:txBody>
    </xdr:sp>
    <xdr:clientData/>
  </xdr:twoCellAnchor>
  <xdr:twoCellAnchor>
    <xdr:from>
      <xdr:col>10</xdr:col>
      <xdr:colOff>272866</xdr:colOff>
      <xdr:row>49</xdr:row>
      <xdr:rowOff>3363</xdr:rowOff>
    </xdr:from>
    <xdr:to>
      <xdr:col>17</xdr:col>
      <xdr:colOff>39597</xdr:colOff>
      <xdr:row>49</xdr:row>
      <xdr:rowOff>191994</xdr:rowOff>
    </xdr:to>
    <xdr:sp macro="" textlink="$AJ$5">
      <xdr:nvSpPr>
        <xdr:cNvPr id="16" name="TextBox 15">
          <a:extLst>
            <a:ext uri="{FF2B5EF4-FFF2-40B4-BE49-F238E27FC236}">
              <a16:creationId xmlns:a16="http://schemas.microsoft.com/office/drawing/2014/main" id="{00000000-0008-0000-0700-000010000000}"/>
            </a:ext>
          </a:extLst>
        </xdr:cNvPr>
        <xdr:cNvSpPr txBox="1"/>
      </xdr:nvSpPr>
      <xdr:spPr>
        <a:xfrm>
          <a:off x="3130366" y="10528488"/>
          <a:ext cx="1967006" cy="188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8E04534C-AEF4-421F-A704-6CDC454A80A1}" type="TxLink">
            <a:rPr lang="en-US" sz="1100" b="1" i="1" u="none" strike="noStrike">
              <a:solidFill>
                <a:srgbClr val="000000"/>
              </a:solidFill>
              <a:latin typeface="+mn-lt"/>
              <a:cs typeface="Arial"/>
            </a:rPr>
            <a:pPr algn="ctr"/>
            <a:t> </a:t>
          </a:fld>
          <a:endParaRPr lang="en-GB" sz="1100" b="1" i="1">
            <a:latin typeface="+mn-lt"/>
          </a:endParaRPr>
        </a:p>
      </xdr:txBody>
    </xdr:sp>
    <xdr:clientData/>
  </xdr:twoCellAnchor>
  <xdr:twoCellAnchor>
    <xdr:from>
      <xdr:col>16</xdr:col>
      <xdr:colOff>82366</xdr:colOff>
      <xdr:row>49</xdr:row>
      <xdr:rowOff>3363</xdr:rowOff>
    </xdr:from>
    <xdr:to>
      <xdr:col>22</xdr:col>
      <xdr:colOff>162062</xdr:colOff>
      <xdr:row>49</xdr:row>
      <xdr:rowOff>191994</xdr:rowOff>
    </xdr:to>
    <xdr:sp macro="" textlink="$AJ$6">
      <xdr:nvSpPr>
        <xdr:cNvPr id="18" name="TextBox 17">
          <a:extLst>
            <a:ext uri="{FF2B5EF4-FFF2-40B4-BE49-F238E27FC236}">
              <a16:creationId xmlns:a16="http://schemas.microsoft.com/office/drawing/2014/main" id="{00000000-0008-0000-0700-000012000000}"/>
            </a:ext>
          </a:extLst>
        </xdr:cNvPr>
        <xdr:cNvSpPr txBox="1"/>
      </xdr:nvSpPr>
      <xdr:spPr>
        <a:xfrm>
          <a:off x="4817652" y="10276756"/>
          <a:ext cx="1957481" cy="1886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A12205E-7C07-4C19-968A-059654EE132A}" type="TxLink">
            <a:rPr lang="en-US" sz="1000" b="0" i="0" u="none" strike="noStrike">
              <a:solidFill>
                <a:srgbClr val="000000"/>
              </a:solidFill>
              <a:latin typeface="Arial"/>
              <a:cs typeface="Arial"/>
            </a:rPr>
            <a:pPr algn="ctr"/>
            <a:t>ridge or trough</a:t>
          </a:fld>
          <a:endParaRPr lang="en-GB" sz="1100" b="1" i="1">
            <a:latin typeface="+mn-lt"/>
          </a:endParaRPr>
        </a:p>
      </xdr:txBody>
    </xdr:sp>
    <xdr:clientData/>
  </xdr:twoCellAnchor>
  <xdr:twoCellAnchor>
    <xdr:from>
      <xdr:col>17</xdr:col>
      <xdr:colOff>0</xdr:colOff>
      <xdr:row>42</xdr:row>
      <xdr:rowOff>0</xdr:rowOff>
    </xdr:from>
    <xdr:to>
      <xdr:col>17</xdr:col>
      <xdr:colOff>0</xdr:colOff>
      <xdr:row>58</xdr:row>
      <xdr:rowOff>0</xdr:rowOff>
    </xdr:to>
    <xdr:cxnSp macro="">
      <xdr:nvCxnSpPr>
        <xdr:cNvPr id="3" name="Straight Connector 2">
          <a:extLst>
            <a:ext uri="{FF2B5EF4-FFF2-40B4-BE49-F238E27FC236}">
              <a16:creationId xmlns:a16="http://schemas.microsoft.com/office/drawing/2014/main" id="{00000000-0008-0000-0700-000003000000}"/>
            </a:ext>
          </a:extLst>
        </xdr:cNvPr>
        <xdr:cNvCxnSpPr/>
      </xdr:nvCxnSpPr>
      <xdr:spPr>
        <a:xfrm>
          <a:off x="5057775" y="9058275"/>
          <a:ext cx="0" cy="3352800"/>
        </a:xfrm>
        <a:prstGeom prst="line">
          <a:avLst/>
        </a:prstGeom>
        <a:ln w="190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absoluteAnchor>
    <xdr:pos x="8562975" y="1057275"/>
    <xdr:ext cx="1130300" cy="342900"/>
    <xdr:sp macro="[0]!printme" textlink="">
      <xdr:nvSpPr>
        <xdr:cNvPr id="19" name="Rounded Rectangle 2">
          <a:extLst>
            <a:ext uri="{FF2B5EF4-FFF2-40B4-BE49-F238E27FC236}">
              <a16:creationId xmlns:a16="http://schemas.microsoft.com/office/drawing/2014/main" id="{00000000-0008-0000-0700-000013000000}"/>
            </a:ext>
          </a:extLst>
        </xdr:cNvPr>
        <xdr:cNvSpPr>
          <a:spLocks noChangeAspect="1" noChangeArrowheads="1"/>
        </xdr:cNvSpPr>
      </xdr:nvSpPr>
      <xdr:spPr bwMode="auto">
        <a:xfrm>
          <a:off x="8562975" y="1057275"/>
          <a:ext cx="1130300" cy="3429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1" i="0" u="none" strike="noStrike" baseline="0">
              <a:solidFill>
                <a:srgbClr val="333333"/>
              </a:solidFill>
              <a:latin typeface="Arial"/>
              <a:ea typeface="Arial"/>
              <a:cs typeface="Arial"/>
            </a:rPr>
            <a:t>Print Me</a:t>
          </a:r>
        </a:p>
      </xdr:txBody>
    </xdr:sp>
    <xdr:clientData fPrintsWithSheet="0"/>
  </xdr:absoluteAnchor>
  <xdr:absoluteAnchor>
    <xdr:pos x="8562975" y="1514475"/>
    <xdr:ext cx="1130300" cy="457200"/>
    <xdr:sp macro="[0]!Import_Wind_Window_show" textlink="">
      <xdr:nvSpPr>
        <xdr:cNvPr id="20" name="Rounded Rectangle 2">
          <a:extLst>
            <a:ext uri="{FF2B5EF4-FFF2-40B4-BE49-F238E27FC236}">
              <a16:creationId xmlns:a16="http://schemas.microsoft.com/office/drawing/2014/main" id="{00000000-0008-0000-0700-000014000000}"/>
            </a:ext>
          </a:extLst>
        </xdr:cNvPr>
        <xdr:cNvSpPr>
          <a:spLocks noChangeAspect="1" noChangeArrowheads="1"/>
        </xdr:cNvSpPr>
      </xdr:nvSpPr>
      <xdr:spPr bwMode="auto">
        <a:xfrm>
          <a:off x="8562975" y="1514475"/>
          <a:ext cx="1130300" cy="4572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0" i="0" u="none" strike="noStrike" baseline="0">
              <a:solidFill>
                <a:srgbClr val="333333"/>
              </a:solidFill>
              <a:latin typeface="Arial"/>
              <a:ea typeface="Arial"/>
              <a:cs typeface="Arial"/>
            </a:rPr>
            <a:t>Import wind pressure etc.</a:t>
          </a:r>
        </a:p>
      </xdr:txBody>
    </xdr:sp>
    <xdr:clientData fPrintsWithSheet="0"/>
  </xdr:absoluteAnchor>
  <xdr:twoCellAnchor editAs="absolute">
    <xdr:from>
      <xdr:col>29</xdr:col>
      <xdr:colOff>0</xdr:colOff>
      <xdr:row>11</xdr:row>
      <xdr:rowOff>0</xdr:rowOff>
    </xdr:from>
    <xdr:to>
      <xdr:col>62</xdr:col>
      <xdr:colOff>600075</xdr:colOff>
      <xdr:row>21</xdr:row>
      <xdr:rowOff>85725</xdr:rowOff>
    </xdr:to>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8562975" y="2562225"/>
          <a:ext cx="2428875" cy="21812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0000"/>
              </a:solidFill>
            </a:rPr>
            <a:t>NOTE 1: </a:t>
          </a:r>
          <a:r>
            <a:rPr lang="en-GB" sz="1100" b="1">
              <a:solidFill>
                <a:srgbClr val="0000CC"/>
              </a:solidFill>
            </a:rPr>
            <a:t>YOU HAVE TO ENABLE</a:t>
          </a:r>
          <a:r>
            <a:rPr lang="en-GB" sz="1100" b="1" baseline="0">
              <a:solidFill>
                <a:srgbClr val="0000CC"/>
              </a:solidFill>
            </a:rPr>
            <a:t> MACROS TO </a:t>
          </a:r>
          <a:r>
            <a:rPr lang="pl-PL" sz="1100" b="1" baseline="0">
              <a:solidFill>
                <a:srgbClr val="0000CC"/>
              </a:solidFill>
            </a:rPr>
            <a:t>IMPORT WIND PROPERTIES</a:t>
          </a:r>
          <a:r>
            <a:rPr lang="pl-PL" sz="1100" b="1" baseline="0">
              <a:solidFill>
                <a:srgbClr val="0000CC"/>
              </a:solidFill>
              <a:latin typeface="+mn-lt"/>
              <a:ea typeface="+mn-ea"/>
              <a:cs typeface="+mn-cs"/>
            </a:rPr>
            <a:t>, CHANGE STRUCTURE TYPE ETC.</a:t>
          </a:r>
        </a:p>
        <a:p>
          <a:endParaRPr lang="en-GB" sz="1100" b="1">
            <a:solidFill>
              <a:srgbClr val="FF0000"/>
            </a:solidFill>
          </a:endParaRPr>
        </a:p>
        <a:p>
          <a:r>
            <a:rPr lang="en-GB" sz="1100" b="1">
              <a:solidFill>
                <a:srgbClr val="FF0000"/>
              </a:solidFill>
            </a:rPr>
            <a:t>NOTE 2: </a:t>
          </a:r>
          <a:r>
            <a:rPr lang="en-GB" sz="1100">
              <a:solidFill>
                <a:schemeClr val="dk1"/>
              </a:solidFill>
              <a:effectLst/>
              <a:latin typeface="+mn-lt"/>
              <a:ea typeface="+mn-ea"/>
              <a:cs typeface="+mn-cs"/>
            </a:rPr>
            <a:t>In this </a:t>
          </a:r>
          <a:r>
            <a:rPr lang="pl-PL" sz="1100">
              <a:solidFill>
                <a:schemeClr val="dk1"/>
              </a:solidFill>
              <a:effectLst/>
              <a:latin typeface="+mn-lt"/>
              <a:ea typeface="+mn-ea"/>
              <a:cs typeface="+mn-cs"/>
            </a:rPr>
            <a:t>FREE L</a:t>
          </a:r>
          <a:r>
            <a:rPr lang="en-GB" sz="1100">
              <a:solidFill>
                <a:schemeClr val="dk1"/>
              </a:solidFill>
              <a:effectLst/>
              <a:latin typeface="+mn-lt"/>
              <a:ea typeface="+mn-ea"/>
              <a:cs typeface="+mn-cs"/>
            </a:rPr>
            <a:t>ite version you cannot change the company logo nor company information. Also, cells marked with this colour</a:t>
          </a:r>
          <a:r>
            <a:rPr lang="en-GB" sz="1100" baseline="0">
              <a:solidFill>
                <a:schemeClr val="dk1"/>
              </a:solidFill>
              <a:effectLst/>
              <a:latin typeface="+mn-lt"/>
              <a:ea typeface="+mn-ea"/>
              <a:cs typeface="+mn-cs"/>
            </a:rPr>
            <a:t> are locked:</a:t>
          </a:r>
          <a:endParaRPr lang="en-GB">
            <a:effectLst/>
          </a:endParaRPr>
        </a:p>
      </xdr:txBody>
    </xdr:sp>
    <xdr:clientData/>
  </xdr:twoCellAnchor>
  <xdr:twoCellAnchor editAs="absolute">
    <xdr:from>
      <xdr:col>59</xdr:col>
      <xdr:colOff>86934</xdr:colOff>
      <xdr:row>19</xdr:row>
      <xdr:rowOff>3553</xdr:rowOff>
    </xdr:from>
    <xdr:to>
      <xdr:col>60</xdr:col>
      <xdr:colOff>232833</xdr:colOff>
      <xdr:row>20</xdr:row>
      <xdr:rowOff>85045</xdr:rowOff>
    </xdr:to>
    <xdr:sp macro="" textlink="">
      <xdr:nvSpPr>
        <xdr:cNvPr id="23" name="Rectangle 22">
          <a:extLst>
            <a:ext uri="{FF2B5EF4-FFF2-40B4-BE49-F238E27FC236}">
              <a16:creationId xmlns:a16="http://schemas.microsoft.com/office/drawing/2014/main" id="{00000000-0008-0000-0700-000017000000}"/>
            </a:ext>
          </a:extLst>
        </xdr:cNvPr>
        <xdr:cNvSpPr/>
      </xdr:nvSpPr>
      <xdr:spPr>
        <a:xfrm>
          <a:off x="8649909" y="4242178"/>
          <a:ext cx="755499" cy="291042"/>
        </a:xfrm>
        <a:prstGeom prst="rect">
          <a:avLst/>
        </a:prstGeom>
        <a:solidFill>
          <a:srgbClr val="CCFF3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60</xdr:col>
      <xdr:colOff>318558</xdr:colOff>
      <xdr:row>19</xdr:row>
      <xdr:rowOff>22604</xdr:rowOff>
    </xdr:from>
    <xdr:to>
      <xdr:col>61</xdr:col>
      <xdr:colOff>458258</xdr:colOff>
      <xdr:row>20</xdr:row>
      <xdr:rowOff>65995</xdr:rowOff>
    </xdr:to>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9491133" y="4261229"/>
          <a:ext cx="749300" cy="25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LOCKED</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25</xdr:col>
      <xdr:colOff>304801</xdr:colOff>
      <xdr:row>12</xdr:row>
      <xdr:rowOff>0</xdr:rowOff>
    </xdr:from>
    <xdr:to>
      <xdr:col>26</xdr:col>
      <xdr:colOff>200026</xdr:colOff>
      <xdr:row>12</xdr:row>
      <xdr:rowOff>161925</xdr:rowOff>
    </xdr:to>
    <xdr:sp macro="[0]!Preassures_show" textlink="">
      <xdr:nvSpPr>
        <xdr:cNvPr id="8" name="TextBox 7">
          <a:extLst>
            <a:ext uri="{FF2B5EF4-FFF2-40B4-BE49-F238E27FC236}">
              <a16:creationId xmlns:a16="http://schemas.microsoft.com/office/drawing/2014/main" id="{00000000-0008-0000-0800-000008000000}"/>
            </a:ext>
          </a:extLst>
        </xdr:cNvPr>
        <xdr:cNvSpPr txBox="1"/>
      </xdr:nvSpPr>
      <xdr:spPr>
        <a:xfrm>
          <a:off x="7877176" y="2771775"/>
          <a:ext cx="209550"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100">
              <a:solidFill>
                <a:srgbClr val="969696"/>
              </a:solidFill>
              <a:latin typeface="+mn-lt"/>
            </a:rPr>
            <a:t>    </a:t>
          </a:r>
          <a:endParaRPr lang="en-GB" sz="1100">
            <a:solidFill>
              <a:srgbClr val="969696"/>
            </a:solidFill>
            <a:latin typeface="+mn-lt"/>
          </a:endParaRPr>
        </a:p>
      </xdr:txBody>
    </xdr:sp>
    <xdr:clientData fPrintsWithSheet="0"/>
  </xdr:twoCellAnchor>
  <xdr:twoCellAnchor>
    <xdr:from>
      <xdr:col>14</xdr:col>
      <xdr:colOff>52388</xdr:colOff>
      <xdr:row>17</xdr:row>
      <xdr:rowOff>0</xdr:rowOff>
    </xdr:from>
    <xdr:to>
      <xdr:col>14</xdr:col>
      <xdr:colOff>232388</xdr:colOff>
      <xdr:row>18</xdr:row>
      <xdr:rowOff>0</xdr:rowOff>
    </xdr:to>
    <xdr:sp macro="[0]!Wind_Direction_Hipped_show" textlink="">
      <xdr:nvSpPr>
        <xdr:cNvPr id="17" name="TextBox 16">
          <a:extLst>
            <a:ext uri="{FF2B5EF4-FFF2-40B4-BE49-F238E27FC236}">
              <a16:creationId xmlns:a16="http://schemas.microsoft.com/office/drawing/2014/main" id="{00000000-0008-0000-0800-000011000000}"/>
            </a:ext>
          </a:extLst>
        </xdr:cNvPr>
        <xdr:cNvSpPr txBox="1"/>
      </xdr:nvSpPr>
      <xdr:spPr>
        <a:xfrm>
          <a:off x="4167188" y="360997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14</xdr:col>
      <xdr:colOff>52388</xdr:colOff>
      <xdr:row>16</xdr:row>
      <xdr:rowOff>0</xdr:rowOff>
    </xdr:from>
    <xdr:to>
      <xdr:col>14</xdr:col>
      <xdr:colOff>232388</xdr:colOff>
      <xdr:row>17</xdr:row>
      <xdr:rowOff>0</xdr:rowOff>
    </xdr:to>
    <xdr:sp macro="[0]!Roof_Pitch_Angle" textlink="">
      <xdr:nvSpPr>
        <xdr:cNvPr id="18" name="TextBox 17">
          <a:extLst>
            <a:ext uri="{FF2B5EF4-FFF2-40B4-BE49-F238E27FC236}">
              <a16:creationId xmlns:a16="http://schemas.microsoft.com/office/drawing/2014/main" id="{00000000-0008-0000-0800-000012000000}"/>
            </a:ext>
          </a:extLst>
        </xdr:cNvPr>
        <xdr:cNvSpPr txBox="1"/>
      </xdr:nvSpPr>
      <xdr:spPr>
        <a:xfrm>
          <a:off x="4167188" y="340042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absoluteAnchor>
    <xdr:pos x="8562975" y="1057275"/>
    <xdr:ext cx="1130300" cy="342900"/>
    <xdr:sp macro="[0]!printme" textlink="">
      <xdr:nvSpPr>
        <xdr:cNvPr id="590" name="Rounded Rectangle 2">
          <a:extLst>
            <a:ext uri="{FF2B5EF4-FFF2-40B4-BE49-F238E27FC236}">
              <a16:creationId xmlns:a16="http://schemas.microsoft.com/office/drawing/2014/main" id="{00000000-0008-0000-0800-00004E020000}"/>
            </a:ext>
          </a:extLst>
        </xdr:cNvPr>
        <xdr:cNvSpPr>
          <a:spLocks noChangeAspect="1" noChangeArrowheads="1"/>
        </xdr:cNvSpPr>
      </xdr:nvSpPr>
      <xdr:spPr bwMode="auto">
        <a:xfrm>
          <a:off x="8562975" y="1057275"/>
          <a:ext cx="1130300" cy="3429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1" i="0" u="none" strike="noStrike" baseline="0">
              <a:solidFill>
                <a:srgbClr val="333333"/>
              </a:solidFill>
              <a:latin typeface="Arial"/>
              <a:ea typeface="Arial"/>
              <a:cs typeface="Arial"/>
            </a:rPr>
            <a:t>Print Me</a:t>
          </a:r>
        </a:p>
      </xdr:txBody>
    </xdr:sp>
    <xdr:clientData fPrintsWithSheet="0"/>
  </xdr:absoluteAnchor>
  <xdr:absoluteAnchor>
    <xdr:pos x="8562975" y="1514475"/>
    <xdr:ext cx="1130300" cy="457200"/>
    <xdr:sp macro="[0]!Import_Wind_Window_show" textlink="">
      <xdr:nvSpPr>
        <xdr:cNvPr id="51" name="Rounded Rectangle 2">
          <a:extLst>
            <a:ext uri="{FF2B5EF4-FFF2-40B4-BE49-F238E27FC236}">
              <a16:creationId xmlns:a16="http://schemas.microsoft.com/office/drawing/2014/main" id="{00000000-0008-0000-0800-000033000000}"/>
            </a:ext>
          </a:extLst>
        </xdr:cNvPr>
        <xdr:cNvSpPr>
          <a:spLocks noChangeAspect="1" noChangeArrowheads="1"/>
        </xdr:cNvSpPr>
      </xdr:nvSpPr>
      <xdr:spPr bwMode="auto">
        <a:xfrm>
          <a:off x="8562975" y="1514475"/>
          <a:ext cx="1130300" cy="4572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0" i="0" u="none" strike="noStrike" baseline="0">
              <a:solidFill>
                <a:srgbClr val="333333"/>
              </a:solidFill>
              <a:latin typeface="Arial"/>
              <a:ea typeface="Arial"/>
              <a:cs typeface="Arial"/>
            </a:rPr>
            <a:t>Import wind pressure etc.</a:t>
          </a:r>
        </a:p>
      </xdr:txBody>
    </xdr:sp>
    <xdr:clientData fPrintsWithSheet="0"/>
  </xdr:absoluteAnchor>
  <xdr:twoCellAnchor editAs="absolute">
    <xdr:from>
      <xdr:col>29</xdr:col>
      <xdr:colOff>0</xdr:colOff>
      <xdr:row>11</xdr:row>
      <xdr:rowOff>0</xdr:rowOff>
    </xdr:from>
    <xdr:to>
      <xdr:col>75</xdr:col>
      <xdr:colOff>600075</xdr:colOff>
      <xdr:row>21</xdr:row>
      <xdr:rowOff>85725</xdr:rowOff>
    </xdr:to>
    <xdr:sp macro="" textlink="">
      <xdr:nvSpPr>
        <xdr:cNvPr id="52" name="TextBox 51">
          <a:extLst>
            <a:ext uri="{FF2B5EF4-FFF2-40B4-BE49-F238E27FC236}">
              <a16:creationId xmlns:a16="http://schemas.microsoft.com/office/drawing/2014/main" id="{00000000-0008-0000-0800-000034000000}"/>
            </a:ext>
          </a:extLst>
        </xdr:cNvPr>
        <xdr:cNvSpPr txBox="1"/>
      </xdr:nvSpPr>
      <xdr:spPr>
        <a:xfrm>
          <a:off x="8562975" y="2562225"/>
          <a:ext cx="2428875" cy="21812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0000"/>
              </a:solidFill>
            </a:rPr>
            <a:t>NOTE 1: </a:t>
          </a:r>
          <a:r>
            <a:rPr lang="en-GB" sz="1100" b="1">
              <a:solidFill>
                <a:srgbClr val="0000CC"/>
              </a:solidFill>
            </a:rPr>
            <a:t>YOU HAVE TO ENABLE</a:t>
          </a:r>
          <a:r>
            <a:rPr lang="en-GB" sz="1100" b="1" baseline="0">
              <a:solidFill>
                <a:srgbClr val="0000CC"/>
              </a:solidFill>
            </a:rPr>
            <a:t> MACROS TO </a:t>
          </a:r>
          <a:r>
            <a:rPr lang="pl-PL" sz="1100" b="1" baseline="0">
              <a:solidFill>
                <a:srgbClr val="0000CC"/>
              </a:solidFill>
            </a:rPr>
            <a:t>IMPORT WIND PROPERTIES</a:t>
          </a:r>
          <a:r>
            <a:rPr lang="pl-PL" sz="1100" b="1" baseline="0">
              <a:solidFill>
                <a:srgbClr val="0000CC"/>
              </a:solidFill>
              <a:latin typeface="+mn-lt"/>
              <a:ea typeface="+mn-ea"/>
              <a:cs typeface="+mn-cs"/>
            </a:rPr>
            <a:t>, CHANGE STRUCTURE TYPE ETC.</a:t>
          </a:r>
        </a:p>
        <a:p>
          <a:endParaRPr lang="en-GB" sz="1100" b="1">
            <a:solidFill>
              <a:srgbClr val="FF0000"/>
            </a:solidFill>
          </a:endParaRPr>
        </a:p>
        <a:p>
          <a:r>
            <a:rPr lang="en-GB" sz="1100" b="1">
              <a:solidFill>
                <a:srgbClr val="FF0000"/>
              </a:solidFill>
            </a:rPr>
            <a:t>NOTE 2: </a:t>
          </a:r>
          <a:r>
            <a:rPr lang="en-GB" sz="1100">
              <a:solidFill>
                <a:schemeClr val="dk1"/>
              </a:solidFill>
              <a:effectLst/>
              <a:latin typeface="+mn-lt"/>
              <a:ea typeface="+mn-ea"/>
              <a:cs typeface="+mn-cs"/>
            </a:rPr>
            <a:t>In this </a:t>
          </a:r>
          <a:r>
            <a:rPr lang="pl-PL" sz="1100">
              <a:solidFill>
                <a:schemeClr val="dk1"/>
              </a:solidFill>
              <a:effectLst/>
              <a:latin typeface="+mn-lt"/>
              <a:ea typeface="+mn-ea"/>
              <a:cs typeface="+mn-cs"/>
            </a:rPr>
            <a:t>FREE L</a:t>
          </a:r>
          <a:r>
            <a:rPr lang="en-GB" sz="1100">
              <a:solidFill>
                <a:schemeClr val="dk1"/>
              </a:solidFill>
              <a:effectLst/>
              <a:latin typeface="+mn-lt"/>
              <a:ea typeface="+mn-ea"/>
              <a:cs typeface="+mn-cs"/>
            </a:rPr>
            <a:t>ite version you cannot change the company logo nor company information. Also, cells marked with this colour</a:t>
          </a:r>
          <a:r>
            <a:rPr lang="en-GB" sz="1100" baseline="0">
              <a:solidFill>
                <a:schemeClr val="dk1"/>
              </a:solidFill>
              <a:effectLst/>
              <a:latin typeface="+mn-lt"/>
              <a:ea typeface="+mn-ea"/>
              <a:cs typeface="+mn-cs"/>
            </a:rPr>
            <a:t> are locked:</a:t>
          </a:r>
          <a:endParaRPr lang="en-GB">
            <a:effectLst/>
          </a:endParaRPr>
        </a:p>
      </xdr:txBody>
    </xdr:sp>
    <xdr:clientData/>
  </xdr:twoCellAnchor>
  <xdr:twoCellAnchor editAs="absolute">
    <xdr:from>
      <xdr:col>72</xdr:col>
      <xdr:colOff>86934</xdr:colOff>
      <xdr:row>19</xdr:row>
      <xdr:rowOff>3553</xdr:rowOff>
    </xdr:from>
    <xdr:to>
      <xdr:col>73</xdr:col>
      <xdr:colOff>232833</xdr:colOff>
      <xdr:row>20</xdr:row>
      <xdr:rowOff>85045</xdr:rowOff>
    </xdr:to>
    <xdr:sp macro="" textlink="">
      <xdr:nvSpPr>
        <xdr:cNvPr id="98" name="Rectangle 97">
          <a:extLst>
            <a:ext uri="{FF2B5EF4-FFF2-40B4-BE49-F238E27FC236}">
              <a16:creationId xmlns:a16="http://schemas.microsoft.com/office/drawing/2014/main" id="{00000000-0008-0000-0800-000062000000}"/>
            </a:ext>
          </a:extLst>
        </xdr:cNvPr>
        <xdr:cNvSpPr/>
      </xdr:nvSpPr>
      <xdr:spPr>
        <a:xfrm>
          <a:off x="8649909" y="4242178"/>
          <a:ext cx="755499" cy="291042"/>
        </a:xfrm>
        <a:prstGeom prst="rect">
          <a:avLst/>
        </a:prstGeom>
        <a:solidFill>
          <a:srgbClr val="CCFF3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73</xdr:col>
      <xdr:colOff>318558</xdr:colOff>
      <xdr:row>19</xdr:row>
      <xdr:rowOff>22604</xdr:rowOff>
    </xdr:from>
    <xdr:to>
      <xdr:col>74</xdr:col>
      <xdr:colOff>458258</xdr:colOff>
      <xdr:row>20</xdr:row>
      <xdr:rowOff>65995</xdr:rowOff>
    </xdr:to>
    <xdr:sp macro="" textlink="">
      <xdr:nvSpPr>
        <xdr:cNvPr id="99" name="TextBox 98">
          <a:extLst>
            <a:ext uri="{FF2B5EF4-FFF2-40B4-BE49-F238E27FC236}">
              <a16:creationId xmlns:a16="http://schemas.microsoft.com/office/drawing/2014/main" id="{00000000-0008-0000-0800-000063000000}"/>
            </a:ext>
          </a:extLst>
        </xdr:cNvPr>
        <xdr:cNvSpPr txBox="1"/>
      </xdr:nvSpPr>
      <xdr:spPr>
        <a:xfrm>
          <a:off x="9491133" y="4261229"/>
          <a:ext cx="749300" cy="25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LOCKED</a:t>
          </a:r>
        </a:p>
      </xdr:txBody>
    </xdr:sp>
    <xdr:clientData/>
  </xdr:twoCellAnchor>
  <xdr:twoCellAnchor>
    <xdr:from>
      <xdr:col>23</xdr:col>
      <xdr:colOff>235329</xdr:colOff>
      <xdr:row>45</xdr:row>
      <xdr:rowOff>169853</xdr:rowOff>
    </xdr:from>
    <xdr:to>
      <xdr:col>24</xdr:col>
      <xdr:colOff>156886</xdr:colOff>
      <xdr:row>55</xdr:row>
      <xdr:rowOff>61656</xdr:rowOff>
    </xdr:to>
    <xdr:sp macro="" textlink="$BE$7">
      <xdr:nvSpPr>
        <xdr:cNvPr id="146" name="TextBox 145">
          <a:extLst>
            <a:ext uri="{FF2B5EF4-FFF2-40B4-BE49-F238E27FC236}">
              <a16:creationId xmlns:a16="http://schemas.microsoft.com/office/drawing/2014/main" id="{00000000-0008-0000-0800-000092000000}"/>
            </a:ext>
          </a:extLst>
        </xdr:cNvPr>
        <xdr:cNvSpPr txBox="1"/>
      </xdr:nvSpPr>
      <xdr:spPr>
        <a:xfrm rot="16200000">
          <a:off x="6360493" y="21219514"/>
          <a:ext cx="1987303"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fld id="{D46FF395-39E5-4043-9FD5-55D17392D057}" type="TxLink">
            <a:rPr lang="en-US" sz="1000" b="0" i="0" u="none" strike="noStrike">
              <a:solidFill>
                <a:srgbClr val="000000"/>
              </a:solidFill>
              <a:latin typeface="Arial"/>
              <a:ea typeface="+mn-ea"/>
              <a:cs typeface="Arial"/>
            </a:rPr>
            <a:pPr marL="0" indent="0" algn="ctr"/>
            <a:t>-0.936 / -0.261 kN/m2</a:t>
          </a:fld>
          <a:endParaRPr lang="en-GB" sz="1000" b="0" i="0" u="none" strike="noStrike">
            <a:solidFill>
              <a:srgbClr val="000000"/>
            </a:solidFill>
            <a:latin typeface="Arial"/>
            <a:ea typeface="+mn-ea"/>
            <a:cs typeface="Arial"/>
          </a:endParaRPr>
        </a:p>
      </xdr:txBody>
    </xdr:sp>
    <xdr:clientData/>
  </xdr:twoCellAnchor>
  <xdr:twoCellAnchor>
    <xdr:from>
      <xdr:col>20</xdr:col>
      <xdr:colOff>0</xdr:colOff>
      <xdr:row>42</xdr:row>
      <xdr:rowOff>209523</xdr:rowOff>
    </xdr:from>
    <xdr:to>
      <xdr:col>25</xdr:col>
      <xdr:colOff>0</xdr:colOff>
      <xdr:row>50</xdr:row>
      <xdr:rowOff>98632</xdr:rowOff>
    </xdr:to>
    <xdr:cxnSp macro="">
      <xdr:nvCxnSpPr>
        <xdr:cNvPr id="147" name="Straight Connector 146">
          <a:extLst>
            <a:ext uri="{FF2B5EF4-FFF2-40B4-BE49-F238E27FC236}">
              <a16:creationId xmlns:a16="http://schemas.microsoft.com/office/drawing/2014/main" id="{00000000-0008-0000-0800-000093000000}"/>
            </a:ext>
          </a:extLst>
        </xdr:cNvPr>
        <xdr:cNvCxnSpPr/>
      </xdr:nvCxnSpPr>
      <xdr:spPr>
        <a:xfrm flipH="1">
          <a:off x="6057900" y="19754823"/>
          <a:ext cx="1571625" cy="1565509"/>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50</xdr:row>
      <xdr:rowOff>98632</xdr:rowOff>
    </xdr:from>
    <xdr:to>
      <xdr:col>25</xdr:col>
      <xdr:colOff>0</xdr:colOff>
      <xdr:row>57</xdr:row>
      <xdr:rowOff>200589</xdr:rowOff>
    </xdr:to>
    <xdr:cxnSp macro="">
      <xdr:nvCxnSpPr>
        <xdr:cNvPr id="148" name="Straight Connector 147">
          <a:extLst>
            <a:ext uri="{FF2B5EF4-FFF2-40B4-BE49-F238E27FC236}">
              <a16:creationId xmlns:a16="http://schemas.microsoft.com/office/drawing/2014/main" id="{00000000-0008-0000-0800-000094000000}"/>
            </a:ext>
          </a:extLst>
        </xdr:cNvPr>
        <xdr:cNvCxnSpPr/>
      </xdr:nvCxnSpPr>
      <xdr:spPr>
        <a:xfrm>
          <a:off x="6057900" y="21320332"/>
          <a:ext cx="1571625" cy="1568807"/>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42</xdr:row>
      <xdr:rowOff>209523</xdr:rowOff>
    </xdr:from>
    <xdr:to>
      <xdr:col>11</xdr:col>
      <xdr:colOff>314324</xdr:colOff>
      <xdr:row>50</xdr:row>
      <xdr:rowOff>98632</xdr:rowOff>
    </xdr:to>
    <xdr:cxnSp macro="">
      <xdr:nvCxnSpPr>
        <xdr:cNvPr id="149" name="Straight Connector 148">
          <a:extLst>
            <a:ext uri="{FF2B5EF4-FFF2-40B4-BE49-F238E27FC236}">
              <a16:creationId xmlns:a16="http://schemas.microsoft.com/office/drawing/2014/main" id="{00000000-0008-0000-0800-000095000000}"/>
            </a:ext>
          </a:extLst>
        </xdr:cNvPr>
        <xdr:cNvCxnSpPr/>
      </xdr:nvCxnSpPr>
      <xdr:spPr>
        <a:xfrm>
          <a:off x="1971675" y="19754823"/>
          <a:ext cx="1571624" cy="1565509"/>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50</xdr:row>
      <xdr:rowOff>98632</xdr:rowOff>
    </xdr:from>
    <xdr:to>
      <xdr:col>11</xdr:col>
      <xdr:colOff>314324</xdr:colOff>
      <xdr:row>57</xdr:row>
      <xdr:rowOff>200589</xdr:rowOff>
    </xdr:to>
    <xdr:cxnSp macro="">
      <xdr:nvCxnSpPr>
        <xdr:cNvPr id="150" name="Straight Connector 149">
          <a:extLst>
            <a:ext uri="{FF2B5EF4-FFF2-40B4-BE49-F238E27FC236}">
              <a16:creationId xmlns:a16="http://schemas.microsoft.com/office/drawing/2014/main" id="{00000000-0008-0000-0800-000096000000}"/>
            </a:ext>
          </a:extLst>
        </xdr:cNvPr>
        <xdr:cNvCxnSpPr/>
      </xdr:nvCxnSpPr>
      <xdr:spPr>
        <a:xfrm flipH="1">
          <a:off x="1971675" y="21320332"/>
          <a:ext cx="1571624" cy="1568807"/>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295275</xdr:colOff>
      <xdr:row>50</xdr:row>
      <xdr:rowOff>98632</xdr:rowOff>
    </xdr:from>
    <xdr:to>
      <xdr:col>19</xdr:col>
      <xdr:colOff>314324</xdr:colOff>
      <xdr:row>50</xdr:row>
      <xdr:rowOff>98632</xdr:rowOff>
    </xdr:to>
    <xdr:cxnSp macro="">
      <xdr:nvCxnSpPr>
        <xdr:cNvPr id="151" name="Straight Connector 150">
          <a:extLst>
            <a:ext uri="{FF2B5EF4-FFF2-40B4-BE49-F238E27FC236}">
              <a16:creationId xmlns:a16="http://schemas.microsoft.com/office/drawing/2014/main" id="{00000000-0008-0000-0800-000097000000}"/>
            </a:ext>
          </a:extLst>
        </xdr:cNvPr>
        <xdr:cNvCxnSpPr/>
      </xdr:nvCxnSpPr>
      <xdr:spPr>
        <a:xfrm>
          <a:off x="3524250" y="21320332"/>
          <a:ext cx="2533649"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46</xdr:row>
      <xdr:rowOff>196143</xdr:rowOff>
    </xdr:from>
    <xdr:to>
      <xdr:col>8</xdr:col>
      <xdr:colOff>66675</xdr:colOff>
      <xdr:row>46</xdr:row>
      <xdr:rowOff>196143</xdr:rowOff>
    </xdr:to>
    <xdr:cxnSp macro="">
      <xdr:nvCxnSpPr>
        <xdr:cNvPr id="152" name="Straight Connector 151">
          <a:extLst>
            <a:ext uri="{FF2B5EF4-FFF2-40B4-BE49-F238E27FC236}">
              <a16:creationId xmlns:a16="http://schemas.microsoft.com/office/drawing/2014/main" id="{00000000-0008-0000-0800-000098000000}"/>
            </a:ext>
          </a:extLst>
        </xdr:cNvPr>
        <xdr:cNvCxnSpPr/>
      </xdr:nvCxnSpPr>
      <xdr:spPr>
        <a:xfrm>
          <a:off x="1971675" y="20579643"/>
          <a:ext cx="381000" cy="0"/>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266700</xdr:colOff>
      <xdr:row>45</xdr:row>
      <xdr:rowOff>157547</xdr:rowOff>
    </xdr:from>
    <xdr:to>
      <xdr:col>25</xdr:col>
      <xdr:colOff>2</xdr:colOff>
      <xdr:row>50</xdr:row>
      <xdr:rowOff>98701</xdr:rowOff>
    </xdr:to>
    <xdr:cxnSp macro="">
      <xdr:nvCxnSpPr>
        <xdr:cNvPr id="153" name="Straight Connector 152">
          <a:extLst>
            <a:ext uri="{FF2B5EF4-FFF2-40B4-BE49-F238E27FC236}">
              <a16:creationId xmlns:a16="http://schemas.microsoft.com/office/drawing/2014/main" id="{00000000-0008-0000-0800-000099000000}"/>
            </a:ext>
          </a:extLst>
        </xdr:cNvPr>
        <xdr:cNvCxnSpPr/>
      </xdr:nvCxnSpPr>
      <xdr:spPr>
        <a:xfrm flipH="1">
          <a:off x="6638925" y="20331497"/>
          <a:ext cx="990602" cy="988904"/>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231386</xdr:colOff>
      <xdr:row>42</xdr:row>
      <xdr:rowOff>209523</xdr:rowOff>
    </xdr:from>
    <xdr:to>
      <xdr:col>13</xdr:col>
      <xdr:colOff>230353</xdr:colOff>
      <xdr:row>50</xdr:row>
      <xdr:rowOff>100281</xdr:rowOff>
    </xdr:to>
    <xdr:cxnSp macro="">
      <xdr:nvCxnSpPr>
        <xdr:cNvPr id="154" name="Straight Connector 153">
          <a:extLst>
            <a:ext uri="{FF2B5EF4-FFF2-40B4-BE49-F238E27FC236}">
              <a16:creationId xmlns:a16="http://schemas.microsoft.com/office/drawing/2014/main" id="{00000000-0008-0000-0800-00009A000000}"/>
            </a:ext>
          </a:extLst>
        </xdr:cNvPr>
        <xdr:cNvCxnSpPr/>
      </xdr:nvCxnSpPr>
      <xdr:spPr>
        <a:xfrm>
          <a:off x="2517386" y="19754823"/>
          <a:ext cx="1570592" cy="1567158"/>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228720</xdr:colOff>
      <xdr:row>50</xdr:row>
      <xdr:rowOff>109779</xdr:rowOff>
    </xdr:from>
    <xdr:to>
      <xdr:col>13</xdr:col>
      <xdr:colOff>217810</xdr:colOff>
      <xdr:row>57</xdr:row>
      <xdr:rowOff>200589</xdr:rowOff>
    </xdr:to>
    <xdr:cxnSp macro="">
      <xdr:nvCxnSpPr>
        <xdr:cNvPr id="155" name="Straight Connector 154">
          <a:extLst>
            <a:ext uri="{FF2B5EF4-FFF2-40B4-BE49-F238E27FC236}">
              <a16:creationId xmlns:a16="http://schemas.microsoft.com/office/drawing/2014/main" id="{00000000-0008-0000-0800-00009B000000}"/>
            </a:ext>
          </a:extLst>
        </xdr:cNvPr>
        <xdr:cNvCxnSpPr/>
      </xdr:nvCxnSpPr>
      <xdr:spPr>
        <a:xfrm flipH="1">
          <a:off x="2514720" y="21331479"/>
          <a:ext cx="1560715" cy="1557660"/>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142875</xdr:colOff>
      <xdr:row>42</xdr:row>
      <xdr:rowOff>209523</xdr:rowOff>
    </xdr:from>
    <xdr:to>
      <xdr:col>13</xdr:col>
      <xdr:colOff>142875</xdr:colOff>
      <xdr:row>50</xdr:row>
      <xdr:rowOff>5302</xdr:rowOff>
    </xdr:to>
    <xdr:cxnSp macro="">
      <xdr:nvCxnSpPr>
        <xdr:cNvPr id="156" name="Straight Connector 155">
          <a:extLst>
            <a:ext uri="{FF2B5EF4-FFF2-40B4-BE49-F238E27FC236}">
              <a16:creationId xmlns:a16="http://schemas.microsoft.com/office/drawing/2014/main" id="{00000000-0008-0000-0800-00009C000000}"/>
            </a:ext>
          </a:extLst>
        </xdr:cNvPr>
        <xdr:cNvCxnSpPr/>
      </xdr:nvCxnSpPr>
      <xdr:spPr>
        <a:xfrm>
          <a:off x="4000500" y="19754823"/>
          <a:ext cx="0" cy="1472179"/>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1681</xdr:colOff>
      <xdr:row>43</xdr:row>
      <xdr:rowOff>40201</xdr:rowOff>
    </xdr:from>
    <xdr:to>
      <xdr:col>13</xdr:col>
      <xdr:colOff>76201</xdr:colOff>
      <xdr:row>44</xdr:row>
      <xdr:rowOff>65863</xdr:rowOff>
    </xdr:to>
    <xdr:sp macro="" textlink="">
      <xdr:nvSpPr>
        <xdr:cNvPr id="157" name="TextBox 156">
          <a:extLst>
            <a:ext uri="{FF2B5EF4-FFF2-40B4-BE49-F238E27FC236}">
              <a16:creationId xmlns:a16="http://schemas.microsoft.com/office/drawing/2014/main" id="{00000000-0008-0000-0800-00009D000000}"/>
            </a:ext>
          </a:extLst>
        </xdr:cNvPr>
        <xdr:cNvSpPr txBox="1"/>
      </xdr:nvSpPr>
      <xdr:spPr>
        <a:xfrm>
          <a:off x="3230656" y="19795051"/>
          <a:ext cx="703170"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M</a:t>
          </a:r>
          <a:endParaRPr lang="en-GB" sz="1100" i="1">
            <a:latin typeface="+mn-lt"/>
          </a:endParaRPr>
        </a:p>
      </xdr:txBody>
    </xdr:sp>
    <xdr:clientData/>
  </xdr:twoCellAnchor>
  <xdr:twoCellAnchor>
    <xdr:from>
      <xdr:col>10</xdr:col>
      <xdr:colOff>171449</xdr:colOff>
      <xdr:row>43</xdr:row>
      <xdr:rowOff>182669</xdr:rowOff>
    </xdr:from>
    <xdr:to>
      <xdr:col>13</xdr:col>
      <xdr:colOff>190499</xdr:colOff>
      <xdr:row>46</xdr:row>
      <xdr:rowOff>26679</xdr:rowOff>
    </xdr:to>
    <xdr:sp macro="" textlink="$BI$7">
      <xdr:nvSpPr>
        <xdr:cNvPr id="158" name="TextBox 157">
          <a:extLst>
            <a:ext uri="{FF2B5EF4-FFF2-40B4-BE49-F238E27FC236}">
              <a16:creationId xmlns:a16="http://schemas.microsoft.com/office/drawing/2014/main" id="{00000000-0008-0000-0800-00009E000000}"/>
            </a:ext>
          </a:extLst>
        </xdr:cNvPr>
        <xdr:cNvSpPr txBox="1"/>
      </xdr:nvSpPr>
      <xdr:spPr>
        <a:xfrm>
          <a:off x="3086099" y="19937519"/>
          <a:ext cx="962025" cy="472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FB6AB55-C192-49C7-A157-B07E17002DD8}" type="TxLink">
            <a:rPr lang="en-US" sz="1000" b="0" i="0" u="none" strike="noStrike">
              <a:solidFill>
                <a:srgbClr val="000000"/>
              </a:solidFill>
              <a:latin typeface="Arial"/>
              <a:cs typeface="Arial"/>
            </a:rPr>
            <a:pPr algn="ctr"/>
            <a:t>-0.936 / 0.405 kN/m2</a:t>
          </a:fld>
          <a:endParaRPr lang="en-GB" sz="1100" i="1">
            <a:latin typeface="+mn-lt"/>
          </a:endParaRPr>
        </a:p>
      </xdr:txBody>
    </xdr:sp>
    <xdr:clientData/>
  </xdr:twoCellAnchor>
  <xdr:twoCellAnchor>
    <xdr:from>
      <xdr:col>16</xdr:col>
      <xdr:colOff>58831</xdr:colOff>
      <xdr:row>53</xdr:row>
      <xdr:rowOff>34245</xdr:rowOff>
    </xdr:from>
    <xdr:to>
      <xdr:col>18</xdr:col>
      <xdr:colOff>133351</xdr:colOff>
      <xdr:row>54</xdr:row>
      <xdr:rowOff>59907</xdr:rowOff>
    </xdr:to>
    <xdr:sp macro="" textlink="">
      <xdr:nvSpPr>
        <xdr:cNvPr id="159" name="TextBox 158">
          <a:extLst>
            <a:ext uri="{FF2B5EF4-FFF2-40B4-BE49-F238E27FC236}">
              <a16:creationId xmlns:a16="http://schemas.microsoft.com/office/drawing/2014/main" id="{00000000-0008-0000-0800-00009F000000}"/>
            </a:ext>
          </a:extLst>
        </xdr:cNvPr>
        <xdr:cNvSpPr txBox="1"/>
      </xdr:nvSpPr>
      <xdr:spPr>
        <a:xfrm>
          <a:off x="4859431" y="21884595"/>
          <a:ext cx="703170"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N</a:t>
          </a:r>
          <a:endParaRPr lang="en-GB" sz="1100" i="1">
            <a:latin typeface="+mn-lt"/>
          </a:endParaRPr>
        </a:p>
      </xdr:txBody>
    </xdr:sp>
    <xdr:clientData/>
  </xdr:twoCellAnchor>
  <xdr:twoCellAnchor>
    <xdr:from>
      <xdr:col>13</xdr:col>
      <xdr:colOff>200025</xdr:colOff>
      <xdr:row>54</xdr:row>
      <xdr:rowOff>14654</xdr:rowOff>
    </xdr:from>
    <xdr:to>
      <xdr:col>20</xdr:col>
      <xdr:colOff>306482</xdr:colOff>
      <xdr:row>55</xdr:row>
      <xdr:rowOff>40316</xdr:rowOff>
    </xdr:to>
    <xdr:sp macro="" textlink="$BJ$7">
      <xdr:nvSpPr>
        <xdr:cNvPr id="160" name="TextBox 159">
          <a:extLst>
            <a:ext uri="{FF2B5EF4-FFF2-40B4-BE49-F238E27FC236}">
              <a16:creationId xmlns:a16="http://schemas.microsoft.com/office/drawing/2014/main" id="{00000000-0008-0000-0800-0000A0000000}"/>
            </a:ext>
          </a:extLst>
        </xdr:cNvPr>
        <xdr:cNvSpPr txBox="1"/>
      </xdr:nvSpPr>
      <xdr:spPr>
        <a:xfrm>
          <a:off x="4057650" y="22074554"/>
          <a:ext cx="2306732"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8E141EA-F388-41F3-AEE6-E3CA1856F18B}" type="TxLink">
            <a:rPr lang="en-US" sz="1000" b="0" i="0" u="none" strike="noStrike">
              <a:solidFill>
                <a:srgbClr val="000000"/>
              </a:solidFill>
              <a:latin typeface="Arial"/>
              <a:cs typeface="Arial"/>
            </a:rPr>
            <a:pPr algn="ctr"/>
            <a:t>-0.751 / 0.405 kN/m2</a:t>
          </a:fld>
          <a:endParaRPr lang="en-GB" sz="1100" i="1">
            <a:latin typeface="+mn-lt"/>
          </a:endParaRPr>
        </a:p>
      </xdr:txBody>
    </xdr:sp>
    <xdr:clientData/>
  </xdr:twoCellAnchor>
  <xdr:twoCellAnchor>
    <xdr:from>
      <xdr:col>23</xdr:col>
      <xdr:colOff>63877</xdr:colOff>
      <xdr:row>48</xdr:row>
      <xdr:rowOff>165218</xdr:rowOff>
    </xdr:from>
    <xdr:to>
      <xdr:col>23</xdr:col>
      <xdr:colOff>299759</xdr:colOff>
      <xdr:row>52</xdr:row>
      <xdr:rowOff>28189</xdr:rowOff>
    </xdr:to>
    <xdr:sp macro="" textlink="">
      <xdr:nvSpPr>
        <xdr:cNvPr id="161" name="TextBox 160">
          <a:extLst>
            <a:ext uri="{FF2B5EF4-FFF2-40B4-BE49-F238E27FC236}">
              <a16:creationId xmlns:a16="http://schemas.microsoft.com/office/drawing/2014/main" id="{00000000-0008-0000-0800-0000A1000000}"/>
            </a:ext>
          </a:extLst>
        </xdr:cNvPr>
        <xdr:cNvSpPr txBox="1"/>
      </xdr:nvSpPr>
      <xdr:spPr>
        <a:xfrm rot="16200000">
          <a:off x="6832107" y="21200463"/>
          <a:ext cx="701171"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I</a:t>
          </a:r>
          <a:endParaRPr lang="en-GB" sz="1100" i="1">
            <a:latin typeface="+mn-lt"/>
          </a:endParaRPr>
        </a:p>
      </xdr:txBody>
    </xdr:sp>
    <xdr:clientData/>
  </xdr:twoCellAnchor>
  <xdr:twoCellAnchor>
    <xdr:from>
      <xdr:col>6</xdr:col>
      <xdr:colOff>302000</xdr:colOff>
      <xdr:row>48</xdr:row>
      <xdr:rowOff>155666</xdr:rowOff>
    </xdr:from>
    <xdr:to>
      <xdr:col>7</xdr:col>
      <xdr:colOff>223557</xdr:colOff>
      <xdr:row>52</xdr:row>
      <xdr:rowOff>18637</xdr:rowOff>
    </xdr:to>
    <xdr:sp macro="" textlink="">
      <xdr:nvSpPr>
        <xdr:cNvPr id="162" name="TextBox 161">
          <a:extLst>
            <a:ext uri="{FF2B5EF4-FFF2-40B4-BE49-F238E27FC236}">
              <a16:creationId xmlns:a16="http://schemas.microsoft.com/office/drawing/2014/main" id="{00000000-0008-0000-0800-0000A2000000}"/>
            </a:ext>
          </a:extLst>
        </xdr:cNvPr>
        <xdr:cNvSpPr txBox="1"/>
      </xdr:nvSpPr>
      <xdr:spPr>
        <a:xfrm rot="16200000">
          <a:off x="1726705" y="21190911"/>
          <a:ext cx="701171"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G</a:t>
          </a:r>
          <a:endParaRPr lang="en-GB" sz="1100" i="1">
            <a:latin typeface="+mn-lt"/>
          </a:endParaRPr>
        </a:p>
      </xdr:txBody>
    </xdr:sp>
    <xdr:clientData/>
  </xdr:twoCellAnchor>
  <xdr:twoCellAnchor>
    <xdr:from>
      <xdr:col>7</xdr:col>
      <xdr:colOff>159125</xdr:colOff>
      <xdr:row>45</xdr:row>
      <xdr:rowOff>131752</xdr:rowOff>
    </xdr:from>
    <xdr:to>
      <xdr:col>8</xdr:col>
      <xdr:colOff>80682</xdr:colOff>
      <xdr:row>55</xdr:row>
      <xdr:rowOff>23555</xdr:rowOff>
    </xdr:to>
    <xdr:sp macro="" textlink="$BC$7">
      <xdr:nvSpPr>
        <xdr:cNvPr id="163" name="TextBox 162">
          <a:extLst>
            <a:ext uri="{FF2B5EF4-FFF2-40B4-BE49-F238E27FC236}">
              <a16:creationId xmlns:a16="http://schemas.microsoft.com/office/drawing/2014/main" id="{00000000-0008-0000-0800-0000A3000000}"/>
            </a:ext>
          </a:extLst>
        </xdr:cNvPr>
        <xdr:cNvSpPr txBox="1"/>
      </xdr:nvSpPr>
      <xdr:spPr>
        <a:xfrm rot="16200000">
          <a:off x="1255089" y="21181413"/>
          <a:ext cx="1987303"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51B61A2-F1B5-45DB-9B61-DE2BEE91ADD7}" type="TxLink">
            <a:rPr lang="en-US" sz="1000" b="0" i="0" u="none" strike="noStrike">
              <a:solidFill>
                <a:srgbClr val="000000"/>
              </a:solidFill>
              <a:latin typeface="Arial"/>
              <a:cs typeface="Arial"/>
            </a:rPr>
            <a:pPr algn="ctr"/>
            <a:t>-1.047 / 0.738 kN/m2</a:t>
          </a:fld>
          <a:endParaRPr lang="en-GB" sz="1100" i="1">
            <a:latin typeface="+mn-lt"/>
          </a:endParaRPr>
        </a:p>
      </xdr:txBody>
    </xdr:sp>
    <xdr:clientData/>
  </xdr:twoCellAnchor>
  <xdr:twoCellAnchor>
    <xdr:from>
      <xdr:col>9</xdr:col>
      <xdr:colOff>106455</xdr:colOff>
      <xdr:row>45</xdr:row>
      <xdr:rowOff>152984</xdr:rowOff>
    </xdr:from>
    <xdr:to>
      <xdr:col>11</xdr:col>
      <xdr:colOff>180975</xdr:colOff>
      <xdr:row>46</xdr:row>
      <xdr:rowOff>178646</xdr:rowOff>
    </xdr:to>
    <xdr:sp macro="" textlink="">
      <xdr:nvSpPr>
        <xdr:cNvPr id="164" name="TextBox 163">
          <a:extLst>
            <a:ext uri="{FF2B5EF4-FFF2-40B4-BE49-F238E27FC236}">
              <a16:creationId xmlns:a16="http://schemas.microsoft.com/office/drawing/2014/main" id="{00000000-0008-0000-0800-0000A4000000}"/>
            </a:ext>
          </a:extLst>
        </xdr:cNvPr>
        <xdr:cNvSpPr txBox="1"/>
      </xdr:nvSpPr>
      <xdr:spPr>
        <a:xfrm rot="2696533">
          <a:off x="2706780" y="20326934"/>
          <a:ext cx="703170"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L</a:t>
          </a:r>
          <a:endParaRPr lang="en-GB" sz="1100" i="1">
            <a:latin typeface="+mn-lt"/>
          </a:endParaRPr>
        </a:p>
      </xdr:txBody>
    </xdr:sp>
    <xdr:clientData/>
  </xdr:twoCellAnchor>
  <xdr:twoCellAnchor>
    <xdr:from>
      <xdr:col>6</xdr:col>
      <xdr:colOff>228442</xdr:colOff>
      <xdr:row>46</xdr:row>
      <xdr:rowOff>47912</xdr:rowOff>
    </xdr:from>
    <xdr:to>
      <xdr:col>13</xdr:col>
      <xdr:colOff>106613</xdr:colOff>
      <xdr:row>47</xdr:row>
      <xdr:rowOff>73574</xdr:rowOff>
    </xdr:to>
    <xdr:sp macro="" textlink="$BH$7">
      <xdr:nvSpPr>
        <xdr:cNvPr id="165" name="TextBox 164">
          <a:extLst>
            <a:ext uri="{FF2B5EF4-FFF2-40B4-BE49-F238E27FC236}">
              <a16:creationId xmlns:a16="http://schemas.microsoft.com/office/drawing/2014/main" id="{00000000-0008-0000-0800-0000A5000000}"/>
            </a:ext>
          </a:extLst>
        </xdr:cNvPr>
        <xdr:cNvSpPr txBox="1"/>
      </xdr:nvSpPr>
      <xdr:spPr>
        <a:xfrm rot="2696533">
          <a:off x="1885792" y="20431412"/>
          <a:ext cx="2078446"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9AF5261-E715-4E7A-9888-57DDBAFA69B1}" type="TxLink">
            <a:rPr lang="en-US" sz="1000" b="0" i="0" u="none" strike="noStrike">
              <a:solidFill>
                <a:srgbClr val="000000"/>
              </a:solidFill>
              <a:latin typeface="Arial"/>
              <a:cs typeface="Arial"/>
            </a:rPr>
            <a:pPr algn="ctr"/>
            <a:t>-1.305 / 0.405 kN/m2</a:t>
          </a:fld>
          <a:endParaRPr lang="en-GB" sz="1100" i="1">
            <a:latin typeface="+mn-lt"/>
          </a:endParaRPr>
        </a:p>
      </xdr:txBody>
    </xdr:sp>
    <xdr:clientData/>
  </xdr:twoCellAnchor>
  <xdr:twoCellAnchor>
    <xdr:from>
      <xdr:col>22</xdr:col>
      <xdr:colOff>63875</xdr:colOff>
      <xdr:row>45</xdr:row>
      <xdr:rowOff>157452</xdr:rowOff>
    </xdr:from>
    <xdr:to>
      <xdr:col>22</xdr:col>
      <xdr:colOff>299757</xdr:colOff>
      <xdr:row>49</xdr:row>
      <xdr:rowOff>20423</xdr:rowOff>
    </xdr:to>
    <xdr:sp macro="" textlink="">
      <xdr:nvSpPr>
        <xdr:cNvPr id="166" name="TextBox 165">
          <a:extLst>
            <a:ext uri="{FF2B5EF4-FFF2-40B4-BE49-F238E27FC236}">
              <a16:creationId xmlns:a16="http://schemas.microsoft.com/office/drawing/2014/main" id="{00000000-0008-0000-0800-0000A6000000}"/>
            </a:ext>
          </a:extLst>
        </xdr:cNvPr>
        <xdr:cNvSpPr txBox="1"/>
      </xdr:nvSpPr>
      <xdr:spPr>
        <a:xfrm rot="18877681">
          <a:off x="6517780" y="20564047"/>
          <a:ext cx="701171"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J</a:t>
          </a:r>
          <a:endParaRPr lang="en-GB" sz="1100" i="1">
            <a:latin typeface="+mn-lt"/>
          </a:endParaRPr>
        </a:p>
      </xdr:txBody>
    </xdr:sp>
    <xdr:clientData/>
  </xdr:twoCellAnchor>
  <xdr:twoCellAnchor>
    <xdr:from>
      <xdr:col>22</xdr:col>
      <xdr:colOff>149600</xdr:colOff>
      <xdr:row>43</xdr:row>
      <xdr:rowOff>117840</xdr:rowOff>
    </xdr:from>
    <xdr:to>
      <xdr:col>23</xdr:col>
      <xdr:colOff>71157</xdr:colOff>
      <xdr:row>52</xdr:row>
      <xdr:rowOff>173418</xdr:rowOff>
    </xdr:to>
    <xdr:sp macro="" textlink="$BF$7">
      <xdr:nvSpPr>
        <xdr:cNvPr id="167" name="TextBox 166">
          <a:extLst>
            <a:ext uri="{FF2B5EF4-FFF2-40B4-BE49-F238E27FC236}">
              <a16:creationId xmlns:a16="http://schemas.microsoft.com/office/drawing/2014/main" id="{00000000-0008-0000-0800-0000A7000000}"/>
            </a:ext>
          </a:extLst>
        </xdr:cNvPr>
        <xdr:cNvSpPr txBox="1"/>
      </xdr:nvSpPr>
      <xdr:spPr>
        <a:xfrm rot="18877681">
          <a:off x="5983327" y="20725513"/>
          <a:ext cx="1941528"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DB0E3627-6FD3-448A-9199-F16013882585}" type="TxLink">
            <a:rPr lang="en-US" sz="1000" b="0" i="0" u="none" strike="noStrike">
              <a:solidFill>
                <a:srgbClr val="000000"/>
              </a:solidFill>
              <a:latin typeface="Arial"/>
              <a:cs typeface="Arial"/>
            </a:rPr>
            <a:pPr algn="ctr"/>
            <a:t>-1.786 / -1.111 kN/m2</a:t>
          </a:fld>
          <a:endParaRPr lang="en-GB" sz="1100" i="1">
            <a:latin typeface="+mn-lt"/>
          </a:endParaRPr>
        </a:p>
      </xdr:txBody>
    </xdr:sp>
    <xdr:clientData/>
  </xdr:twoCellAnchor>
  <xdr:twoCellAnchor>
    <xdr:from>
      <xdr:col>9</xdr:col>
      <xdr:colOff>254375</xdr:colOff>
      <xdr:row>52</xdr:row>
      <xdr:rowOff>67802</xdr:rowOff>
    </xdr:from>
    <xdr:to>
      <xdr:col>10</xdr:col>
      <xdr:colOff>175932</xdr:colOff>
      <xdr:row>55</xdr:row>
      <xdr:rowOff>140323</xdr:rowOff>
    </xdr:to>
    <xdr:sp macro="" textlink="">
      <xdr:nvSpPr>
        <xdr:cNvPr id="168" name="TextBox 167">
          <a:extLst>
            <a:ext uri="{FF2B5EF4-FFF2-40B4-BE49-F238E27FC236}">
              <a16:creationId xmlns:a16="http://schemas.microsoft.com/office/drawing/2014/main" id="{00000000-0008-0000-0800-0000A8000000}"/>
            </a:ext>
          </a:extLst>
        </xdr:cNvPr>
        <xdr:cNvSpPr txBox="1"/>
      </xdr:nvSpPr>
      <xdr:spPr>
        <a:xfrm rot="18877681">
          <a:off x="2622055" y="21941247"/>
          <a:ext cx="701171"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L</a:t>
          </a:r>
          <a:endParaRPr lang="en-GB" sz="1100" i="1">
            <a:latin typeface="+mn-lt"/>
          </a:endParaRPr>
        </a:p>
      </xdr:txBody>
    </xdr:sp>
    <xdr:clientData/>
  </xdr:twoCellAnchor>
  <xdr:twoCellAnchor>
    <xdr:from>
      <xdr:col>10</xdr:col>
      <xdr:colOff>101975</xdr:colOff>
      <xdr:row>49</xdr:row>
      <xdr:rowOff>133261</xdr:rowOff>
    </xdr:from>
    <xdr:to>
      <xdr:col>11</xdr:col>
      <xdr:colOff>23532</xdr:colOff>
      <xdr:row>58</xdr:row>
      <xdr:rowOff>188839</xdr:rowOff>
    </xdr:to>
    <xdr:sp macro="" textlink="$BH$7">
      <xdr:nvSpPr>
        <xdr:cNvPr id="169" name="TextBox 168">
          <a:extLst>
            <a:ext uri="{FF2B5EF4-FFF2-40B4-BE49-F238E27FC236}">
              <a16:creationId xmlns:a16="http://schemas.microsoft.com/office/drawing/2014/main" id="{00000000-0008-0000-0800-0000A9000000}"/>
            </a:ext>
          </a:extLst>
        </xdr:cNvPr>
        <xdr:cNvSpPr txBox="1"/>
      </xdr:nvSpPr>
      <xdr:spPr>
        <a:xfrm rot="18877681">
          <a:off x="2163802" y="21998234"/>
          <a:ext cx="1941528"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A649458A-76AA-42E3-9A41-11CF443B8B14}" type="TxLink">
            <a:rPr lang="en-US" sz="1000" b="0" i="0" u="none" strike="noStrike">
              <a:solidFill>
                <a:srgbClr val="000000"/>
              </a:solidFill>
              <a:latin typeface="Arial"/>
              <a:cs typeface="Arial"/>
            </a:rPr>
            <a:pPr algn="ctr"/>
            <a:t>-1.305 / 0.405 kN/m2</a:t>
          </a:fld>
          <a:endParaRPr lang="en-GB" sz="1100" i="1">
            <a:latin typeface="+mn-lt"/>
          </a:endParaRPr>
        </a:p>
      </xdr:txBody>
    </xdr:sp>
    <xdr:clientData/>
  </xdr:twoCellAnchor>
  <xdr:twoCellAnchor>
    <xdr:from>
      <xdr:col>13</xdr:col>
      <xdr:colOff>142875</xdr:colOff>
      <xdr:row>50</xdr:row>
      <xdr:rowOff>204758</xdr:rowOff>
    </xdr:from>
    <xdr:to>
      <xdr:col>13</xdr:col>
      <xdr:colOff>142875</xdr:colOff>
      <xdr:row>57</xdr:row>
      <xdr:rowOff>200589</xdr:rowOff>
    </xdr:to>
    <xdr:cxnSp macro="">
      <xdr:nvCxnSpPr>
        <xdr:cNvPr id="170" name="Straight Connector 169">
          <a:extLst>
            <a:ext uri="{FF2B5EF4-FFF2-40B4-BE49-F238E27FC236}">
              <a16:creationId xmlns:a16="http://schemas.microsoft.com/office/drawing/2014/main" id="{00000000-0008-0000-0800-0000AA000000}"/>
            </a:ext>
          </a:extLst>
        </xdr:cNvPr>
        <xdr:cNvCxnSpPr/>
      </xdr:nvCxnSpPr>
      <xdr:spPr>
        <a:xfrm>
          <a:off x="4000500" y="21426458"/>
          <a:ext cx="0" cy="1462681"/>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66675</xdr:colOff>
      <xdr:row>44</xdr:row>
      <xdr:rowOff>179838</xdr:rowOff>
    </xdr:from>
    <xdr:to>
      <xdr:col>8</xdr:col>
      <xdr:colOff>66675</xdr:colOff>
      <xdr:row>56</xdr:row>
      <xdr:rowOff>30222</xdr:rowOff>
    </xdr:to>
    <xdr:cxnSp macro="">
      <xdr:nvCxnSpPr>
        <xdr:cNvPr id="171" name="Straight Connector 170">
          <a:extLst>
            <a:ext uri="{FF2B5EF4-FFF2-40B4-BE49-F238E27FC236}">
              <a16:creationId xmlns:a16="http://schemas.microsoft.com/office/drawing/2014/main" id="{00000000-0008-0000-0800-0000AB000000}"/>
            </a:ext>
          </a:extLst>
        </xdr:cNvPr>
        <xdr:cNvCxnSpPr/>
      </xdr:nvCxnSpPr>
      <xdr:spPr>
        <a:xfrm>
          <a:off x="2352675" y="20144238"/>
          <a:ext cx="0" cy="2364984"/>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54</xdr:row>
      <xdr:rowOff>1419</xdr:rowOff>
    </xdr:from>
    <xdr:to>
      <xdr:col>8</xdr:col>
      <xdr:colOff>66675</xdr:colOff>
      <xdr:row>54</xdr:row>
      <xdr:rowOff>1419</xdr:rowOff>
    </xdr:to>
    <xdr:cxnSp macro="">
      <xdr:nvCxnSpPr>
        <xdr:cNvPr id="172" name="Straight Connector 171">
          <a:extLst>
            <a:ext uri="{FF2B5EF4-FFF2-40B4-BE49-F238E27FC236}">
              <a16:creationId xmlns:a16="http://schemas.microsoft.com/office/drawing/2014/main" id="{00000000-0008-0000-0800-0000AC000000}"/>
            </a:ext>
          </a:extLst>
        </xdr:cNvPr>
        <xdr:cNvCxnSpPr/>
      </xdr:nvCxnSpPr>
      <xdr:spPr>
        <a:xfrm>
          <a:off x="1971675" y="22061319"/>
          <a:ext cx="381000" cy="0"/>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268583</xdr:colOff>
      <xdr:row>50</xdr:row>
      <xdr:rowOff>109779</xdr:rowOff>
    </xdr:from>
    <xdr:to>
      <xdr:col>25</xdr:col>
      <xdr:colOff>0</xdr:colOff>
      <xdr:row>55</xdr:row>
      <xdr:rowOff>48974</xdr:rowOff>
    </xdr:to>
    <xdr:cxnSp macro="">
      <xdr:nvCxnSpPr>
        <xdr:cNvPr id="173" name="Straight Connector 172">
          <a:extLst>
            <a:ext uri="{FF2B5EF4-FFF2-40B4-BE49-F238E27FC236}">
              <a16:creationId xmlns:a16="http://schemas.microsoft.com/office/drawing/2014/main" id="{00000000-0008-0000-0800-0000AD000000}"/>
            </a:ext>
          </a:extLst>
        </xdr:cNvPr>
        <xdr:cNvCxnSpPr/>
      </xdr:nvCxnSpPr>
      <xdr:spPr>
        <a:xfrm>
          <a:off x="6640808" y="21331479"/>
          <a:ext cx="988717" cy="986945"/>
        </a:xfrm>
        <a:prstGeom prst="line">
          <a:avLst/>
        </a:prstGeom>
        <a:ln w="6350">
          <a:solidFill>
            <a:sysClr val="windowText" lastClr="000000"/>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58831</xdr:colOff>
      <xdr:row>45</xdr:row>
      <xdr:rowOff>124491</xdr:rowOff>
    </xdr:from>
    <xdr:to>
      <xdr:col>18</xdr:col>
      <xdr:colOff>133351</xdr:colOff>
      <xdr:row>46</xdr:row>
      <xdr:rowOff>150153</xdr:rowOff>
    </xdr:to>
    <xdr:sp macro="" textlink="">
      <xdr:nvSpPr>
        <xdr:cNvPr id="174" name="TextBox 173">
          <a:extLst>
            <a:ext uri="{FF2B5EF4-FFF2-40B4-BE49-F238E27FC236}">
              <a16:creationId xmlns:a16="http://schemas.microsoft.com/office/drawing/2014/main" id="{00000000-0008-0000-0800-0000AE000000}"/>
            </a:ext>
          </a:extLst>
        </xdr:cNvPr>
        <xdr:cNvSpPr txBox="1"/>
      </xdr:nvSpPr>
      <xdr:spPr>
        <a:xfrm>
          <a:off x="4859431" y="20298441"/>
          <a:ext cx="703170"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N</a:t>
          </a:r>
          <a:endParaRPr lang="en-GB" sz="1100" i="1">
            <a:latin typeface="+mn-lt"/>
          </a:endParaRPr>
        </a:p>
      </xdr:txBody>
    </xdr:sp>
    <xdr:clientData/>
  </xdr:twoCellAnchor>
  <xdr:twoCellAnchor>
    <xdr:from>
      <xdr:col>13</xdr:col>
      <xdr:colOff>200025</xdr:colOff>
      <xdr:row>46</xdr:row>
      <xdr:rowOff>104900</xdr:rowOff>
    </xdr:from>
    <xdr:to>
      <xdr:col>20</xdr:col>
      <xdr:colOff>306482</xdr:colOff>
      <xdr:row>47</xdr:row>
      <xdr:rowOff>130562</xdr:rowOff>
    </xdr:to>
    <xdr:sp macro="" textlink="$BJ$7">
      <xdr:nvSpPr>
        <xdr:cNvPr id="175" name="TextBox 174">
          <a:extLst>
            <a:ext uri="{FF2B5EF4-FFF2-40B4-BE49-F238E27FC236}">
              <a16:creationId xmlns:a16="http://schemas.microsoft.com/office/drawing/2014/main" id="{00000000-0008-0000-0800-0000AF000000}"/>
            </a:ext>
          </a:extLst>
        </xdr:cNvPr>
        <xdr:cNvSpPr txBox="1"/>
      </xdr:nvSpPr>
      <xdr:spPr>
        <a:xfrm>
          <a:off x="4057650" y="20488400"/>
          <a:ext cx="2306732"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23EF6165-CF11-448F-B9CC-096334FFBA2F}" type="TxLink">
            <a:rPr lang="en-US" sz="1000" b="0" i="0" u="none" strike="noStrike">
              <a:solidFill>
                <a:srgbClr val="000000"/>
              </a:solidFill>
              <a:latin typeface="Arial"/>
              <a:cs typeface="Arial"/>
            </a:rPr>
            <a:pPr algn="ctr"/>
            <a:t>-0.751 / 0.405 kN/m2</a:t>
          </a:fld>
          <a:endParaRPr lang="en-GB" sz="1100" i="1">
            <a:latin typeface="+mn-lt"/>
          </a:endParaRPr>
        </a:p>
      </xdr:txBody>
    </xdr:sp>
    <xdr:clientData/>
  </xdr:twoCellAnchor>
  <xdr:twoCellAnchor>
    <xdr:from>
      <xdr:col>7</xdr:col>
      <xdr:colOff>73400</xdr:colOff>
      <xdr:row>43</xdr:row>
      <xdr:rowOff>187138</xdr:rowOff>
    </xdr:from>
    <xdr:to>
      <xdr:col>7</xdr:col>
      <xdr:colOff>309282</xdr:colOff>
      <xdr:row>47</xdr:row>
      <xdr:rowOff>50109</xdr:rowOff>
    </xdr:to>
    <xdr:sp macro="" textlink="">
      <xdr:nvSpPr>
        <xdr:cNvPr id="176" name="TextBox 175">
          <a:extLst>
            <a:ext uri="{FF2B5EF4-FFF2-40B4-BE49-F238E27FC236}">
              <a16:creationId xmlns:a16="http://schemas.microsoft.com/office/drawing/2014/main" id="{00000000-0008-0000-0800-0000B0000000}"/>
            </a:ext>
          </a:extLst>
        </xdr:cNvPr>
        <xdr:cNvSpPr txBox="1"/>
      </xdr:nvSpPr>
      <xdr:spPr>
        <a:xfrm rot="16200000">
          <a:off x="1812430" y="20174633"/>
          <a:ext cx="701171"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F</a:t>
          </a:r>
        </a:p>
      </xdr:txBody>
    </xdr:sp>
    <xdr:clientData/>
  </xdr:twoCellAnchor>
  <xdr:twoCellAnchor>
    <xdr:from>
      <xdr:col>7</xdr:col>
      <xdr:colOff>73400</xdr:colOff>
      <xdr:row>53</xdr:row>
      <xdr:rowOff>152688</xdr:rowOff>
    </xdr:from>
    <xdr:to>
      <xdr:col>7</xdr:col>
      <xdr:colOff>309282</xdr:colOff>
      <xdr:row>57</xdr:row>
      <xdr:rowOff>15659</xdr:rowOff>
    </xdr:to>
    <xdr:sp macro="" textlink="">
      <xdr:nvSpPr>
        <xdr:cNvPr id="177" name="TextBox 176">
          <a:extLst>
            <a:ext uri="{FF2B5EF4-FFF2-40B4-BE49-F238E27FC236}">
              <a16:creationId xmlns:a16="http://schemas.microsoft.com/office/drawing/2014/main" id="{00000000-0008-0000-0800-0000B1000000}"/>
            </a:ext>
          </a:extLst>
        </xdr:cNvPr>
        <xdr:cNvSpPr txBox="1"/>
      </xdr:nvSpPr>
      <xdr:spPr>
        <a:xfrm rot="16200000">
          <a:off x="1812430" y="22235683"/>
          <a:ext cx="701171"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F</a:t>
          </a:r>
        </a:p>
      </xdr:txBody>
    </xdr:sp>
    <xdr:clientData/>
  </xdr:twoCellAnchor>
  <xdr:twoCellAnchor>
    <xdr:from>
      <xdr:col>8</xdr:col>
      <xdr:colOff>168650</xdr:colOff>
      <xdr:row>48</xdr:row>
      <xdr:rowOff>155666</xdr:rowOff>
    </xdr:from>
    <xdr:to>
      <xdr:col>9</xdr:col>
      <xdr:colOff>90207</xdr:colOff>
      <xdr:row>52</xdr:row>
      <xdr:rowOff>18637</xdr:rowOff>
    </xdr:to>
    <xdr:sp macro="" textlink="">
      <xdr:nvSpPr>
        <xdr:cNvPr id="178" name="TextBox 177">
          <a:extLst>
            <a:ext uri="{FF2B5EF4-FFF2-40B4-BE49-F238E27FC236}">
              <a16:creationId xmlns:a16="http://schemas.microsoft.com/office/drawing/2014/main" id="{00000000-0008-0000-0800-0000B2000000}"/>
            </a:ext>
          </a:extLst>
        </xdr:cNvPr>
        <xdr:cNvSpPr txBox="1"/>
      </xdr:nvSpPr>
      <xdr:spPr>
        <a:xfrm rot="16200000">
          <a:off x="2222005" y="21190911"/>
          <a:ext cx="701171"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H</a:t>
          </a:r>
          <a:endParaRPr lang="en-GB" sz="1100" i="1">
            <a:latin typeface="+mn-lt"/>
          </a:endParaRPr>
        </a:p>
      </xdr:txBody>
    </xdr:sp>
    <xdr:clientData/>
  </xdr:twoCellAnchor>
  <xdr:twoCellAnchor>
    <xdr:from>
      <xdr:col>9</xdr:col>
      <xdr:colOff>25775</xdr:colOff>
      <xdr:row>45</xdr:row>
      <xdr:rowOff>131752</xdr:rowOff>
    </xdr:from>
    <xdr:to>
      <xdr:col>9</xdr:col>
      <xdr:colOff>261657</xdr:colOff>
      <xdr:row>55</xdr:row>
      <xdr:rowOff>23555</xdr:rowOff>
    </xdr:to>
    <xdr:sp macro="" textlink="$BD$7">
      <xdr:nvSpPr>
        <xdr:cNvPr id="179" name="TextBox 178">
          <a:extLst>
            <a:ext uri="{FF2B5EF4-FFF2-40B4-BE49-F238E27FC236}">
              <a16:creationId xmlns:a16="http://schemas.microsoft.com/office/drawing/2014/main" id="{00000000-0008-0000-0800-0000B3000000}"/>
            </a:ext>
          </a:extLst>
        </xdr:cNvPr>
        <xdr:cNvSpPr txBox="1"/>
      </xdr:nvSpPr>
      <xdr:spPr>
        <a:xfrm rot="16200000">
          <a:off x="1750389" y="21181413"/>
          <a:ext cx="1987303" cy="235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8D2E42-33B3-4B91-A8DD-8ADE5E77B71F}" type="TxLink">
            <a:rPr lang="en-US" sz="1000" b="0" i="0" u="none" strike="noStrike">
              <a:solidFill>
                <a:srgbClr val="000000"/>
              </a:solidFill>
              <a:latin typeface="Arial"/>
              <a:cs typeface="Arial"/>
            </a:rPr>
            <a:pPr algn="ctr"/>
            <a:t>-0.714 / 0.701 kN/m2</a:t>
          </a:fld>
          <a:endParaRPr lang="en-GB" sz="1100" i="1">
            <a:latin typeface="+mn-lt"/>
          </a:endParaRPr>
        </a:p>
      </xdr:txBody>
    </xdr:sp>
    <xdr:clientData/>
  </xdr:twoCellAnchor>
  <xdr:twoCellAnchor>
    <xdr:from>
      <xdr:col>21</xdr:col>
      <xdr:colOff>296956</xdr:colOff>
      <xdr:row>52</xdr:row>
      <xdr:rowOff>110823</xdr:rowOff>
    </xdr:from>
    <xdr:to>
      <xdr:col>24</xdr:col>
      <xdr:colOff>57151</xdr:colOff>
      <xdr:row>53</xdr:row>
      <xdr:rowOff>136485</xdr:rowOff>
    </xdr:to>
    <xdr:sp macro="" textlink="">
      <xdr:nvSpPr>
        <xdr:cNvPr id="180" name="TextBox 179">
          <a:extLst>
            <a:ext uri="{FF2B5EF4-FFF2-40B4-BE49-F238E27FC236}">
              <a16:creationId xmlns:a16="http://schemas.microsoft.com/office/drawing/2014/main" id="{00000000-0008-0000-0800-0000B4000000}"/>
            </a:ext>
          </a:extLst>
        </xdr:cNvPr>
        <xdr:cNvSpPr txBox="1"/>
      </xdr:nvSpPr>
      <xdr:spPr>
        <a:xfrm rot="2655983">
          <a:off x="6669181" y="21751623"/>
          <a:ext cx="703170"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J</a:t>
          </a:r>
          <a:endParaRPr lang="en-GB" sz="1100" i="1">
            <a:latin typeface="+mn-lt"/>
          </a:endParaRPr>
        </a:p>
      </xdr:txBody>
    </xdr:sp>
    <xdr:clientData/>
  </xdr:twoCellAnchor>
  <xdr:twoCellAnchor>
    <xdr:from>
      <xdr:col>19</xdr:col>
      <xdr:colOff>227460</xdr:colOff>
      <xdr:row>53</xdr:row>
      <xdr:rowOff>62738</xdr:rowOff>
    </xdr:from>
    <xdr:to>
      <xdr:col>25</xdr:col>
      <xdr:colOff>288572</xdr:colOff>
      <xdr:row>54</xdr:row>
      <xdr:rowOff>88400</xdr:rowOff>
    </xdr:to>
    <xdr:sp macro="" textlink="$BF$7">
      <xdr:nvSpPr>
        <xdr:cNvPr id="181" name="TextBox 180">
          <a:extLst>
            <a:ext uri="{FF2B5EF4-FFF2-40B4-BE49-F238E27FC236}">
              <a16:creationId xmlns:a16="http://schemas.microsoft.com/office/drawing/2014/main" id="{00000000-0008-0000-0800-0000B5000000}"/>
            </a:ext>
          </a:extLst>
        </xdr:cNvPr>
        <xdr:cNvSpPr txBox="1"/>
      </xdr:nvSpPr>
      <xdr:spPr>
        <a:xfrm rot="2655983">
          <a:off x="5971035" y="21913088"/>
          <a:ext cx="1947062"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E1DBC569-1CB0-4DAD-BA34-7C8B1C912DE1}" type="TxLink">
            <a:rPr lang="en-US" sz="1000" b="0" i="0" u="none" strike="noStrike">
              <a:solidFill>
                <a:srgbClr val="000000"/>
              </a:solidFill>
              <a:latin typeface="Arial"/>
              <a:cs typeface="Arial"/>
            </a:rPr>
            <a:pPr algn="ctr"/>
            <a:t>-1.786 / -1.111 kN/m2</a:t>
          </a:fld>
          <a:endParaRPr lang="en-GB" sz="1100" i="1">
            <a:latin typeface="+mn-lt"/>
          </a:endParaRPr>
        </a:p>
      </xdr:txBody>
    </xdr:sp>
    <xdr:clientData/>
  </xdr:twoCellAnchor>
  <xdr:twoCellAnchor>
    <xdr:from>
      <xdr:col>11</xdr:col>
      <xdr:colOff>1681</xdr:colOff>
      <xdr:row>54</xdr:row>
      <xdr:rowOff>90637</xdr:rowOff>
    </xdr:from>
    <xdr:to>
      <xdr:col>13</xdr:col>
      <xdr:colOff>76201</xdr:colOff>
      <xdr:row>55</xdr:row>
      <xdr:rowOff>116299</xdr:rowOff>
    </xdr:to>
    <xdr:sp macro="" textlink="">
      <xdr:nvSpPr>
        <xdr:cNvPr id="182" name="TextBox 181">
          <a:extLst>
            <a:ext uri="{FF2B5EF4-FFF2-40B4-BE49-F238E27FC236}">
              <a16:creationId xmlns:a16="http://schemas.microsoft.com/office/drawing/2014/main" id="{00000000-0008-0000-0800-0000B6000000}"/>
            </a:ext>
          </a:extLst>
        </xdr:cNvPr>
        <xdr:cNvSpPr txBox="1"/>
      </xdr:nvSpPr>
      <xdr:spPr>
        <a:xfrm>
          <a:off x="3230656" y="22150537"/>
          <a:ext cx="703170" cy="2352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i="1">
              <a:latin typeface="+mn-lt"/>
            </a:rPr>
            <a:t>Zone </a:t>
          </a:r>
          <a:r>
            <a:rPr lang="pl-PL" sz="1100" i="1">
              <a:latin typeface="+mn-lt"/>
            </a:rPr>
            <a:t>M</a:t>
          </a:r>
          <a:endParaRPr lang="en-GB" sz="1100" i="1">
            <a:latin typeface="+mn-lt"/>
          </a:endParaRPr>
        </a:p>
      </xdr:txBody>
    </xdr:sp>
    <xdr:clientData/>
  </xdr:twoCellAnchor>
  <xdr:twoCellAnchor>
    <xdr:from>
      <xdr:col>10</xdr:col>
      <xdr:colOff>171449</xdr:colOff>
      <xdr:row>55</xdr:row>
      <xdr:rowOff>23555</xdr:rowOff>
    </xdr:from>
    <xdr:to>
      <xdr:col>13</xdr:col>
      <xdr:colOff>190499</xdr:colOff>
      <xdr:row>57</xdr:row>
      <xdr:rowOff>77115</xdr:rowOff>
    </xdr:to>
    <xdr:sp macro="" textlink="$BI$7">
      <xdr:nvSpPr>
        <xdr:cNvPr id="183" name="TextBox 182">
          <a:extLst>
            <a:ext uri="{FF2B5EF4-FFF2-40B4-BE49-F238E27FC236}">
              <a16:creationId xmlns:a16="http://schemas.microsoft.com/office/drawing/2014/main" id="{00000000-0008-0000-0800-0000B7000000}"/>
            </a:ext>
          </a:extLst>
        </xdr:cNvPr>
        <xdr:cNvSpPr txBox="1"/>
      </xdr:nvSpPr>
      <xdr:spPr>
        <a:xfrm>
          <a:off x="3086099" y="22293005"/>
          <a:ext cx="962025" cy="472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4E6B460-C817-4B5F-B751-B6E9807FAF75}" type="TxLink">
            <a:rPr lang="en-US" sz="1000" b="0" i="0" u="none" strike="noStrike">
              <a:solidFill>
                <a:srgbClr val="000000"/>
              </a:solidFill>
              <a:latin typeface="Arial"/>
              <a:cs typeface="Arial"/>
            </a:rPr>
            <a:pPr algn="ctr"/>
            <a:t>-0.936 / 0.405 kN/m2</a:t>
          </a:fld>
          <a:endParaRPr lang="en-GB" sz="1100" i="1">
            <a:latin typeface="+mn-lt"/>
          </a:endParaRPr>
        </a:p>
      </xdr:txBody>
    </xdr:sp>
    <xdr:clientData/>
  </xdr:twoCellAnchor>
  <xdr:twoCellAnchor>
    <xdr:from>
      <xdr:col>3</xdr:col>
      <xdr:colOff>0</xdr:colOff>
      <xdr:row>42</xdr:row>
      <xdr:rowOff>204093</xdr:rowOff>
    </xdr:from>
    <xdr:to>
      <xdr:col>3</xdr:col>
      <xdr:colOff>0</xdr:colOff>
      <xdr:row>57</xdr:row>
      <xdr:rowOff>200588</xdr:rowOff>
    </xdr:to>
    <xdr:cxnSp macro="">
      <xdr:nvCxnSpPr>
        <xdr:cNvPr id="184" name="Straight Arrow Connector 183">
          <a:extLst>
            <a:ext uri="{FF2B5EF4-FFF2-40B4-BE49-F238E27FC236}">
              <a16:creationId xmlns:a16="http://schemas.microsoft.com/office/drawing/2014/main" id="{00000000-0008-0000-0800-0000B8000000}"/>
            </a:ext>
          </a:extLst>
        </xdr:cNvPr>
        <xdr:cNvCxnSpPr/>
      </xdr:nvCxnSpPr>
      <xdr:spPr>
        <a:xfrm flipV="1">
          <a:off x="714375" y="19749393"/>
          <a:ext cx="0" cy="3139745"/>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295275</xdr:colOff>
      <xdr:row>42</xdr:row>
      <xdr:rowOff>200022</xdr:rowOff>
    </xdr:from>
    <xdr:to>
      <xdr:col>3</xdr:col>
      <xdr:colOff>133350</xdr:colOff>
      <xdr:row>42</xdr:row>
      <xdr:rowOff>200022</xdr:rowOff>
    </xdr:to>
    <xdr:cxnSp macro="">
      <xdr:nvCxnSpPr>
        <xdr:cNvPr id="185" name="Straight Connector 184">
          <a:extLst>
            <a:ext uri="{FF2B5EF4-FFF2-40B4-BE49-F238E27FC236}">
              <a16:creationId xmlns:a16="http://schemas.microsoft.com/office/drawing/2014/main" id="{00000000-0008-0000-0800-0000B9000000}"/>
            </a:ext>
          </a:extLst>
        </xdr:cNvPr>
        <xdr:cNvCxnSpPr/>
      </xdr:nvCxnSpPr>
      <xdr:spPr>
        <a:xfrm>
          <a:off x="600075" y="19745322"/>
          <a:ext cx="2476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285750</xdr:colOff>
      <xdr:row>57</xdr:row>
      <xdr:rowOff>195159</xdr:rowOff>
    </xdr:from>
    <xdr:to>
      <xdr:col>3</xdr:col>
      <xdr:colOff>133350</xdr:colOff>
      <xdr:row>57</xdr:row>
      <xdr:rowOff>195159</xdr:rowOff>
    </xdr:to>
    <xdr:cxnSp macro="">
      <xdr:nvCxnSpPr>
        <xdr:cNvPr id="186" name="Straight Connector 185">
          <a:extLst>
            <a:ext uri="{FF2B5EF4-FFF2-40B4-BE49-F238E27FC236}">
              <a16:creationId xmlns:a16="http://schemas.microsoft.com/office/drawing/2014/main" id="{00000000-0008-0000-0800-0000BA000000}"/>
            </a:ext>
          </a:extLst>
        </xdr:cNvPr>
        <xdr:cNvCxnSpPr/>
      </xdr:nvCxnSpPr>
      <xdr:spPr>
        <a:xfrm>
          <a:off x="590550" y="22883709"/>
          <a:ext cx="2571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252399</xdr:colOff>
      <xdr:row>50</xdr:row>
      <xdr:rowOff>105029</xdr:rowOff>
    </xdr:from>
    <xdr:to>
      <xdr:col>5</xdr:col>
      <xdr:colOff>236070</xdr:colOff>
      <xdr:row>50</xdr:row>
      <xdr:rowOff>105029</xdr:rowOff>
    </xdr:to>
    <xdr:cxnSp macro="">
      <xdr:nvCxnSpPr>
        <xdr:cNvPr id="187" name="Straight Arrow Connector 186">
          <a:extLst>
            <a:ext uri="{FF2B5EF4-FFF2-40B4-BE49-F238E27FC236}">
              <a16:creationId xmlns:a16="http://schemas.microsoft.com/office/drawing/2014/main" id="{00000000-0008-0000-0800-0000BB000000}"/>
            </a:ext>
          </a:extLst>
        </xdr:cNvPr>
        <xdr:cNvCxnSpPr/>
      </xdr:nvCxnSpPr>
      <xdr:spPr>
        <a:xfrm>
          <a:off x="966774" y="21326729"/>
          <a:ext cx="612321" cy="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180000</xdr:colOff>
      <xdr:row>51</xdr:row>
      <xdr:rowOff>8775</xdr:rowOff>
    </xdr:from>
    <xdr:to>
      <xdr:col>5</xdr:col>
      <xdr:colOff>191566</xdr:colOff>
      <xdr:row>52</xdr:row>
      <xdr:rowOff>83487</xdr:rowOff>
    </xdr:to>
    <xdr:cxnSp macro="">
      <xdr:nvCxnSpPr>
        <xdr:cNvPr id="188" name="Straight Arrow Connector 187">
          <a:extLst>
            <a:ext uri="{FF2B5EF4-FFF2-40B4-BE49-F238E27FC236}">
              <a16:creationId xmlns:a16="http://schemas.microsoft.com/office/drawing/2014/main" id="{00000000-0008-0000-0800-0000BC000000}"/>
            </a:ext>
          </a:extLst>
        </xdr:cNvPr>
        <xdr:cNvCxnSpPr/>
      </xdr:nvCxnSpPr>
      <xdr:spPr>
        <a:xfrm flipV="1">
          <a:off x="1208700" y="21440025"/>
          <a:ext cx="325891" cy="284262"/>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4</xdr:col>
      <xdr:colOff>180000</xdr:colOff>
      <xdr:row>48</xdr:row>
      <xdr:rowOff>53982</xdr:rowOff>
    </xdr:from>
    <xdr:to>
      <xdr:col>5</xdr:col>
      <xdr:colOff>190365</xdr:colOff>
      <xdr:row>49</xdr:row>
      <xdr:rowOff>185679</xdr:rowOff>
    </xdr:to>
    <xdr:cxnSp macro="">
      <xdr:nvCxnSpPr>
        <xdr:cNvPr id="189" name="Straight Arrow Connector 188">
          <a:extLst>
            <a:ext uri="{FF2B5EF4-FFF2-40B4-BE49-F238E27FC236}">
              <a16:creationId xmlns:a16="http://schemas.microsoft.com/office/drawing/2014/main" id="{00000000-0008-0000-0800-0000BD000000}"/>
            </a:ext>
          </a:extLst>
        </xdr:cNvPr>
        <xdr:cNvCxnSpPr/>
      </xdr:nvCxnSpPr>
      <xdr:spPr>
        <a:xfrm>
          <a:off x="1208700" y="20856582"/>
          <a:ext cx="324690" cy="341247"/>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3</xdr:col>
      <xdr:colOff>161925</xdr:colOff>
      <xdr:row>49</xdr:row>
      <xdr:rowOff>104419</xdr:rowOff>
    </xdr:from>
    <xdr:to>
      <xdr:col>5</xdr:col>
      <xdr:colOff>12459</xdr:colOff>
      <xdr:row>50</xdr:row>
      <xdr:rowOff>93420</xdr:rowOff>
    </xdr:to>
    <xdr:sp macro="" textlink="">
      <xdr:nvSpPr>
        <xdr:cNvPr id="190" name="TextBox 189">
          <a:extLst>
            <a:ext uri="{FF2B5EF4-FFF2-40B4-BE49-F238E27FC236}">
              <a16:creationId xmlns:a16="http://schemas.microsoft.com/office/drawing/2014/main" id="{00000000-0008-0000-0800-0000BE000000}"/>
            </a:ext>
          </a:extLst>
        </xdr:cNvPr>
        <xdr:cNvSpPr txBox="1"/>
      </xdr:nvSpPr>
      <xdr:spPr>
        <a:xfrm>
          <a:off x="876300" y="21116569"/>
          <a:ext cx="479184" cy="198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l-PL" sz="1100">
              <a:latin typeface="+mn-lt"/>
            </a:rPr>
            <a:t>wind</a:t>
          </a:r>
          <a:endParaRPr lang="en-GB" sz="1100">
            <a:latin typeface="+mn-l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229561</xdr:colOff>
      <xdr:row>48</xdr:row>
      <xdr:rowOff>0</xdr:rowOff>
    </xdr:from>
    <xdr:to>
      <xdr:col>8</xdr:col>
      <xdr:colOff>210511</xdr:colOff>
      <xdr:row>48</xdr:row>
      <xdr:rowOff>0</xdr:rowOff>
    </xdr:to>
    <xdr:cxnSp macro="">
      <xdr:nvCxnSpPr>
        <xdr:cNvPr id="35" name="Straight Arrow Connector 34">
          <a:extLst>
            <a:ext uri="{FF2B5EF4-FFF2-40B4-BE49-F238E27FC236}">
              <a16:creationId xmlns:a16="http://schemas.microsoft.com/office/drawing/2014/main" id="{00000000-0008-0000-0900-000023000000}"/>
            </a:ext>
          </a:extLst>
        </xdr:cNvPr>
        <xdr:cNvCxnSpPr/>
      </xdr:nvCxnSpPr>
      <xdr:spPr>
        <a:xfrm>
          <a:off x="2144086" y="9144000"/>
          <a:ext cx="609600" cy="0"/>
        </a:xfrm>
        <a:prstGeom prst="straightConnector1">
          <a:avLst/>
        </a:prstGeom>
        <a:ln>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0</xdr:colOff>
      <xdr:row>39</xdr:row>
      <xdr:rowOff>0</xdr:rowOff>
    </xdr:from>
    <xdr:to>
      <xdr:col>6</xdr:col>
      <xdr:colOff>0</xdr:colOff>
      <xdr:row>57</xdr:row>
      <xdr:rowOff>1</xdr:rowOff>
    </xdr:to>
    <xdr:cxnSp macro="">
      <xdr:nvCxnSpPr>
        <xdr:cNvPr id="36" name="Straight Arrow Connector 35">
          <a:extLst>
            <a:ext uri="{FF2B5EF4-FFF2-40B4-BE49-F238E27FC236}">
              <a16:creationId xmlns:a16="http://schemas.microsoft.com/office/drawing/2014/main" id="{00000000-0008-0000-0900-000024000000}"/>
            </a:ext>
          </a:extLst>
        </xdr:cNvPr>
        <xdr:cNvCxnSpPr/>
      </xdr:nvCxnSpPr>
      <xdr:spPr>
        <a:xfrm flipV="1">
          <a:off x="1914525" y="7429500"/>
          <a:ext cx="0" cy="3429001"/>
        </a:xfrm>
        <a:prstGeom prst="straightConnector1">
          <a:avLst/>
        </a:prstGeom>
        <a:ln>
          <a:solidFill>
            <a:sysClr val="windowText" lastClr="00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309563</xdr:colOff>
      <xdr:row>18</xdr:row>
      <xdr:rowOff>0</xdr:rowOff>
    </xdr:from>
    <xdr:to>
      <xdr:col>13</xdr:col>
      <xdr:colOff>211238</xdr:colOff>
      <xdr:row>19</xdr:row>
      <xdr:rowOff>0</xdr:rowOff>
    </xdr:to>
    <xdr:sp macro="[0]!Preassures_show" textlink="">
      <xdr:nvSpPr>
        <xdr:cNvPr id="38" name="TextBox 37">
          <a:extLst>
            <a:ext uri="{FF2B5EF4-FFF2-40B4-BE49-F238E27FC236}">
              <a16:creationId xmlns:a16="http://schemas.microsoft.com/office/drawing/2014/main" id="{00000000-0008-0000-0900-000026000000}"/>
            </a:ext>
          </a:extLst>
        </xdr:cNvPr>
        <xdr:cNvSpPr txBox="1"/>
      </xdr:nvSpPr>
      <xdr:spPr>
        <a:xfrm>
          <a:off x="7881938" y="6334125"/>
          <a:ext cx="216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pl-PL" sz="1100">
              <a:solidFill>
                <a:srgbClr val="969696"/>
              </a:solidFill>
              <a:latin typeface="+mn-lt"/>
            </a:rPr>
            <a:t>    </a:t>
          </a:r>
          <a:endParaRPr lang="en-GB" sz="1100">
            <a:solidFill>
              <a:srgbClr val="969696"/>
            </a:solidFill>
            <a:latin typeface="+mn-lt"/>
          </a:endParaRPr>
        </a:p>
      </xdr:txBody>
    </xdr:sp>
    <xdr:clientData fPrintsWithSheet="0"/>
  </xdr:twoCellAnchor>
  <xdr:twoCellAnchor>
    <xdr:from>
      <xdr:col>7</xdr:col>
      <xdr:colOff>155801</xdr:colOff>
      <xdr:row>48</xdr:row>
      <xdr:rowOff>94569</xdr:rowOff>
    </xdr:from>
    <xdr:to>
      <xdr:col>8</xdr:col>
      <xdr:colOff>166007</xdr:colOff>
      <xdr:row>49</xdr:row>
      <xdr:rowOff>159205</xdr:rowOff>
    </xdr:to>
    <xdr:cxnSp macro="">
      <xdr:nvCxnSpPr>
        <xdr:cNvPr id="40" name="Straight Arrow Connector 39">
          <a:extLst>
            <a:ext uri="{FF2B5EF4-FFF2-40B4-BE49-F238E27FC236}">
              <a16:creationId xmlns:a16="http://schemas.microsoft.com/office/drawing/2014/main" id="{00000000-0008-0000-0900-000028000000}"/>
            </a:ext>
          </a:extLst>
        </xdr:cNvPr>
        <xdr:cNvCxnSpPr/>
      </xdr:nvCxnSpPr>
      <xdr:spPr>
        <a:xfrm flipV="1">
          <a:off x="2384651" y="9238569"/>
          <a:ext cx="324531" cy="255136"/>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7</xdr:col>
      <xdr:colOff>155801</xdr:colOff>
      <xdr:row>45</xdr:row>
      <xdr:rowOff>148999</xdr:rowOff>
    </xdr:from>
    <xdr:to>
      <xdr:col>8</xdr:col>
      <xdr:colOff>164806</xdr:colOff>
      <xdr:row>47</xdr:row>
      <xdr:rowOff>66676</xdr:rowOff>
    </xdr:to>
    <xdr:cxnSp macro="">
      <xdr:nvCxnSpPr>
        <xdr:cNvPr id="41" name="Straight Arrow Connector 40">
          <a:extLst>
            <a:ext uri="{FF2B5EF4-FFF2-40B4-BE49-F238E27FC236}">
              <a16:creationId xmlns:a16="http://schemas.microsoft.com/office/drawing/2014/main" id="{00000000-0008-0000-0900-000029000000}"/>
            </a:ext>
          </a:extLst>
        </xdr:cNvPr>
        <xdr:cNvCxnSpPr/>
      </xdr:nvCxnSpPr>
      <xdr:spPr>
        <a:xfrm>
          <a:off x="2384651" y="8721499"/>
          <a:ext cx="323330" cy="298677"/>
        </a:xfrm>
        <a:prstGeom prst="straightConnector1">
          <a:avLst/>
        </a:prstGeom>
        <a:ln w="12700">
          <a:tailEnd type="arrow"/>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139087</xdr:colOff>
      <xdr:row>47</xdr:row>
      <xdr:rowOff>4234</xdr:rowOff>
    </xdr:from>
    <xdr:to>
      <xdr:col>7</xdr:col>
      <xdr:colOff>302585</xdr:colOff>
      <xdr:row>47</xdr:row>
      <xdr:rowOff>178858</xdr:rowOff>
    </xdr:to>
    <xdr:sp macro="" textlink="">
      <xdr:nvSpPr>
        <xdr:cNvPr id="42" name="TextBox 41">
          <a:extLst>
            <a:ext uri="{FF2B5EF4-FFF2-40B4-BE49-F238E27FC236}">
              <a16:creationId xmlns:a16="http://schemas.microsoft.com/office/drawing/2014/main" id="{00000000-0008-0000-0900-00002A000000}"/>
            </a:ext>
          </a:extLst>
        </xdr:cNvPr>
        <xdr:cNvSpPr txBox="1"/>
      </xdr:nvSpPr>
      <xdr:spPr>
        <a:xfrm>
          <a:off x="2053612" y="8957734"/>
          <a:ext cx="477823" cy="174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l-PL" sz="1100">
              <a:latin typeface="+mn-lt"/>
            </a:rPr>
            <a:t>wind</a:t>
          </a:r>
          <a:endParaRPr lang="en-GB" sz="1100">
            <a:latin typeface="+mn-lt"/>
          </a:endParaRPr>
        </a:p>
      </xdr:txBody>
    </xdr:sp>
    <xdr:clientData/>
  </xdr:twoCellAnchor>
  <xdr:twoCellAnchor>
    <xdr:from>
      <xdr:col>5</xdr:col>
      <xdr:colOff>247650</xdr:colOff>
      <xdr:row>39</xdr:row>
      <xdr:rowOff>0</xdr:rowOff>
    </xdr:from>
    <xdr:to>
      <xdr:col>6</xdr:col>
      <xdr:colOff>304800</xdr:colOff>
      <xdr:row>39</xdr:row>
      <xdr:rowOff>0</xdr:rowOff>
    </xdr:to>
    <xdr:cxnSp macro="">
      <xdr:nvCxnSpPr>
        <xdr:cNvPr id="43" name="Straight Connector 42">
          <a:extLst>
            <a:ext uri="{FF2B5EF4-FFF2-40B4-BE49-F238E27FC236}">
              <a16:creationId xmlns:a16="http://schemas.microsoft.com/office/drawing/2014/main" id="{00000000-0008-0000-0900-00002B000000}"/>
            </a:ext>
          </a:extLst>
        </xdr:cNvPr>
        <xdr:cNvCxnSpPr/>
      </xdr:nvCxnSpPr>
      <xdr:spPr>
        <a:xfrm>
          <a:off x="1847850" y="7429500"/>
          <a:ext cx="37147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247650</xdr:colOff>
      <xdr:row>57</xdr:row>
      <xdr:rowOff>0</xdr:rowOff>
    </xdr:from>
    <xdr:to>
      <xdr:col>6</xdr:col>
      <xdr:colOff>285750</xdr:colOff>
      <xdr:row>57</xdr:row>
      <xdr:rowOff>0</xdr:rowOff>
    </xdr:to>
    <xdr:cxnSp macro="">
      <xdr:nvCxnSpPr>
        <xdr:cNvPr id="44" name="Straight Connector 43">
          <a:extLst>
            <a:ext uri="{FF2B5EF4-FFF2-40B4-BE49-F238E27FC236}">
              <a16:creationId xmlns:a16="http://schemas.microsoft.com/office/drawing/2014/main" id="{00000000-0008-0000-0900-00002C000000}"/>
            </a:ext>
          </a:extLst>
        </xdr:cNvPr>
        <xdr:cNvCxnSpPr/>
      </xdr:nvCxnSpPr>
      <xdr:spPr>
        <a:xfrm>
          <a:off x="1847850" y="10858500"/>
          <a:ext cx="35242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52388</xdr:colOff>
      <xdr:row>10</xdr:row>
      <xdr:rowOff>0</xdr:rowOff>
    </xdr:from>
    <xdr:to>
      <xdr:col>14</xdr:col>
      <xdr:colOff>232388</xdr:colOff>
      <xdr:row>11</xdr:row>
      <xdr:rowOff>0</xdr:rowOff>
    </xdr:to>
    <xdr:sp macro="[0]!Airflow_Over_Canopy_Roof_show" textlink="">
      <xdr:nvSpPr>
        <xdr:cNvPr id="23" name="TextBox 22">
          <a:extLst>
            <a:ext uri="{FF2B5EF4-FFF2-40B4-BE49-F238E27FC236}">
              <a16:creationId xmlns:a16="http://schemas.microsoft.com/office/drawing/2014/main" id="{00000000-0008-0000-0900-000017000000}"/>
            </a:ext>
          </a:extLst>
        </xdr:cNvPr>
        <xdr:cNvSpPr txBox="1"/>
      </xdr:nvSpPr>
      <xdr:spPr>
        <a:xfrm>
          <a:off x="4167188" y="3400425"/>
          <a:ext cx="180000" cy="209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14</xdr:col>
      <xdr:colOff>52388</xdr:colOff>
      <xdr:row>15</xdr:row>
      <xdr:rowOff>0</xdr:rowOff>
    </xdr:from>
    <xdr:to>
      <xdr:col>14</xdr:col>
      <xdr:colOff>232388</xdr:colOff>
      <xdr:row>16</xdr:row>
      <xdr:rowOff>0</xdr:rowOff>
    </xdr:to>
    <xdr:sp macro="[0]!Monopitch_Canopy" textlink="">
      <xdr:nvSpPr>
        <xdr:cNvPr id="24" name="TextBox 23">
          <a:extLst>
            <a:ext uri="{FF2B5EF4-FFF2-40B4-BE49-F238E27FC236}">
              <a16:creationId xmlns:a16="http://schemas.microsoft.com/office/drawing/2014/main" id="{00000000-0008-0000-0900-000018000000}"/>
            </a:ext>
          </a:extLst>
        </xdr:cNvPr>
        <xdr:cNvSpPr txBox="1"/>
      </xdr:nvSpPr>
      <xdr:spPr>
        <a:xfrm>
          <a:off x="4153741" y="1905000"/>
          <a:ext cx="180000" cy="190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26</xdr:col>
      <xdr:colOff>119623</xdr:colOff>
      <xdr:row>7</xdr:row>
      <xdr:rowOff>201705</xdr:rowOff>
    </xdr:from>
    <xdr:to>
      <xdr:col>26</xdr:col>
      <xdr:colOff>299623</xdr:colOff>
      <xdr:row>8</xdr:row>
      <xdr:rowOff>201705</xdr:rowOff>
    </xdr:to>
    <xdr:sp macro="[0]!Location_of_Force_Monopitch_Canopy_show" textlink="">
      <xdr:nvSpPr>
        <xdr:cNvPr id="25" name="TextBox 24">
          <a:extLst>
            <a:ext uri="{FF2B5EF4-FFF2-40B4-BE49-F238E27FC236}">
              <a16:creationId xmlns:a16="http://schemas.microsoft.com/office/drawing/2014/main" id="{00000000-0008-0000-0900-000019000000}"/>
            </a:ext>
          </a:extLst>
        </xdr:cNvPr>
        <xdr:cNvSpPr txBox="1"/>
      </xdr:nvSpPr>
      <xdr:spPr>
        <a:xfrm>
          <a:off x="7986152" y="1927411"/>
          <a:ext cx="180000" cy="212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twoCellAnchor>
    <xdr:from>
      <xdr:col>14</xdr:col>
      <xdr:colOff>52388</xdr:colOff>
      <xdr:row>16</xdr:row>
      <xdr:rowOff>0</xdr:rowOff>
    </xdr:from>
    <xdr:to>
      <xdr:col>14</xdr:col>
      <xdr:colOff>232388</xdr:colOff>
      <xdr:row>17</xdr:row>
      <xdr:rowOff>0</xdr:rowOff>
    </xdr:to>
    <xdr:sp macro="[0]!Monopitch_Canopy_angle" textlink="">
      <xdr:nvSpPr>
        <xdr:cNvPr id="13" name="TextBox 12">
          <a:extLst>
            <a:ext uri="{FF2B5EF4-FFF2-40B4-BE49-F238E27FC236}">
              <a16:creationId xmlns:a16="http://schemas.microsoft.com/office/drawing/2014/main" id="{00000000-0008-0000-0900-00000D000000}"/>
            </a:ext>
          </a:extLst>
        </xdr:cNvPr>
        <xdr:cNvSpPr txBox="1"/>
      </xdr:nvSpPr>
      <xdr:spPr>
        <a:xfrm>
          <a:off x="4153741" y="3429000"/>
          <a:ext cx="180000" cy="212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ctr"/>
        <a:lstStyle/>
        <a:p>
          <a:pPr algn="l"/>
          <a:r>
            <a:rPr lang="pl-PL" sz="1100">
              <a:solidFill>
                <a:srgbClr val="969696"/>
              </a:solidFill>
              <a:latin typeface="+mn-lt"/>
            </a:rPr>
            <a:t>(?)</a:t>
          </a:r>
          <a:endParaRPr lang="en-GB" sz="1100">
            <a:solidFill>
              <a:srgbClr val="969696"/>
            </a:solidFill>
            <a:latin typeface="+mn-lt"/>
          </a:endParaRPr>
        </a:p>
      </xdr:txBody>
    </xdr:sp>
    <xdr:clientData fPrintsWithSheet="0"/>
  </xdr:twoCellAnchor>
  <xdr:absoluteAnchor>
    <xdr:pos x="8562975" y="1057275"/>
    <xdr:ext cx="1130300" cy="342900"/>
    <xdr:sp macro="[0]!printme" textlink="">
      <xdr:nvSpPr>
        <xdr:cNvPr id="14" name="Rounded Rectangle 2">
          <a:extLst>
            <a:ext uri="{FF2B5EF4-FFF2-40B4-BE49-F238E27FC236}">
              <a16:creationId xmlns:a16="http://schemas.microsoft.com/office/drawing/2014/main" id="{00000000-0008-0000-0900-00000E000000}"/>
            </a:ext>
          </a:extLst>
        </xdr:cNvPr>
        <xdr:cNvSpPr>
          <a:spLocks noChangeAspect="1" noChangeArrowheads="1"/>
        </xdr:cNvSpPr>
      </xdr:nvSpPr>
      <xdr:spPr bwMode="auto">
        <a:xfrm>
          <a:off x="8562975" y="1057275"/>
          <a:ext cx="1130300" cy="3429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1" i="0" u="none" strike="noStrike" baseline="0">
              <a:solidFill>
                <a:srgbClr val="333333"/>
              </a:solidFill>
              <a:latin typeface="Arial"/>
              <a:ea typeface="Arial"/>
              <a:cs typeface="Arial"/>
            </a:rPr>
            <a:t>Print Me</a:t>
          </a:r>
        </a:p>
      </xdr:txBody>
    </xdr:sp>
    <xdr:clientData fPrintsWithSheet="0"/>
  </xdr:absoluteAnchor>
  <xdr:absoluteAnchor>
    <xdr:pos x="8562975" y="1514475"/>
    <xdr:ext cx="1130300" cy="457200"/>
    <xdr:sp macro="[0]!Import_Wind_Window_show" textlink="">
      <xdr:nvSpPr>
        <xdr:cNvPr id="15" name="Rounded Rectangle 2">
          <a:extLst>
            <a:ext uri="{FF2B5EF4-FFF2-40B4-BE49-F238E27FC236}">
              <a16:creationId xmlns:a16="http://schemas.microsoft.com/office/drawing/2014/main" id="{00000000-0008-0000-0900-00000F000000}"/>
            </a:ext>
          </a:extLst>
        </xdr:cNvPr>
        <xdr:cNvSpPr>
          <a:spLocks noChangeAspect="1" noChangeArrowheads="1"/>
        </xdr:cNvSpPr>
      </xdr:nvSpPr>
      <xdr:spPr bwMode="auto">
        <a:xfrm>
          <a:off x="8562975" y="1514475"/>
          <a:ext cx="1130300" cy="457200"/>
        </a:xfrm>
        <a:prstGeom prst="roundRect">
          <a:avLst>
            <a:gd name="adj" fmla="val 8292"/>
          </a:avLst>
        </a:prstGeom>
        <a:solidFill>
          <a:srgbClr val="DDDDDD"/>
        </a:solidFill>
        <a:ln w="15875">
          <a:solidFill>
            <a:schemeClr val="bg1">
              <a:lumMod val="65000"/>
            </a:schemeClr>
          </a:solidFill>
          <a:round/>
          <a:headEnd/>
          <a:tailEnd/>
        </a:ln>
        <a:effectLst>
          <a:outerShdw blurRad="50800" dist="38100" dir="2700000" algn="tl" rotWithShape="0">
            <a:srgbClr val="000000">
              <a:alpha val="39999"/>
            </a:srgbClr>
          </a:outerShdw>
        </a:effectLst>
      </xdr:spPr>
      <xdr:txBody>
        <a:bodyPr vertOverflow="clip" wrap="square" lIns="91440" tIns="0" rIns="91440" bIns="0" anchor="ctr" upright="1"/>
        <a:lstStyle/>
        <a:p>
          <a:pPr algn="ctr" rtl="0">
            <a:defRPr sz="1000"/>
          </a:pPr>
          <a:r>
            <a:rPr lang="hu-HU" sz="1100" b="0" i="0" u="none" strike="noStrike" baseline="0">
              <a:solidFill>
                <a:srgbClr val="333333"/>
              </a:solidFill>
              <a:latin typeface="Arial"/>
              <a:ea typeface="Arial"/>
              <a:cs typeface="Arial"/>
            </a:rPr>
            <a:t>Import wind pressure etc.</a:t>
          </a:r>
        </a:p>
      </xdr:txBody>
    </xdr:sp>
    <xdr:clientData fPrintsWithSheet="0"/>
  </xdr:absoluteAnchor>
  <xdr:twoCellAnchor editAs="absolute">
    <xdr:from>
      <xdr:col>29</xdr:col>
      <xdr:colOff>0</xdr:colOff>
      <xdr:row>11</xdr:row>
      <xdr:rowOff>0</xdr:rowOff>
    </xdr:from>
    <xdr:to>
      <xdr:col>49</xdr:col>
      <xdr:colOff>600075</xdr:colOff>
      <xdr:row>21</xdr:row>
      <xdr:rowOff>85725</xdr:rowOff>
    </xdr:to>
    <xdr:sp macro="" textlink="">
      <xdr:nvSpPr>
        <xdr:cNvPr id="16" name="TextBox 15">
          <a:extLst>
            <a:ext uri="{FF2B5EF4-FFF2-40B4-BE49-F238E27FC236}">
              <a16:creationId xmlns:a16="http://schemas.microsoft.com/office/drawing/2014/main" id="{00000000-0008-0000-0900-000010000000}"/>
            </a:ext>
          </a:extLst>
        </xdr:cNvPr>
        <xdr:cNvSpPr txBox="1"/>
      </xdr:nvSpPr>
      <xdr:spPr>
        <a:xfrm>
          <a:off x="8562975" y="2562225"/>
          <a:ext cx="2428875" cy="2181225"/>
        </a:xfrm>
        <a:prstGeom prst="rect">
          <a:avLst/>
        </a:prstGeom>
        <a:no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rgbClr val="FF0000"/>
              </a:solidFill>
            </a:rPr>
            <a:t>NOTE 1: </a:t>
          </a:r>
          <a:r>
            <a:rPr lang="en-GB" sz="1100" b="1">
              <a:solidFill>
                <a:srgbClr val="0000CC"/>
              </a:solidFill>
            </a:rPr>
            <a:t>YOU HAVE TO ENABLE</a:t>
          </a:r>
          <a:r>
            <a:rPr lang="en-GB" sz="1100" b="1" baseline="0">
              <a:solidFill>
                <a:srgbClr val="0000CC"/>
              </a:solidFill>
            </a:rPr>
            <a:t> MACROS TO </a:t>
          </a:r>
          <a:r>
            <a:rPr lang="pl-PL" sz="1100" b="1" baseline="0">
              <a:solidFill>
                <a:srgbClr val="0000CC"/>
              </a:solidFill>
            </a:rPr>
            <a:t>IMPORT WIND PROPERTIES</a:t>
          </a:r>
          <a:r>
            <a:rPr lang="pl-PL" sz="1100" b="1" baseline="0">
              <a:solidFill>
                <a:srgbClr val="0000CC"/>
              </a:solidFill>
              <a:latin typeface="+mn-lt"/>
              <a:ea typeface="+mn-ea"/>
              <a:cs typeface="+mn-cs"/>
            </a:rPr>
            <a:t>, CHANGE STRUCTURE TYPE ETC.</a:t>
          </a:r>
        </a:p>
        <a:p>
          <a:endParaRPr lang="en-GB" sz="1100" b="1">
            <a:solidFill>
              <a:srgbClr val="FF0000"/>
            </a:solidFill>
          </a:endParaRPr>
        </a:p>
        <a:p>
          <a:r>
            <a:rPr lang="en-GB" sz="1100" b="1">
              <a:solidFill>
                <a:srgbClr val="FF0000"/>
              </a:solidFill>
            </a:rPr>
            <a:t>NOTE 2: </a:t>
          </a:r>
          <a:r>
            <a:rPr lang="en-GB" sz="1100">
              <a:solidFill>
                <a:schemeClr val="dk1"/>
              </a:solidFill>
              <a:effectLst/>
              <a:latin typeface="+mn-lt"/>
              <a:ea typeface="+mn-ea"/>
              <a:cs typeface="+mn-cs"/>
            </a:rPr>
            <a:t>In this </a:t>
          </a:r>
          <a:r>
            <a:rPr lang="pl-PL" sz="1100">
              <a:solidFill>
                <a:schemeClr val="dk1"/>
              </a:solidFill>
              <a:effectLst/>
              <a:latin typeface="+mn-lt"/>
              <a:ea typeface="+mn-ea"/>
              <a:cs typeface="+mn-cs"/>
            </a:rPr>
            <a:t>FREE L</a:t>
          </a:r>
          <a:r>
            <a:rPr lang="en-GB" sz="1100">
              <a:solidFill>
                <a:schemeClr val="dk1"/>
              </a:solidFill>
              <a:effectLst/>
              <a:latin typeface="+mn-lt"/>
              <a:ea typeface="+mn-ea"/>
              <a:cs typeface="+mn-cs"/>
            </a:rPr>
            <a:t>ite version you cannot change the company logo nor company information. Also, cells marked with this colour</a:t>
          </a:r>
          <a:r>
            <a:rPr lang="en-GB" sz="1100" baseline="0">
              <a:solidFill>
                <a:schemeClr val="dk1"/>
              </a:solidFill>
              <a:effectLst/>
              <a:latin typeface="+mn-lt"/>
              <a:ea typeface="+mn-ea"/>
              <a:cs typeface="+mn-cs"/>
            </a:rPr>
            <a:t> are locked:</a:t>
          </a:r>
          <a:endParaRPr lang="en-GB">
            <a:effectLst/>
          </a:endParaRPr>
        </a:p>
      </xdr:txBody>
    </xdr:sp>
    <xdr:clientData/>
  </xdr:twoCellAnchor>
  <xdr:twoCellAnchor editAs="absolute">
    <xdr:from>
      <xdr:col>46</xdr:col>
      <xdr:colOff>86934</xdr:colOff>
      <xdr:row>19</xdr:row>
      <xdr:rowOff>3553</xdr:rowOff>
    </xdr:from>
    <xdr:to>
      <xdr:col>47</xdr:col>
      <xdr:colOff>232833</xdr:colOff>
      <xdr:row>20</xdr:row>
      <xdr:rowOff>85045</xdr:rowOff>
    </xdr:to>
    <xdr:sp macro="" textlink="">
      <xdr:nvSpPr>
        <xdr:cNvPr id="17" name="Rectangle 16">
          <a:extLst>
            <a:ext uri="{FF2B5EF4-FFF2-40B4-BE49-F238E27FC236}">
              <a16:creationId xmlns:a16="http://schemas.microsoft.com/office/drawing/2014/main" id="{00000000-0008-0000-0900-000011000000}"/>
            </a:ext>
          </a:extLst>
        </xdr:cNvPr>
        <xdr:cNvSpPr/>
      </xdr:nvSpPr>
      <xdr:spPr>
        <a:xfrm>
          <a:off x="8649909" y="4242178"/>
          <a:ext cx="755499" cy="291042"/>
        </a:xfrm>
        <a:prstGeom prst="rect">
          <a:avLst/>
        </a:prstGeom>
        <a:solidFill>
          <a:srgbClr val="CCFF33"/>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GB"/>
        </a:p>
      </xdr:txBody>
    </xdr:sp>
    <xdr:clientData/>
  </xdr:twoCellAnchor>
  <xdr:twoCellAnchor editAs="absolute">
    <xdr:from>
      <xdr:col>47</xdr:col>
      <xdr:colOff>318558</xdr:colOff>
      <xdr:row>19</xdr:row>
      <xdr:rowOff>22604</xdr:rowOff>
    </xdr:from>
    <xdr:to>
      <xdr:col>48</xdr:col>
      <xdr:colOff>458258</xdr:colOff>
      <xdr:row>20</xdr:row>
      <xdr:rowOff>65995</xdr:rowOff>
    </xdr:to>
    <xdr:sp macro="" textlink="">
      <xdr:nvSpPr>
        <xdr:cNvPr id="18" name="TextBox 17">
          <a:extLst>
            <a:ext uri="{FF2B5EF4-FFF2-40B4-BE49-F238E27FC236}">
              <a16:creationId xmlns:a16="http://schemas.microsoft.com/office/drawing/2014/main" id="{00000000-0008-0000-0900-000012000000}"/>
            </a:ext>
          </a:extLst>
        </xdr:cNvPr>
        <xdr:cNvSpPr txBox="1"/>
      </xdr:nvSpPr>
      <xdr:spPr>
        <a:xfrm>
          <a:off x="9491133" y="4261229"/>
          <a:ext cx="749300" cy="2529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a:t>LOCKED</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7.bin"/><Relationship Id="rId1" Type="http://schemas.openxmlformats.org/officeDocument/2006/relationships/hyperlink" Target="http://www.yourspreadsheets.co.uk/"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8.bin"/><Relationship Id="rId1" Type="http://schemas.openxmlformats.org/officeDocument/2006/relationships/hyperlink" Target="http://www.yourspreadsheets.co.uk/"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www.yourspreadsheets.co.uk/checkout.html" TargetMode="External"/><Relationship Id="rId2" Type="http://schemas.openxmlformats.org/officeDocument/2006/relationships/hyperlink" Target="mailto:info@yourspreadsheets.co.uk" TargetMode="External"/><Relationship Id="rId1" Type="http://schemas.openxmlformats.org/officeDocument/2006/relationships/hyperlink" Target="http://www.yourspreadsheets.co.uk/" TargetMode="External"/><Relationship Id="rId4"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www.yourspreadsheets.co.uk/"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www.yourspreadsheets.co.uk/"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yourspreadsheets.co.uk/" TargetMode="External"/><Relationship Id="rId1" Type="http://schemas.openxmlformats.org/officeDocument/2006/relationships/printerSettings" Target="../printerSettings/printerSettings5.bin"/><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yourspreadsheets.co.uk/" TargetMode="External"/><Relationship Id="rId1" Type="http://schemas.openxmlformats.org/officeDocument/2006/relationships/printerSettings" Target="../printerSettings/printerSettings7.bin"/><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yourspreadsheets.co.uk/" TargetMode="External"/><Relationship Id="rId1" Type="http://schemas.openxmlformats.org/officeDocument/2006/relationships/printerSettings" Target="../printerSettings/printerSettings9.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yourspreadsheets.co.uk/" TargetMode="External"/><Relationship Id="rId1" Type="http://schemas.openxmlformats.org/officeDocument/2006/relationships/printerSettings" Target="../printerSettings/printerSettings11.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www.yourspreadsheets.co.uk/" TargetMode="External"/><Relationship Id="rId1" Type="http://schemas.openxmlformats.org/officeDocument/2006/relationships/printerSettings" Target="../printerSettings/printerSettings13.bin"/><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www.yourspreadsheets.co.uk/" TargetMode="External"/><Relationship Id="rId1" Type="http://schemas.openxmlformats.org/officeDocument/2006/relationships/printerSettings" Target="../printerSettings/printerSettings15.bin"/><Relationship Id="rId4"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Z463"/>
  <sheetViews>
    <sheetView topLeftCell="E1" zoomScaleNormal="100" zoomScaleSheetLayoutView="100" workbookViewId="0">
      <selection activeCell="L3" sqref="L3"/>
    </sheetView>
  </sheetViews>
  <sheetFormatPr defaultRowHeight="12.75"/>
  <cols>
    <col min="1" max="1" width="11" style="347" bestFit="1" customWidth="1"/>
    <col min="2" max="2" width="9.140625" style="345"/>
    <col min="3" max="3" width="19.5703125" style="346" customWidth="1"/>
    <col min="4" max="11" width="9.140625" style="345"/>
    <col min="12" max="24" width="9.140625" style="347" customWidth="1"/>
    <col min="25" max="16384" width="9.140625" style="347"/>
  </cols>
  <sheetData>
    <row r="1" spans="1:26" ht="13.5" thickBot="1">
      <c r="B1" s="345">
        <f>IFERROR(B2,0)</f>
        <v>7</v>
      </c>
      <c r="C1" s="346" t="s">
        <v>631</v>
      </c>
      <c r="K1" s="520" t="s">
        <v>677</v>
      </c>
      <c r="L1" s="520"/>
      <c r="M1" s="520"/>
    </row>
    <row r="2" spans="1:26" ht="15" thickBot="1">
      <c r="A2" s="347" t="s">
        <v>624</v>
      </c>
      <c r="B2" s="381">
        <f>MATCH('wind pressure'!L9,Database!C3:C37,0)</f>
        <v>7</v>
      </c>
      <c r="C2" s="383" t="s">
        <v>0</v>
      </c>
      <c r="D2" s="384" t="s">
        <v>211</v>
      </c>
      <c r="E2" s="384" t="s">
        <v>1</v>
      </c>
      <c r="F2" s="385" t="s">
        <v>312</v>
      </c>
      <c r="G2" s="385" t="s">
        <v>315</v>
      </c>
      <c r="H2" s="385" t="s">
        <v>314</v>
      </c>
      <c r="I2" s="385" t="s">
        <v>313</v>
      </c>
      <c r="J2" s="385" t="s">
        <v>317</v>
      </c>
      <c r="K2" s="385"/>
      <c r="L2" s="385" t="s">
        <v>48</v>
      </c>
      <c r="M2" s="385" t="s">
        <v>49</v>
      </c>
      <c r="O2" s="378">
        <v>3</v>
      </c>
      <c r="P2" s="379" t="s">
        <v>47</v>
      </c>
      <c r="Q2" s="380" t="s">
        <v>38</v>
      </c>
      <c r="R2" s="380" t="s">
        <v>39</v>
      </c>
      <c r="Y2" s="385" t="s">
        <v>48</v>
      </c>
      <c r="Z2" s="385" t="s">
        <v>49</v>
      </c>
    </row>
    <row r="3" spans="1:26" ht="12.75" customHeight="1">
      <c r="A3" s="347" t="s">
        <v>589</v>
      </c>
      <c r="B3" s="348">
        <v>1</v>
      </c>
      <c r="C3" s="1" t="s">
        <v>2</v>
      </c>
      <c r="D3" s="2">
        <v>25.7</v>
      </c>
      <c r="E3" s="349">
        <v>61</v>
      </c>
      <c r="F3" s="386">
        <v>58</v>
      </c>
      <c r="G3" s="386">
        <v>1.5</v>
      </c>
      <c r="H3" s="386">
        <v>9.5</v>
      </c>
      <c r="I3" s="386">
        <v>200</v>
      </c>
      <c r="J3" s="387">
        <v>4.5</v>
      </c>
      <c r="K3" s="387">
        <f t="shared" ref="K3:K66" si="0">ROUNDDOWN(ROW()-3,-1)+1</f>
        <v>1</v>
      </c>
      <c r="L3" s="387">
        <v>310</v>
      </c>
      <c r="M3" s="387">
        <f>IFERROR(INDEX($Z$3:$Z$39,MATCH(L3,$Y$3:$Y$39,0)),(INDEX(Factor,K3+10)-INDEX(Factor,K3))/(INDEX(Degrees,K3+10)-INDEX(Degrees,K3))*(L3-INDEX(Degrees,K3))+INDEX(Factor,K3))</f>
        <v>0.88</v>
      </c>
      <c r="O3" s="2">
        <v>1</v>
      </c>
      <c r="P3" s="2" t="s">
        <v>62</v>
      </c>
      <c r="Q3" s="352">
        <v>0.03</v>
      </c>
      <c r="R3" s="352">
        <v>1</v>
      </c>
      <c r="Y3" s="350">
        <v>0</v>
      </c>
      <c r="Z3" s="351">
        <v>0.78</v>
      </c>
    </row>
    <row r="4" spans="1:26" ht="12.75" customHeight="1">
      <c r="A4" s="347" t="s">
        <v>590</v>
      </c>
      <c r="B4" s="348">
        <v>2</v>
      </c>
      <c r="C4" s="1" t="s">
        <v>3</v>
      </c>
      <c r="D4" s="2">
        <v>23.9</v>
      </c>
      <c r="E4" s="349">
        <v>57</v>
      </c>
      <c r="F4" s="386">
        <v>4.5</v>
      </c>
      <c r="G4" s="386">
        <v>200</v>
      </c>
      <c r="H4" s="386">
        <v>200</v>
      </c>
      <c r="I4" s="386">
        <v>0.5</v>
      </c>
      <c r="J4" s="387">
        <v>2.5</v>
      </c>
      <c r="K4" s="387">
        <f t="shared" si="0"/>
        <v>1</v>
      </c>
      <c r="L4" s="387">
        <v>311</v>
      </c>
      <c r="M4" s="387">
        <f>IFERROR(INDEX($Z$3:$Z$39,MATCH(L4,$Y$3:$Y$39,0)),(INDEX(Factor,K4+10)-INDEX(Factor,K4))/(INDEX(Degrees,K4+10)-INDEX(Degrees,K4))*(L4-INDEX(Degrees,K4))+INDEX(Factor,K4))</f>
        <v>0.877</v>
      </c>
      <c r="O4" s="2">
        <v>2</v>
      </c>
      <c r="P4" s="2" t="s">
        <v>55</v>
      </c>
      <c r="Q4" s="352">
        <v>0.05</v>
      </c>
      <c r="R4" s="352">
        <v>2</v>
      </c>
      <c r="Y4" s="350">
        <v>10</v>
      </c>
      <c r="Z4" s="351">
        <v>0.76</v>
      </c>
    </row>
    <row r="5" spans="1:26" ht="12.75" customHeight="1">
      <c r="A5" s="347" t="s">
        <v>591</v>
      </c>
      <c r="B5" s="348">
        <v>3</v>
      </c>
      <c r="C5" s="1" t="s">
        <v>4</v>
      </c>
      <c r="D5" s="2">
        <v>21.6</v>
      </c>
      <c r="E5" s="349">
        <v>31</v>
      </c>
      <c r="F5" s="386">
        <v>200</v>
      </c>
      <c r="G5" s="386">
        <v>132</v>
      </c>
      <c r="H5" s="386">
        <v>145</v>
      </c>
      <c r="I5" s="386">
        <v>200</v>
      </c>
      <c r="J5" s="387">
        <v>3.5</v>
      </c>
      <c r="K5" s="387">
        <f t="shared" si="0"/>
        <v>1</v>
      </c>
      <c r="L5" s="387">
        <v>312</v>
      </c>
      <c r="M5" s="387">
        <f>IFERROR(INDEX($Z$3:$Z$39,MATCH(L5,$Y$3:$Y$39,0)),(INDEX(Factor,K5+10)-INDEX(Factor,K5))/(INDEX(Degrees,K5+10)-INDEX(Degrees,K5))*(L5-INDEX(Degrees,K5))+INDEX(Factor,K5))</f>
        <v>0.874</v>
      </c>
      <c r="O5" s="2">
        <v>3</v>
      </c>
      <c r="P5" s="2" t="s">
        <v>56</v>
      </c>
      <c r="Q5" s="352">
        <v>0.3</v>
      </c>
      <c r="R5" s="352">
        <v>5</v>
      </c>
      <c r="Y5" s="350">
        <v>20</v>
      </c>
      <c r="Z5" s="351">
        <v>0.74</v>
      </c>
    </row>
    <row r="6" spans="1:26" ht="12.75" customHeight="1">
      <c r="A6" s="347" t="s">
        <v>592</v>
      </c>
      <c r="B6" s="348">
        <v>4</v>
      </c>
      <c r="C6" s="1" t="s">
        <v>5</v>
      </c>
      <c r="D6" s="2">
        <v>25.5</v>
      </c>
      <c r="E6" s="349">
        <v>15</v>
      </c>
      <c r="F6" s="386">
        <v>5</v>
      </c>
      <c r="G6" s="386">
        <v>25</v>
      </c>
      <c r="H6" s="386">
        <v>45</v>
      </c>
      <c r="I6" s="386">
        <v>200</v>
      </c>
      <c r="J6" s="387">
        <v>3.5</v>
      </c>
      <c r="K6" s="387">
        <f t="shared" si="0"/>
        <v>1</v>
      </c>
      <c r="L6" s="387">
        <v>313</v>
      </c>
      <c r="M6" s="387">
        <f>IFERROR(INDEX($Z$3:$Z$39,MATCH(L6,$Y$3:$Y$39,0)),(INDEX(Factor,K6+10)-INDEX(Factor,K6))/(INDEX(Degrees,K6+10)-INDEX(Degrees,K6))*(L6-INDEX(Degrees,K6))+INDEX(Factor,K6))</f>
        <v>0.871</v>
      </c>
      <c r="O6" s="353"/>
      <c r="P6" s="353"/>
      <c r="Q6" s="354"/>
      <c r="R6" s="354"/>
      <c r="Y6" s="350">
        <v>30</v>
      </c>
      <c r="Z6" s="351">
        <v>0.73</v>
      </c>
    </row>
    <row r="7" spans="1:26" ht="12.75" customHeight="1">
      <c r="A7" s="347" t="s">
        <v>593</v>
      </c>
      <c r="B7" s="348">
        <v>5</v>
      </c>
      <c r="C7" s="1" t="s">
        <v>6</v>
      </c>
      <c r="D7" s="2">
        <v>21.7</v>
      </c>
      <c r="E7" s="349">
        <v>120</v>
      </c>
      <c r="F7" s="386">
        <v>200</v>
      </c>
      <c r="G7" s="386">
        <v>200</v>
      </c>
      <c r="H7" s="386">
        <v>200</v>
      </c>
      <c r="I7" s="386">
        <v>152</v>
      </c>
      <c r="J7" s="387">
        <v>14</v>
      </c>
      <c r="K7" s="387">
        <f t="shared" si="0"/>
        <v>1</v>
      </c>
      <c r="L7" s="387">
        <v>314</v>
      </c>
      <c r="M7" s="387">
        <f>IFERROR(INDEX($Z$3:$Z$39,MATCH(L7,$Y$3:$Y$39,0)),(INDEX(Factor,K7+10)-INDEX(Factor,K7))/(INDEX(Degrees,K7+10)-INDEX(Degrees,K7))*(L7-INDEX(Degrees,K7))+INDEX(Factor,K7))</f>
        <v>0.86799999999999999</v>
      </c>
      <c r="Y7" s="350">
        <v>40</v>
      </c>
      <c r="Z7" s="351">
        <v>0.73</v>
      </c>
    </row>
    <row r="8" spans="1:26" ht="13.5" thickBot="1">
      <c r="A8" s="347" t="s">
        <v>594</v>
      </c>
      <c r="B8" s="348">
        <v>6</v>
      </c>
      <c r="C8" s="1" t="s">
        <v>7</v>
      </c>
      <c r="D8" s="2">
        <v>21.9</v>
      </c>
      <c r="E8" s="349">
        <v>37</v>
      </c>
      <c r="F8" s="386">
        <v>200</v>
      </c>
      <c r="G8" s="386">
        <v>200</v>
      </c>
      <c r="H8" s="386">
        <v>2</v>
      </c>
      <c r="I8" s="386">
        <v>200</v>
      </c>
      <c r="J8" s="387">
        <v>12</v>
      </c>
      <c r="K8" s="387">
        <f t="shared" si="0"/>
        <v>1</v>
      </c>
      <c r="L8" s="387">
        <v>315</v>
      </c>
      <c r="M8" s="387">
        <f>IFERROR(INDEX($Z$3:$Z$39,MATCH(L8,$Y$3:$Y$39,0)),(INDEX(Factor,K8+10)-INDEX(Factor,K8))/(INDEX(Degrees,K8+10)-INDEX(Degrees,K8))*(L8-INDEX(Degrees,K8))+INDEX(Factor,K8))</f>
        <v>0.86499999999999999</v>
      </c>
      <c r="O8" s="310"/>
      <c r="P8" s="310"/>
      <c r="Q8" s="310"/>
      <c r="R8" s="310"/>
      <c r="Y8" s="350">
        <v>50</v>
      </c>
      <c r="Z8" s="351">
        <v>0.73</v>
      </c>
    </row>
    <row r="9" spans="1:26" ht="13.5" thickBot="1">
      <c r="A9" s="347" t="s">
        <v>595</v>
      </c>
      <c r="B9" s="348">
        <v>7</v>
      </c>
      <c r="C9" s="1" t="s">
        <v>8</v>
      </c>
      <c r="D9" s="2">
        <v>21.6</v>
      </c>
      <c r="E9" s="349">
        <v>112</v>
      </c>
      <c r="F9" s="386">
        <v>200</v>
      </c>
      <c r="G9" s="386">
        <v>54</v>
      </c>
      <c r="H9" s="386">
        <v>0.5</v>
      </c>
      <c r="I9" s="386">
        <v>200</v>
      </c>
      <c r="J9" s="387">
        <v>6</v>
      </c>
      <c r="K9" s="387">
        <f t="shared" si="0"/>
        <v>1</v>
      </c>
      <c r="L9" s="387">
        <v>316</v>
      </c>
      <c r="M9" s="387">
        <f>IFERROR(INDEX($Z$3:$Z$39,MATCH(L9,$Y$3:$Y$39,0)),(INDEX(Factor,K9+10)-INDEX(Factor,K9))/(INDEX(Degrees,K9+10)-INDEX(Degrees,K9))*(L9-INDEX(Degrees,K9))+INDEX(Factor,K9))</f>
        <v>0.86199999999999999</v>
      </c>
      <c r="O9" s="378">
        <f>IF('wind pressure'!Z11&gt;=0,2,1)</f>
        <v>1</v>
      </c>
      <c r="P9" s="310" t="s">
        <v>37</v>
      </c>
      <c r="Q9" s="310"/>
      <c r="Y9" s="350">
        <v>60</v>
      </c>
      <c r="Z9" s="351">
        <v>0.73</v>
      </c>
    </row>
    <row r="10" spans="1:26">
      <c r="A10" s="347" t="s">
        <v>596</v>
      </c>
      <c r="B10" s="348">
        <v>8</v>
      </c>
      <c r="C10" s="1" t="s">
        <v>9</v>
      </c>
      <c r="D10" s="2">
        <v>22</v>
      </c>
      <c r="E10" s="349">
        <v>72</v>
      </c>
      <c r="F10" s="386">
        <v>200</v>
      </c>
      <c r="G10" s="386">
        <v>200</v>
      </c>
      <c r="H10" s="386">
        <v>88</v>
      </c>
      <c r="I10" s="386">
        <v>119</v>
      </c>
      <c r="J10" s="387">
        <v>9</v>
      </c>
      <c r="K10" s="387">
        <f t="shared" si="0"/>
        <v>1</v>
      </c>
      <c r="L10" s="387">
        <v>317</v>
      </c>
      <c r="M10" s="387">
        <f>IFERROR(INDEX($Z$3:$Z$39,MATCH(L10,$Y$3:$Y$39,0)),(INDEX(Factor,K10+10)-INDEX(Factor,K10))/(INDEX(Degrees,K10+10)-INDEX(Degrees,K10))*(L10-INDEX(Degrees,K10))+INDEX(Factor,K10))</f>
        <v>0.85899999999999999</v>
      </c>
      <c r="O10" s="345">
        <v>1</v>
      </c>
      <c r="P10" s="347" t="s">
        <v>65</v>
      </c>
      <c r="Q10" s="353"/>
      <c r="Y10" s="350">
        <v>70</v>
      </c>
      <c r="Z10" s="351">
        <v>0.73</v>
      </c>
    </row>
    <row r="11" spans="1:26">
      <c r="A11" s="347" t="s">
        <v>597</v>
      </c>
      <c r="B11" s="348">
        <v>9</v>
      </c>
      <c r="C11" s="1" t="s">
        <v>10</v>
      </c>
      <c r="D11" s="2">
        <v>22.7</v>
      </c>
      <c r="E11" s="349">
        <v>12</v>
      </c>
      <c r="F11" s="386">
        <v>200</v>
      </c>
      <c r="G11" s="386">
        <v>4</v>
      </c>
      <c r="H11" s="386">
        <v>9</v>
      </c>
      <c r="I11" s="386">
        <v>39</v>
      </c>
      <c r="J11" s="387">
        <v>7</v>
      </c>
      <c r="K11" s="387">
        <f t="shared" si="0"/>
        <v>1</v>
      </c>
      <c r="L11" s="387">
        <v>318</v>
      </c>
      <c r="M11" s="387">
        <f>IFERROR(INDEX($Z$3:$Z$39,MATCH(L11,$Y$3:$Y$39,0)),(INDEX(Factor,K11+10)-INDEX(Factor,K11))/(INDEX(Degrees,K11+10)-INDEX(Degrees,K11))*(L11-INDEX(Degrees,K11))+INDEX(Factor,K11))</f>
        <v>0.85599999999999998</v>
      </c>
      <c r="O11" s="345">
        <v>2</v>
      </c>
      <c r="P11" s="347" t="s">
        <v>66</v>
      </c>
      <c r="Q11" s="355"/>
      <c r="Y11" s="350">
        <v>80</v>
      </c>
      <c r="Z11" s="351">
        <v>0.74</v>
      </c>
    </row>
    <row r="12" spans="1:26">
      <c r="A12" s="347" t="s">
        <v>598</v>
      </c>
      <c r="B12" s="348">
        <v>10</v>
      </c>
      <c r="C12" s="1" t="s">
        <v>11</v>
      </c>
      <c r="D12" s="2">
        <v>24.2</v>
      </c>
      <c r="E12" s="349">
        <v>22</v>
      </c>
      <c r="F12" s="386">
        <v>200</v>
      </c>
      <c r="G12" s="386">
        <v>98</v>
      </c>
      <c r="H12" s="386">
        <v>200</v>
      </c>
      <c r="I12" s="386">
        <v>30</v>
      </c>
      <c r="J12" s="387">
        <v>4</v>
      </c>
      <c r="K12" s="387">
        <f t="shared" si="0"/>
        <v>1</v>
      </c>
      <c r="L12" s="387">
        <v>319</v>
      </c>
      <c r="M12" s="387">
        <f>IFERROR(INDEX($Z$3:$Z$39,MATCH(L12,$Y$3:$Y$39,0)),(INDEX(Factor,K12+10)-INDEX(Factor,K12))/(INDEX(Degrees,K12+10)-INDEX(Degrees,K12))*(L12-INDEX(Degrees,K12))+INDEX(Factor,K12))</f>
        <v>0.85299999999999998</v>
      </c>
      <c r="Q12" s="353"/>
      <c r="Y12" s="350">
        <v>90</v>
      </c>
      <c r="Z12" s="351">
        <v>0.74</v>
      </c>
    </row>
    <row r="13" spans="1:26" ht="13.5" thickBot="1">
      <c r="A13" s="347" t="s">
        <v>599</v>
      </c>
      <c r="B13" s="348">
        <v>11</v>
      </c>
      <c r="C13" s="1" t="s">
        <v>12</v>
      </c>
      <c r="D13" s="2">
        <v>24.9</v>
      </c>
      <c r="E13" s="349">
        <v>124</v>
      </c>
      <c r="F13" s="386">
        <v>132</v>
      </c>
      <c r="G13" s="386">
        <v>16</v>
      </c>
      <c r="H13" s="386">
        <v>2</v>
      </c>
      <c r="I13" s="386">
        <v>198</v>
      </c>
      <c r="J13" s="387">
        <v>5</v>
      </c>
      <c r="K13" s="387">
        <f t="shared" si="0"/>
        <v>11</v>
      </c>
      <c r="L13" s="387">
        <v>320</v>
      </c>
      <c r="M13" s="387">
        <f>IFERROR(INDEX($Z$3:$Z$39,MATCH(L13,$Y$3:$Y$39,0)),(INDEX(Factor,K13+10)-INDEX(Factor,K13))/(INDEX(Degrees,K13+10)-INDEX(Degrees,K13))*(L13-INDEX(Degrees,K13))+INDEX(Factor,K13))</f>
        <v>0.85</v>
      </c>
      <c r="Q13" s="310"/>
      <c r="Y13" s="350">
        <v>100</v>
      </c>
      <c r="Z13" s="351">
        <v>0.74</v>
      </c>
    </row>
    <row r="14" spans="1:26" ht="13.5" thickBot="1">
      <c r="A14" s="347" t="s">
        <v>600</v>
      </c>
      <c r="B14" s="348">
        <v>12</v>
      </c>
      <c r="C14" s="1" t="s">
        <v>13</v>
      </c>
      <c r="D14" s="2">
        <v>24.5</v>
      </c>
      <c r="E14" s="349">
        <v>180</v>
      </c>
      <c r="F14" s="386">
        <v>4</v>
      </c>
      <c r="G14" s="386">
        <v>54</v>
      </c>
      <c r="H14" s="386">
        <v>200</v>
      </c>
      <c r="I14" s="386">
        <v>154</v>
      </c>
      <c r="J14" s="387">
        <v>8</v>
      </c>
      <c r="K14" s="387">
        <f t="shared" si="0"/>
        <v>11</v>
      </c>
      <c r="L14" s="387">
        <v>321</v>
      </c>
      <c r="M14" s="387">
        <f>IFERROR(INDEX($Z$3:$Z$39,MATCH(L14,$Y$3:$Y$39,0)),(INDEX(Factor,K14+10)-INDEX(Factor,K14))/(INDEX(Degrees,K14+10)-INDEX(Degrees,K14))*(L14-INDEX(Degrees,K14))+INDEX(Factor,K14))</f>
        <v>0.84699999999999998</v>
      </c>
      <c r="O14" s="381">
        <f>MATCH('wind pressure'!X9,Database!P15:P16,0)</f>
        <v>2</v>
      </c>
      <c r="P14" s="347" t="s">
        <v>63</v>
      </c>
      <c r="Q14" s="310"/>
      <c r="S14" s="356"/>
      <c r="Y14" s="350">
        <v>110</v>
      </c>
      <c r="Z14" s="351">
        <v>0.73</v>
      </c>
    </row>
    <row r="15" spans="1:26">
      <c r="A15" s="347" t="s">
        <v>601</v>
      </c>
      <c r="B15" s="348">
        <v>13</v>
      </c>
      <c r="C15" s="1" t="s">
        <v>14</v>
      </c>
      <c r="D15" s="2">
        <v>25.2</v>
      </c>
      <c r="E15" s="349">
        <v>53</v>
      </c>
      <c r="F15" s="386">
        <v>200</v>
      </c>
      <c r="G15" s="386">
        <v>55</v>
      </c>
      <c r="H15" s="386">
        <v>112</v>
      </c>
      <c r="I15" s="386">
        <v>40</v>
      </c>
      <c r="J15" s="387">
        <v>10</v>
      </c>
      <c r="K15" s="387">
        <f t="shared" si="0"/>
        <v>11</v>
      </c>
      <c r="L15" s="387">
        <v>322</v>
      </c>
      <c r="M15" s="387">
        <f>IFERROR(INDEX($Z$3:$Z$39,MATCH(L15,$Y$3:$Y$39,0)),(INDEX(Factor,K15+10)-INDEX(Factor,K15))/(INDEX(Degrees,K15+10)-INDEX(Degrees,K15))*(L15-INDEX(Degrees,K15))+INDEX(Factor,K15))</f>
        <v>0.84399999999999997</v>
      </c>
      <c r="O15" s="345">
        <v>1</v>
      </c>
      <c r="P15" s="347" t="s">
        <v>67</v>
      </c>
      <c r="Q15" s="310"/>
      <c r="R15" s="357"/>
      <c r="Y15" s="350">
        <v>120</v>
      </c>
      <c r="Z15" s="351">
        <v>0.73</v>
      </c>
    </row>
    <row r="16" spans="1:26">
      <c r="A16" s="347" t="s">
        <v>602</v>
      </c>
      <c r="B16" s="348">
        <v>14</v>
      </c>
      <c r="C16" s="1" t="s">
        <v>15</v>
      </c>
      <c r="D16" s="2">
        <v>27.1</v>
      </c>
      <c r="E16" s="349">
        <v>16</v>
      </c>
      <c r="F16" s="386">
        <v>2</v>
      </c>
      <c r="G16" s="386">
        <v>134</v>
      </c>
      <c r="H16" s="386">
        <v>200</v>
      </c>
      <c r="I16" s="386">
        <v>134</v>
      </c>
      <c r="J16" s="387">
        <v>4</v>
      </c>
      <c r="K16" s="387">
        <f t="shared" si="0"/>
        <v>11</v>
      </c>
      <c r="L16" s="387">
        <v>323</v>
      </c>
      <c r="M16" s="387">
        <f>IFERROR(INDEX($Z$3:$Z$39,MATCH(L16,$Y$3:$Y$39,0)),(INDEX(Factor,K16+10)-INDEX(Factor,K16))/(INDEX(Degrees,K16+10)-INDEX(Degrees,K16))*(L16-INDEX(Degrees,K16))+INDEX(Factor,K16))</f>
        <v>0.84099999999999997</v>
      </c>
      <c r="O16" s="345">
        <v>2</v>
      </c>
      <c r="P16" s="347" t="s">
        <v>68</v>
      </c>
      <c r="Y16" s="350">
        <v>130</v>
      </c>
      <c r="Z16" s="351">
        <v>0.75</v>
      </c>
    </row>
    <row r="17" spans="1:26">
      <c r="A17" s="347" t="s">
        <v>603</v>
      </c>
      <c r="B17" s="348">
        <v>15</v>
      </c>
      <c r="C17" s="1" t="s">
        <v>16</v>
      </c>
      <c r="D17" s="2">
        <v>21.9</v>
      </c>
      <c r="E17" s="349">
        <v>26</v>
      </c>
      <c r="F17" s="386">
        <v>92</v>
      </c>
      <c r="G17" s="386">
        <v>25</v>
      </c>
      <c r="H17" s="386">
        <v>30</v>
      </c>
      <c r="I17" s="386">
        <v>200</v>
      </c>
      <c r="J17" s="387">
        <v>4</v>
      </c>
      <c r="K17" s="387">
        <f t="shared" si="0"/>
        <v>11</v>
      </c>
      <c r="L17" s="387">
        <v>324</v>
      </c>
      <c r="M17" s="387">
        <f>IFERROR(INDEX($Z$3:$Z$39,MATCH(L17,$Y$3:$Y$39,0)),(INDEX(Factor,K17+10)-INDEX(Factor,K17))/(INDEX(Degrees,K17+10)-INDEX(Degrees,K17))*(L17-INDEX(Degrees,K17))+INDEX(Factor,K17))</f>
        <v>0.83799999999999997</v>
      </c>
      <c r="Y17" s="350">
        <v>140</v>
      </c>
      <c r="Z17" s="351">
        <v>0.78</v>
      </c>
    </row>
    <row r="18" spans="1:26">
      <c r="A18" s="347" t="s">
        <v>604</v>
      </c>
      <c r="B18" s="348">
        <v>16</v>
      </c>
      <c r="C18" s="1" t="s">
        <v>17</v>
      </c>
      <c r="D18" s="2">
        <v>22.4</v>
      </c>
      <c r="E18" s="349">
        <v>2</v>
      </c>
      <c r="F18" s="386">
        <v>66</v>
      </c>
      <c r="G18" s="386">
        <v>2</v>
      </c>
      <c r="H18" s="386">
        <v>0.5</v>
      </c>
      <c r="I18" s="386">
        <v>180</v>
      </c>
      <c r="J18" s="387">
        <v>7</v>
      </c>
      <c r="K18" s="387">
        <f t="shared" si="0"/>
        <v>11</v>
      </c>
      <c r="L18" s="387">
        <v>325</v>
      </c>
      <c r="M18" s="387">
        <f>IFERROR(INDEX($Z$3:$Z$39,MATCH(L18,$Y$3:$Y$39,0)),(INDEX(Factor,K18+10)-INDEX(Factor,K18))/(INDEX(Degrees,K18+10)-INDEX(Degrees,K18))*(L18-INDEX(Degrees,K18))+INDEX(Factor,K18))</f>
        <v>0.83499999999999996</v>
      </c>
      <c r="Y18" s="350">
        <v>150</v>
      </c>
      <c r="Z18" s="351">
        <v>0.8</v>
      </c>
    </row>
    <row r="19" spans="1:26" ht="13.5" thickBot="1">
      <c r="A19" s="347" t="s">
        <v>605</v>
      </c>
      <c r="B19" s="348">
        <v>17</v>
      </c>
      <c r="C19" s="1" t="s">
        <v>18</v>
      </c>
      <c r="D19" s="2">
        <v>22.6</v>
      </c>
      <c r="E19" s="349">
        <v>70</v>
      </c>
      <c r="F19" s="386">
        <v>200</v>
      </c>
      <c r="G19" s="386">
        <v>88</v>
      </c>
      <c r="H19" s="386">
        <v>200</v>
      </c>
      <c r="I19" s="386">
        <v>94</v>
      </c>
      <c r="J19" s="387">
        <v>9</v>
      </c>
      <c r="K19" s="387">
        <f t="shared" si="0"/>
        <v>11</v>
      </c>
      <c r="L19" s="387">
        <v>326</v>
      </c>
      <c r="M19" s="387">
        <f>IFERROR(INDEX($Z$3:$Z$39,MATCH(L19,$Y$3:$Y$39,0)),(INDEX(Factor,K19+10)-INDEX(Factor,K19))/(INDEX(Degrees,K19+10)-INDEX(Degrees,K19))*(L19-INDEX(Degrees,K19))+INDEX(Factor,K19))</f>
        <v>0.83199999999999996</v>
      </c>
      <c r="R19" s="356"/>
      <c r="S19" s="356"/>
      <c r="T19" s="356"/>
      <c r="U19" s="356"/>
      <c r="Y19" s="350">
        <v>160</v>
      </c>
      <c r="Z19" s="351">
        <v>0.82</v>
      </c>
    </row>
    <row r="20" spans="1:26">
      <c r="A20" s="347" t="s">
        <v>606</v>
      </c>
      <c r="B20" s="348">
        <v>18</v>
      </c>
      <c r="C20" s="1" t="s">
        <v>19</v>
      </c>
      <c r="D20" s="2">
        <v>21.6</v>
      </c>
      <c r="E20" s="349">
        <v>64</v>
      </c>
      <c r="F20" s="386">
        <v>200</v>
      </c>
      <c r="G20" s="386">
        <v>114</v>
      </c>
      <c r="H20" s="386">
        <v>200</v>
      </c>
      <c r="I20" s="386">
        <v>200</v>
      </c>
      <c r="J20" s="387">
        <v>7</v>
      </c>
      <c r="K20" s="387">
        <f t="shared" si="0"/>
        <v>11</v>
      </c>
      <c r="L20" s="387">
        <v>327</v>
      </c>
      <c r="M20" s="387">
        <f>IFERROR(INDEX($Z$3:$Z$39,MATCH(L20,$Y$3:$Y$39,0)),(INDEX(Factor,K20+10)-INDEX(Factor,K20))/(INDEX(Degrees,K20+10)-INDEX(Degrees,K20))*(L20-INDEX(Degrees,K20))+INDEX(Factor,K20))</f>
        <v>0.82899999999999996</v>
      </c>
      <c r="O20" s="358"/>
      <c r="P20" s="359"/>
      <c r="Q20" s="359"/>
      <c r="R20" s="359"/>
      <c r="S20" s="359"/>
      <c r="T20" s="359"/>
      <c r="U20" s="359"/>
      <c r="V20" s="359"/>
      <c r="W20" s="360"/>
      <c r="Y20" s="350">
        <v>170</v>
      </c>
      <c r="Z20" s="351">
        <v>0.84</v>
      </c>
    </row>
    <row r="21" spans="1:26" ht="13.5" thickBot="1">
      <c r="A21" s="347" t="s">
        <v>607</v>
      </c>
      <c r="B21" s="348">
        <v>19</v>
      </c>
      <c r="C21" s="1" t="s">
        <v>20</v>
      </c>
      <c r="D21" s="2">
        <v>23.2</v>
      </c>
      <c r="E21" s="349">
        <v>58</v>
      </c>
      <c r="F21" s="386">
        <v>200</v>
      </c>
      <c r="G21" s="386">
        <v>200</v>
      </c>
      <c r="H21" s="386">
        <v>2</v>
      </c>
      <c r="I21" s="386">
        <v>14</v>
      </c>
      <c r="J21" s="387">
        <v>10</v>
      </c>
      <c r="K21" s="387">
        <f t="shared" si="0"/>
        <v>11</v>
      </c>
      <c r="L21" s="387">
        <v>328</v>
      </c>
      <c r="M21" s="387">
        <f>IFERROR(INDEX($Z$3:$Z$39,MATCH(L21,$Y$3:$Y$39,0)),(INDEX(Factor,K21+10)-INDEX(Factor,K21))/(INDEX(Degrees,K21+10)-INDEX(Degrees,K21))*(L21-INDEX(Degrees,K21))+INDEX(Factor,K21))</f>
        <v>0.82599999999999996</v>
      </c>
      <c r="O21" s="361" t="s">
        <v>72</v>
      </c>
      <c r="P21" s="362" t="s">
        <v>78</v>
      </c>
      <c r="Q21" s="362" t="s">
        <v>89</v>
      </c>
      <c r="R21" s="363" t="s">
        <v>87</v>
      </c>
      <c r="S21" s="363" t="s">
        <v>88</v>
      </c>
      <c r="T21" s="363" t="s">
        <v>90</v>
      </c>
      <c r="U21" s="364"/>
      <c r="V21" s="356" t="s">
        <v>70</v>
      </c>
      <c r="W21" s="365">
        <f>+'wind pressure'!Z15</f>
        <v>0.3</v>
      </c>
      <c r="X21" s="366"/>
      <c r="Y21" s="350">
        <v>180</v>
      </c>
      <c r="Z21" s="351">
        <v>0.85</v>
      </c>
    </row>
    <row r="22" spans="1:26" ht="13.5" thickBot="1">
      <c r="A22" s="347" t="s">
        <v>608</v>
      </c>
      <c r="B22" s="348">
        <v>20</v>
      </c>
      <c r="C22" s="1" t="s">
        <v>21</v>
      </c>
      <c r="D22" s="2">
        <v>21.4</v>
      </c>
      <c r="E22" s="349">
        <v>20</v>
      </c>
      <c r="F22" s="386">
        <v>200</v>
      </c>
      <c r="G22" s="386">
        <v>102</v>
      </c>
      <c r="H22" s="386">
        <v>78</v>
      </c>
      <c r="I22" s="386">
        <v>200</v>
      </c>
      <c r="J22" s="387">
        <v>18</v>
      </c>
      <c r="K22" s="387">
        <f t="shared" si="0"/>
        <v>11</v>
      </c>
      <c r="L22" s="387">
        <v>329</v>
      </c>
      <c r="M22" s="387">
        <f>IFERROR(INDEX($Z$3:$Z$39,MATCH(L22,$Y$3:$Y$39,0)),(INDEX(Factor,K22+10)-INDEX(Factor,K22))/(INDEX(Degrees,K22+10)-INDEX(Degrees,K22))*(L22-INDEX(Degrees,K22))+INDEX(Factor,K22))</f>
        <v>0.82299999999999995</v>
      </c>
      <c r="O22" s="367" t="b">
        <f>AND(O9=1,O14=2,W21&gt;0.05,W21&lt;=0.3,W22&lt;=W24/2)</f>
        <v>1</v>
      </c>
      <c r="P22" s="364" t="b">
        <f>AND(O9=2,O14=2,W21&lt;0.3,W23&lt;W25/2)</f>
        <v>0</v>
      </c>
      <c r="Q22" s="364" t="b">
        <f>AND(O9=2,O14=2,W21&gt;=0.3,W23&lt;1.6*W26)</f>
        <v>0</v>
      </c>
      <c r="R22" s="364" t="b">
        <f>AND(O9=1,O14=1,0.05&lt;W21,W21&lt;=0.3,W22&lt;=W24/2)</f>
        <v>0</v>
      </c>
      <c r="S22" s="364" t="b">
        <f>AND(O9=2,O14=1,W21&lt;0.3,W23&lt;1.5*W27)</f>
        <v>0</v>
      </c>
      <c r="T22" s="364" t="b">
        <f>AND(O9=2,O14=1,W21&gt;=0.3,W23&lt;5*W26)</f>
        <v>0</v>
      </c>
      <c r="U22" s="382" t="b">
        <f>AND(O22=FALSE,P22=FALSE,Q22=FALSE,R22=FALSE,S22=FALSE,T22=FALSE)</f>
        <v>0</v>
      </c>
      <c r="V22" s="363" t="s">
        <v>91</v>
      </c>
      <c r="W22" s="368">
        <f>+ABS('wind pressure'!Z11)</f>
        <v>5</v>
      </c>
      <c r="X22" s="366"/>
      <c r="Y22" s="350">
        <v>190</v>
      </c>
      <c r="Z22" s="351">
        <v>0.88</v>
      </c>
    </row>
    <row r="23" spans="1:26">
      <c r="A23" s="347" t="s">
        <v>609</v>
      </c>
      <c r="B23" s="348">
        <v>21</v>
      </c>
      <c r="C23" s="1" t="s">
        <v>22</v>
      </c>
      <c r="D23" s="2">
        <v>24.8</v>
      </c>
      <c r="E23" s="349">
        <v>15</v>
      </c>
      <c r="F23" s="386">
        <v>5</v>
      </c>
      <c r="G23" s="386">
        <v>75</v>
      </c>
      <c r="H23" s="386">
        <v>200</v>
      </c>
      <c r="I23" s="386">
        <v>45</v>
      </c>
      <c r="J23" s="387">
        <v>3</v>
      </c>
      <c r="K23" s="387">
        <f t="shared" si="0"/>
        <v>21</v>
      </c>
      <c r="L23" s="387">
        <v>330</v>
      </c>
      <c r="M23" s="387">
        <f>IFERROR(INDEX($Z$3:$Z$39,MATCH(L23,$Y$3:$Y$39,0)),(INDEX(Factor,K23+10)-INDEX(Factor,K23))/(INDEX(Degrees,K23+10)-INDEX(Degrees,K23))*(L23-INDEX(Degrees,K23))+INDEX(Factor,K23))</f>
        <v>0.82</v>
      </c>
      <c r="O23" s="361"/>
      <c r="P23" s="363"/>
      <c r="Q23" s="363"/>
      <c r="R23" s="363"/>
      <c r="S23" s="363"/>
      <c r="T23" s="363"/>
      <c r="U23" s="364"/>
      <c r="V23" s="362" t="s">
        <v>51</v>
      </c>
      <c r="W23" s="369">
        <f>+'wind pressure'!Z11</f>
        <v>-5</v>
      </c>
      <c r="X23" s="366"/>
      <c r="Y23" s="350">
        <v>200</v>
      </c>
      <c r="Z23" s="351">
        <v>0.9</v>
      </c>
    </row>
    <row r="24" spans="1:26">
      <c r="A24" s="347" t="s">
        <v>610</v>
      </c>
      <c r="B24" s="348">
        <v>22</v>
      </c>
      <c r="C24" s="1" t="s">
        <v>23</v>
      </c>
      <c r="D24" s="2">
        <v>22.5</v>
      </c>
      <c r="E24" s="349">
        <v>43</v>
      </c>
      <c r="F24" s="386">
        <v>200</v>
      </c>
      <c r="G24" s="386">
        <v>152</v>
      </c>
      <c r="H24" s="386">
        <v>200</v>
      </c>
      <c r="I24" s="386">
        <v>55</v>
      </c>
      <c r="J24" s="387">
        <v>12</v>
      </c>
      <c r="K24" s="387">
        <f t="shared" si="0"/>
        <v>21</v>
      </c>
      <c r="L24" s="387">
        <v>331</v>
      </c>
      <c r="M24" s="387">
        <f>IFERROR(INDEX($Z$3:$Z$39,MATCH(L24,$Y$3:$Y$39,0)),(INDEX(Factor,K24+10)-INDEX(Factor,K24))/(INDEX(Degrees,K24+10)-INDEX(Degrees,K24))*(L24-INDEX(Degrees,K24))+INDEX(Factor,K24))</f>
        <v>0.81799999999999995</v>
      </c>
      <c r="O24" s="361"/>
      <c r="P24" s="519">
        <f>MATCH(U22,Q26:Q27,0)</f>
        <v>2</v>
      </c>
      <c r="Q24" s="519"/>
      <c r="R24" s="363"/>
      <c r="S24" s="363"/>
      <c r="T24" s="363"/>
      <c r="U24" s="364"/>
      <c r="V24" s="363" t="s">
        <v>92</v>
      </c>
      <c r="W24" s="368">
        <f>+'wind pressure'!Z12</f>
        <v>50</v>
      </c>
      <c r="X24" s="366"/>
      <c r="Y24" s="350">
        <v>210</v>
      </c>
      <c r="Z24" s="351">
        <v>0.93</v>
      </c>
    </row>
    <row r="25" spans="1:26">
      <c r="A25" s="347" t="s">
        <v>611</v>
      </c>
      <c r="B25" s="348">
        <v>23</v>
      </c>
      <c r="C25" s="1" t="s">
        <v>24</v>
      </c>
      <c r="D25" s="2">
        <v>23.8</v>
      </c>
      <c r="E25" s="349">
        <v>42</v>
      </c>
      <c r="F25" s="386">
        <v>66</v>
      </c>
      <c r="G25" s="386">
        <v>15</v>
      </c>
      <c r="H25" s="386">
        <v>200</v>
      </c>
      <c r="I25" s="386">
        <v>200</v>
      </c>
      <c r="J25" s="387">
        <v>9</v>
      </c>
      <c r="K25" s="387">
        <f t="shared" si="0"/>
        <v>21</v>
      </c>
      <c r="L25" s="387">
        <v>332</v>
      </c>
      <c r="M25" s="387">
        <f>IFERROR(INDEX($Z$3:$Z$39,MATCH(L25,$Y$3:$Y$39,0)),(INDEX(Factor,K25+10)-INDEX(Factor,K25))/(INDEX(Degrees,K25+10)-INDEX(Degrees,K25))*(L25-INDEX(Degrees,K25))+INDEX(Factor,K25))</f>
        <v>0.81599999999999995</v>
      </c>
      <c r="O25" s="361"/>
      <c r="P25" s="363"/>
      <c r="Q25" s="363"/>
      <c r="R25" s="363"/>
      <c r="S25" s="363"/>
      <c r="T25" s="363"/>
      <c r="U25" s="364"/>
      <c r="V25" s="363" t="s">
        <v>69</v>
      </c>
      <c r="W25" s="368">
        <f>+'wind pressure'!Z13</f>
        <v>50</v>
      </c>
      <c r="X25" s="366"/>
      <c r="Y25" s="350">
        <v>220</v>
      </c>
      <c r="Z25" s="351">
        <v>0.95</v>
      </c>
    </row>
    <row r="26" spans="1:26">
      <c r="A26" s="347" t="s">
        <v>612</v>
      </c>
      <c r="B26" s="348">
        <v>24</v>
      </c>
      <c r="C26" s="1" t="s">
        <v>25</v>
      </c>
      <c r="D26" s="2">
        <v>21.5</v>
      </c>
      <c r="E26" s="349">
        <v>92</v>
      </c>
      <c r="F26" s="386">
        <v>200</v>
      </c>
      <c r="G26" s="386">
        <v>166</v>
      </c>
      <c r="H26" s="386">
        <v>163</v>
      </c>
      <c r="I26" s="386">
        <v>200</v>
      </c>
      <c r="J26" s="387">
        <v>7</v>
      </c>
      <c r="K26" s="387">
        <f t="shared" si="0"/>
        <v>21</v>
      </c>
      <c r="L26" s="387">
        <v>333</v>
      </c>
      <c r="M26" s="387">
        <f>IFERROR(INDEX($Z$3:$Z$39,MATCH(L26,$Y$3:$Y$39,0)),(INDEX(Factor,K26+10)-INDEX(Factor,K26))/(INDEX(Degrees,K26+10)-INDEX(Degrees,K26))*(L26-INDEX(Degrees,K26))+INDEX(Factor,K26))</f>
        <v>0.81399999999999995</v>
      </c>
      <c r="O26" s="361">
        <v>1</v>
      </c>
      <c r="P26" s="370" t="s">
        <v>273</v>
      </c>
      <c r="Q26" s="363" t="b">
        <v>1</v>
      </c>
      <c r="R26" s="363"/>
      <c r="S26" s="363"/>
      <c r="T26" s="363"/>
      <c r="U26" s="364"/>
      <c r="V26" s="363" t="s">
        <v>93</v>
      </c>
      <c r="W26" s="368">
        <f>+'wind pressure'!Z10</f>
        <v>15</v>
      </c>
      <c r="X26" s="366"/>
      <c r="Y26" s="350">
        <v>230</v>
      </c>
      <c r="Z26" s="351">
        <v>0.97</v>
      </c>
    </row>
    <row r="27" spans="1:26" ht="13.5" thickBot="1">
      <c r="A27" s="347" t="s">
        <v>613</v>
      </c>
      <c r="B27" s="348">
        <v>25</v>
      </c>
      <c r="C27" s="1" t="s">
        <v>26</v>
      </c>
      <c r="D27" s="2">
        <v>22.3</v>
      </c>
      <c r="E27" s="349">
        <v>24</v>
      </c>
      <c r="F27" s="386">
        <v>33</v>
      </c>
      <c r="G27" s="386">
        <v>31</v>
      </c>
      <c r="H27" s="386">
        <v>200</v>
      </c>
      <c r="I27" s="386">
        <v>200</v>
      </c>
      <c r="J27" s="387">
        <v>5</v>
      </c>
      <c r="K27" s="387">
        <f t="shared" si="0"/>
        <v>21</v>
      </c>
      <c r="L27" s="387">
        <v>334</v>
      </c>
      <c r="M27" s="387">
        <f>IFERROR(INDEX($Z$3:$Z$39,MATCH(L27,$Y$3:$Y$39,0)),(INDEX(Factor,K27+10)-INDEX(Factor,K27))/(INDEX(Degrees,K27+10)-INDEX(Degrees,K27))*(L27-INDEX(Degrees,K27))+INDEX(Factor,K27))</f>
        <v>0.81199999999999994</v>
      </c>
      <c r="O27" s="371">
        <v>2</v>
      </c>
      <c r="P27" s="372" t="s">
        <v>272</v>
      </c>
      <c r="Q27" s="373" t="b">
        <v>0</v>
      </c>
      <c r="R27" s="373"/>
      <c r="S27" s="373"/>
      <c r="T27" s="373"/>
      <c r="U27" s="374"/>
      <c r="V27" s="373" t="s">
        <v>73</v>
      </c>
      <c r="W27" s="375">
        <f>+'wind pressure'!Z16</f>
        <v>50</v>
      </c>
      <c r="X27" s="366"/>
      <c r="Y27" s="350">
        <v>240</v>
      </c>
      <c r="Z27" s="351">
        <v>1</v>
      </c>
    </row>
    <row r="28" spans="1:26">
      <c r="A28" s="347" t="s">
        <v>614</v>
      </c>
      <c r="B28" s="348">
        <v>26</v>
      </c>
      <c r="C28" s="1" t="s">
        <v>27</v>
      </c>
      <c r="D28" s="2">
        <v>21.8</v>
      </c>
      <c r="E28" s="349">
        <v>74</v>
      </c>
      <c r="F28" s="386">
        <v>200</v>
      </c>
      <c r="G28" s="386">
        <v>94</v>
      </c>
      <c r="H28" s="386">
        <v>200</v>
      </c>
      <c r="I28" s="386">
        <v>135</v>
      </c>
      <c r="J28" s="387">
        <v>10</v>
      </c>
      <c r="K28" s="387">
        <f t="shared" si="0"/>
        <v>21</v>
      </c>
      <c r="L28" s="387">
        <v>335</v>
      </c>
      <c r="M28" s="387">
        <f>IFERROR(INDEX($Z$3:$Z$39,MATCH(L28,$Y$3:$Y$39,0)),(INDEX(Factor,K28+10)-INDEX(Factor,K28))/(INDEX(Degrees,K28+10)-INDEX(Degrees,K28))*(L28-INDEX(Degrees,K28))+INDEX(Factor,K28))</f>
        <v>0.81</v>
      </c>
      <c r="O28" s="376"/>
      <c r="P28" s="377"/>
      <c r="Q28" s="377"/>
      <c r="R28" s="377"/>
      <c r="S28" s="377"/>
      <c r="T28" s="377"/>
      <c r="U28" s="366"/>
      <c r="V28" s="366"/>
      <c r="W28" s="366"/>
      <c r="X28" s="366"/>
      <c r="Y28" s="350">
        <v>250</v>
      </c>
      <c r="Z28" s="351">
        <v>1</v>
      </c>
    </row>
    <row r="29" spans="1:26">
      <c r="A29" s="347" t="s">
        <v>615</v>
      </c>
      <c r="B29" s="348">
        <v>27</v>
      </c>
      <c r="C29" s="1" t="s">
        <v>28</v>
      </c>
      <c r="D29" s="2">
        <v>27</v>
      </c>
      <c r="E29" s="349">
        <v>119</v>
      </c>
      <c r="F29" s="386">
        <v>3</v>
      </c>
      <c r="G29" s="386">
        <v>170</v>
      </c>
      <c r="H29" s="386">
        <v>110</v>
      </c>
      <c r="I29" s="386">
        <v>3</v>
      </c>
      <c r="J29" s="387">
        <v>3</v>
      </c>
      <c r="K29" s="387">
        <f t="shared" si="0"/>
        <v>21</v>
      </c>
      <c r="L29" s="387">
        <v>336</v>
      </c>
      <c r="M29" s="387">
        <f>IFERROR(INDEX($Z$3:$Z$39,MATCH(L29,$Y$3:$Y$39,0)),(INDEX(Factor,K29+10)-INDEX(Factor,K29))/(INDEX(Degrees,K29+10)-INDEX(Degrees,K29))*(L29-INDEX(Degrees,K29))+INDEX(Factor,K29))</f>
        <v>0.80800000000000005</v>
      </c>
      <c r="O29" s="366"/>
      <c r="P29" s="366"/>
      <c r="Q29" s="366"/>
      <c r="R29" s="366"/>
      <c r="S29" s="366"/>
      <c r="T29" s="366"/>
      <c r="U29" s="366"/>
      <c r="V29" s="366"/>
      <c r="W29" s="366"/>
      <c r="X29" s="366"/>
      <c r="Y29" s="350">
        <v>260</v>
      </c>
      <c r="Z29" s="351">
        <v>0.99</v>
      </c>
    </row>
    <row r="30" spans="1:26">
      <c r="A30" s="347" t="s">
        <v>616</v>
      </c>
      <c r="B30" s="348">
        <v>28</v>
      </c>
      <c r="C30" s="1" t="s">
        <v>29</v>
      </c>
      <c r="D30" s="2">
        <v>21.3</v>
      </c>
      <c r="E30" s="349">
        <v>64</v>
      </c>
      <c r="F30" s="386">
        <v>200</v>
      </c>
      <c r="G30" s="386">
        <v>186</v>
      </c>
      <c r="H30" s="386">
        <v>109</v>
      </c>
      <c r="I30" s="386">
        <v>200</v>
      </c>
      <c r="J30" s="387">
        <v>6</v>
      </c>
      <c r="K30" s="387">
        <f t="shared" si="0"/>
        <v>21</v>
      </c>
      <c r="L30" s="387">
        <v>337</v>
      </c>
      <c r="M30" s="387">
        <f>IFERROR(INDEX($Z$3:$Z$39,MATCH(L30,$Y$3:$Y$39,0)),(INDEX(Factor,K30+10)-INDEX(Factor,K30))/(INDEX(Degrees,K30+10)-INDEX(Degrees,K30))*(L30-INDEX(Degrees,K30))+INDEX(Factor,K30))</f>
        <v>0.80600000000000005</v>
      </c>
      <c r="O30" s="366"/>
      <c r="P30" s="366"/>
      <c r="Q30" s="366"/>
      <c r="R30" s="366"/>
      <c r="S30" s="366"/>
      <c r="T30" s="366"/>
      <c r="U30" s="366"/>
      <c r="V30" s="366"/>
      <c r="W30" s="366"/>
      <c r="X30" s="366"/>
      <c r="Y30" s="350">
        <v>270</v>
      </c>
      <c r="Z30" s="351">
        <v>0.99</v>
      </c>
    </row>
    <row r="31" spans="1:26">
      <c r="A31" s="347" t="s">
        <v>617</v>
      </c>
      <c r="B31" s="348">
        <v>29</v>
      </c>
      <c r="C31" s="1" t="s">
        <v>30</v>
      </c>
      <c r="D31" s="2">
        <v>25</v>
      </c>
      <c r="E31" s="349">
        <v>10</v>
      </c>
      <c r="F31" s="386">
        <v>138</v>
      </c>
      <c r="G31" s="386">
        <v>41</v>
      </c>
      <c r="H31" s="386">
        <v>200</v>
      </c>
      <c r="I31" s="386">
        <v>166</v>
      </c>
      <c r="J31" s="387">
        <v>2</v>
      </c>
      <c r="K31" s="387">
        <f t="shared" si="0"/>
        <v>21</v>
      </c>
      <c r="L31" s="387">
        <v>338</v>
      </c>
      <c r="M31" s="387">
        <f>IFERROR(INDEX($Z$3:$Z$39,MATCH(L31,$Y$3:$Y$39,0)),(INDEX(Factor,K31+10)-INDEX(Factor,K31))/(INDEX(Degrees,K31+10)-INDEX(Degrees,K31))*(L31-INDEX(Degrees,K31))+INDEX(Factor,K31))</f>
        <v>0.80400000000000005</v>
      </c>
      <c r="O31" s="366"/>
      <c r="P31" s="366"/>
      <c r="Q31" s="366"/>
      <c r="R31" s="366"/>
      <c r="S31" s="366"/>
      <c r="T31" s="366"/>
      <c r="U31" s="366"/>
      <c r="V31" s="366"/>
      <c r="W31" s="366"/>
      <c r="X31" s="366"/>
      <c r="Y31" s="350">
        <v>280</v>
      </c>
      <c r="Z31" s="351">
        <v>0.96</v>
      </c>
    </row>
    <row r="32" spans="1:26">
      <c r="A32" s="347" t="s">
        <v>618</v>
      </c>
      <c r="B32" s="348">
        <v>30</v>
      </c>
      <c r="C32" s="1" t="s">
        <v>31</v>
      </c>
      <c r="D32" s="2">
        <v>23.8</v>
      </c>
      <c r="E32" s="349">
        <v>72</v>
      </c>
      <c r="F32" s="386">
        <v>200</v>
      </c>
      <c r="G32" s="386">
        <v>44</v>
      </c>
      <c r="H32" s="386">
        <v>3</v>
      </c>
      <c r="I32" s="386">
        <v>82</v>
      </c>
      <c r="J32" s="387">
        <v>8</v>
      </c>
      <c r="K32" s="387">
        <f t="shared" si="0"/>
        <v>21</v>
      </c>
      <c r="L32" s="387">
        <v>339</v>
      </c>
      <c r="M32" s="387">
        <f>IFERROR(INDEX($Z$3:$Z$39,MATCH(L32,$Y$3:$Y$39,0)),(INDEX(Factor,K32+10)-INDEX(Factor,K32))/(INDEX(Degrees,K32+10)-INDEX(Degrees,K32))*(L32-INDEX(Degrees,K32))+INDEX(Factor,K32))</f>
        <v>0.80200000000000005</v>
      </c>
      <c r="O32" s="366"/>
      <c r="P32" s="366"/>
      <c r="Q32" s="366"/>
      <c r="R32" s="366"/>
      <c r="S32" s="366"/>
      <c r="T32" s="366"/>
      <c r="U32" s="366"/>
      <c r="V32" s="366"/>
      <c r="W32" s="366"/>
      <c r="X32" s="366"/>
      <c r="Y32" s="350">
        <v>290</v>
      </c>
      <c r="Z32" s="351">
        <v>0.93</v>
      </c>
    </row>
    <row r="33" spans="1:26">
      <c r="A33" s="347" t="s">
        <v>619</v>
      </c>
      <c r="B33" s="348">
        <v>31</v>
      </c>
      <c r="C33" s="1" t="s">
        <v>32</v>
      </c>
      <c r="D33" s="2">
        <v>23.2</v>
      </c>
      <c r="E33" s="349">
        <v>40</v>
      </c>
      <c r="F33" s="386">
        <v>200</v>
      </c>
      <c r="G33" s="386">
        <v>170</v>
      </c>
      <c r="H33" s="386">
        <v>200</v>
      </c>
      <c r="I33" s="386">
        <v>23</v>
      </c>
      <c r="J33" s="387">
        <v>9</v>
      </c>
      <c r="K33" s="387">
        <f t="shared" si="0"/>
        <v>31</v>
      </c>
      <c r="L33" s="387">
        <v>340</v>
      </c>
      <c r="M33" s="387">
        <f>IFERROR(INDEX($Z$3:$Z$39,MATCH(L33,$Y$3:$Y$39,0)),(INDEX(Factor,K33+10)-INDEX(Factor,K33))/(INDEX(Degrees,K33+10)-INDEX(Degrees,K33))*(L33-INDEX(Degrees,K33))+INDEX(Factor,K33))</f>
        <v>0.8</v>
      </c>
      <c r="O33" s="366"/>
      <c r="P33" s="366"/>
      <c r="Q33" s="366"/>
      <c r="R33" s="366"/>
      <c r="S33" s="366"/>
      <c r="T33" s="366"/>
      <c r="U33" s="366"/>
      <c r="V33" s="366"/>
      <c r="W33" s="366"/>
      <c r="X33" s="366"/>
      <c r="Y33" s="350">
        <v>300</v>
      </c>
      <c r="Z33" s="351">
        <v>0.91</v>
      </c>
    </row>
    <row r="34" spans="1:26">
      <c r="A34" s="347" t="s">
        <v>620</v>
      </c>
      <c r="B34" s="348">
        <v>32</v>
      </c>
      <c r="C34" s="1" t="s">
        <v>33</v>
      </c>
      <c r="D34" s="2">
        <v>22.2</v>
      </c>
      <c r="E34" s="349">
        <v>80</v>
      </c>
      <c r="F34" s="386">
        <v>200</v>
      </c>
      <c r="G34" s="386">
        <v>114</v>
      </c>
      <c r="H34" s="386">
        <v>200</v>
      </c>
      <c r="I34" s="386">
        <v>200</v>
      </c>
      <c r="J34" s="387">
        <v>10</v>
      </c>
      <c r="K34" s="387">
        <f t="shared" si="0"/>
        <v>31</v>
      </c>
      <c r="L34" s="387">
        <v>341</v>
      </c>
      <c r="M34" s="387">
        <f>IFERROR(INDEX($Z$3:$Z$39,MATCH(L34,$Y$3:$Y$39,0)),(INDEX(Factor,K34+10)-INDEX(Factor,K34))/(INDEX(Degrees,K34+10)-INDEX(Degrees,K34))*(L34-INDEX(Degrees,K34))+INDEX(Factor,K34))</f>
        <v>0.79900000000000004</v>
      </c>
      <c r="O34" s="366"/>
      <c r="P34" s="366"/>
      <c r="Q34" s="366"/>
      <c r="R34" s="366"/>
      <c r="S34" s="366"/>
      <c r="T34" s="366"/>
      <c r="U34" s="366"/>
      <c r="V34" s="366"/>
      <c r="W34" s="366"/>
      <c r="X34" s="366"/>
      <c r="Y34" s="350">
        <v>310</v>
      </c>
      <c r="Z34" s="351">
        <v>0.88</v>
      </c>
    </row>
    <row r="35" spans="1:26">
      <c r="A35" s="347" t="s">
        <v>621</v>
      </c>
      <c r="B35" s="348">
        <v>33</v>
      </c>
      <c r="C35" s="1" t="s">
        <v>34</v>
      </c>
      <c r="D35" s="2">
        <v>22</v>
      </c>
      <c r="E35" s="349">
        <v>158</v>
      </c>
      <c r="F35" s="386">
        <v>200</v>
      </c>
      <c r="G35" s="386">
        <v>145</v>
      </c>
      <c r="H35" s="386">
        <v>200</v>
      </c>
      <c r="I35" s="386">
        <v>76</v>
      </c>
      <c r="J35" s="387">
        <v>7</v>
      </c>
      <c r="K35" s="387">
        <f t="shared" si="0"/>
        <v>31</v>
      </c>
      <c r="L35" s="387">
        <v>342</v>
      </c>
      <c r="M35" s="387">
        <f>IFERROR(INDEX($Z$3:$Z$39,MATCH(L35,$Y$3:$Y$39,0)),(INDEX(Factor,K35+10)-INDEX(Factor,K35))/(INDEX(Degrees,K35+10)-INDEX(Degrees,K35))*(L35-INDEX(Degrees,K35))+INDEX(Factor,K35))</f>
        <v>0.79800000000000004</v>
      </c>
      <c r="O35" s="366"/>
      <c r="P35" s="366"/>
      <c r="Q35" s="366"/>
      <c r="R35" s="366"/>
      <c r="S35" s="366"/>
      <c r="T35" s="366"/>
      <c r="U35" s="366"/>
      <c r="V35" s="366"/>
      <c r="W35" s="366"/>
      <c r="X35" s="366"/>
      <c r="Y35" s="350">
        <v>320</v>
      </c>
      <c r="Z35" s="351">
        <v>0.85</v>
      </c>
    </row>
    <row r="36" spans="1:26">
      <c r="A36" s="347" t="s">
        <v>622</v>
      </c>
      <c r="B36" s="348">
        <v>34</v>
      </c>
      <c r="C36" s="1" t="s">
        <v>35</v>
      </c>
      <c r="D36" s="2">
        <v>23.5</v>
      </c>
      <c r="E36" s="349">
        <v>160</v>
      </c>
      <c r="F36" s="386">
        <v>182</v>
      </c>
      <c r="G36" s="386">
        <v>200</v>
      </c>
      <c r="H36" s="386">
        <v>2</v>
      </c>
      <c r="I36" s="386">
        <v>24</v>
      </c>
      <c r="J36" s="387">
        <v>7</v>
      </c>
      <c r="K36" s="387">
        <f t="shared" si="0"/>
        <v>31</v>
      </c>
      <c r="L36" s="387">
        <v>343</v>
      </c>
      <c r="M36" s="387">
        <f>IFERROR(INDEX($Z$3:$Z$39,MATCH(L36,$Y$3:$Y$39,0)),(INDEX(Factor,K36+10)-INDEX(Factor,K36))/(INDEX(Degrees,K36+10)-INDEX(Degrees,K36))*(L36-INDEX(Degrees,K36))+INDEX(Factor,K36))</f>
        <v>0.79700000000000004</v>
      </c>
      <c r="O36" s="366"/>
      <c r="P36" s="366"/>
      <c r="Q36" s="366"/>
      <c r="R36" s="366"/>
      <c r="S36" s="366"/>
      <c r="T36" s="366"/>
      <c r="U36" s="366"/>
      <c r="V36" s="366"/>
      <c r="W36" s="366"/>
      <c r="X36" s="366"/>
      <c r="Y36" s="350">
        <v>330</v>
      </c>
      <c r="Z36" s="351">
        <v>0.82</v>
      </c>
    </row>
    <row r="37" spans="1:26">
      <c r="A37" s="347" t="s">
        <v>623</v>
      </c>
      <c r="B37" s="348">
        <v>35</v>
      </c>
      <c r="C37" s="1" t="s">
        <v>36</v>
      </c>
      <c r="D37" s="2">
        <v>22.7</v>
      </c>
      <c r="E37" s="349">
        <v>19</v>
      </c>
      <c r="F37" s="386">
        <v>74</v>
      </c>
      <c r="G37" s="386">
        <v>62</v>
      </c>
      <c r="H37" s="386">
        <v>200</v>
      </c>
      <c r="I37" s="386">
        <v>124</v>
      </c>
      <c r="J37" s="387">
        <v>4</v>
      </c>
      <c r="K37" s="387">
        <f t="shared" si="0"/>
        <v>31</v>
      </c>
      <c r="L37" s="387">
        <v>344</v>
      </c>
      <c r="M37" s="387">
        <f>IFERROR(INDEX($Z$3:$Z$39,MATCH(L37,$Y$3:$Y$39,0)),(INDEX(Factor,K37+10)-INDEX(Factor,K37))/(INDEX(Degrees,K37+10)-INDEX(Degrees,K37))*(L37-INDEX(Degrees,K37))+INDEX(Factor,K37))</f>
        <v>0.79600000000000004</v>
      </c>
      <c r="O37" s="366"/>
      <c r="P37" s="366"/>
      <c r="Q37" s="366"/>
      <c r="R37" s="366"/>
      <c r="S37" s="366"/>
      <c r="T37" s="366"/>
      <c r="U37" s="366"/>
      <c r="V37" s="366"/>
      <c r="W37" s="366"/>
      <c r="X37" s="366"/>
      <c r="Y37" s="350">
        <v>340</v>
      </c>
      <c r="Z37" s="351">
        <v>0.8</v>
      </c>
    </row>
    <row r="38" spans="1:26">
      <c r="B38" s="348"/>
      <c r="K38" s="387">
        <f t="shared" si="0"/>
        <v>31</v>
      </c>
      <c r="L38" s="387">
        <v>345</v>
      </c>
      <c r="M38" s="387">
        <f>IFERROR(INDEX($Z$3:$Z$39,MATCH(L38,$Y$3:$Y$39,0)),(INDEX(Factor,K38+10)-INDEX(Factor,K38))/(INDEX(Degrees,K38+10)-INDEX(Degrees,K38))*(L38-INDEX(Degrees,K38))+INDEX(Factor,K38))</f>
        <v>0.79500000000000004</v>
      </c>
      <c r="O38" s="366"/>
      <c r="P38" s="366"/>
      <c r="Q38" s="366"/>
      <c r="R38" s="366"/>
      <c r="S38" s="366"/>
      <c r="T38" s="366"/>
      <c r="U38" s="366"/>
      <c r="V38" s="366"/>
      <c r="W38" s="366"/>
      <c r="X38" s="366"/>
      <c r="Y38" s="350">
        <v>350</v>
      </c>
      <c r="Z38" s="351">
        <v>0.79</v>
      </c>
    </row>
    <row r="39" spans="1:26">
      <c r="B39" s="348"/>
      <c r="K39" s="387">
        <f t="shared" si="0"/>
        <v>31</v>
      </c>
      <c r="L39" s="387">
        <v>346</v>
      </c>
      <c r="M39" s="387">
        <f>IFERROR(INDEX($Z$3:$Z$39,MATCH(L39,$Y$3:$Y$39,0)),(INDEX(Factor,K39+10)-INDEX(Factor,K39))/(INDEX(Degrees,K39+10)-INDEX(Degrees,K39))*(L39-INDEX(Degrees,K39))+INDEX(Factor,K39))</f>
        <v>0.79400000000000004</v>
      </c>
      <c r="O39" s="366"/>
      <c r="P39" s="366"/>
      <c r="Q39" s="366"/>
      <c r="R39" s="366"/>
      <c r="S39" s="366"/>
      <c r="T39" s="366"/>
      <c r="U39" s="366"/>
      <c r="V39" s="366"/>
      <c r="W39" s="366"/>
      <c r="X39" s="366"/>
      <c r="Y39" s="350">
        <v>360</v>
      </c>
      <c r="Z39" s="351">
        <v>0.78</v>
      </c>
    </row>
    <row r="40" spans="1:26">
      <c r="B40" s="348"/>
      <c r="K40" s="387">
        <f t="shared" si="0"/>
        <v>31</v>
      </c>
      <c r="L40" s="387">
        <v>347</v>
      </c>
      <c r="M40" s="387">
        <f>IFERROR(INDEX($Z$3:$Z$39,MATCH(L40,$Y$3:$Y$39,0)),(INDEX(Factor,K40+10)-INDEX(Factor,K40))/(INDEX(Degrees,K40+10)-INDEX(Degrees,K40))*(L40-INDEX(Degrees,K40))+INDEX(Factor,K40))</f>
        <v>0.79300000000000004</v>
      </c>
      <c r="O40" s="366"/>
      <c r="P40" s="366"/>
      <c r="Q40" s="366"/>
      <c r="R40" s="366"/>
      <c r="S40" s="366"/>
      <c r="T40" s="366"/>
      <c r="U40" s="366"/>
      <c r="V40" s="366"/>
      <c r="W40" s="366"/>
      <c r="X40" s="366"/>
      <c r="Y40" s="366"/>
    </row>
    <row r="41" spans="1:26">
      <c r="B41" s="348"/>
      <c r="K41" s="387">
        <f t="shared" si="0"/>
        <v>31</v>
      </c>
      <c r="L41" s="387">
        <v>348</v>
      </c>
      <c r="M41" s="387">
        <f>IFERROR(INDEX($Z$3:$Z$39,MATCH(L41,$Y$3:$Y$39,0)),(INDEX(Factor,K41+10)-INDEX(Factor,K41))/(INDEX(Degrees,K41+10)-INDEX(Degrees,K41))*(L41-INDEX(Degrees,K41))+INDEX(Factor,K41))</f>
        <v>0.79200000000000004</v>
      </c>
      <c r="O41" s="366"/>
      <c r="P41" s="366"/>
      <c r="Q41" s="366"/>
      <c r="R41" s="366"/>
      <c r="S41" s="366"/>
      <c r="T41" s="366"/>
      <c r="U41" s="366"/>
      <c r="V41" s="366"/>
      <c r="W41" s="366"/>
      <c r="X41" s="366"/>
      <c r="Y41" s="366"/>
    </row>
    <row r="42" spans="1:26">
      <c r="B42" s="348"/>
      <c r="K42" s="387">
        <f t="shared" si="0"/>
        <v>31</v>
      </c>
      <c r="L42" s="387">
        <v>349</v>
      </c>
      <c r="M42" s="387">
        <f>IFERROR(INDEX($Z$3:$Z$39,MATCH(L42,$Y$3:$Y$39,0)),(INDEX(Factor,K42+10)-INDEX(Factor,K42))/(INDEX(Degrees,K42+10)-INDEX(Degrees,K42))*(L42-INDEX(Degrees,K42))+INDEX(Factor,K42))</f>
        <v>0.79100000000000004</v>
      </c>
      <c r="O42" s="366"/>
      <c r="P42" s="366"/>
      <c r="Q42" s="366"/>
      <c r="R42" s="366"/>
      <c r="S42" s="366"/>
      <c r="T42" s="366"/>
      <c r="U42" s="366"/>
      <c r="V42" s="366"/>
      <c r="W42" s="366"/>
      <c r="X42" s="366"/>
      <c r="Y42" s="366"/>
    </row>
    <row r="43" spans="1:26">
      <c r="B43" s="348"/>
      <c r="K43" s="387">
        <f t="shared" si="0"/>
        <v>41</v>
      </c>
      <c r="L43" s="387">
        <v>350</v>
      </c>
      <c r="M43" s="387">
        <f>IFERROR(INDEX($Z$3:$Z$39,MATCH(L43,$Y$3:$Y$39,0)),(INDEX(Factor,K43+10)-INDEX(Factor,K43))/(INDEX(Degrees,K43+10)-INDEX(Degrees,K43))*(L43-INDEX(Degrees,K43))+INDEX(Factor,K43))</f>
        <v>0.79</v>
      </c>
      <c r="O43" s="366"/>
      <c r="P43" s="366"/>
      <c r="Q43" s="366"/>
      <c r="R43" s="366"/>
      <c r="S43" s="366"/>
      <c r="T43" s="366"/>
      <c r="U43" s="366"/>
      <c r="V43" s="366"/>
      <c r="W43" s="366"/>
      <c r="X43" s="366"/>
      <c r="Y43" s="366"/>
    </row>
    <row r="44" spans="1:26">
      <c r="B44" s="348"/>
      <c r="K44" s="350">
        <f t="shared" si="0"/>
        <v>41</v>
      </c>
      <c r="L44" s="350">
        <v>351</v>
      </c>
      <c r="M44" s="517">
        <f>M404</f>
        <v>0.78900000000000003</v>
      </c>
      <c r="O44" s="366"/>
      <c r="P44" s="366"/>
      <c r="Q44" s="366"/>
      <c r="R44" s="366"/>
      <c r="S44" s="366"/>
      <c r="T44" s="366"/>
      <c r="U44" s="366"/>
      <c r="V44" s="366"/>
      <c r="W44" s="366"/>
      <c r="X44" s="366"/>
      <c r="Y44" s="366"/>
    </row>
    <row r="45" spans="1:26">
      <c r="B45" s="348"/>
      <c r="K45" s="350">
        <f t="shared" si="0"/>
        <v>41</v>
      </c>
      <c r="L45" s="350">
        <v>352</v>
      </c>
      <c r="M45" s="517">
        <f t="shared" ref="M45:M52" si="1">M405</f>
        <v>0.78800000000000003</v>
      </c>
      <c r="O45" s="366"/>
      <c r="P45" s="366"/>
      <c r="Q45" s="366"/>
      <c r="R45" s="366"/>
      <c r="S45" s="366"/>
      <c r="T45" s="366"/>
      <c r="U45" s="366"/>
      <c r="V45" s="366"/>
      <c r="W45" s="366"/>
      <c r="X45" s="366"/>
      <c r="Y45" s="366"/>
    </row>
    <row r="46" spans="1:26">
      <c r="B46" s="348"/>
      <c r="K46" s="350">
        <f t="shared" si="0"/>
        <v>41</v>
      </c>
      <c r="L46" s="350">
        <v>353</v>
      </c>
      <c r="M46" s="517">
        <f t="shared" si="1"/>
        <v>0.78700000000000003</v>
      </c>
      <c r="O46" s="366"/>
      <c r="P46" s="366"/>
      <c r="Q46" s="366"/>
      <c r="R46" s="366"/>
      <c r="S46" s="366"/>
      <c r="T46" s="366"/>
      <c r="U46" s="366"/>
      <c r="V46" s="366"/>
      <c r="W46" s="366"/>
      <c r="X46" s="366"/>
      <c r="Y46" s="366"/>
    </row>
    <row r="47" spans="1:26">
      <c r="B47" s="348"/>
      <c r="K47" s="350">
        <f t="shared" si="0"/>
        <v>41</v>
      </c>
      <c r="L47" s="350">
        <v>354</v>
      </c>
      <c r="M47" s="517">
        <f t="shared" si="1"/>
        <v>0.78600000000000003</v>
      </c>
    </row>
    <row r="48" spans="1:26">
      <c r="B48" s="348"/>
      <c r="K48" s="350">
        <f t="shared" si="0"/>
        <v>41</v>
      </c>
      <c r="L48" s="350">
        <v>355</v>
      </c>
      <c r="M48" s="517">
        <f t="shared" si="1"/>
        <v>0.78500000000000003</v>
      </c>
    </row>
    <row r="49" spans="2:13">
      <c r="B49" s="348"/>
      <c r="K49" s="350">
        <f t="shared" si="0"/>
        <v>41</v>
      </c>
      <c r="L49" s="350">
        <v>356</v>
      </c>
      <c r="M49" s="517">
        <f t="shared" si="1"/>
        <v>0.78400000000000003</v>
      </c>
    </row>
    <row r="50" spans="2:13">
      <c r="B50" s="348"/>
      <c r="K50" s="350">
        <f t="shared" si="0"/>
        <v>41</v>
      </c>
      <c r="L50" s="350">
        <v>357</v>
      </c>
      <c r="M50" s="517">
        <f t="shared" si="1"/>
        <v>0.78300000000000003</v>
      </c>
    </row>
    <row r="51" spans="2:13">
      <c r="B51" s="348"/>
      <c r="K51" s="350">
        <f t="shared" si="0"/>
        <v>41</v>
      </c>
      <c r="L51" s="350">
        <v>358</v>
      </c>
      <c r="M51" s="517">
        <f t="shared" si="1"/>
        <v>0.78200000000000003</v>
      </c>
    </row>
    <row r="52" spans="2:13">
      <c r="B52" s="348"/>
      <c r="K52" s="350">
        <f t="shared" si="0"/>
        <v>41</v>
      </c>
      <c r="L52" s="350">
        <v>359</v>
      </c>
      <c r="M52" s="517">
        <f t="shared" si="1"/>
        <v>0.78100000000000003</v>
      </c>
    </row>
    <row r="53" spans="2:13">
      <c r="B53" s="348"/>
      <c r="K53" s="350">
        <f t="shared" si="0"/>
        <v>51</v>
      </c>
      <c r="L53" s="350">
        <v>0</v>
      </c>
      <c r="M53" s="350">
        <f>IFERROR(INDEX($Z$3:$Z$39,MATCH(L53,$Y$3:$Y$39,0)),(INDEX(Factor,K53+10)-INDEX(Factor,K53))/(INDEX(Degrees,K53+10)-INDEX(Degrees,K53))*(L53-INDEX(Degrees,K53))+INDEX(Factor,K53))</f>
        <v>0.78</v>
      </c>
    </row>
    <row r="54" spans="2:13">
      <c r="B54" s="348"/>
      <c r="K54" s="350">
        <f t="shared" si="0"/>
        <v>51</v>
      </c>
      <c r="L54" s="350">
        <v>1</v>
      </c>
      <c r="M54" s="350">
        <f>IFERROR(INDEX($Z$3:$Z$39,MATCH(L54,$Y$3:$Y$39,0)),(INDEX(Factor,K54+10)-INDEX(Factor,K54))/(INDEX(Degrees,K54+10)-INDEX(Degrees,K54))*(L54-INDEX(Degrees,K54))+INDEX(Factor,K54))</f>
        <v>0.77800000000000002</v>
      </c>
    </row>
    <row r="55" spans="2:13">
      <c r="B55" s="348"/>
      <c r="K55" s="350">
        <f t="shared" si="0"/>
        <v>51</v>
      </c>
      <c r="L55" s="350">
        <v>2</v>
      </c>
      <c r="M55" s="350">
        <f>IFERROR(INDEX($Z$3:$Z$39,MATCH(L55,$Y$3:$Y$39,0)),(INDEX(Factor,K55+10)-INDEX(Factor,K55))/(INDEX(Degrees,K55+10)-INDEX(Degrees,K55))*(L55-INDEX(Degrees,K55))+INDEX(Factor,K55))</f>
        <v>0.77600000000000002</v>
      </c>
    </row>
    <row r="56" spans="2:13">
      <c r="B56" s="348"/>
      <c r="K56" s="350">
        <f t="shared" si="0"/>
        <v>51</v>
      </c>
      <c r="L56" s="350">
        <v>3</v>
      </c>
      <c r="M56" s="350">
        <f>IFERROR(INDEX($Z$3:$Z$39,MATCH(L56,$Y$3:$Y$39,0)),(INDEX(Factor,K56+10)-INDEX(Factor,K56))/(INDEX(Degrees,K56+10)-INDEX(Degrees,K56))*(L56-INDEX(Degrees,K56))+INDEX(Factor,K56))</f>
        <v>0.77400000000000002</v>
      </c>
    </row>
    <row r="57" spans="2:13">
      <c r="B57" s="348"/>
      <c r="D57" s="346"/>
      <c r="E57" s="346"/>
      <c r="K57" s="350">
        <f t="shared" si="0"/>
        <v>51</v>
      </c>
      <c r="L57" s="350">
        <v>4</v>
      </c>
      <c r="M57" s="350">
        <f>IFERROR(INDEX($Z$3:$Z$39,MATCH(L57,$Y$3:$Y$39,0)),(INDEX(Factor,K57+10)-INDEX(Factor,K57))/(INDEX(Degrees,K57+10)-INDEX(Degrees,K57))*(L57-INDEX(Degrees,K57))+INDEX(Factor,K57))</f>
        <v>0.77200000000000002</v>
      </c>
    </row>
    <row r="58" spans="2:13">
      <c r="B58" s="348"/>
      <c r="D58" s="346"/>
      <c r="E58" s="346"/>
      <c r="K58" s="350">
        <f t="shared" si="0"/>
        <v>51</v>
      </c>
      <c r="L58" s="350">
        <v>5</v>
      </c>
      <c r="M58" s="350">
        <f>IFERROR(INDEX($Z$3:$Z$39,MATCH(L58,$Y$3:$Y$39,0)),(INDEX(Factor,K58+10)-INDEX(Factor,K58))/(INDEX(Degrees,K58+10)-INDEX(Degrees,K58))*(L58-INDEX(Degrees,K58))+INDEX(Factor,K58))</f>
        <v>0.77</v>
      </c>
    </row>
    <row r="59" spans="2:13">
      <c r="B59" s="348"/>
      <c r="D59" s="346"/>
      <c r="E59" s="346"/>
      <c r="K59" s="350">
        <f t="shared" si="0"/>
        <v>51</v>
      </c>
      <c r="L59" s="350">
        <v>6</v>
      </c>
      <c r="M59" s="350">
        <f>IFERROR(INDEX($Z$3:$Z$39,MATCH(L59,$Y$3:$Y$39,0)),(INDEX(Factor,K59+10)-INDEX(Factor,K59))/(INDEX(Degrees,K59+10)-INDEX(Degrees,K59))*(L59-INDEX(Degrees,K59))+INDEX(Factor,K59))</f>
        <v>0.76800000000000002</v>
      </c>
    </row>
    <row r="60" spans="2:13">
      <c r="B60" s="348"/>
      <c r="D60" s="346"/>
      <c r="E60" s="346"/>
      <c r="K60" s="350">
        <f t="shared" si="0"/>
        <v>51</v>
      </c>
      <c r="L60" s="350">
        <v>7</v>
      </c>
      <c r="M60" s="350">
        <f>IFERROR(INDEX($Z$3:$Z$39,MATCH(L60,$Y$3:$Y$39,0)),(INDEX(Factor,K60+10)-INDEX(Factor,K60))/(INDEX(Degrees,K60+10)-INDEX(Degrees,K60))*(L60-INDEX(Degrees,K60))+INDEX(Factor,K60))</f>
        <v>0.76600000000000001</v>
      </c>
    </row>
    <row r="61" spans="2:13">
      <c r="B61" s="348"/>
      <c r="D61" s="346"/>
      <c r="E61" s="346"/>
      <c r="K61" s="350">
        <f t="shared" si="0"/>
        <v>51</v>
      </c>
      <c r="L61" s="350">
        <v>8</v>
      </c>
      <c r="M61" s="350">
        <f>IFERROR(INDEX($Z$3:$Z$39,MATCH(L61,$Y$3:$Y$39,0)),(INDEX(Factor,K61+10)-INDEX(Factor,K61))/(INDEX(Degrees,K61+10)-INDEX(Degrees,K61))*(L61-INDEX(Degrees,K61))+INDEX(Factor,K61))</f>
        <v>0.76400000000000001</v>
      </c>
    </row>
    <row r="62" spans="2:13">
      <c r="B62" s="348"/>
      <c r="K62" s="350">
        <f t="shared" si="0"/>
        <v>51</v>
      </c>
      <c r="L62" s="350">
        <v>9</v>
      </c>
      <c r="M62" s="350">
        <f>IFERROR(INDEX($Z$3:$Z$39,MATCH(L62,$Y$3:$Y$39,0)),(INDEX(Factor,K62+10)-INDEX(Factor,K62))/(INDEX(Degrees,K62+10)-INDEX(Degrees,K62))*(L62-INDEX(Degrees,K62))+INDEX(Factor,K62))</f>
        <v>0.76200000000000001</v>
      </c>
    </row>
    <row r="63" spans="2:13">
      <c r="K63" s="350">
        <f t="shared" si="0"/>
        <v>61</v>
      </c>
      <c r="L63" s="350">
        <v>10</v>
      </c>
      <c r="M63" s="350">
        <f>IFERROR(INDEX($Z$3:$Z$39,MATCH(L63,$Y$3:$Y$39,0)),(INDEX(Factor,K63+10)-INDEX(Factor,K63))/(INDEX(Degrees,K63+10)-INDEX(Degrees,K63))*(L63-INDEX(Degrees,K63))+INDEX(Factor,K63))</f>
        <v>0.76</v>
      </c>
    </row>
    <row r="64" spans="2:13">
      <c r="K64" s="350">
        <f t="shared" si="0"/>
        <v>61</v>
      </c>
      <c r="L64" s="350">
        <v>11</v>
      </c>
      <c r="M64" s="350">
        <f>IFERROR(INDEX($Z$3:$Z$39,MATCH(L64,$Y$3:$Y$39,0)),(INDEX(Factor,K64+10)-INDEX(Factor,K64))/(INDEX(Degrees,K64+10)-INDEX(Degrees,K64))*(L64-INDEX(Degrees,K64))+INDEX(Factor,K64))</f>
        <v>0.75800000000000001</v>
      </c>
    </row>
    <row r="65" spans="11:13">
      <c r="K65" s="350">
        <f t="shared" si="0"/>
        <v>61</v>
      </c>
      <c r="L65" s="350">
        <v>12</v>
      </c>
      <c r="M65" s="350">
        <f>IFERROR(INDEX($Z$3:$Z$39,MATCH(L65,$Y$3:$Y$39,0)),(INDEX(Factor,K65+10)-INDEX(Factor,K65))/(INDEX(Degrees,K65+10)-INDEX(Degrees,K65))*(L65-INDEX(Degrees,K65))+INDEX(Factor,K65))</f>
        <v>0.75600000000000001</v>
      </c>
    </row>
    <row r="66" spans="11:13">
      <c r="K66" s="350">
        <f t="shared" si="0"/>
        <v>61</v>
      </c>
      <c r="L66" s="350">
        <v>13</v>
      </c>
      <c r="M66" s="350">
        <f>IFERROR(INDEX($Z$3:$Z$39,MATCH(L66,$Y$3:$Y$39,0)),(INDEX(Factor,K66+10)-INDEX(Factor,K66))/(INDEX(Degrees,K66+10)-INDEX(Degrees,K66))*(L66-INDEX(Degrees,K66))+INDEX(Factor,K66))</f>
        <v>0.754</v>
      </c>
    </row>
    <row r="67" spans="11:13">
      <c r="K67" s="350">
        <f t="shared" ref="K67:K130" si="2">ROUNDDOWN(ROW()-3,-1)+1</f>
        <v>61</v>
      </c>
      <c r="L67" s="350">
        <v>14</v>
      </c>
      <c r="M67" s="350">
        <f>IFERROR(INDEX($Z$3:$Z$39,MATCH(L67,$Y$3:$Y$39,0)),(INDEX(Factor,K67+10)-INDEX(Factor,K67))/(INDEX(Degrees,K67+10)-INDEX(Degrees,K67))*(L67-INDEX(Degrees,K67))+INDEX(Factor,K67))</f>
        <v>0.752</v>
      </c>
    </row>
    <row r="68" spans="11:13">
      <c r="K68" s="350">
        <f t="shared" si="2"/>
        <v>61</v>
      </c>
      <c r="L68" s="350">
        <v>15</v>
      </c>
      <c r="M68" s="350">
        <f>IFERROR(INDEX($Z$3:$Z$39,MATCH(L68,$Y$3:$Y$39,0)),(INDEX(Factor,K68+10)-INDEX(Factor,K68))/(INDEX(Degrees,K68+10)-INDEX(Degrees,K68))*(L68-INDEX(Degrees,K68))+INDEX(Factor,K68))</f>
        <v>0.75</v>
      </c>
    </row>
    <row r="69" spans="11:13">
      <c r="K69" s="350">
        <f t="shared" si="2"/>
        <v>61</v>
      </c>
      <c r="L69" s="350">
        <v>16</v>
      </c>
      <c r="M69" s="350">
        <f>IFERROR(INDEX($Z$3:$Z$39,MATCH(L69,$Y$3:$Y$39,0)),(INDEX(Factor,K69+10)-INDEX(Factor,K69))/(INDEX(Degrees,K69+10)-INDEX(Degrees,K69))*(L69-INDEX(Degrees,K69))+INDEX(Factor,K69))</f>
        <v>0.748</v>
      </c>
    </row>
    <row r="70" spans="11:13">
      <c r="K70" s="350">
        <f t="shared" si="2"/>
        <v>61</v>
      </c>
      <c r="L70" s="350">
        <v>17</v>
      </c>
      <c r="M70" s="350">
        <f>IFERROR(INDEX($Z$3:$Z$39,MATCH(L70,$Y$3:$Y$39,0)),(INDEX(Factor,K70+10)-INDEX(Factor,K70))/(INDEX(Degrees,K70+10)-INDEX(Degrees,K70))*(L70-INDEX(Degrees,K70))+INDEX(Factor,K70))</f>
        <v>0.746</v>
      </c>
    </row>
    <row r="71" spans="11:13">
      <c r="K71" s="350">
        <f t="shared" si="2"/>
        <v>61</v>
      </c>
      <c r="L71" s="350">
        <v>18</v>
      </c>
      <c r="M71" s="350">
        <f>IFERROR(INDEX($Z$3:$Z$39,MATCH(L71,$Y$3:$Y$39,0)),(INDEX(Factor,K71+10)-INDEX(Factor,K71))/(INDEX(Degrees,K71+10)-INDEX(Degrees,K71))*(L71-INDEX(Degrees,K71))+INDEX(Factor,K71))</f>
        <v>0.74399999999999999</v>
      </c>
    </row>
    <row r="72" spans="11:13">
      <c r="K72" s="350">
        <f t="shared" si="2"/>
        <v>61</v>
      </c>
      <c r="L72" s="350">
        <v>19</v>
      </c>
      <c r="M72" s="350">
        <f>IFERROR(INDEX($Z$3:$Z$39,MATCH(L72,$Y$3:$Y$39,0)),(INDEX(Factor,K72+10)-INDEX(Factor,K72))/(INDEX(Degrees,K72+10)-INDEX(Degrees,K72))*(L72-INDEX(Degrees,K72))+INDEX(Factor,K72))</f>
        <v>0.74199999999999999</v>
      </c>
    </row>
    <row r="73" spans="11:13">
      <c r="K73" s="350">
        <f t="shared" si="2"/>
        <v>71</v>
      </c>
      <c r="L73" s="350">
        <v>20</v>
      </c>
      <c r="M73" s="350">
        <f>IFERROR(INDEX($Z$3:$Z$39,MATCH(L73,$Y$3:$Y$39,0)),(INDEX(Factor,K73+10)-INDEX(Factor,K73))/(INDEX(Degrees,K73+10)-INDEX(Degrees,K73))*(L73-INDEX(Degrees,K73))+INDEX(Factor,K73))</f>
        <v>0.74</v>
      </c>
    </row>
    <row r="74" spans="11:13">
      <c r="K74" s="350">
        <f t="shared" si="2"/>
        <v>71</v>
      </c>
      <c r="L74" s="350">
        <v>21</v>
      </c>
      <c r="M74" s="350">
        <f>IFERROR(INDEX($Z$3:$Z$39,MATCH(L74,$Y$3:$Y$39,0)),(INDEX(Factor,K74+10)-INDEX(Factor,K74))/(INDEX(Degrees,K74+10)-INDEX(Degrees,K74))*(L74-INDEX(Degrees,K74))+INDEX(Factor,K74))</f>
        <v>0.73899999999999999</v>
      </c>
    </row>
    <row r="75" spans="11:13">
      <c r="K75" s="350">
        <f t="shared" si="2"/>
        <v>71</v>
      </c>
      <c r="L75" s="350">
        <v>22</v>
      </c>
      <c r="M75" s="350">
        <f>IFERROR(INDEX($Z$3:$Z$39,MATCH(L75,$Y$3:$Y$39,0)),(INDEX(Factor,K75+10)-INDEX(Factor,K75))/(INDEX(Degrees,K75+10)-INDEX(Degrees,K75))*(L75-INDEX(Degrees,K75))+INDEX(Factor,K75))</f>
        <v>0.73799999999999999</v>
      </c>
    </row>
    <row r="76" spans="11:13">
      <c r="K76" s="350">
        <f t="shared" si="2"/>
        <v>71</v>
      </c>
      <c r="L76" s="350">
        <v>23</v>
      </c>
      <c r="M76" s="350">
        <f>IFERROR(INDEX($Z$3:$Z$39,MATCH(L76,$Y$3:$Y$39,0)),(INDEX(Factor,K76+10)-INDEX(Factor,K76))/(INDEX(Degrees,K76+10)-INDEX(Degrees,K76))*(L76-INDEX(Degrees,K76))+INDEX(Factor,K76))</f>
        <v>0.73699999999999999</v>
      </c>
    </row>
    <row r="77" spans="11:13">
      <c r="K77" s="350">
        <f t="shared" si="2"/>
        <v>71</v>
      </c>
      <c r="L77" s="350">
        <v>24</v>
      </c>
      <c r="M77" s="350">
        <f>IFERROR(INDEX($Z$3:$Z$39,MATCH(L77,$Y$3:$Y$39,0)),(INDEX(Factor,K77+10)-INDEX(Factor,K77))/(INDEX(Degrees,K77+10)-INDEX(Degrees,K77))*(L77-INDEX(Degrees,K77))+INDEX(Factor,K77))</f>
        <v>0.73599999999999999</v>
      </c>
    </row>
    <row r="78" spans="11:13">
      <c r="K78" s="350">
        <f t="shared" si="2"/>
        <v>71</v>
      </c>
      <c r="L78" s="350">
        <v>25</v>
      </c>
      <c r="M78" s="350">
        <f>IFERROR(INDEX($Z$3:$Z$39,MATCH(L78,$Y$3:$Y$39,0)),(INDEX(Factor,K78+10)-INDEX(Factor,K78))/(INDEX(Degrees,K78+10)-INDEX(Degrees,K78))*(L78-INDEX(Degrees,K78))+INDEX(Factor,K78))</f>
        <v>0.73499999999999999</v>
      </c>
    </row>
    <row r="79" spans="11:13">
      <c r="K79" s="350">
        <f t="shared" si="2"/>
        <v>71</v>
      </c>
      <c r="L79" s="350">
        <v>26</v>
      </c>
      <c r="M79" s="350">
        <f>IFERROR(INDEX($Z$3:$Z$39,MATCH(L79,$Y$3:$Y$39,0)),(INDEX(Factor,K79+10)-INDEX(Factor,K79))/(INDEX(Degrees,K79+10)-INDEX(Degrees,K79))*(L79-INDEX(Degrees,K79))+INDEX(Factor,K79))</f>
        <v>0.73399999999999999</v>
      </c>
    </row>
    <row r="80" spans="11:13">
      <c r="K80" s="350">
        <f t="shared" si="2"/>
        <v>71</v>
      </c>
      <c r="L80" s="350">
        <v>27</v>
      </c>
      <c r="M80" s="350">
        <f>IFERROR(INDEX($Z$3:$Z$39,MATCH(L80,$Y$3:$Y$39,0)),(INDEX(Factor,K80+10)-INDEX(Factor,K80))/(INDEX(Degrees,K80+10)-INDEX(Degrees,K80))*(L80-INDEX(Degrees,K80))+INDEX(Factor,K80))</f>
        <v>0.73299999999999998</v>
      </c>
    </row>
    <row r="81" spans="11:13">
      <c r="K81" s="350">
        <f t="shared" si="2"/>
        <v>71</v>
      </c>
      <c r="L81" s="350">
        <v>28</v>
      </c>
      <c r="M81" s="350">
        <f>IFERROR(INDEX($Z$3:$Z$39,MATCH(L81,$Y$3:$Y$39,0)),(INDEX(Factor,K81+10)-INDEX(Factor,K81))/(INDEX(Degrees,K81+10)-INDEX(Degrees,K81))*(L81-INDEX(Degrees,K81))+INDEX(Factor,K81))</f>
        <v>0.73199999999999998</v>
      </c>
    </row>
    <row r="82" spans="11:13">
      <c r="K82" s="350">
        <f t="shared" si="2"/>
        <v>71</v>
      </c>
      <c r="L82" s="350">
        <v>29</v>
      </c>
      <c r="M82" s="350">
        <f>IFERROR(INDEX($Z$3:$Z$39,MATCH(L82,$Y$3:$Y$39,0)),(INDEX(Factor,K82+10)-INDEX(Factor,K82))/(INDEX(Degrees,K82+10)-INDEX(Degrees,K82))*(L82-INDEX(Degrees,K82))+INDEX(Factor,K82))</f>
        <v>0.73099999999999998</v>
      </c>
    </row>
    <row r="83" spans="11:13">
      <c r="K83" s="350">
        <f t="shared" si="2"/>
        <v>81</v>
      </c>
      <c r="L83" s="350">
        <v>30</v>
      </c>
      <c r="M83" s="350">
        <f>IFERROR(INDEX($Z$3:$Z$39,MATCH(L83,$Y$3:$Y$39,0)),(INDEX(Factor,K83+10)-INDEX(Factor,K83))/(INDEX(Degrees,K83+10)-INDEX(Degrees,K83))*(L83-INDEX(Degrees,K83))+INDEX(Factor,K83))</f>
        <v>0.73</v>
      </c>
    </row>
    <row r="84" spans="11:13">
      <c r="K84" s="350">
        <f t="shared" si="2"/>
        <v>81</v>
      </c>
      <c r="L84" s="350">
        <v>31</v>
      </c>
      <c r="M84" s="350">
        <f>IFERROR(INDEX($Z$3:$Z$39,MATCH(L84,$Y$3:$Y$39,0)),(INDEX(Factor,K84+10)-INDEX(Factor,K84))/(INDEX(Degrees,K84+10)-INDEX(Degrees,K84))*(L84-INDEX(Degrees,K84))+INDEX(Factor,K84))</f>
        <v>0.73</v>
      </c>
    </row>
    <row r="85" spans="11:13">
      <c r="K85" s="350">
        <f t="shared" si="2"/>
        <v>81</v>
      </c>
      <c r="L85" s="350">
        <v>32</v>
      </c>
      <c r="M85" s="350">
        <f>IFERROR(INDEX($Z$3:$Z$39,MATCH(L85,$Y$3:$Y$39,0)),(INDEX(Factor,K85+10)-INDEX(Factor,K85))/(INDEX(Degrees,K85+10)-INDEX(Degrees,K85))*(L85-INDEX(Degrees,K85))+INDEX(Factor,K85))</f>
        <v>0.73</v>
      </c>
    </row>
    <row r="86" spans="11:13">
      <c r="K86" s="350">
        <f t="shared" si="2"/>
        <v>81</v>
      </c>
      <c r="L86" s="350">
        <v>33</v>
      </c>
      <c r="M86" s="350">
        <f>IFERROR(INDEX($Z$3:$Z$39,MATCH(L86,$Y$3:$Y$39,0)),(INDEX(Factor,K86+10)-INDEX(Factor,K86))/(INDEX(Degrees,K86+10)-INDEX(Degrees,K86))*(L86-INDEX(Degrees,K86))+INDEX(Factor,K86))</f>
        <v>0.73</v>
      </c>
    </row>
    <row r="87" spans="11:13">
      <c r="K87" s="350">
        <f t="shared" si="2"/>
        <v>81</v>
      </c>
      <c r="L87" s="350">
        <v>34</v>
      </c>
      <c r="M87" s="350">
        <f>IFERROR(INDEX($Z$3:$Z$39,MATCH(L87,$Y$3:$Y$39,0)),(INDEX(Factor,K87+10)-INDEX(Factor,K87))/(INDEX(Degrees,K87+10)-INDEX(Degrees,K87))*(L87-INDEX(Degrees,K87))+INDEX(Factor,K87))</f>
        <v>0.73</v>
      </c>
    </row>
    <row r="88" spans="11:13">
      <c r="K88" s="350">
        <f t="shared" si="2"/>
        <v>81</v>
      </c>
      <c r="L88" s="350">
        <v>35</v>
      </c>
      <c r="M88" s="350">
        <f>IFERROR(INDEX($Z$3:$Z$39,MATCH(L88,$Y$3:$Y$39,0)),(INDEX(Factor,K88+10)-INDEX(Factor,K88))/(INDEX(Degrees,K88+10)-INDEX(Degrees,K88))*(L88-INDEX(Degrees,K88))+INDEX(Factor,K88))</f>
        <v>0.73</v>
      </c>
    </row>
    <row r="89" spans="11:13">
      <c r="K89" s="350">
        <f t="shared" si="2"/>
        <v>81</v>
      </c>
      <c r="L89" s="350">
        <v>36</v>
      </c>
      <c r="M89" s="350">
        <f>IFERROR(INDEX($Z$3:$Z$39,MATCH(L89,$Y$3:$Y$39,0)),(INDEX(Factor,K89+10)-INDEX(Factor,K89))/(INDEX(Degrees,K89+10)-INDEX(Degrees,K89))*(L89-INDEX(Degrees,K89))+INDEX(Factor,K89))</f>
        <v>0.73</v>
      </c>
    </row>
    <row r="90" spans="11:13">
      <c r="K90" s="350">
        <f t="shared" si="2"/>
        <v>81</v>
      </c>
      <c r="L90" s="350">
        <v>37</v>
      </c>
      <c r="M90" s="350">
        <f>IFERROR(INDEX($Z$3:$Z$39,MATCH(L90,$Y$3:$Y$39,0)),(INDEX(Factor,K90+10)-INDEX(Factor,K90))/(INDEX(Degrees,K90+10)-INDEX(Degrees,K90))*(L90-INDEX(Degrees,K90))+INDEX(Factor,K90))</f>
        <v>0.73</v>
      </c>
    </row>
    <row r="91" spans="11:13">
      <c r="K91" s="350">
        <f t="shared" si="2"/>
        <v>81</v>
      </c>
      <c r="L91" s="350">
        <v>38</v>
      </c>
      <c r="M91" s="350">
        <f>IFERROR(INDEX($Z$3:$Z$39,MATCH(L91,$Y$3:$Y$39,0)),(INDEX(Factor,K91+10)-INDEX(Factor,K91))/(INDEX(Degrees,K91+10)-INDEX(Degrees,K91))*(L91-INDEX(Degrees,K91))+INDEX(Factor,K91))</f>
        <v>0.73</v>
      </c>
    </row>
    <row r="92" spans="11:13">
      <c r="K92" s="350">
        <f t="shared" si="2"/>
        <v>81</v>
      </c>
      <c r="L92" s="350">
        <v>39</v>
      </c>
      <c r="M92" s="350">
        <f>IFERROR(INDEX($Z$3:$Z$39,MATCH(L92,$Y$3:$Y$39,0)),(INDEX(Factor,K92+10)-INDEX(Factor,K92))/(INDEX(Degrees,K92+10)-INDEX(Degrees,K92))*(L92-INDEX(Degrees,K92))+INDEX(Factor,K92))</f>
        <v>0.73</v>
      </c>
    </row>
    <row r="93" spans="11:13">
      <c r="K93" s="350">
        <f t="shared" si="2"/>
        <v>91</v>
      </c>
      <c r="L93" s="350">
        <v>40</v>
      </c>
      <c r="M93" s="350">
        <f>IFERROR(INDEX($Z$3:$Z$39,MATCH(L93,$Y$3:$Y$39,0)),(INDEX(Factor,K93+10)-INDEX(Factor,K93))/(INDEX(Degrees,K93+10)-INDEX(Degrees,K93))*(L93-INDEX(Degrees,K93))+INDEX(Factor,K93))</f>
        <v>0.73</v>
      </c>
    </row>
    <row r="94" spans="11:13">
      <c r="K94" s="350">
        <f t="shared" si="2"/>
        <v>91</v>
      </c>
      <c r="L94" s="350">
        <v>41</v>
      </c>
      <c r="M94" s="350">
        <f>IFERROR(INDEX($Z$3:$Z$39,MATCH(L94,$Y$3:$Y$39,0)),(INDEX(Factor,K94+10)-INDEX(Factor,K94))/(INDEX(Degrees,K94+10)-INDEX(Degrees,K94))*(L94-INDEX(Degrees,K94))+INDEX(Factor,K94))</f>
        <v>0.73</v>
      </c>
    </row>
    <row r="95" spans="11:13">
      <c r="K95" s="350">
        <f t="shared" si="2"/>
        <v>91</v>
      </c>
      <c r="L95" s="350">
        <v>42</v>
      </c>
      <c r="M95" s="350">
        <f>IFERROR(INDEX($Z$3:$Z$39,MATCH(L95,$Y$3:$Y$39,0)),(INDEX(Factor,K95+10)-INDEX(Factor,K95))/(INDEX(Degrees,K95+10)-INDEX(Degrees,K95))*(L95-INDEX(Degrees,K95))+INDEX(Factor,K95))</f>
        <v>0.73</v>
      </c>
    </row>
    <row r="96" spans="11:13">
      <c r="K96" s="350">
        <f t="shared" si="2"/>
        <v>91</v>
      </c>
      <c r="L96" s="350">
        <v>43</v>
      </c>
      <c r="M96" s="350">
        <f>IFERROR(INDEX($Z$3:$Z$39,MATCH(L96,$Y$3:$Y$39,0)),(INDEX(Factor,K96+10)-INDEX(Factor,K96))/(INDEX(Degrees,K96+10)-INDEX(Degrees,K96))*(L96-INDEX(Degrees,K96))+INDEX(Factor,K96))</f>
        <v>0.73</v>
      </c>
    </row>
    <row r="97" spans="11:13">
      <c r="K97" s="350">
        <f t="shared" si="2"/>
        <v>91</v>
      </c>
      <c r="L97" s="350">
        <v>44</v>
      </c>
      <c r="M97" s="350">
        <f>IFERROR(INDEX($Z$3:$Z$39,MATCH(L97,$Y$3:$Y$39,0)),(INDEX(Factor,K97+10)-INDEX(Factor,K97))/(INDEX(Degrees,K97+10)-INDEX(Degrees,K97))*(L97-INDEX(Degrees,K97))+INDEX(Factor,K97))</f>
        <v>0.73</v>
      </c>
    </row>
    <row r="98" spans="11:13">
      <c r="K98" s="350">
        <f t="shared" si="2"/>
        <v>91</v>
      </c>
      <c r="L98" s="350">
        <v>45</v>
      </c>
      <c r="M98" s="350">
        <f>IFERROR(INDEX($Z$3:$Z$39,MATCH(L98,$Y$3:$Y$39,0)),(INDEX(Factor,K98+10)-INDEX(Factor,K98))/(INDEX(Degrees,K98+10)-INDEX(Degrees,K98))*(L98-INDEX(Degrees,K98))+INDEX(Factor,K98))</f>
        <v>0.73</v>
      </c>
    </row>
    <row r="99" spans="11:13">
      <c r="K99" s="350">
        <f t="shared" si="2"/>
        <v>91</v>
      </c>
      <c r="L99" s="350">
        <v>46</v>
      </c>
      <c r="M99" s="350">
        <f>IFERROR(INDEX($Z$3:$Z$39,MATCH(L99,$Y$3:$Y$39,0)),(INDEX(Factor,K99+10)-INDEX(Factor,K99))/(INDEX(Degrees,K99+10)-INDEX(Degrees,K99))*(L99-INDEX(Degrees,K99))+INDEX(Factor,K99))</f>
        <v>0.73</v>
      </c>
    </row>
    <row r="100" spans="11:13">
      <c r="K100" s="350">
        <f t="shared" si="2"/>
        <v>91</v>
      </c>
      <c r="L100" s="350">
        <v>47</v>
      </c>
      <c r="M100" s="350">
        <f>IFERROR(INDEX($Z$3:$Z$39,MATCH(L100,$Y$3:$Y$39,0)),(INDEX(Factor,K100+10)-INDEX(Factor,K100))/(INDEX(Degrees,K100+10)-INDEX(Degrees,K100))*(L100-INDEX(Degrees,K100))+INDEX(Factor,K100))</f>
        <v>0.73</v>
      </c>
    </row>
    <row r="101" spans="11:13">
      <c r="K101" s="350">
        <f t="shared" si="2"/>
        <v>91</v>
      </c>
      <c r="L101" s="350">
        <v>48</v>
      </c>
      <c r="M101" s="350">
        <f>IFERROR(INDEX($Z$3:$Z$39,MATCH(L101,$Y$3:$Y$39,0)),(INDEX(Factor,K101+10)-INDEX(Factor,K101))/(INDEX(Degrees,K101+10)-INDEX(Degrees,K101))*(L101-INDEX(Degrees,K101))+INDEX(Factor,K101))</f>
        <v>0.73</v>
      </c>
    </row>
    <row r="102" spans="11:13">
      <c r="K102" s="350">
        <f t="shared" si="2"/>
        <v>91</v>
      </c>
      <c r="L102" s="350">
        <v>49</v>
      </c>
      <c r="M102" s="350">
        <f>IFERROR(INDEX($Z$3:$Z$39,MATCH(L102,$Y$3:$Y$39,0)),(INDEX(Factor,K102+10)-INDEX(Factor,K102))/(INDEX(Degrees,K102+10)-INDEX(Degrees,K102))*(L102-INDEX(Degrees,K102))+INDEX(Factor,K102))</f>
        <v>0.73</v>
      </c>
    </row>
    <row r="103" spans="11:13">
      <c r="K103" s="350">
        <f t="shared" si="2"/>
        <v>101</v>
      </c>
      <c r="L103" s="350">
        <v>50</v>
      </c>
      <c r="M103" s="350">
        <f>IFERROR(INDEX($Z$3:$Z$39,MATCH(L103,$Y$3:$Y$39,0)),(INDEX(Factor,K103+10)-INDEX(Factor,K103))/(INDEX(Degrees,K103+10)-INDEX(Degrees,K103))*(L103-INDEX(Degrees,K103))+INDEX(Factor,K103))</f>
        <v>0.73</v>
      </c>
    </row>
    <row r="104" spans="11:13">
      <c r="K104" s="350">
        <f t="shared" si="2"/>
        <v>101</v>
      </c>
      <c r="L104" s="350">
        <v>51</v>
      </c>
      <c r="M104" s="350">
        <f>IFERROR(INDEX($Z$3:$Z$39,MATCH(L104,$Y$3:$Y$39,0)),(INDEX(Factor,K104+10)-INDEX(Factor,K104))/(INDEX(Degrees,K104+10)-INDEX(Degrees,K104))*(L104-INDEX(Degrees,K104))+INDEX(Factor,K104))</f>
        <v>0.73</v>
      </c>
    </row>
    <row r="105" spans="11:13">
      <c r="K105" s="350">
        <f t="shared" si="2"/>
        <v>101</v>
      </c>
      <c r="L105" s="350">
        <v>52</v>
      </c>
      <c r="M105" s="350">
        <f>IFERROR(INDEX($Z$3:$Z$39,MATCH(L105,$Y$3:$Y$39,0)),(INDEX(Factor,K105+10)-INDEX(Factor,K105))/(INDEX(Degrees,K105+10)-INDEX(Degrees,K105))*(L105-INDEX(Degrees,K105))+INDEX(Factor,K105))</f>
        <v>0.73</v>
      </c>
    </row>
    <row r="106" spans="11:13">
      <c r="K106" s="350">
        <f t="shared" si="2"/>
        <v>101</v>
      </c>
      <c r="L106" s="350">
        <v>53</v>
      </c>
      <c r="M106" s="350">
        <f>IFERROR(INDEX($Z$3:$Z$39,MATCH(L106,$Y$3:$Y$39,0)),(INDEX(Factor,K106+10)-INDEX(Factor,K106))/(INDEX(Degrees,K106+10)-INDEX(Degrees,K106))*(L106-INDEX(Degrees,K106))+INDEX(Factor,K106))</f>
        <v>0.73</v>
      </c>
    </row>
    <row r="107" spans="11:13">
      <c r="K107" s="350">
        <f t="shared" si="2"/>
        <v>101</v>
      </c>
      <c r="L107" s="350">
        <v>54</v>
      </c>
      <c r="M107" s="350">
        <f>IFERROR(INDEX($Z$3:$Z$39,MATCH(L107,$Y$3:$Y$39,0)),(INDEX(Factor,K107+10)-INDEX(Factor,K107))/(INDEX(Degrees,K107+10)-INDEX(Degrees,K107))*(L107-INDEX(Degrees,K107))+INDEX(Factor,K107))</f>
        <v>0.73</v>
      </c>
    </row>
    <row r="108" spans="11:13">
      <c r="K108" s="350">
        <f t="shared" si="2"/>
        <v>101</v>
      </c>
      <c r="L108" s="350">
        <v>55</v>
      </c>
      <c r="M108" s="350">
        <f>IFERROR(INDEX($Z$3:$Z$39,MATCH(L108,$Y$3:$Y$39,0)),(INDEX(Factor,K108+10)-INDEX(Factor,K108))/(INDEX(Degrees,K108+10)-INDEX(Degrees,K108))*(L108-INDEX(Degrees,K108))+INDEX(Factor,K108))</f>
        <v>0.73</v>
      </c>
    </row>
    <row r="109" spans="11:13">
      <c r="K109" s="350">
        <f t="shared" si="2"/>
        <v>101</v>
      </c>
      <c r="L109" s="350">
        <v>56</v>
      </c>
      <c r="M109" s="350">
        <f>IFERROR(INDEX($Z$3:$Z$39,MATCH(L109,$Y$3:$Y$39,0)),(INDEX(Factor,K109+10)-INDEX(Factor,K109))/(INDEX(Degrees,K109+10)-INDEX(Degrees,K109))*(L109-INDEX(Degrees,K109))+INDEX(Factor,K109))</f>
        <v>0.73</v>
      </c>
    </row>
    <row r="110" spans="11:13">
      <c r="K110" s="350">
        <f t="shared" si="2"/>
        <v>101</v>
      </c>
      <c r="L110" s="350">
        <v>57</v>
      </c>
      <c r="M110" s="350">
        <f>IFERROR(INDEX($Z$3:$Z$39,MATCH(L110,$Y$3:$Y$39,0)),(INDEX(Factor,K110+10)-INDEX(Factor,K110))/(INDEX(Degrees,K110+10)-INDEX(Degrees,K110))*(L110-INDEX(Degrees,K110))+INDEX(Factor,K110))</f>
        <v>0.73</v>
      </c>
    </row>
    <row r="111" spans="11:13">
      <c r="K111" s="350">
        <f t="shared" si="2"/>
        <v>101</v>
      </c>
      <c r="L111" s="350">
        <v>58</v>
      </c>
      <c r="M111" s="350">
        <f>IFERROR(INDEX($Z$3:$Z$39,MATCH(L111,$Y$3:$Y$39,0)),(INDEX(Factor,K111+10)-INDEX(Factor,K111))/(INDEX(Degrees,K111+10)-INDEX(Degrees,K111))*(L111-INDEX(Degrees,K111))+INDEX(Factor,K111))</f>
        <v>0.73</v>
      </c>
    </row>
    <row r="112" spans="11:13">
      <c r="K112" s="350">
        <f t="shared" si="2"/>
        <v>101</v>
      </c>
      <c r="L112" s="350">
        <v>59</v>
      </c>
      <c r="M112" s="350">
        <f>IFERROR(INDEX($Z$3:$Z$39,MATCH(L112,$Y$3:$Y$39,0)),(INDEX(Factor,K112+10)-INDEX(Factor,K112))/(INDEX(Degrees,K112+10)-INDEX(Degrees,K112))*(L112-INDEX(Degrees,K112))+INDEX(Factor,K112))</f>
        <v>0.73</v>
      </c>
    </row>
    <row r="113" spans="11:13">
      <c r="K113" s="350">
        <f t="shared" si="2"/>
        <v>111</v>
      </c>
      <c r="L113" s="350">
        <v>60</v>
      </c>
      <c r="M113" s="350">
        <f>IFERROR(INDEX($Z$3:$Z$39,MATCH(L113,$Y$3:$Y$39,0)),(INDEX(Factor,K113+10)-INDEX(Factor,K113))/(INDEX(Degrees,K113+10)-INDEX(Degrees,K113))*(L113-INDEX(Degrees,K113))+INDEX(Factor,K113))</f>
        <v>0.73</v>
      </c>
    </row>
    <row r="114" spans="11:13">
      <c r="K114" s="350">
        <f t="shared" si="2"/>
        <v>111</v>
      </c>
      <c r="L114" s="350">
        <v>61</v>
      </c>
      <c r="M114" s="350">
        <f>IFERROR(INDEX($Z$3:$Z$39,MATCH(L114,$Y$3:$Y$39,0)),(INDEX(Factor,K114+10)-INDEX(Factor,K114))/(INDEX(Degrees,K114+10)-INDEX(Degrees,K114))*(L114-INDEX(Degrees,K114))+INDEX(Factor,K114))</f>
        <v>0.73</v>
      </c>
    </row>
    <row r="115" spans="11:13">
      <c r="K115" s="350">
        <f t="shared" si="2"/>
        <v>111</v>
      </c>
      <c r="L115" s="350">
        <v>62</v>
      </c>
      <c r="M115" s="350">
        <f>IFERROR(INDEX($Z$3:$Z$39,MATCH(L115,$Y$3:$Y$39,0)),(INDEX(Factor,K115+10)-INDEX(Factor,K115))/(INDEX(Degrees,K115+10)-INDEX(Degrees,K115))*(L115-INDEX(Degrees,K115))+INDEX(Factor,K115))</f>
        <v>0.73</v>
      </c>
    </row>
    <row r="116" spans="11:13">
      <c r="K116" s="350">
        <f t="shared" si="2"/>
        <v>111</v>
      </c>
      <c r="L116" s="350">
        <v>63</v>
      </c>
      <c r="M116" s="350">
        <f>IFERROR(INDEX($Z$3:$Z$39,MATCH(L116,$Y$3:$Y$39,0)),(INDEX(Factor,K116+10)-INDEX(Factor,K116))/(INDEX(Degrees,K116+10)-INDEX(Degrees,K116))*(L116-INDEX(Degrees,K116))+INDEX(Factor,K116))</f>
        <v>0.73</v>
      </c>
    </row>
    <row r="117" spans="11:13">
      <c r="K117" s="350">
        <f t="shared" si="2"/>
        <v>111</v>
      </c>
      <c r="L117" s="350">
        <v>64</v>
      </c>
      <c r="M117" s="350">
        <f>IFERROR(INDEX($Z$3:$Z$39,MATCH(L117,$Y$3:$Y$39,0)),(INDEX(Factor,K117+10)-INDEX(Factor,K117))/(INDEX(Degrees,K117+10)-INDEX(Degrees,K117))*(L117-INDEX(Degrees,K117))+INDEX(Factor,K117))</f>
        <v>0.73</v>
      </c>
    </row>
    <row r="118" spans="11:13">
      <c r="K118" s="350">
        <f t="shared" si="2"/>
        <v>111</v>
      </c>
      <c r="L118" s="350">
        <v>65</v>
      </c>
      <c r="M118" s="350">
        <f>IFERROR(INDEX($Z$3:$Z$39,MATCH(L118,$Y$3:$Y$39,0)),(INDEX(Factor,K118+10)-INDEX(Factor,K118))/(INDEX(Degrees,K118+10)-INDEX(Degrees,K118))*(L118-INDEX(Degrees,K118))+INDEX(Factor,K118))</f>
        <v>0.73</v>
      </c>
    </row>
    <row r="119" spans="11:13">
      <c r="K119" s="350">
        <f t="shared" si="2"/>
        <v>111</v>
      </c>
      <c r="L119" s="350">
        <v>66</v>
      </c>
      <c r="M119" s="350">
        <f>IFERROR(INDEX($Z$3:$Z$39,MATCH(L119,$Y$3:$Y$39,0)),(INDEX(Factor,K119+10)-INDEX(Factor,K119))/(INDEX(Degrees,K119+10)-INDEX(Degrees,K119))*(L119-INDEX(Degrees,K119))+INDEX(Factor,K119))</f>
        <v>0.73</v>
      </c>
    </row>
    <row r="120" spans="11:13">
      <c r="K120" s="350">
        <f t="shared" si="2"/>
        <v>111</v>
      </c>
      <c r="L120" s="350">
        <v>67</v>
      </c>
      <c r="M120" s="350">
        <f>IFERROR(INDEX($Z$3:$Z$39,MATCH(L120,$Y$3:$Y$39,0)),(INDEX(Factor,K120+10)-INDEX(Factor,K120))/(INDEX(Degrees,K120+10)-INDEX(Degrees,K120))*(L120-INDEX(Degrees,K120))+INDEX(Factor,K120))</f>
        <v>0.73</v>
      </c>
    </row>
    <row r="121" spans="11:13">
      <c r="K121" s="350">
        <f t="shared" si="2"/>
        <v>111</v>
      </c>
      <c r="L121" s="350">
        <v>68</v>
      </c>
      <c r="M121" s="350">
        <f>IFERROR(INDEX($Z$3:$Z$39,MATCH(L121,$Y$3:$Y$39,0)),(INDEX(Factor,K121+10)-INDEX(Factor,K121))/(INDEX(Degrees,K121+10)-INDEX(Degrees,K121))*(L121-INDEX(Degrees,K121))+INDEX(Factor,K121))</f>
        <v>0.73</v>
      </c>
    </row>
    <row r="122" spans="11:13">
      <c r="K122" s="350">
        <f t="shared" si="2"/>
        <v>111</v>
      </c>
      <c r="L122" s="350">
        <v>69</v>
      </c>
      <c r="M122" s="350">
        <f>IFERROR(INDEX($Z$3:$Z$39,MATCH(L122,$Y$3:$Y$39,0)),(INDEX(Factor,K122+10)-INDEX(Factor,K122))/(INDEX(Degrees,K122+10)-INDEX(Degrees,K122))*(L122-INDEX(Degrees,K122))+INDEX(Factor,K122))</f>
        <v>0.73</v>
      </c>
    </row>
    <row r="123" spans="11:13">
      <c r="K123" s="350">
        <f t="shared" si="2"/>
        <v>121</v>
      </c>
      <c r="L123" s="350">
        <v>70</v>
      </c>
      <c r="M123" s="350">
        <f>IFERROR(INDEX($Z$3:$Z$39,MATCH(L123,$Y$3:$Y$39,0)),(INDEX(Factor,K123+10)-INDEX(Factor,K123))/(INDEX(Degrees,K123+10)-INDEX(Degrees,K123))*(L123-INDEX(Degrees,K123))+INDEX(Factor,K123))</f>
        <v>0.73</v>
      </c>
    </row>
    <row r="124" spans="11:13">
      <c r="K124" s="350">
        <f t="shared" si="2"/>
        <v>121</v>
      </c>
      <c r="L124" s="350">
        <v>71</v>
      </c>
      <c r="M124" s="350">
        <f>IFERROR(INDEX($Z$3:$Z$39,MATCH(L124,$Y$3:$Y$39,0)),(INDEX(Factor,K124+10)-INDEX(Factor,K124))/(INDEX(Degrees,K124+10)-INDEX(Degrees,K124))*(L124-INDEX(Degrees,K124))+INDEX(Factor,K124))</f>
        <v>0.73099999999999998</v>
      </c>
    </row>
    <row r="125" spans="11:13">
      <c r="K125" s="350">
        <f t="shared" si="2"/>
        <v>121</v>
      </c>
      <c r="L125" s="350">
        <v>72</v>
      </c>
      <c r="M125" s="350">
        <f>IFERROR(INDEX($Z$3:$Z$39,MATCH(L125,$Y$3:$Y$39,0)),(INDEX(Factor,K125+10)-INDEX(Factor,K125))/(INDEX(Degrees,K125+10)-INDEX(Degrees,K125))*(L125-INDEX(Degrees,K125))+INDEX(Factor,K125))</f>
        <v>0.73199999999999998</v>
      </c>
    </row>
    <row r="126" spans="11:13">
      <c r="K126" s="350">
        <f t="shared" si="2"/>
        <v>121</v>
      </c>
      <c r="L126" s="350">
        <v>73</v>
      </c>
      <c r="M126" s="350">
        <f>IFERROR(INDEX($Z$3:$Z$39,MATCH(L126,$Y$3:$Y$39,0)),(INDEX(Factor,K126+10)-INDEX(Factor,K126))/(INDEX(Degrees,K126+10)-INDEX(Degrees,K126))*(L126-INDEX(Degrees,K126))+INDEX(Factor,K126))</f>
        <v>0.73299999999999998</v>
      </c>
    </row>
    <row r="127" spans="11:13">
      <c r="K127" s="350">
        <f t="shared" si="2"/>
        <v>121</v>
      </c>
      <c r="L127" s="350">
        <v>74</v>
      </c>
      <c r="M127" s="350">
        <f>IFERROR(INDEX($Z$3:$Z$39,MATCH(L127,$Y$3:$Y$39,0)),(INDEX(Factor,K127+10)-INDEX(Factor,K127))/(INDEX(Degrees,K127+10)-INDEX(Degrees,K127))*(L127-INDEX(Degrees,K127))+INDEX(Factor,K127))</f>
        <v>0.73399999999999999</v>
      </c>
    </row>
    <row r="128" spans="11:13">
      <c r="K128" s="350">
        <f t="shared" si="2"/>
        <v>121</v>
      </c>
      <c r="L128" s="350">
        <v>75</v>
      </c>
      <c r="M128" s="350">
        <f>IFERROR(INDEX($Z$3:$Z$39,MATCH(L128,$Y$3:$Y$39,0)),(INDEX(Factor,K128+10)-INDEX(Factor,K128))/(INDEX(Degrees,K128+10)-INDEX(Degrees,K128))*(L128-INDEX(Degrees,K128))+INDEX(Factor,K128))</f>
        <v>0.73499999999999999</v>
      </c>
    </row>
    <row r="129" spans="11:13">
      <c r="K129" s="350">
        <f t="shared" si="2"/>
        <v>121</v>
      </c>
      <c r="L129" s="350">
        <v>76</v>
      </c>
      <c r="M129" s="350">
        <f>IFERROR(INDEX($Z$3:$Z$39,MATCH(L129,$Y$3:$Y$39,0)),(INDEX(Factor,K129+10)-INDEX(Factor,K129))/(INDEX(Degrees,K129+10)-INDEX(Degrees,K129))*(L129-INDEX(Degrees,K129))+INDEX(Factor,K129))</f>
        <v>0.73599999999999999</v>
      </c>
    </row>
    <row r="130" spans="11:13">
      <c r="K130" s="350">
        <f t="shared" si="2"/>
        <v>121</v>
      </c>
      <c r="L130" s="350">
        <v>77</v>
      </c>
      <c r="M130" s="350">
        <f>IFERROR(INDEX($Z$3:$Z$39,MATCH(L130,$Y$3:$Y$39,0)),(INDEX(Factor,K130+10)-INDEX(Factor,K130))/(INDEX(Degrees,K130+10)-INDEX(Degrees,K130))*(L130-INDEX(Degrees,K130))+INDEX(Factor,K130))</f>
        <v>0.73699999999999999</v>
      </c>
    </row>
    <row r="131" spans="11:13">
      <c r="K131" s="350">
        <f t="shared" ref="K131:K194" si="3">ROUNDDOWN(ROW()-3,-1)+1</f>
        <v>121</v>
      </c>
      <c r="L131" s="350">
        <v>78</v>
      </c>
      <c r="M131" s="350">
        <f>IFERROR(INDEX($Z$3:$Z$39,MATCH(L131,$Y$3:$Y$39,0)),(INDEX(Factor,K131+10)-INDEX(Factor,K131))/(INDEX(Degrees,K131+10)-INDEX(Degrees,K131))*(L131-INDEX(Degrees,K131))+INDEX(Factor,K131))</f>
        <v>0.73799999999999999</v>
      </c>
    </row>
    <row r="132" spans="11:13">
      <c r="K132" s="350">
        <f t="shared" si="3"/>
        <v>121</v>
      </c>
      <c r="L132" s="350">
        <v>79</v>
      </c>
      <c r="M132" s="350">
        <f>IFERROR(INDEX($Z$3:$Z$39,MATCH(L132,$Y$3:$Y$39,0)),(INDEX(Factor,K132+10)-INDEX(Factor,K132))/(INDEX(Degrees,K132+10)-INDEX(Degrees,K132))*(L132-INDEX(Degrees,K132))+INDEX(Factor,K132))</f>
        <v>0.73899999999999999</v>
      </c>
    </row>
    <row r="133" spans="11:13">
      <c r="K133" s="350">
        <f t="shared" si="3"/>
        <v>131</v>
      </c>
      <c r="L133" s="350">
        <v>80</v>
      </c>
      <c r="M133" s="350">
        <f>IFERROR(INDEX($Z$3:$Z$39,MATCH(L133,$Y$3:$Y$39,0)),(INDEX(Factor,K133+10)-INDEX(Factor,K133))/(INDEX(Degrees,K133+10)-INDEX(Degrees,K133))*(L133-INDEX(Degrees,K133))+INDEX(Factor,K133))</f>
        <v>0.74</v>
      </c>
    </row>
    <row r="134" spans="11:13">
      <c r="K134" s="350">
        <f t="shared" si="3"/>
        <v>131</v>
      </c>
      <c r="L134" s="350">
        <v>81</v>
      </c>
      <c r="M134" s="350">
        <f>IFERROR(INDEX($Z$3:$Z$39,MATCH(L134,$Y$3:$Y$39,0)),(INDEX(Factor,K134+10)-INDEX(Factor,K134))/(INDEX(Degrees,K134+10)-INDEX(Degrees,K134))*(L134-INDEX(Degrees,K134))+INDEX(Factor,K134))</f>
        <v>0.74</v>
      </c>
    </row>
    <row r="135" spans="11:13">
      <c r="K135" s="350">
        <f t="shared" si="3"/>
        <v>131</v>
      </c>
      <c r="L135" s="350">
        <v>82</v>
      </c>
      <c r="M135" s="350">
        <f>IFERROR(INDEX($Z$3:$Z$39,MATCH(L135,$Y$3:$Y$39,0)),(INDEX(Factor,K135+10)-INDEX(Factor,K135))/(INDEX(Degrees,K135+10)-INDEX(Degrees,K135))*(L135-INDEX(Degrees,K135))+INDEX(Factor,K135))</f>
        <v>0.74</v>
      </c>
    </row>
    <row r="136" spans="11:13">
      <c r="K136" s="350">
        <f t="shared" si="3"/>
        <v>131</v>
      </c>
      <c r="L136" s="350">
        <v>83</v>
      </c>
      <c r="M136" s="350">
        <f>IFERROR(INDEX($Z$3:$Z$39,MATCH(L136,$Y$3:$Y$39,0)),(INDEX(Factor,K136+10)-INDEX(Factor,K136))/(INDEX(Degrees,K136+10)-INDEX(Degrees,K136))*(L136-INDEX(Degrees,K136))+INDEX(Factor,K136))</f>
        <v>0.74</v>
      </c>
    </row>
    <row r="137" spans="11:13">
      <c r="K137" s="350">
        <f t="shared" si="3"/>
        <v>131</v>
      </c>
      <c r="L137" s="350">
        <v>84</v>
      </c>
      <c r="M137" s="350">
        <f>IFERROR(INDEX($Z$3:$Z$39,MATCH(L137,$Y$3:$Y$39,0)),(INDEX(Factor,K137+10)-INDEX(Factor,K137))/(INDEX(Degrees,K137+10)-INDEX(Degrees,K137))*(L137-INDEX(Degrees,K137))+INDEX(Factor,K137))</f>
        <v>0.74</v>
      </c>
    </row>
    <row r="138" spans="11:13">
      <c r="K138" s="350">
        <f t="shared" si="3"/>
        <v>131</v>
      </c>
      <c r="L138" s="350">
        <v>85</v>
      </c>
      <c r="M138" s="350">
        <f>IFERROR(INDEX($Z$3:$Z$39,MATCH(L138,$Y$3:$Y$39,0)),(INDEX(Factor,K138+10)-INDEX(Factor,K138))/(INDEX(Degrees,K138+10)-INDEX(Degrees,K138))*(L138-INDEX(Degrees,K138))+INDEX(Factor,K138))</f>
        <v>0.74</v>
      </c>
    </row>
    <row r="139" spans="11:13">
      <c r="K139" s="350">
        <f t="shared" si="3"/>
        <v>131</v>
      </c>
      <c r="L139" s="350">
        <v>86</v>
      </c>
      <c r="M139" s="350">
        <f>IFERROR(INDEX($Z$3:$Z$39,MATCH(L139,$Y$3:$Y$39,0)),(INDEX(Factor,K139+10)-INDEX(Factor,K139))/(INDEX(Degrees,K139+10)-INDEX(Degrees,K139))*(L139-INDEX(Degrees,K139))+INDEX(Factor,K139))</f>
        <v>0.74</v>
      </c>
    </row>
    <row r="140" spans="11:13">
      <c r="K140" s="350">
        <f t="shared" si="3"/>
        <v>131</v>
      </c>
      <c r="L140" s="350">
        <v>87</v>
      </c>
      <c r="M140" s="350">
        <f>IFERROR(INDEX($Z$3:$Z$39,MATCH(L140,$Y$3:$Y$39,0)),(INDEX(Factor,K140+10)-INDEX(Factor,K140))/(INDEX(Degrees,K140+10)-INDEX(Degrees,K140))*(L140-INDEX(Degrees,K140))+INDEX(Factor,K140))</f>
        <v>0.74</v>
      </c>
    </row>
    <row r="141" spans="11:13">
      <c r="K141" s="350">
        <f t="shared" si="3"/>
        <v>131</v>
      </c>
      <c r="L141" s="350">
        <v>88</v>
      </c>
      <c r="M141" s="350">
        <f>IFERROR(INDEX($Z$3:$Z$39,MATCH(L141,$Y$3:$Y$39,0)),(INDEX(Factor,K141+10)-INDEX(Factor,K141))/(INDEX(Degrees,K141+10)-INDEX(Degrees,K141))*(L141-INDEX(Degrees,K141))+INDEX(Factor,K141))</f>
        <v>0.74</v>
      </c>
    </row>
    <row r="142" spans="11:13">
      <c r="K142" s="350">
        <f t="shared" si="3"/>
        <v>131</v>
      </c>
      <c r="L142" s="350">
        <v>89</v>
      </c>
      <c r="M142" s="350">
        <f>IFERROR(INDEX($Z$3:$Z$39,MATCH(L142,$Y$3:$Y$39,0)),(INDEX(Factor,K142+10)-INDEX(Factor,K142))/(INDEX(Degrees,K142+10)-INDEX(Degrees,K142))*(L142-INDEX(Degrees,K142))+INDEX(Factor,K142))</f>
        <v>0.74</v>
      </c>
    </row>
    <row r="143" spans="11:13">
      <c r="K143" s="350">
        <f t="shared" si="3"/>
        <v>141</v>
      </c>
      <c r="L143" s="350">
        <v>90</v>
      </c>
      <c r="M143" s="350">
        <f>IFERROR(INDEX($Z$3:$Z$39,MATCH(L143,$Y$3:$Y$39,0)),(INDEX(Factor,K143+10)-INDEX(Factor,K143))/(INDEX(Degrees,K143+10)-INDEX(Degrees,K143))*(L143-INDEX(Degrees,K143))+INDEX(Factor,K143))</f>
        <v>0.74</v>
      </c>
    </row>
    <row r="144" spans="11:13">
      <c r="K144" s="350">
        <f t="shared" si="3"/>
        <v>141</v>
      </c>
      <c r="L144" s="350">
        <v>91</v>
      </c>
      <c r="M144" s="350">
        <f>IFERROR(INDEX($Z$3:$Z$39,MATCH(L144,$Y$3:$Y$39,0)),(INDEX(Factor,K144+10)-INDEX(Factor,K144))/(INDEX(Degrees,K144+10)-INDEX(Degrees,K144))*(L144-INDEX(Degrees,K144))+INDEX(Factor,K144))</f>
        <v>0.74</v>
      </c>
    </row>
    <row r="145" spans="11:13">
      <c r="K145" s="350">
        <f t="shared" si="3"/>
        <v>141</v>
      </c>
      <c r="L145" s="350">
        <v>92</v>
      </c>
      <c r="M145" s="350">
        <f>IFERROR(INDEX($Z$3:$Z$39,MATCH(L145,$Y$3:$Y$39,0)),(INDEX(Factor,K145+10)-INDEX(Factor,K145))/(INDEX(Degrees,K145+10)-INDEX(Degrees,K145))*(L145-INDEX(Degrees,K145))+INDEX(Factor,K145))</f>
        <v>0.74</v>
      </c>
    </row>
    <row r="146" spans="11:13">
      <c r="K146" s="350">
        <f t="shared" si="3"/>
        <v>141</v>
      </c>
      <c r="L146" s="350">
        <v>93</v>
      </c>
      <c r="M146" s="350">
        <f>IFERROR(INDEX($Z$3:$Z$39,MATCH(L146,$Y$3:$Y$39,0)),(INDEX(Factor,K146+10)-INDEX(Factor,K146))/(INDEX(Degrees,K146+10)-INDEX(Degrees,K146))*(L146-INDEX(Degrees,K146))+INDEX(Factor,K146))</f>
        <v>0.74</v>
      </c>
    </row>
    <row r="147" spans="11:13">
      <c r="K147" s="350">
        <f t="shared" si="3"/>
        <v>141</v>
      </c>
      <c r="L147" s="350">
        <v>94</v>
      </c>
      <c r="M147" s="350">
        <f>IFERROR(INDEX($Z$3:$Z$39,MATCH(L147,$Y$3:$Y$39,0)),(INDEX(Factor,K147+10)-INDEX(Factor,K147))/(INDEX(Degrees,K147+10)-INDEX(Degrees,K147))*(L147-INDEX(Degrees,K147))+INDEX(Factor,K147))</f>
        <v>0.74</v>
      </c>
    </row>
    <row r="148" spans="11:13">
      <c r="K148" s="350">
        <f t="shared" si="3"/>
        <v>141</v>
      </c>
      <c r="L148" s="350">
        <v>95</v>
      </c>
      <c r="M148" s="350">
        <f>IFERROR(INDEX($Z$3:$Z$39,MATCH(L148,$Y$3:$Y$39,0)),(INDEX(Factor,K148+10)-INDEX(Factor,K148))/(INDEX(Degrees,K148+10)-INDEX(Degrees,K148))*(L148-INDEX(Degrees,K148))+INDEX(Factor,K148))</f>
        <v>0.74</v>
      </c>
    </row>
    <row r="149" spans="11:13">
      <c r="K149" s="350">
        <f t="shared" si="3"/>
        <v>141</v>
      </c>
      <c r="L149" s="350">
        <v>96</v>
      </c>
      <c r="M149" s="350">
        <f>IFERROR(INDEX($Z$3:$Z$39,MATCH(L149,$Y$3:$Y$39,0)),(INDEX(Factor,K149+10)-INDEX(Factor,K149))/(INDEX(Degrees,K149+10)-INDEX(Degrees,K149))*(L149-INDEX(Degrees,K149))+INDEX(Factor,K149))</f>
        <v>0.74</v>
      </c>
    </row>
    <row r="150" spans="11:13">
      <c r="K150" s="350">
        <f t="shared" si="3"/>
        <v>141</v>
      </c>
      <c r="L150" s="350">
        <v>97</v>
      </c>
      <c r="M150" s="350">
        <f>IFERROR(INDEX($Z$3:$Z$39,MATCH(L150,$Y$3:$Y$39,0)),(INDEX(Factor,K150+10)-INDEX(Factor,K150))/(INDEX(Degrees,K150+10)-INDEX(Degrees,K150))*(L150-INDEX(Degrees,K150))+INDEX(Factor,K150))</f>
        <v>0.74</v>
      </c>
    </row>
    <row r="151" spans="11:13">
      <c r="K151" s="350">
        <f t="shared" si="3"/>
        <v>141</v>
      </c>
      <c r="L151" s="350">
        <v>98</v>
      </c>
      <c r="M151" s="350">
        <f>IFERROR(INDEX($Z$3:$Z$39,MATCH(L151,$Y$3:$Y$39,0)),(INDEX(Factor,K151+10)-INDEX(Factor,K151))/(INDEX(Degrees,K151+10)-INDEX(Degrees,K151))*(L151-INDEX(Degrees,K151))+INDEX(Factor,K151))</f>
        <v>0.74</v>
      </c>
    </row>
    <row r="152" spans="11:13">
      <c r="K152" s="350">
        <f t="shared" si="3"/>
        <v>141</v>
      </c>
      <c r="L152" s="350">
        <v>99</v>
      </c>
      <c r="M152" s="350">
        <f>IFERROR(INDEX($Z$3:$Z$39,MATCH(L152,$Y$3:$Y$39,0)),(INDEX(Factor,K152+10)-INDEX(Factor,K152))/(INDEX(Degrees,K152+10)-INDEX(Degrees,K152))*(L152-INDEX(Degrees,K152))+INDEX(Factor,K152))</f>
        <v>0.74</v>
      </c>
    </row>
    <row r="153" spans="11:13">
      <c r="K153" s="350">
        <f t="shared" si="3"/>
        <v>151</v>
      </c>
      <c r="L153" s="350">
        <v>100</v>
      </c>
      <c r="M153" s="350">
        <f>IFERROR(INDEX($Z$3:$Z$39,MATCH(L153,$Y$3:$Y$39,0)),(INDEX(Factor,K153+10)-INDEX(Factor,K153))/(INDEX(Degrees,K153+10)-INDEX(Degrees,K153))*(L153-INDEX(Degrees,K153))+INDEX(Factor,K153))</f>
        <v>0.74</v>
      </c>
    </row>
    <row r="154" spans="11:13">
      <c r="K154" s="350">
        <f t="shared" si="3"/>
        <v>151</v>
      </c>
      <c r="L154" s="350">
        <v>101</v>
      </c>
      <c r="M154" s="350">
        <f>IFERROR(INDEX($Z$3:$Z$39,MATCH(L154,$Y$3:$Y$39,0)),(INDEX(Factor,K154+10)-INDEX(Factor,K154))/(INDEX(Degrees,K154+10)-INDEX(Degrees,K154))*(L154-INDEX(Degrees,K154))+INDEX(Factor,K154))</f>
        <v>0.73899999999999999</v>
      </c>
    </row>
    <row r="155" spans="11:13">
      <c r="K155" s="350">
        <f t="shared" si="3"/>
        <v>151</v>
      </c>
      <c r="L155" s="350">
        <v>102</v>
      </c>
      <c r="M155" s="350">
        <f>IFERROR(INDEX($Z$3:$Z$39,MATCH(L155,$Y$3:$Y$39,0)),(INDEX(Factor,K155+10)-INDEX(Factor,K155))/(INDEX(Degrees,K155+10)-INDEX(Degrees,K155))*(L155-INDEX(Degrees,K155))+INDEX(Factor,K155))</f>
        <v>0.73799999999999999</v>
      </c>
    </row>
    <row r="156" spans="11:13">
      <c r="K156" s="350">
        <f t="shared" si="3"/>
        <v>151</v>
      </c>
      <c r="L156" s="350">
        <v>103</v>
      </c>
      <c r="M156" s="350">
        <f>IFERROR(INDEX($Z$3:$Z$39,MATCH(L156,$Y$3:$Y$39,0)),(INDEX(Factor,K156+10)-INDEX(Factor,K156))/(INDEX(Degrees,K156+10)-INDEX(Degrees,K156))*(L156-INDEX(Degrees,K156))+INDEX(Factor,K156))</f>
        <v>0.73699999999999999</v>
      </c>
    </row>
    <row r="157" spans="11:13">
      <c r="K157" s="350">
        <f t="shared" si="3"/>
        <v>151</v>
      </c>
      <c r="L157" s="350">
        <v>104</v>
      </c>
      <c r="M157" s="350">
        <f>IFERROR(INDEX($Z$3:$Z$39,MATCH(L157,$Y$3:$Y$39,0)),(INDEX(Factor,K157+10)-INDEX(Factor,K157))/(INDEX(Degrees,K157+10)-INDEX(Degrees,K157))*(L157-INDEX(Degrees,K157))+INDEX(Factor,K157))</f>
        <v>0.73599999999999999</v>
      </c>
    </row>
    <row r="158" spans="11:13">
      <c r="K158" s="350">
        <f t="shared" si="3"/>
        <v>151</v>
      </c>
      <c r="L158" s="350">
        <v>105</v>
      </c>
      <c r="M158" s="350">
        <f>IFERROR(INDEX($Z$3:$Z$39,MATCH(L158,$Y$3:$Y$39,0)),(INDEX(Factor,K158+10)-INDEX(Factor,K158))/(INDEX(Degrees,K158+10)-INDEX(Degrees,K158))*(L158-INDEX(Degrees,K158))+INDEX(Factor,K158))</f>
        <v>0.73499999999999999</v>
      </c>
    </row>
    <row r="159" spans="11:13">
      <c r="K159" s="350">
        <f t="shared" si="3"/>
        <v>151</v>
      </c>
      <c r="L159" s="350">
        <v>106</v>
      </c>
      <c r="M159" s="350">
        <f>IFERROR(INDEX($Z$3:$Z$39,MATCH(L159,$Y$3:$Y$39,0)),(INDEX(Factor,K159+10)-INDEX(Factor,K159))/(INDEX(Degrees,K159+10)-INDEX(Degrees,K159))*(L159-INDEX(Degrees,K159))+INDEX(Factor,K159))</f>
        <v>0.73399999999999999</v>
      </c>
    </row>
    <row r="160" spans="11:13">
      <c r="K160" s="350">
        <f t="shared" si="3"/>
        <v>151</v>
      </c>
      <c r="L160" s="350">
        <v>107</v>
      </c>
      <c r="M160" s="350">
        <f>IFERROR(INDEX($Z$3:$Z$39,MATCH(L160,$Y$3:$Y$39,0)),(INDEX(Factor,K160+10)-INDEX(Factor,K160))/(INDEX(Degrees,K160+10)-INDEX(Degrees,K160))*(L160-INDEX(Degrees,K160))+INDEX(Factor,K160))</f>
        <v>0.73299999999999998</v>
      </c>
    </row>
    <row r="161" spans="11:13">
      <c r="K161" s="350">
        <f t="shared" si="3"/>
        <v>151</v>
      </c>
      <c r="L161" s="350">
        <v>108</v>
      </c>
      <c r="M161" s="350">
        <f>IFERROR(INDEX($Z$3:$Z$39,MATCH(L161,$Y$3:$Y$39,0)),(INDEX(Factor,K161+10)-INDEX(Factor,K161))/(INDEX(Degrees,K161+10)-INDEX(Degrees,K161))*(L161-INDEX(Degrees,K161))+INDEX(Factor,K161))</f>
        <v>0.73199999999999998</v>
      </c>
    </row>
    <row r="162" spans="11:13">
      <c r="K162" s="350">
        <f t="shared" si="3"/>
        <v>151</v>
      </c>
      <c r="L162" s="350">
        <v>109</v>
      </c>
      <c r="M162" s="350">
        <f>IFERROR(INDEX($Z$3:$Z$39,MATCH(L162,$Y$3:$Y$39,0)),(INDEX(Factor,K162+10)-INDEX(Factor,K162))/(INDEX(Degrees,K162+10)-INDEX(Degrees,K162))*(L162-INDEX(Degrees,K162))+INDEX(Factor,K162))</f>
        <v>0.73099999999999998</v>
      </c>
    </row>
    <row r="163" spans="11:13">
      <c r="K163" s="350">
        <f t="shared" si="3"/>
        <v>161</v>
      </c>
      <c r="L163" s="350">
        <v>110</v>
      </c>
      <c r="M163" s="350">
        <f>IFERROR(INDEX($Z$3:$Z$39,MATCH(L163,$Y$3:$Y$39,0)),(INDEX(Factor,K163+10)-INDEX(Factor,K163))/(INDEX(Degrees,K163+10)-INDEX(Degrees,K163))*(L163-INDEX(Degrees,K163))+INDEX(Factor,K163))</f>
        <v>0.73</v>
      </c>
    </row>
    <row r="164" spans="11:13">
      <c r="K164" s="350">
        <f t="shared" si="3"/>
        <v>161</v>
      </c>
      <c r="L164" s="350">
        <v>111</v>
      </c>
      <c r="M164" s="350">
        <f>IFERROR(INDEX($Z$3:$Z$39,MATCH(L164,$Y$3:$Y$39,0)),(INDEX(Factor,K164+10)-INDEX(Factor,K164))/(INDEX(Degrees,K164+10)-INDEX(Degrees,K164))*(L164-INDEX(Degrees,K164))+INDEX(Factor,K164))</f>
        <v>0.73</v>
      </c>
    </row>
    <row r="165" spans="11:13">
      <c r="K165" s="350">
        <f t="shared" si="3"/>
        <v>161</v>
      </c>
      <c r="L165" s="350">
        <v>112</v>
      </c>
      <c r="M165" s="350">
        <f>IFERROR(INDEX($Z$3:$Z$39,MATCH(L165,$Y$3:$Y$39,0)),(INDEX(Factor,K165+10)-INDEX(Factor,K165))/(INDEX(Degrees,K165+10)-INDEX(Degrees,K165))*(L165-INDEX(Degrees,K165))+INDEX(Factor,K165))</f>
        <v>0.73</v>
      </c>
    </row>
    <row r="166" spans="11:13">
      <c r="K166" s="350">
        <f t="shared" si="3"/>
        <v>161</v>
      </c>
      <c r="L166" s="350">
        <v>113</v>
      </c>
      <c r="M166" s="350">
        <f>IFERROR(INDEX($Z$3:$Z$39,MATCH(L166,$Y$3:$Y$39,0)),(INDEX(Factor,K166+10)-INDEX(Factor,K166))/(INDEX(Degrees,K166+10)-INDEX(Degrees,K166))*(L166-INDEX(Degrees,K166))+INDEX(Factor,K166))</f>
        <v>0.73</v>
      </c>
    </row>
    <row r="167" spans="11:13">
      <c r="K167" s="350">
        <f t="shared" si="3"/>
        <v>161</v>
      </c>
      <c r="L167" s="350">
        <v>114</v>
      </c>
      <c r="M167" s="350">
        <f>IFERROR(INDEX($Z$3:$Z$39,MATCH(L167,$Y$3:$Y$39,0)),(INDEX(Factor,K167+10)-INDEX(Factor,K167))/(INDEX(Degrees,K167+10)-INDEX(Degrees,K167))*(L167-INDEX(Degrees,K167))+INDEX(Factor,K167))</f>
        <v>0.73</v>
      </c>
    </row>
    <row r="168" spans="11:13">
      <c r="K168" s="350">
        <f t="shared" si="3"/>
        <v>161</v>
      </c>
      <c r="L168" s="350">
        <v>115</v>
      </c>
      <c r="M168" s="350">
        <f>IFERROR(INDEX($Z$3:$Z$39,MATCH(L168,$Y$3:$Y$39,0)),(INDEX(Factor,K168+10)-INDEX(Factor,K168))/(INDEX(Degrees,K168+10)-INDEX(Degrees,K168))*(L168-INDEX(Degrees,K168))+INDEX(Factor,K168))</f>
        <v>0.73</v>
      </c>
    </row>
    <row r="169" spans="11:13">
      <c r="K169" s="350">
        <f t="shared" si="3"/>
        <v>161</v>
      </c>
      <c r="L169" s="350">
        <v>116</v>
      </c>
      <c r="M169" s="350">
        <f>IFERROR(INDEX($Z$3:$Z$39,MATCH(L169,$Y$3:$Y$39,0)),(INDEX(Factor,K169+10)-INDEX(Factor,K169))/(INDEX(Degrees,K169+10)-INDEX(Degrees,K169))*(L169-INDEX(Degrees,K169))+INDEX(Factor,K169))</f>
        <v>0.73</v>
      </c>
    </row>
    <row r="170" spans="11:13">
      <c r="K170" s="350">
        <f t="shared" si="3"/>
        <v>161</v>
      </c>
      <c r="L170" s="350">
        <v>117</v>
      </c>
      <c r="M170" s="350">
        <f>IFERROR(INDEX($Z$3:$Z$39,MATCH(L170,$Y$3:$Y$39,0)),(INDEX(Factor,K170+10)-INDEX(Factor,K170))/(INDEX(Degrees,K170+10)-INDEX(Degrees,K170))*(L170-INDEX(Degrees,K170))+INDEX(Factor,K170))</f>
        <v>0.73</v>
      </c>
    </row>
    <row r="171" spans="11:13">
      <c r="K171" s="350">
        <f t="shared" si="3"/>
        <v>161</v>
      </c>
      <c r="L171" s="350">
        <v>118</v>
      </c>
      <c r="M171" s="350">
        <f>IFERROR(INDEX($Z$3:$Z$39,MATCH(L171,$Y$3:$Y$39,0)),(INDEX(Factor,K171+10)-INDEX(Factor,K171))/(INDEX(Degrees,K171+10)-INDEX(Degrees,K171))*(L171-INDEX(Degrees,K171))+INDEX(Factor,K171))</f>
        <v>0.73</v>
      </c>
    </row>
    <row r="172" spans="11:13">
      <c r="K172" s="350">
        <f t="shared" si="3"/>
        <v>161</v>
      </c>
      <c r="L172" s="350">
        <v>119</v>
      </c>
      <c r="M172" s="350">
        <f>IFERROR(INDEX($Z$3:$Z$39,MATCH(L172,$Y$3:$Y$39,0)),(INDEX(Factor,K172+10)-INDEX(Factor,K172))/(INDEX(Degrees,K172+10)-INDEX(Degrees,K172))*(L172-INDEX(Degrees,K172))+INDEX(Factor,K172))</f>
        <v>0.73</v>
      </c>
    </row>
    <row r="173" spans="11:13">
      <c r="K173" s="350">
        <f t="shared" si="3"/>
        <v>171</v>
      </c>
      <c r="L173" s="350">
        <v>120</v>
      </c>
      <c r="M173" s="350">
        <f>IFERROR(INDEX($Z$3:$Z$39,MATCH(L173,$Y$3:$Y$39,0)),(INDEX(Factor,K173+10)-INDEX(Factor,K173))/(INDEX(Degrees,K173+10)-INDEX(Degrees,K173))*(L173-INDEX(Degrees,K173))+INDEX(Factor,K173))</f>
        <v>0.73</v>
      </c>
    </row>
    <row r="174" spans="11:13">
      <c r="K174" s="350">
        <f t="shared" si="3"/>
        <v>171</v>
      </c>
      <c r="L174" s="350">
        <v>121</v>
      </c>
      <c r="M174" s="350">
        <f>IFERROR(INDEX($Z$3:$Z$39,MATCH(L174,$Y$3:$Y$39,0)),(INDEX(Factor,K174+10)-INDEX(Factor,K174))/(INDEX(Degrees,K174+10)-INDEX(Degrees,K174))*(L174-INDEX(Degrees,K174))+INDEX(Factor,K174))</f>
        <v>0.73199999999999998</v>
      </c>
    </row>
    <row r="175" spans="11:13">
      <c r="K175" s="350">
        <f t="shared" si="3"/>
        <v>171</v>
      </c>
      <c r="L175" s="350">
        <v>122</v>
      </c>
      <c r="M175" s="350">
        <f>IFERROR(INDEX($Z$3:$Z$39,MATCH(L175,$Y$3:$Y$39,0)),(INDEX(Factor,K175+10)-INDEX(Factor,K175))/(INDEX(Degrees,K175+10)-INDEX(Degrees,K175))*(L175-INDEX(Degrees,K175))+INDEX(Factor,K175))</f>
        <v>0.73399999999999999</v>
      </c>
    </row>
    <row r="176" spans="11:13">
      <c r="K176" s="350">
        <f t="shared" si="3"/>
        <v>171</v>
      </c>
      <c r="L176" s="350">
        <v>123</v>
      </c>
      <c r="M176" s="350">
        <f>IFERROR(INDEX($Z$3:$Z$39,MATCH(L176,$Y$3:$Y$39,0)),(INDEX(Factor,K176+10)-INDEX(Factor,K176))/(INDEX(Degrees,K176+10)-INDEX(Degrees,K176))*(L176-INDEX(Degrees,K176))+INDEX(Factor,K176))</f>
        <v>0.73599999999999999</v>
      </c>
    </row>
    <row r="177" spans="11:13">
      <c r="K177" s="350">
        <f t="shared" si="3"/>
        <v>171</v>
      </c>
      <c r="L177" s="350">
        <v>124</v>
      </c>
      <c r="M177" s="350">
        <f>IFERROR(INDEX($Z$3:$Z$39,MATCH(L177,$Y$3:$Y$39,0)),(INDEX(Factor,K177+10)-INDEX(Factor,K177))/(INDEX(Degrees,K177+10)-INDEX(Degrees,K177))*(L177-INDEX(Degrees,K177))+INDEX(Factor,K177))</f>
        <v>0.73799999999999999</v>
      </c>
    </row>
    <row r="178" spans="11:13">
      <c r="K178" s="350">
        <f t="shared" si="3"/>
        <v>171</v>
      </c>
      <c r="L178" s="350">
        <v>125</v>
      </c>
      <c r="M178" s="350">
        <f>IFERROR(INDEX($Z$3:$Z$39,MATCH(L178,$Y$3:$Y$39,0)),(INDEX(Factor,K178+10)-INDEX(Factor,K178))/(INDEX(Degrees,K178+10)-INDEX(Degrees,K178))*(L178-INDEX(Degrees,K178))+INDEX(Factor,K178))</f>
        <v>0.74</v>
      </c>
    </row>
    <row r="179" spans="11:13">
      <c r="K179" s="350">
        <f t="shared" si="3"/>
        <v>171</v>
      </c>
      <c r="L179" s="350">
        <v>126</v>
      </c>
      <c r="M179" s="350">
        <f>IFERROR(INDEX($Z$3:$Z$39,MATCH(L179,$Y$3:$Y$39,0)),(INDEX(Factor,K179+10)-INDEX(Factor,K179))/(INDEX(Degrees,K179+10)-INDEX(Degrees,K179))*(L179-INDEX(Degrees,K179))+INDEX(Factor,K179))</f>
        <v>0.74199999999999999</v>
      </c>
    </row>
    <row r="180" spans="11:13">
      <c r="K180" s="350">
        <f t="shared" si="3"/>
        <v>171</v>
      </c>
      <c r="L180" s="350">
        <v>127</v>
      </c>
      <c r="M180" s="350">
        <f>IFERROR(INDEX($Z$3:$Z$39,MATCH(L180,$Y$3:$Y$39,0)),(INDEX(Factor,K180+10)-INDEX(Factor,K180))/(INDEX(Degrees,K180+10)-INDEX(Degrees,K180))*(L180-INDEX(Degrees,K180))+INDEX(Factor,K180))</f>
        <v>0.74399999999999999</v>
      </c>
    </row>
    <row r="181" spans="11:13">
      <c r="K181" s="350">
        <f t="shared" si="3"/>
        <v>171</v>
      </c>
      <c r="L181" s="350">
        <v>128</v>
      </c>
      <c r="M181" s="350">
        <f>IFERROR(INDEX($Z$3:$Z$39,MATCH(L181,$Y$3:$Y$39,0)),(INDEX(Factor,K181+10)-INDEX(Factor,K181))/(INDEX(Degrees,K181+10)-INDEX(Degrees,K181))*(L181-INDEX(Degrees,K181))+INDEX(Factor,K181))</f>
        <v>0.746</v>
      </c>
    </row>
    <row r="182" spans="11:13">
      <c r="K182" s="350">
        <f t="shared" si="3"/>
        <v>171</v>
      </c>
      <c r="L182" s="350">
        <v>129</v>
      </c>
      <c r="M182" s="350">
        <f>IFERROR(INDEX($Z$3:$Z$39,MATCH(L182,$Y$3:$Y$39,0)),(INDEX(Factor,K182+10)-INDEX(Factor,K182))/(INDEX(Degrees,K182+10)-INDEX(Degrees,K182))*(L182-INDEX(Degrees,K182))+INDEX(Factor,K182))</f>
        <v>0.748</v>
      </c>
    </row>
    <row r="183" spans="11:13">
      <c r="K183" s="350">
        <f t="shared" si="3"/>
        <v>181</v>
      </c>
      <c r="L183" s="350">
        <v>130</v>
      </c>
      <c r="M183" s="350">
        <f>IFERROR(INDEX($Z$3:$Z$39,MATCH(L183,$Y$3:$Y$39,0)),(INDEX(Factor,K183+10)-INDEX(Factor,K183))/(INDEX(Degrees,K183+10)-INDEX(Degrees,K183))*(L183-INDEX(Degrees,K183))+INDEX(Factor,K183))</f>
        <v>0.75</v>
      </c>
    </row>
    <row r="184" spans="11:13">
      <c r="K184" s="350">
        <f t="shared" si="3"/>
        <v>181</v>
      </c>
      <c r="L184" s="350">
        <v>131</v>
      </c>
      <c r="M184" s="350">
        <f>IFERROR(INDEX($Z$3:$Z$39,MATCH(L184,$Y$3:$Y$39,0)),(INDEX(Factor,K184+10)-INDEX(Factor,K184))/(INDEX(Degrees,K184+10)-INDEX(Degrees,K184))*(L184-INDEX(Degrees,K184))+INDEX(Factor,K184))</f>
        <v>0.753</v>
      </c>
    </row>
    <row r="185" spans="11:13">
      <c r="K185" s="350">
        <f t="shared" si="3"/>
        <v>181</v>
      </c>
      <c r="L185" s="350">
        <v>132</v>
      </c>
      <c r="M185" s="350">
        <f>IFERROR(INDEX($Z$3:$Z$39,MATCH(L185,$Y$3:$Y$39,0)),(INDEX(Factor,K185+10)-INDEX(Factor,K185))/(INDEX(Degrees,K185+10)-INDEX(Degrees,K185))*(L185-INDEX(Degrees,K185))+INDEX(Factor,K185))</f>
        <v>0.75600000000000001</v>
      </c>
    </row>
    <row r="186" spans="11:13">
      <c r="K186" s="350">
        <f t="shared" si="3"/>
        <v>181</v>
      </c>
      <c r="L186" s="350">
        <v>133</v>
      </c>
      <c r="M186" s="350">
        <f>IFERROR(INDEX($Z$3:$Z$39,MATCH(L186,$Y$3:$Y$39,0)),(INDEX(Factor,K186+10)-INDEX(Factor,K186))/(INDEX(Degrees,K186+10)-INDEX(Degrees,K186))*(L186-INDEX(Degrees,K186))+INDEX(Factor,K186))</f>
        <v>0.75900000000000001</v>
      </c>
    </row>
    <row r="187" spans="11:13">
      <c r="K187" s="350">
        <f t="shared" si="3"/>
        <v>181</v>
      </c>
      <c r="L187" s="350">
        <v>134</v>
      </c>
      <c r="M187" s="350">
        <f>IFERROR(INDEX($Z$3:$Z$39,MATCH(L187,$Y$3:$Y$39,0)),(INDEX(Factor,K187+10)-INDEX(Factor,K187))/(INDEX(Degrees,K187+10)-INDEX(Degrees,K187))*(L187-INDEX(Degrees,K187))+INDEX(Factor,K187))</f>
        <v>0.76200000000000001</v>
      </c>
    </row>
    <row r="188" spans="11:13">
      <c r="K188" s="350">
        <f t="shared" si="3"/>
        <v>181</v>
      </c>
      <c r="L188" s="350">
        <v>135</v>
      </c>
      <c r="M188" s="350">
        <f>IFERROR(INDEX($Z$3:$Z$39,MATCH(L188,$Y$3:$Y$39,0)),(INDEX(Factor,K188+10)-INDEX(Factor,K188))/(INDEX(Degrees,K188+10)-INDEX(Degrees,K188))*(L188-INDEX(Degrees,K188))+INDEX(Factor,K188))</f>
        <v>0.76500000000000001</v>
      </c>
    </row>
    <row r="189" spans="11:13">
      <c r="K189" s="350">
        <f t="shared" si="3"/>
        <v>181</v>
      </c>
      <c r="L189" s="350">
        <v>136</v>
      </c>
      <c r="M189" s="350">
        <f>IFERROR(INDEX($Z$3:$Z$39,MATCH(L189,$Y$3:$Y$39,0)),(INDEX(Factor,K189+10)-INDEX(Factor,K189))/(INDEX(Degrees,K189+10)-INDEX(Degrees,K189))*(L189-INDEX(Degrees,K189))+INDEX(Factor,K189))</f>
        <v>0.76800000000000002</v>
      </c>
    </row>
    <row r="190" spans="11:13">
      <c r="K190" s="350">
        <f t="shared" si="3"/>
        <v>181</v>
      </c>
      <c r="L190" s="350">
        <v>137</v>
      </c>
      <c r="M190" s="350">
        <f>IFERROR(INDEX($Z$3:$Z$39,MATCH(L190,$Y$3:$Y$39,0)),(INDEX(Factor,K190+10)-INDEX(Factor,K190))/(INDEX(Degrees,K190+10)-INDEX(Degrees,K190))*(L190-INDEX(Degrees,K190))+INDEX(Factor,K190))</f>
        <v>0.77100000000000002</v>
      </c>
    </row>
    <row r="191" spans="11:13">
      <c r="K191" s="350">
        <f t="shared" si="3"/>
        <v>181</v>
      </c>
      <c r="L191" s="350">
        <v>138</v>
      </c>
      <c r="M191" s="350">
        <f>IFERROR(INDEX($Z$3:$Z$39,MATCH(L191,$Y$3:$Y$39,0)),(INDEX(Factor,K191+10)-INDEX(Factor,K191))/(INDEX(Degrees,K191+10)-INDEX(Degrees,K191))*(L191-INDEX(Degrees,K191))+INDEX(Factor,K191))</f>
        <v>0.77400000000000002</v>
      </c>
    </row>
    <row r="192" spans="11:13">
      <c r="K192" s="350">
        <f t="shared" si="3"/>
        <v>181</v>
      </c>
      <c r="L192" s="350">
        <v>139</v>
      </c>
      <c r="M192" s="350">
        <f>IFERROR(INDEX($Z$3:$Z$39,MATCH(L192,$Y$3:$Y$39,0)),(INDEX(Factor,K192+10)-INDEX(Factor,K192))/(INDEX(Degrees,K192+10)-INDEX(Degrees,K192))*(L192-INDEX(Degrees,K192))+INDEX(Factor,K192))</f>
        <v>0.77700000000000002</v>
      </c>
    </row>
    <row r="193" spans="11:13">
      <c r="K193" s="350">
        <f t="shared" si="3"/>
        <v>191</v>
      </c>
      <c r="L193" s="350">
        <v>140</v>
      </c>
      <c r="M193" s="350">
        <f>IFERROR(INDEX($Z$3:$Z$39,MATCH(L193,$Y$3:$Y$39,0)),(INDEX(Factor,K193+10)-INDEX(Factor,K193))/(INDEX(Degrees,K193+10)-INDEX(Degrees,K193))*(L193-INDEX(Degrees,K193))+INDEX(Factor,K193))</f>
        <v>0.78</v>
      </c>
    </row>
    <row r="194" spans="11:13">
      <c r="K194" s="350">
        <f t="shared" si="3"/>
        <v>191</v>
      </c>
      <c r="L194" s="350">
        <v>141</v>
      </c>
      <c r="M194" s="350">
        <f>IFERROR(INDEX($Z$3:$Z$39,MATCH(L194,$Y$3:$Y$39,0)),(INDEX(Factor,K194+10)-INDEX(Factor,K194))/(INDEX(Degrees,K194+10)-INDEX(Degrees,K194))*(L194-INDEX(Degrees,K194))+INDEX(Factor,K194))</f>
        <v>0.78200000000000003</v>
      </c>
    </row>
    <row r="195" spans="11:13">
      <c r="K195" s="350">
        <f t="shared" ref="K195:K258" si="4">ROUNDDOWN(ROW()-3,-1)+1</f>
        <v>191</v>
      </c>
      <c r="L195" s="350">
        <v>142</v>
      </c>
      <c r="M195" s="350">
        <f>IFERROR(INDEX($Z$3:$Z$39,MATCH(L195,$Y$3:$Y$39,0)),(INDEX(Factor,K195+10)-INDEX(Factor,K195))/(INDEX(Degrees,K195+10)-INDEX(Degrees,K195))*(L195-INDEX(Degrees,K195))+INDEX(Factor,K195))</f>
        <v>0.78400000000000003</v>
      </c>
    </row>
    <row r="196" spans="11:13">
      <c r="K196" s="350">
        <f t="shared" si="4"/>
        <v>191</v>
      </c>
      <c r="L196" s="350">
        <v>143</v>
      </c>
      <c r="M196" s="350">
        <f>IFERROR(INDEX($Z$3:$Z$39,MATCH(L196,$Y$3:$Y$39,0)),(INDEX(Factor,K196+10)-INDEX(Factor,K196))/(INDEX(Degrees,K196+10)-INDEX(Degrees,K196))*(L196-INDEX(Degrees,K196))+INDEX(Factor,K196))</f>
        <v>0.78600000000000003</v>
      </c>
    </row>
    <row r="197" spans="11:13">
      <c r="K197" s="350">
        <f t="shared" si="4"/>
        <v>191</v>
      </c>
      <c r="L197" s="350">
        <v>144</v>
      </c>
      <c r="M197" s="350">
        <f>IFERROR(INDEX($Z$3:$Z$39,MATCH(L197,$Y$3:$Y$39,0)),(INDEX(Factor,K197+10)-INDEX(Factor,K197))/(INDEX(Degrees,K197+10)-INDEX(Degrees,K197))*(L197-INDEX(Degrees,K197))+INDEX(Factor,K197))</f>
        <v>0.78800000000000003</v>
      </c>
    </row>
    <row r="198" spans="11:13">
      <c r="K198" s="350">
        <f t="shared" si="4"/>
        <v>191</v>
      </c>
      <c r="L198" s="350">
        <v>145</v>
      </c>
      <c r="M198" s="350">
        <f>IFERROR(INDEX($Z$3:$Z$39,MATCH(L198,$Y$3:$Y$39,0)),(INDEX(Factor,K198+10)-INDEX(Factor,K198))/(INDEX(Degrees,K198+10)-INDEX(Degrees,K198))*(L198-INDEX(Degrees,K198))+INDEX(Factor,K198))</f>
        <v>0.79</v>
      </c>
    </row>
    <row r="199" spans="11:13">
      <c r="K199" s="350">
        <f t="shared" si="4"/>
        <v>191</v>
      </c>
      <c r="L199" s="350">
        <v>146</v>
      </c>
      <c r="M199" s="350">
        <f>IFERROR(INDEX($Z$3:$Z$39,MATCH(L199,$Y$3:$Y$39,0)),(INDEX(Factor,K199+10)-INDEX(Factor,K199))/(INDEX(Degrees,K199+10)-INDEX(Degrees,K199))*(L199-INDEX(Degrees,K199))+INDEX(Factor,K199))</f>
        <v>0.79200000000000004</v>
      </c>
    </row>
    <row r="200" spans="11:13">
      <c r="K200" s="350">
        <f t="shared" si="4"/>
        <v>191</v>
      </c>
      <c r="L200" s="350">
        <v>147</v>
      </c>
      <c r="M200" s="350">
        <f>IFERROR(INDEX($Z$3:$Z$39,MATCH(L200,$Y$3:$Y$39,0)),(INDEX(Factor,K200+10)-INDEX(Factor,K200))/(INDEX(Degrees,K200+10)-INDEX(Degrees,K200))*(L200-INDEX(Degrees,K200))+INDEX(Factor,K200))</f>
        <v>0.79400000000000004</v>
      </c>
    </row>
    <row r="201" spans="11:13">
      <c r="K201" s="350">
        <f t="shared" si="4"/>
        <v>191</v>
      </c>
      <c r="L201" s="350">
        <v>148</v>
      </c>
      <c r="M201" s="350">
        <f>IFERROR(INDEX($Z$3:$Z$39,MATCH(L201,$Y$3:$Y$39,0)),(INDEX(Factor,K201+10)-INDEX(Factor,K201))/(INDEX(Degrees,K201+10)-INDEX(Degrees,K201))*(L201-INDEX(Degrees,K201))+INDEX(Factor,K201))</f>
        <v>0.79600000000000004</v>
      </c>
    </row>
    <row r="202" spans="11:13">
      <c r="K202" s="350">
        <f t="shared" si="4"/>
        <v>191</v>
      </c>
      <c r="L202" s="350">
        <v>149</v>
      </c>
      <c r="M202" s="350">
        <f>IFERROR(INDEX($Z$3:$Z$39,MATCH(L202,$Y$3:$Y$39,0)),(INDEX(Factor,K202+10)-INDEX(Factor,K202))/(INDEX(Degrees,K202+10)-INDEX(Degrees,K202))*(L202-INDEX(Degrees,K202))+INDEX(Factor,K202))</f>
        <v>0.79800000000000004</v>
      </c>
    </row>
    <row r="203" spans="11:13">
      <c r="K203" s="350">
        <f t="shared" si="4"/>
        <v>201</v>
      </c>
      <c r="L203" s="350">
        <v>150</v>
      </c>
      <c r="M203" s="350">
        <f>IFERROR(INDEX($Z$3:$Z$39,MATCH(L203,$Y$3:$Y$39,0)),(INDEX(Factor,K203+10)-INDEX(Factor,K203))/(INDEX(Degrees,K203+10)-INDEX(Degrees,K203))*(L203-INDEX(Degrees,K203))+INDEX(Factor,K203))</f>
        <v>0.8</v>
      </c>
    </row>
    <row r="204" spans="11:13">
      <c r="K204" s="350">
        <f t="shared" si="4"/>
        <v>201</v>
      </c>
      <c r="L204" s="350">
        <v>151</v>
      </c>
      <c r="M204" s="350">
        <f>IFERROR(INDEX($Z$3:$Z$39,MATCH(L204,$Y$3:$Y$39,0)),(INDEX(Factor,K204+10)-INDEX(Factor,K204))/(INDEX(Degrees,K204+10)-INDEX(Degrees,K204))*(L204-INDEX(Degrees,K204))+INDEX(Factor,K204))</f>
        <v>0.80200000000000005</v>
      </c>
    </row>
    <row r="205" spans="11:13">
      <c r="K205" s="350">
        <f t="shared" si="4"/>
        <v>201</v>
      </c>
      <c r="L205" s="350">
        <v>152</v>
      </c>
      <c r="M205" s="350">
        <f>IFERROR(INDEX($Z$3:$Z$39,MATCH(L205,$Y$3:$Y$39,0)),(INDEX(Factor,K205+10)-INDEX(Factor,K205))/(INDEX(Degrees,K205+10)-INDEX(Degrees,K205))*(L205-INDEX(Degrees,K205))+INDEX(Factor,K205))</f>
        <v>0.80400000000000005</v>
      </c>
    </row>
    <row r="206" spans="11:13">
      <c r="K206" s="350">
        <f t="shared" si="4"/>
        <v>201</v>
      </c>
      <c r="L206" s="350">
        <v>153</v>
      </c>
      <c r="M206" s="350">
        <f>IFERROR(INDEX($Z$3:$Z$39,MATCH(L206,$Y$3:$Y$39,0)),(INDEX(Factor,K206+10)-INDEX(Factor,K206))/(INDEX(Degrees,K206+10)-INDEX(Degrees,K206))*(L206-INDEX(Degrees,K206))+INDEX(Factor,K206))</f>
        <v>0.80600000000000005</v>
      </c>
    </row>
    <row r="207" spans="11:13">
      <c r="K207" s="350">
        <f t="shared" si="4"/>
        <v>201</v>
      </c>
      <c r="L207" s="350">
        <v>154</v>
      </c>
      <c r="M207" s="350">
        <f>IFERROR(INDEX($Z$3:$Z$39,MATCH(L207,$Y$3:$Y$39,0)),(INDEX(Factor,K207+10)-INDEX(Factor,K207))/(INDEX(Degrees,K207+10)-INDEX(Degrees,K207))*(L207-INDEX(Degrees,K207))+INDEX(Factor,K207))</f>
        <v>0.80800000000000005</v>
      </c>
    </row>
    <row r="208" spans="11:13">
      <c r="K208" s="350">
        <f t="shared" si="4"/>
        <v>201</v>
      </c>
      <c r="L208" s="350">
        <v>155</v>
      </c>
      <c r="M208" s="350">
        <f>IFERROR(INDEX($Z$3:$Z$39,MATCH(L208,$Y$3:$Y$39,0)),(INDEX(Factor,K208+10)-INDEX(Factor,K208))/(INDEX(Degrees,K208+10)-INDEX(Degrees,K208))*(L208-INDEX(Degrees,K208))+INDEX(Factor,K208))</f>
        <v>0.81</v>
      </c>
    </row>
    <row r="209" spans="11:13">
      <c r="K209" s="350">
        <f t="shared" si="4"/>
        <v>201</v>
      </c>
      <c r="L209" s="350">
        <v>156</v>
      </c>
      <c r="M209" s="350">
        <f>IFERROR(INDEX($Z$3:$Z$39,MATCH(L209,$Y$3:$Y$39,0)),(INDEX(Factor,K209+10)-INDEX(Factor,K209))/(INDEX(Degrees,K209+10)-INDEX(Degrees,K209))*(L209-INDEX(Degrees,K209))+INDEX(Factor,K209))</f>
        <v>0.81199999999999994</v>
      </c>
    </row>
    <row r="210" spans="11:13">
      <c r="K210" s="350">
        <f t="shared" si="4"/>
        <v>201</v>
      </c>
      <c r="L210" s="350">
        <v>157</v>
      </c>
      <c r="M210" s="350">
        <f>IFERROR(INDEX($Z$3:$Z$39,MATCH(L210,$Y$3:$Y$39,0)),(INDEX(Factor,K210+10)-INDEX(Factor,K210))/(INDEX(Degrees,K210+10)-INDEX(Degrees,K210))*(L210-INDEX(Degrees,K210))+INDEX(Factor,K210))</f>
        <v>0.81399999999999995</v>
      </c>
    </row>
    <row r="211" spans="11:13">
      <c r="K211" s="350">
        <f t="shared" si="4"/>
        <v>201</v>
      </c>
      <c r="L211" s="350">
        <v>158</v>
      </c>
      <c r="M211" s="350">
        <f>IFERROR(INDEX($Z$3:$Z$39,MATCH(L211,$Y$3:$Y$39,0)),(INDEX(Factor,K211+10)-INDEX(Factor,K211))/(INDEX(Degrees,K211+10)-INDEX(Degrees,K211))*(L211-INDEX(Degrees,K211))+INDEX(Factor,K211))</f>
        <v>0.81599999999999995</v>
      </c>
    </row>
    <row r="212" spans="11:13">
      <c r="K212" s="350">
        <f t="shared" si="4"/>
        <v>201</v>
      </c>
      <c r="L212" s="350">
        <v>159</v>
      </c>
      <c r="M212" s="350">
        <f>IFERROR(INDEX($Z$3:$Z$39,MATCH(L212,$Y$3:$Y$39,0)),(INDEX(Factor,K212+10)-INDEX(Factor,K212))/(INDEX(Degrees,K212+10)-INDEX(Degrees,K212))*(L212-INDEX(Degrees,K212))+INDEX(Factor,K212))</f>
        <v>0.81799999999999995</v>
      </c>
    </row>
    <row r="213" spans="11:13">
      <c r="K213" s="350">
        <f t="shared" si="4"/>
        <v>211</v>
      </c>
      <c r="L213" s="350">
        <v>160</v>
      </c>
      <c r="M213" s="350">
        <f>IFERROR(INDEX($Z$3:$Z$39,MATCH(L213,$Y$3:$Y$39,0)),(INDEX(Factor,K213+10)-INDEX(Factor,K213))/(INDEX(Degrees,K213+10)-INDEX(Degrees,K213))*(L213-INDEX(Degrees,K213))+INDEX(Factor,K213))</f>
        <v>0.82</v>
      </c>
    </row>
    <row r="214" spans="11:13">
      <c r="K214" s="350">
        <f t="shared" si="4"/>
        <v>211</v>
      </c>
      <c r="L214" s="350">
        <v>161</v>
      </c>
      <c r="M214" s="350">
        <f>IFERROR(INDEX($Z$3:$Z$39,MATCH(L214,$Y$3:$Y$39,0)),(INDEX(Factor,K214+10)-INDEX(Factor,K214))/(INDEX(Degrees,K214+10)-INDEX(Degrees,K214))*(L214-INDEX(Degrees,K214))+INDEX(Factor,K214))</f>
        <v>0.82199999999999995</v>
      </c>
    </row>
    <row r="215" spans="11:13">
      <c r="K215" s="350">
        <f t="shared" si="4"/>
        <v>211</v>
      </c>
      <c r="L215" s="350">
        <v>162</v>
      </c>
      <c r="M215" s="350">
        <f>IFERROR(INDEX($Z$3:$Z$39,MATCH(L215,$Y$3:$Y$39,0)),(INDEX(Factor,K215+10)-INDEX(Factor,K215))/(INDEX(Degrees,K215+10)-INDEX(Degrees,K215))*(L215-INDEX(Degrees,K215))+INDEX(Factor,K215))</f>
        <v>0.82399999999999995</v>
      </c>
    </row>
    <row r="216" spans="11:13">
      <c r="K216" s="350">
        <f t="shared" si="4"/>
        <v>211</v>
      </c>
      <c r="L216" s="350">
        <v>163</v>
      </c>
      <c r="M216" s="350">
        <f>IFERROR(INDEX($Z$3:$Z$39,MATCH(L216,$Y$3:$Y$39,0)),(INDEX(Factor,K216+10)-INDEX(Factor,K216))/(INDEX(Degrees,K216+10)-INDEX(Degrees,K216))*(L216-INDEX(Degrees,K216))+INDEX(Factor,K216))</f>
        <v>0.82599999999999996</v>
      </c>
    </row>
    <row r="217" spans="11:13">
      <c r="K217" s="350">
        <f t="shared" si="4"/>
        <v>211</v>
      </c>
      <c r="L217" s="350">
        <v>164</v>
      </c>
      <c r="M217" s="350">
        <f>IFERROR(INDEX($Z$3:$Z$39,MATCH(L217,$Y$3:$Y$39,0)),(INDEX(Factor,K217+10)-INDEX(Factor,K217))/(INDEX(Degrees,K217+10)-INDEX(Degrees,K217))*(L217-INDEX(Degrees,K217))+INDEX(Factor,K217))</f>
        <v>0.82799999999999996</v>
      </c>
    </row>
    <row r="218" spans="11:13">
      <c r="K218" s="350">
        <f t="shared" si="4"/>
        <v>211</v>
      </c>
      <c r="L218" s="350">
        <v>165</v>
      </c>
      <c r="M218" s="350">
        <f>IFERROR(INDEX($Z$3:$Z$39,MATCH(L218,$Y$3:$Y$39,0)),(INDEX(Factor,K218+10)-INDEX(Factor,K218))/(INDEX(Degrees,K218+10)-INDEX(Degrees,K218))*(L218-INDEX(Degrees,K218))+INDEX(Factor,K218))</f>
        <v>0.83</v>
      </c>
    </row>
    <row r="219" spans="11:13">
      <c r="K219" s="350">
        <f t="shared" si="4"/>
        <v>211</v>
      </c>
      <c r="L219" s="350">
        <v>166</v>
      </c>
      <c r="M219" s="350">
        <f>IFERROR(INDEX($Z$3:$Z$39,MATCH(L219,$Y$3:$Y$39,0)),(INDEX(Factor,K219+10)-INDEX(Factor,K219))/(INDEX(Degrees,K219+10)-INDEX(Degrees,K219))*(L219-INDEX(Degrees,K219))+INDEX(Factor,K219))</f>
        <v>0.83199999999999996</v>
      </c>
    </row>
    <row r="220" spans="11:13">
      <c r="K220" s="350">
        <f t="shared" si="4"/>
        <v>211</v>
      </c>
      <c r="L220" s="350">
        <v>167</v>
      </c>
      <c r="M220" s="350">
        <f>IFERROR(INDEX($Z$3:$Z$39,MATCH(L220,$Y$3:$Y$39,0)),(INDEX(Factor,K220+10)-INDEX(Factor,K220))/(INDEX(Degrees,K220+10)-INDEX(Degrees,K220))*(L220-INDEX(Degrees,K220))+INDEX(Factor,K220))</f>
        <v>0.83399999999999996</v>
      </c>
    </row>
    <row r="221" spans="11:13">
      <c r="K221" s="350">
        <f t="shared" si="4"/>
        <v>211</v>
      </c>
      <c r="L221" s="350">
        <v>168</v>
      </c>
      <c r="M221" s="350">
        <f>IFERROR(INDEX($Z$3:$Z$39,MATCH(L221,$Y$3:$Y$39,0)),(INDEX(Factor,K221+10)-INDEX(Factor,K221))/(INDEX(Degrees,K221+10)-INDEX(Degrees,K221))*(L221-INDEX(Degrees,K221))+INDEX(Factor,K221))</f>
        <v>0.83599999999999997</v>
      </c>
    </row>
    <row r="222" spans="11:13">
      <c r="K222" s="350">
        <f t="shared" si="4"/>
        <v>211</v>
      </c>
      <c r="L222" s="350">
        <v>169</v>
      </c>
      <c r="M222" s="350">
        <f>IFERROR(INDEX($Z$3:$Z$39,MATCH(L222,$Y$3:$Y$39,0)),(INDEX(Factor,K222+10)-INDEX(Factor,K222))/(INDEX(Degrees,K222+10)-INDEX(Degrees,K222))*(L222-INDEX(Degrees,K222))+INDEX(Factor,K222))</f>
        <v>0.83799999999999997</v>
      </c>
    </row>
    <row r="223" spans="11:13">
      <c r="K223" s="350">
        <f t="shared" si="4"/>
        <v>221</v>
      </c>
      <c r="L223" s="350">
        <v>170</v>
      </c>
      <c r="M223" s="350">
        <f>IFERROR(INDEX($Z$3:$Z$39,MATCH(L223,$Y$3:$Y$39,0)),(INDEX(Factor,K223+10)-INDEX(Factor,K223))/(INDEX(Degrees,K223+10)-INDEX(Degrees,K223))*(L223-INDEX(Degrees,K223))+INDEX(Factor,K223))</f>
        <v>0.84</v>
      </c>
    </row>
    <row r="224" spans="11:13">
      <c r="K224" s="350">
        <f t="shared" si="4"/>
        <v>221</v>
      </c>
      <c r="L224" s="350">
        <v>171</v>
      </c>
      <c r="M224" s="350">
        <f>IFERROR(INDEX($Z$3:$Z$39,MATCH(L224,$Y$3:$Y$39,0)),(INDEX(Factor,K224+10)-INDEX(Factor,K224))/(INDEX(Degrees,K224+10)-INDEX(Degrees,K224))*(L224-INDEX(Degrees,K224))+INDEX(Factor,K224))</f>
        <v>0.84099999999999997</v>
      </c>
    </row>
    <row r="225" spans="11:13">
      <c r="K225" s="350">
        <f t="shared" si="4"/>
        <v>221</v>
      </c>
      <c r="L225" s="350">
        <v>172</v>
      </c>
      <c r="M225" s="350">
        <f>IFERROR(INDEX($Z$3:$Z$39,MATCH(L225,$Y$3:$Y$39,0)),(INDEX(Factor,K225+10)-INDEX(Factor,K225))/(INDEX(Degrees,K225+10)-INDEX(Degrees,K225))*(L225-INDEX(Degrees,K225))+INDEX(Factor,K225))</f>
        <v>0.84199999999999997</v>
      </c>
    </row>
    <row r="226" spans="11:13">
      <c r="K226" s="350">
        <f t="shared" si="4"/>
        <v>221</v>
      </c>
      <c r="L226" s="350">
        <v>173</v>
      </c>
      <c r="M226" s="350">
        <f>IFERROR(INDEX($Z$3:$Z$39,MATCH(L226,$Y$3:$Y$39,0)),(INDEX(Factor,K226+10)-INDEX(Factor,K226))/(INDEX(Degrees,K226+10)-INDEX(Degrees,K226))*(L226-INDEX(Degrees,K226))+INDEX(Factor,K226))</f>
        <v>0.84299999999999997</v>
      </c>
    </row>
    <row r="227" spans="11:13">
      <c r="K227" s="350">
        <f t="shared" si="4"/>
        <v>221</v>
      </c>
      <c r="L227" s="350">
        <v>174</v>
      </c>
      <c r="M227" s="350">
        <f>IFERROR(INDEX($Z$3:$Z$39,MATCH(L227,$Y$3:$Y$39,0)),(INDEX(Factor,K227+10)-INDEX(Factor,K227))/(INDEX(Degrees,K227+10)-INDEX(Degrees,K227))*(L227-INDEX(Degrees,K227))+INDEX(Factor,K227))</f>
        <v>0.84399999999999997</v>
      </c>
    </row>
    <row r="228" spans="11:13">
      <c r="K228" s="350">
        <f t="shared" si="4"/>
        <v>221</v>
      </c>
      <c r="L228" s="350">
        <v>175</v>
      </c>
      <c r="M228" s="350">
        <f>IFERROR(INDEX($Z$3:$Z$39,MATCH(L228,$Y$3:$Y$39,0)),(INDEX(Factor,K228+10)-INDEX(Factor,K228))/(INDEX(Degrees,K228+10)-INDEX(Degrees,K228))*(L228-INDEX(Degrees,K228))+INDEX(Factor,K228))</f>
        <v>0.84499999999999997</v>
      </c>
    </row>
    <row r="229" spans="11:13">
      <c r="K229" s="350">
        <f t="shared" si="4"/>
        <v>221</v>
      </c>
      <c r="L229" s="350">
        <v>176</v>
      </c>
      <c r="M229" s="350">
        <f>IFERROR(INDEX($Z$3:$Z$39,MATCH(L229,$Y$3:$Y$39,0)),(INDEX(Factor,K229+10)-INDEX(Factor,K229))/(INDEX(Degrees,K229+10)-INDEX(Degrees,K229))*(L229-INDEX(Degrees,K229))+INDEX(Factor,K229))</f>
        <v>0.84599999999999997</v>
      </c>
    </row>
    <row r="230" spans="11:13">
      <c r="K230" s="350">
        <f t="shared" si="4"/>
        <v>221</v>
      </c>
      <c r="L230" s="350">
        <v>177</v>
      </c>
      <c r="M230" s="350">
        <f>IFERROR(INDEX($Z$3:$Z$39,MATCH(L230,$Y$3:$Y$39,0)),(INDEX(Factor,K230+10)-INDEX(Factor,K230))/(INDEX(Degrees,K230+10)-INDEX(Degrees,K230))*(L230-INDEX(Degrees,K230))+INDEX(Factor,K230))</f>
        <v>0.84699999999999998</v>
      </c>
    </row>
    <row r="231" spans="11:13">
      <c r="K231" s="350">
        <f t="shared" si="4"/>
        <v>221</v>
      </c>
      <c r="L231" s="350">
        <v>178</v>
      </c>
      <c r="M231" s="350">
        <f>IFERROR(INDEX($Z$3:$Z$39,MATCH(L231,$Y$3:$Y$39,0)),(INDEX(Factor,K231+10)-INDEX(Factor,K231))/(INDEX(Degrees,K231+10)-INDEX(Degrees,K231))*(L231-INDEX(Degrees,K231))+INDEX(Factor,K231))</f>
        <v>0.84799999999999998</v>
      </c>
    </row>
    <row r="232" spans="11:13">
      <c r="K232" s="350">
        <f t="shared" si="4"/>
        <v>221</v>
      </c>
      <c r="L232" s="350">
        <v>179</v>
      </c>
      <c r="M232" s="350">
        <f>IFERROR(INDEX($Z$3:$Z$39,MATCH(L232,$Y$3:$Y$39,0)),(INDEX(Factor,K232+10)-INDEX(Factor,K232))/(INDEX(Degrees,K232+10)-INDEX(Degrees,K232))*(L232-INDEX(Degrees,K232))+INDEX(Factor,K232))</f>
        <v>0.84899999999999998</v>
      </c>
    </row>
    <row r="233" spans="11:13">
      <c r="K233" s="350">
        <f t="shared" si="4"/>
        <v>231</v>
      </c>
      <c r="L233" s="350">
        <v>180</v>
      </c>
      <c r="M233" s="350">
        <f>IFERROR(INDEX($Z$3:$Z$39,MATCH(L233,$Y$3:$Y$39,0)),(INDEX(Factor,K233+10)-INDEX(Factor,K233))/(INDEX(Degrees,K233+10)-INDEX(Degrees,K233))*(L233-INDEX(Degrees,K233))+INDEX(Factor,K233))</f>
        <v>0.85</v>
      </c>
    </row>
    <row r="234" spans="11:13">
      <c r="K234" s="350">
        <f t="shared" si="4"/>
        <v>231</v>
      </c>
      <c r="L234" s="350">
        <v>181</v>
      </c>
      <c r="M234" s="350">
        <f>IFERROR(INDEX($Z$3:$Z$39,MATCH(L234,$Y$3:$Y$39,0)),(INDEX(Factor,K234+10)-INDEX(Factor,K234))/(INDEX(Degrees,K234+10)-INDEX(Degrees,K234))*(L234-INDEX(Degrees,K234))+INDEX(Factor,K234))</f>
        <v>0.85299999999999998</v>
      </c>
    </row>
    <row r="235" spans="11:13">
      <c r="K235" s="350">
        <f t="shared" si="4"/>
        <v>231</v>
      </c>
      <c r="L235" s="350">
        <v>182</v>
      </c>
      <c r="M235" s="350">
        <f>IFERROR(INDEX($Z$3:$Z$39,MATCH(L235,$Y$3:$Y$39,0)),(INDEX(Factor,K235+10)-INDEX(Factor,K235))/(INDEX(Degrees,K235+10)-INDEX(Degrees,K235))*(L235-INDEX(Degrees,K235))+INDEX(Factor,K235))</f>
        <v>0.85599999999999998</v>
      </c>
    </row>
    <row r="236" spans="11:13">
      <c r="K236" s="350">
        <f t="shared" si="4"/>
        <v>231</v>
      </c>
      <c r="L236" s="350">
        <v>183</v>
      </c>
      <c r="M236" s="350">
        <f>IFERROR(INDEX($Z$3:$Z$39,MATCH(L236,$Y$3:$Y$39,0)),(INDEX(Factor,K236+10)-INDEX(Factor,K236))/(INDEX(Degrees,K236+10)-INDEX(Degrees,K236))*(L236-INDEX(Degrees,K236))+INDEX(Factor,K236))</f>
        <v>0.85899999999999999</v>
      </c>
    </row>
    <row r="237" spans="11:13">
      <c r="K237" s="350">
        <f t="shared" si="4"/>
        <v>231</v>
      </c>
      <c r="L237" s="350">
        <v>184</v>
      </c>
      <c r="M237" s="350">
        <f>IFERROR(INDEX($Z$3:$Z$39,MATCH(L237,$Y$3:$Y$39,0)),(INDEX(Factor,K237+10)-INDEX(Factor,K237))/(INDEX(Degrees,K237+10)-INDEX(Degrees,K237))*(L237-INDEX(Degrees,K237))+INDEX(Factor,K237))</f>
        <v>0.86199999999999999</v>
      </c>
    </row>
    <row r="238" spans="11:13">
      <c r="K238" s="350">
        <f t="shared" si="4"/>
        <v>231</v>
      </c>
      <c r="L238" s="350">
        <v>185</v>
      </c>
      <c r="M238" s="350">
        <f>IFERROR(INDEX($Z$3:$Z$39,MATCH(L238,$Y$3:$Y$39,0)),(INDEX(Factor,K238+10)-INDEX(Factor,K238))/(INDEX(Degrees,K238+10)-INDEX(Degrees,K238))*(L238-INDEX(Degrees,K238))+INDEX(Factor,K238))</f>
        <v>0.86499999999999999</v>
      </c>
    </row>
    <row r="239" spans="11:13">
      <c r="K239" s="350">
        <f t="shared" si="4"/>
        <v>231</v>
      </c>
      <c r="L239" s="350">
        <v>186</v>
      </c>
      <c r="M239" s="350">
        <f>IFERROR(INDEX($Z$3:$Z$39,MATCH(L239,$Y$3:$Y$39,0)),(INDEX(Factor,K239+10)-INDEX(Factor,K239))/(INDEX(Degrees,K239+10)-INDEX(Degrees,K239))*(L239-INDEX(Degrees,K239))+INDEX(Factor,K239))</f>
        <v>0.86799999999999999</v>
      </c>
    </row>
    <row r="240" spans="11:13">
      <c r="K240" s="350">
        <f t="shared" si="4"/>
        <v>231</v>
      </c>
      <c r="L240" s="350">
        <v>187</v>
      </c>
      <c r="M240" s="350">
        <f>IFERROR(INDEX($Z$3:$Z$39,MATCH(L240,$Y$3:$Y$39,0)),(INDEX(Factor,K240+10)-INDEX(Factor,K240))/(INDEX(Degrees,K240+10)-INDEX(Degrees,K240))*(L240-INDEX(Degrees,K240))+INDEX(Factor,K240))</f>
        <v>0.871</v>
      </c>
    </row>
    <row r="241" spans="11:13">
      <c r="K241" s="350">
        <f t="shared" si="4"/>
        <v>231</v>
      </c>
      <c r="L241" s="350">
        <v>188</v>
      </c>
      <c r="M241" s="350">
        <f>IFERROR(INDEX($Z$3:$Z$39,MATCH(L241,$Y$3:$Y$39,0)),(INDEX(Factor,K241+10)-INDEX(Factor,K241))/(INDEX(Degrees,K241+10)-INDEX(Degrees,K241))*(L241-INDEX(Degrees,K241))+INDEX(Factor,K241))</f>
        <v>0.874</v>
      </c>
    </row>
    <row r="242" spans="11:13">
      <c r="K242" s="350">
        <f t="shared" si="4"/>
        <v>231</v>
      </c>
      <c r="L242" s="350">
        <v>189</v>
      </c>
      <c r="M242" s="350">
        <f>IFERROR(INDEX($Z$3:$Z$39,MATCH(L242,$Y$3:$Y$39,0)),(INDEX(Factor,K242+10)-INDEX(Factor,K242))/(INDEX(Degrees,K242+10)-INDEX(Degrees,K242))*(L242-INDEX(Degrees,K242))+INDEX(Factor,K242))</f>
        <v>0.877</v>
      </c>
    </row>
    <row r="243" spans="11:13">
      <c r="K243" s="350">
        <f t="shared" si="4"/>
        <v>241</v>
      </c>
      <c r="L243" s="350">
        <v>190</v>
      </c>
      <c r="M243" s="350">
        <f>IFERROR(INDEX($Z$3:$Z$39,MATCH(L243,$Y$3:$Y$39,0)),(INDEX(Factor,K243+10)-INDEX(Factor,K243))/(INDEX(Degrees,K243+10)-INDEX(Degrees,K243))*(L243-INDEX(Degrees,K243))+INDEX(Factor,K243))</f>
        <v>0.88</v>
      </c>
    </row>
    <row r="244" spans="11:13">
      <c r="K244" s="350">
        <f t="shared" si="4"/>
        <v>241</v>
      </c>
      <c r="L244" s="350">
        <v>191</v>
      </c>
      <c r="M244" s="350">
        <f>IFERROR(INDEX($Z$3:$Z$39,MATCH(L244,$Y$3:$Y$39,0)),(INDEX(Factor,K244+10)-INDEX(Factor,K244))/(INDEX(Degrees,K244+10)-INDEX(Degrees,K244))*(L244-INDEX(Degrees,K244))+INDEX(Factor,K244))</f>
        <v>0.88200000000000001</v>
      </c>
    </row>
    <row r="245" spans="11:13">
      <c r="K245" s="350">
        <f t="shared" si="4"/>
        <v>241</v>
      </c>
      <c r="L245" s="350">
        <v>192</v>
      </c>
      <c r="M245" s="350">
        <f>IFERROR(INDEX($Z$3:$Z$39,MATCH(L245,$Y$3:$Y$39,0)),(INDEX(Factor,K245+10)-INDEX(Factor,K245))/(INDEX(Degrees,K245+10)-INDEX(Degrees,K245))*(L245-INDEX(Degrees,K245))+INDEX(Factor,K245))</f>
        <v>0.88400000000000001</v>
      </c>
    </row>
    <row r="246" spans="11:13">
      <c r="K246" s="350">
        <f t="shared" si="4"/>
        <v>241</v>
      </c>
      <c r="L246" s="350">
        <v>193</v>
      </c>
      <c r="M246" s="350">
        <f>IFERROR(INDEX($Z$3:$Z$39,MATCH(L246,$Y$3:$Y$39,0)),(INDEX(Factor,K246+10)-INDEX(Factor,K246))/(INDEX(Degrees,K246+10)-INDEX(Degrees,K246))*(L246-INDEX(Degrees,K246))+INDEX(Factor,K246))</f>
        <v>0.88600000000000001</v>
      </c>
    </row>
    <row r="247" spans="11:13">
      <c r="K247" s="350">
        <f t="shared" si="4"/>
        <v>241</v>
      </c>
      <c r="L247" s="350">
        <v>194</v>
      </c>
      <c r="M247" s="350">
        <f>IFERROR(INDEX($Z$3:$Z$39,MATCH(L247,$Y$3:$Y$39,0)),(INDEX(Factor,K247+10)-INDEX(Factor,K247))/(INDEX(Degrees,K247+10)-INDEX(Degrees,K247))*(L247-INDEX(Degrees,K247))+INDEX(Factor,K247))</f>
        <v>0.88800000000000001</v>
      </c>
    </row>
    <row r="248" spans="11:13">
      <c r="K248" s="350">
        <f t="shared" si="4"/>
        <v>241</v>
      </c>
      <c r="L248" s="350">
        <v>195</v>
      </c>
      <c r="M248" s="350">
        <f>IFERROR(INDEX($Z$3:$Z$39,MATCH(L248,$Y$3:$Y$39,0)),(INDEX(Factor,K248+10)-INDEX(Factor,K248))/(INDEX(Degrees,K248+10)-INDEX(Degrees,K248))*(L248-INDEX(Degrees,K248))+INDEX(Factor,K248))</f>
        <v>0.89</v>
      </c>
    </row>
    <row r="249" spans="11:13">
      <c r="K249" s="350">
        <f t="shared" si="4"/>
        <v>241</v>
      </c>
      <c r="L249" s="350">
        <v>196</v>
      </c>
      <c r="M249" s="350">
        <f>IFERROR(INDEX($Z$3:$Z$39,MATCH(L249,$Y$3:$Y$39,0)),(INDEX(Factor,K249+10)-INDEX(Factor,K249))/(INDEX(Degrees,K249+10)-INDEX(Degrees,K249))*(L249-INDEX(Degrees,K249))+INDEX(Factor,K249))</f>
        <v>0.89200000000000002</v>
      </c>
    </row>
    <row r="250" spans="11:13">
      <c r="K250" s="350">
        <f t="shared" si="4"/>
        <v>241</v>
      </c>
      <c r="L250" s="350">
        <v>197</v>
      </c>
      <c r="M250" s="350">
        <f>IFERROR(INDEX($Z$3:$Z$39,MATCH(L250,$Y$3:$Y$39,0)),(INDEX(Factor,K250+10)-INDEX(Factor,K250))/(INDEX(Degrees,K250+10)-INDEX(Degrees,K250))*(L250-INDEX(Degrees,K250))+INDEX(Factor,K250))</f>
        <v>0.89400000000000002</v>
      </c>
    </row>
    <row r="251" spans="11:13">
      <c r="K251" s="350">
        <f t="shared" si="4"/>
        <v>241</v>
      </c>
      <c r="L251" s="350">
        <v>198</v>
      </c>
      <c r="M251" s="350">
        <f>IFERROR(INDEX($Z$3:$Z$39,MATCH(L251,$Y$3:$Y$39,0)),(INDEX(Factor,K251+10)-INDEX(Factor,K251))/(INDEX(Degrees,K251+10)-INDEX(Degrees,K251))*(L251-INDEX(Degrees,K251))+INDEX(Factor,K251))</f>
        <v>0.89600000000000002</v>
      </c>
    </row>
    <row r="252" spans="11:13">
      <c r="K252" s="350">
        <f t="shared" si="4"/>
        <v>241</v>
      </c>
      <c r="L252" s="350">
        <v>199</v>
      </c>
      <c r="M252" s="350">
        <f>IFERROR(INDEX($Z$3:$Z$39,MATCH(L252,$Y$3:$Y$39,0)),(INDEX(Factor,K252+10)-INDEX(Factor,K252))/(INDEX(Degrees,K252+10)-INDEX(Degrees,K252))*(L252-INDEX(Degrees,K252))+INDEX(Factor,K252))</f>
        <v>0.89800000000000002</v>
      </c>
    </row>
    <row r="253" spans="11:13">
      <c r="K253" s="350">
        <f t="shared" si="4"/>
        <v>251</v>
      </c>
      <c r="L253" s="350">
        <v>200</v>
      </c>
      <c r="M253" s="350">
        <f>IFERROR(INDEX($Z$3:$Z$39,MATCH(L253,$Y$3:$Y$39,0)),(INDEX(Factor,K253+10)-INDEX(Factor,K253))/(INDEX(Degrees,K253+10)-INDEX(Degrees,K253))*(L253-INDEX(Degrees,K253))+INDEX(Factor,K253))</f>
        <v>0.9</v>
      </c>
    </row>
    <row r="254" spans="11:13">
      <c r="K254" s="350">
        <f t="shared" si="4"/>
        <v>251</v>
      </c>
      <c r="L254" s="350">
        <v>201</v>
      </c>
      <c r="M254" s="350">
        <f>IFERROR(INDEX($Z$3:$Z$39,MATCH(L254,$Y$3:$Y$39,0)),(INDEX(Factor,K254+10)-INDEX(Factor,K254))/(INDEX(Degrees,K254+10)-INDEX(Degrees,K254))*(L254-INDEX(Degrees,K254))+INDEX(Factor,K254))</f>
        <v>0.90300000000000002</v>
      </c>
    </row>
    <row r="255" spans="11:13">
      <c r="K255" s="350">
        <f t="shared" si="4"/>
        <v>251</v>
      </c>
      <c r="L255" s="350">
        <v>202</v>
      </c>
      <c r="M255" s="350">
        <f>IFERROR(INDEX($Z$3:$Z$39,MATCH(L255,$Y$3:$Y$39,0)),(INDEX(Factor,K255+10)-INDEX(Factor,K255))/(INDEX(Degrees,K255+10)-INDEX(Degrees,K255))*(L255-INDEX(Degrees,K255))+INDEX(Factor,K255))</f>
        <v>0.90600000000000003</v>
      </c>
    </row>
    <row r="256" spans="11:13">
      <c r="K256" s="350">
        <f t="shared" si="4"/>
        <v>251</v>
      </c>
      <c r="L256" s="350">
        <v>203</v>
      </c>
      <c r="M256" s="350">
        <f>IFERROR(INDEX($Z$3:$Z$39,MATCH(L256,$Y$3:$Y$39,0)),(INDEX(Factor,K256+10)-INDEX(Factor,K256))/(INDEX(Degrees,K256+10)-INDEX(Degrees,K256))*(L256-INDEX(Degrees,K256))+INDEX(Factor,K256))</f>
        <v>0.90900000000000003</v>
      </c>
    </row>
    <row r="257" spans="11:13">
      <c r="K257" s="350">
        <f t="shared" si="4"/>
        <v>251</v>
      </c>
      <c r="L257" s="350">
        <v>204</v>
      </c>
      <c r="M257" s="350">
        <f>IFERROR(INDEX($Z$3:$Z$39,MATCH(L257,$Y$3:$Y$39,0)),(INDEX(Factor,K257+10)-INDEX(Factor,K257))/(INDEX(Degrees,K257+10)-INDEX(Degrees,K257))*(L257-INDEX(Degrees,K257))+INDEX(Factor,K257))</f>
        <v>0.91200000000000003</v>
      </c>
    </row>
    <row r="258" spans="11:13">
      <c r="K258" s="350">
        <f t="shared" si="4"/>
        <v>251</v>
      </c>
      <c r="L258" s="350">
        <v>205</v>
      </c>
      <c r="M258" s="350">
        <f>IFERROR(INDEX($Z$3:$Z$39,MATCH(L258,$Y$3:$Y$39,0)),(INDEX(Factor,K258+10)-INDEX(Factor,K258))/(INDEX(Degrees,K258+10)-INDEX(Degrees,K258))*(L258-INDEX(Degrees,K258))+INDEX(Factor,K258))</f>
        <v>0.91500000000000004</v>
      </c>
    </row>
    <row r="259" spans="11:13">
      <c r="K259" s="350">
        <f t="shared" ref="K259:K322" si="5">ROUNDDOWN(ROW()-3,-1)+1</f>
        <v>251</v>
      </c>
      <c r="L259" s="350">
        <v>206</v>
      </c>
      <c r="M259" s="350">
        <f>IFERROR(INDEX($Z$3:$Z$39,MATCH(L259,$Y$3:$Y$39,0)),(INDEX(Factor,K259+10)-INDEX(Factor,K259))/(INDEX(Degrees,K259+10)-INDEX(Degrees,K259))*(L259-INDEX(Degrees,K259))+INDEX(Factor,K259))</f>
        <v>0.91800000000000004</v>
      </c>
    </row>
    <row r="260" spans="11:13">
      <c r="K260" s="350">
        <f t="shared" si="5"/>
        <v>251</v>
      </c>
      <c r="L260" s="350">
        <v>207</v>
      </c>
      <c r="M260" s="350">
        <f>IFERROR(INDEX($Z$3:$Z$39,MATCH(L260,$Y$3:$Y$39,0)),(INDEX(Factor,K260+10)-INDEX(Factor,K260))/(INDEX(Degrees,K260+10)-INDEX(Degrees,K260))*(L260-INDEX(Degrees,K260))+INDEX(Factor,K260))</f>
        <v>0.92100000000000004</v>
      </c>
    </row>
    <row r="261" spans="11:13">
      <c r="K261" s="350">
        <f t="shared" si="5"/>
        <v>251</v>
      </c>
      <c r="L261" s="350">
        <v>208</v>
      </c>
      <c r="M261" s="350">
        <f>IFERROR(INDEX($Z$3:$Z$39,MATCH(L261,$Y$3:$Y$39,0)),(INDEX(Factor,K261+10)-INDEX(Factor,K261))/(INDEX(Degrees,K261+10)-INDEX(Degrees,K261))*(L261-INDEX(Degrees,K261))+INDEX(Factor,K261))</f>
        <v>0.92400000000000004</v>
      </c>
    </row>
    <row r="262" spans="11:13">
      <c r="K262" s="350">
        <f t="shared" si="5"/>
        <v>251</v>
      </c>
      <c r="L262" s="350">
        <v>209</v>
      </c>
      <c r="M262" s="350">
        <f>IFERROR(INDEX($Z$3:$Z$39,MATCH(L262,$Y$3:$Y$39,0)),(INDEX(Factor,K262+10)-INDEX(Factor,K262))/(INDEX(Degrees,K262+10)-INDEX(Degrees,K262))*(L262-INDEX(Degrees,K262))+INDEX(Factor,K262))</f>
        <v>0.92700000000000005</v>
      </c>
    </row>
    <row r="263" spans="11:13">
      <c r="K263" s="350">
        <f t="shared" si="5"/>
        <v>261</v>
      </c>
      <c r="L263" s="350">
        <v>210</v>
      </c>
      <c r="M263" s="350">
        <f>IFERROR(INDEX($Z$3:$Z$39,MATCH(L263,$Y$3:$Y$39,0)),(INDEX(Factor,K263+10)-INDEX(Factor,K263))/(INDEX(Degrees,K263+10)-INDEX(Degrees,K263))*(L263-INDEX(Degrees,K263))+INDEX(Factor,K263))</f>
        <v>0.93</v>
      </c>
    </row>
    <row r="264" spans="11:13">
      <c r="K264" s="350">
        <f t="shared" si="5"/>
        <v>261</v>
      </c>
      <c r="L264" s="350">
        <v>211</v>
      </c>
      <c r="M264" s="350">
        <f>IFERROR(INDEX($Z$3:$Z$39,MATCH(L264,$Y$3:$Y$39,0)),(INDEX(Factor,K264+10)-INDEX(Factor,K264))/(INDEX(Degrees,K264+10)-INDEX(Degrees,K264))*(L264-INDEX(Degrees,K264))+INDEX(Factor,K264))</f>
        <v>0.93200000000000005</v>
      </c>
    </row>
    <row r="265" spans="11:13">
      <c r="K265" s="350">
        <f t="shared" si="5"/>
        <v>261</v>
      </c>
      <c r="L265" s="350">
        <v>212</v>
      </c>
      <c r="M265" s="350">
        <f>IFERROR(INDEX($Z$3:$Z$39,MATCH(L265,$Y$3:$Y$39,0)),(INDEX(Factor,K265+10)-INDEX(Factor,K265))/(INDEX(Degrees,K265+10)-INDEX(Degrees,K265))*(L265-INDEX(Degrees,K265))+INDEX(Factor,K265))</f>
        <v>0.93400000000000005</v>
      </c>
    </row>
    <row r="266" spans="11:13">
      <c r="K266" s="350">
        <f t="shared" si="5"/>
        <v>261</v>
      </c>
      <c r="L266" s="350">
        <v>213</v>
      </c>
      <c r="M266" s="350">
        <f>IFERROR(INDEX($Z$3:$Z$39,MATCH(L266,$Y$3:$Y$39,0)),(INDEX(Factor,K266+10)-INDEX(Factor,K266))/(INDEX(Degrees,K266+10)-INDEX(Degrees,K266))*(L266-INDEX(Degrees,K266))+INDEX(Factor,K266))</f>
        <v>0.93600000000000005</v>
      </c>
    </row>
    <row r="267" spans="11:13">
      <c r="K267" s="350">
        <f t="shared" si="5"/>
        <v>261</v>
      </c>
      <c r="L267" s="350">
        <v>214</v>
      </c>
      <c r="M267" s="350">
        <f>IFERROR(INDEX($Z$3:$Z$39,MATCH(L267,$Y$3:$Y$39,0)),(INDEX(Factor,K267+10)-INDEX(Factor,K267))/(INDEX(Degrees,K267+10)-INDEX(Degrees,K267))*(L267-INDEX(Degrees,K267))+INDEX(Factor,K267))</f>
        <v>0.93800000000000006</v>
      </c>
    </row>
    <row r="268" spans="11:13">
      <c r="K268" s="350">
        <f t="shared" si="5"/>
        <v>261</v>
      </c>
      <c r="L268" s="350">
        <v>215</v>
      </c>
      <c r="M268" s="350">
        <f>IFERROR(INDEX($Z$3:$Z$39,MATCH(L268,$Y$3:$Y$39,0)),(INDEX(Factor,K268+10)-INDEX(Factor,K268))/(INDEX(Degrees,K268+10)-INDEX(Degrees,K268))*(L268-INDEX(Degrees,K268))+INDEX(Factor,K268))</f>
        <v>0.94</v>
      </c>
    </row>
    <row r="269" spans="11:13">
      <c r="K269" s="350">
        <f t="shared" si="5"/>
        <v>261</v>
      </c>
      <c r="L269" s="350">
        <v>216</v>
      </c>
      <c r="M269" s="350">
        <f>IFERROR(INDEX($Z$3:$Z$39,MATCH(L269,$Y$3:$Y$39,0)),(INDEX(Factor,K269+10)-INDEX(Factor,K269))/(INDEX(Degrees,K269+10)-INDEX(Degrees,K269))*(L269-INDEX(Degrees,K269))+INDEX(Factor,K269))</f>
        <v>0.94199999999999995</v>
      </c>
    </row>
    <row r="270" spans="11:13">
      <c r="K270" s="350">
        <f t="shared" si="5"/>
        <v>261</v>
      </c>
      <c r="L270" s="350">
        <v>217</v>
      </c>
      <c r="M270" s="350">
        <f>IFERROR(INDEX($Z$3:$Z$39,MATCH(L270,$Y$3:$Y$39,0)),(INDEX(Factor,K270+10)-INDEX(Factor,K270))/(INDEX(Degrees,K270+10)-INDEX(Degrees,K270))*(L270-INDEX(Degrees,K270))+INDEX(Factor,K270))</f>
        <v>0.94399999999999995</v>
      </c>
    </row>
    <row r="271" spans="11:13">
      <c r="K271" s="350">
        <f t="shared" si="5"/>
        <v>261</v>
      </c>
      <c r="L271" s="350">
        <v>218</v>
      </c>
      <c r="M271" s="350">
        <f>IFERROR(INDEX($Z$3:$Z$39,MATCH(L271,$Y$3:$Y$39,0)),(INDEX(Factor,K271+10)-INDEX(Factor,K271))/(INDEX(Degrees,K271+10)-INDEX(Degrees,K271))*(L271-INDEX(Degrees,K271))+INDEX(Factor,K271))</f>
        <v>0.94599999999999995</v>
      </c>
    </row>
    <row r="272" spans="11:13">
      <c r="K272" s="350">
        <f t="shared" si="5"/>
        <v>261</v>
      </c>
      <c r="L272" s="350">
        <v>219</v>
      </c>
      <c r="M272" s="350">
        <f>IFERROR(INDEX($Z$3:$Z$39,MATCH(L272,$Y$3:$Y$39,0)),(INDEX(Factor,K272+10)-INDEX(Factor,K272))/(INDEX(Degrees,K272+10)-INDEX(Degrees,K272))*(L272-INDEX(Degrees,K272))+INDEX(Factor,K272))</f>
        <v>0.94799999999999995</v>
      </c>
    </row>
    <row r="273" spans="11:13">
      <c r="K273" s="350">
        <f t="shared" si="5"/>
        <v>271</v>
      </c>
      <c r="L273" s="350">
        <v>220</v>
      </c>
      <c r="M273" s="350">
        <f>IFERROR(INDEX($Z$3:$Z$39,MATCH(L273,$Y$3:$Y$39,0)),(INDEX(Factor,K273+10)-INDEX(Factor,K273))/(INDEX(Degrees,K273+10)-INDEX(Degrees,K273))*(L273-INDEX(Degrees,K273))+INDEX(Factor,K273))</f>
        <v>0.95</v>
      </c>
    </row>
    <row r="274" spans="11:13">
      <c r="K274" s="350">
        <f t="shared" si="5"/>
        <v>271</v>
      </c>
      <c r="L274" s="350">
        <v>221</v>
      </c>
      <c r="M274" s="350">
        <f>IFERROR(INDEX($Z$3:$Z$39,MATCH(L274,$Y$3:$Y$39,0)),(INDEX(Factor,K274+10)-INDEX(Factor,K274))/(INDEX(Degrees,K274+10)-INDEX(Degrees,K274))*(L274-INDEX(Degrees,K274))+INDEX(Factor,K274))</f>
        <v>0.95199999999999996</v>
      </c>
    </row>
    <row r="275" spans="11:13">
      <c r="K275" s="350">
        <f t="shared" si="5"/>
        <v>271</v>
      </c>
      <c r="L275" s="350">
        <v>222</v>
      </c>
      <c r="M275" s="350">
        <f>IFERROR(INDEX($Z$3:$Z$39,MATCH(L275,$Y$3:$Y$39,0)),(INDEX(Factor,K275+10)-INDEX(Factor,K275))/(INDEX(Degrees,K275+10)-INDEX(Degrees,K275))*(L275-INDEX(Degrees,K275))+INDEX(Factor,K275))</f>
        <v>0.95399999999999996</v>
      </c>
    </row>
    <row r="276" spans="11:13">
      <c r="K276" s="350">
        <f t="shared" si="5"/>
        <v>271</v>
      </c>
      <c r="L276" s="350">
        <v>223</v>
      </c>
      <c r="M276" s="350">
        <f>IFERROR(INDEX($Z$3:$Z$39,MATCH(L276,$Y$3:$Y$39,0)),(INDEX(Factor,K276+10)-INDEX(Factor,K276))/(INDEX(Degrees,K276+10)-INDEX(Degrees,K276))*(L276-INDEX(Degrees,K276))+INDEX(Factor,K276))</f>
        <v>0.95599999999999996</v>
      </c>
    </row>
    <row r="277" spans="11:13">
      <c r="K277" s="350">
        <f t="shared" si="5"/>
        <v>271</v>
      </c>
      <c r="L277" s="350">
        <v>224</v>
      </c>
      <c r="M277" s="350">
        <f>IFERROR(INDEX($Z$3:$Z$39,MATCH(L277,$Y$3:$Y$39,0)),(INDEX(Factor,K277+10)-INDEX(Factor,K277))/(INDEX(Degrees,K277+10)-INDEX(Degrees,K277))*(L277-INDEX(Degrees,K277))+INDEX(Factor,K277))</f>
        <v>0.95799999999999996</v>
      </c>
    </row>
    <row r="278" spans="11:13">
      <c r="K278" s="350">
        <f t="shared" si="5"/>
        <v>271</v>
      </c>
      <c r="L278" s="350">
        <v>225</v>
      </c>
      <c r="M278" s="350">
        <f>IFERROR(INDEX($Z$3:$Z$39,MATCH(L278,$Y$3:$Y$39,0)),(INDEX(Factor,K278+10)-INDEX(Factor,K278))/(INDEX(Degrees,K278+10)-INDEX(Degrees,K278))*(L278-INDEX(Degrees,K278))+INDEX(Factor,K278))</f>
        <v>0.96</v>
      </c>
    </row>
    <row r="279" spans="11:13">
      <c r="K279" s="350">
        <f t="shared" si="5"/>
        <v>271</v>
      </c>
      <c r="L279" s="350">
        <v>226</v>
      </c>
      <c r="M279" s="350">
        <f>IFERROR(INDEX($Z$3:$Z$39,MATCH(L279,$Y$3:$Y$39,0)),(INDEX(Factor,K279+10)-INDEX(Factor,K279))/(INDEX(Degrees,K279+10)-INDEX(Degrees,K279))*(L279-INDEX(Degrees,K279))+INDEX(Factor,K279))</f>
        <v>0.96199999999999997</v>
      </c>
    </row>
    <row r="280" spans="11:13">
      <c r="K280" s="350">
        <f t="shared" si="5"/>
        <v>271</v>
      </c>
      <c r="L280" s="350">
        <v>227</v>
      </c>
      <c r="M280" s="350">
        <f>IFERROR(INDEX($Z$3:$Z$39,MATCH(L280,$Y$3:$Y$39,0)),(INDEX(Factor,K280+10)-INDEX(Factor,K280))/(INDEX(Degrees,K280+10)-INDEX(Degrees,K280))*(L280-INDEX(Degrees,K280))+INDEX(Factor,K280))</f>
        <v>0.96399999999999997</v>
      </c>
    </row>
    <row r="281" spans="11:13">
      <c r="K281" s="350">
        <f t="shared" si="5"/>
        <v>271</v>
      </c>
      <c r="L281" s="350">
        <v>228</v>
      </c>
      <c r="M281" s="350">
        <f>IFERROR(INDEX($Z$3:$Z$39,MATCH(L281,$Y$3:$Y$39,0)),(INDEX(Factor,K281+10)-INDEX(Factor,K281))/(INDEX(Degrees,K281+10)-INDEX(Degrees,K281))*(L281-INDEX(Degrees,K281))+INDEX(Factor,K281))</f>
        <v>0.96599999999999997</v>
      </c>
    </row>
    <row r="282" spans="11:13">
      <c r="K282" s="350">
        <f t="shared" si="5"/>
        <v>271</v>
      </c>
      <c r="L282" s="350">
        <v>229</v>
      </c>
      <c r="M282" s="350">
        <f>IFERROR(INDEX($Z$3:$Z$39,MATCH(L282,$Y$3:$Y$39,0)),(INDEX(Factor,K282+10)-INDEX(Factor,K282))/(INDEX(Degrees,K282+10)-INDEX(Degrees,K282))*(L282-INDEX(Degrees,K282))+INDEX(Factor,K282))</f>
        <v>0.96799999999999997</v>
      </c>
    </row>
    <row r="283" spans="11:13">
      <c r="K283" s="350">
        <f t="shared" si="5"/>
        <v>281</v>
      </c>
      <c r="L283" s="350">
        <v>230</v>
      </c>
      <c r="M283" s="350">
        <f>IFERROR(INDEX($Z$3:$Z$39,MATCH(L283,$Y$3:$Y$39,0)),(INDEX(Factor,K283+10)-INDEX(Factor,K283))/(INDEX(Degrees,K283+10)-INDEX(Degrees,K283))*(L283-INDEX(Degrees,K283))+INDEX(Factor,K283))</f>
        <v>0.97</v>
      </c>
    </row>
    <row r="284" spans="11:13">
      <c r="K284" s="350">
        <f t="shared" si="5"/>
        <v>281</v>
      </c>
      <c r="L284" s="350">
        <v>231</v>
      </c>
      <c r="M284" s="350">
        <f>IFERROR(INDEX($Z$3:$Z$39,MATCH(L284,$Y$3:$Y$39,0)),(INDEX(Factor,K284+10)-INDEX(Factor,K284))/(INDEX(Degrees,K284+10)-INDEX(Degrees,K284))*(L284-INDEX(Degrees,K284))+INDEX(Factor,K284))</f>
        <v>0.97299999999999998</v>
      </c>
    </row>
    <row r="285" spans="11:13">
      <c r="K285" s="350">
        <f t="shared" si="5"/>
        <v>281</v>
      </c>
      <c r="L285" s="350">
        <v>232</v>
      </c>
      <c r="M285" s="350">
        <f>IFERROR(INDEX($Z$3:$Z$39,MATCH(L285,$Y$3:$Y$39,0)),(INDEX(Factor,K285+10)-INDEX(Factor,K285))/(INDEX(Degrees,K285+10)-INDEX(Degrees,K285))*(L285-INDEX(Degrees,K285))+INDEX(Factor,K285))</f>
        <v>0.97599999999999998</v>
      </c>
    </row>
    <row r="286" spans="11:13">
      <c r="K286" s="350">
        <f t="shared" si="5"/>
        <v>281</v>
      </c>
      <c r="L286" s="350">
        <v>233</v>
      </c>
      <c r="M286" s="350">
        <f>IFERROR(INDEX($Z$3:$Z$39,MATCH(L286,$Y$3:$Y$39,0)),(INDEX(Factor,K286+10)-INDEX(Factor,K286))/(INDEX(Degrees,K286+10)-INDEX(Degrees,K286))*(L286-INDEX(Degrees,K286))+INDEX(Factor,K286))</f>
        <v>0.97899999999999998</v>
      </c>
    </row>
    <row r="287" spans="11:13">
      <c r="K287" s="350">
        <f t="shared" si="5"/>
        <v>281</v>
      </c>
      <c r="L287" s="350">
        <v>234</v>
      </c>
      <c r="M287" s="350">
        <f>IFERROR(INDEX($Z$3:$Z$39,MATCH(L287,$Y$3:$Y$39,0)),(INDEX(Factor,K287+10)-INDEX(Factor,K287))/(INDEX(Degrees,K287+10)-INDEX(Degrees,K287))*(L287-INDEX(Degrees,K287))+INDEX(Factor,K287))</f>
        <v>0.98199999999999998</v>
      </c>
    </row>
    <row r="288" spans="11:13">
      <c r="K288" s="350">
        <f t="shared" si="5"/>
        <v>281</v>
      </c>
      <c r="L288" s="350">
        <v>235</v>
      </c>
      <c r="M288" s="350">
        <f>IFERROR(INDEX($Z$3:$Z$39,MATCH(L288,$Y$3:$Y$39,0)),(INDEX(Factor,K288+10)-INDEX(Factor,K288))/(INDEX(Degrees,K288+10)-INDEX(Degrees,K288))*(L288-INDEX(Degrees,K288))+INDEX(Factor,K288))</f>
        <v>0.98499999999999999</v>
      </c>
    </row>
    <row r="289" spans="11:13">
      <c r="K289" s="350">
        <f t="shared" si="5"/>
        <v>281</v>
      </c>
      <c r="L289" s="350">
        <v>236</v>
      </c>
      <c r="M289" s="350">
        <f>IFERROR(INDEX($Z$3:$Z$39,MATCH(L289,$Y$3:$Y$39,0)),(INDEX(Factor,K289+10)-INDEX(Factor,K289))/(INDEX(Degrees,K289+10)-INDEX(Degrees,K289))*(L289-INDEX(Degrees,K289))+INDEX(Factor,K289))</f>
        <v>0.98799999999999999</v>
      </c>
    </row>
    <row r="290" spans="11:13">
      <c r="K290" s="350">
        <f t="shared" si="5"/>
        <v>281</v>
      </c>
      <c r="L290" s="350">
        <v>237</v>
      </c>
      <c r="M290" s="350">
        <f>IFERROR(INDEX($Z$3:$Z$39,MATCH(L290,$Y$3:$Y$39,0)),(INDEX(Factor,K290+10)-INDEX(Factor,K290))/(INDEX(Degrees,K290+10)-INDEX(Degrees,K290))*(L290-INDEX(Degrees,K290))+INDEX(Factor,K290))</f>
        <v>0.99099999999999999</v>
      </c>
    </row>
    <row r="291" spans="11:13">
      <c r="K291" s="350">
        <f t="shared" si="5"/>
        <v>281</v>
      </c>
      <c r="L291" s="350">
        <v>238</v>
      </c>
      <c r="M291" s="350">
        <f>IFERROR(INDEX($Z$3:$Z$39,MATCH(L291,$Y$3:$Y$39,0)),(INDEX(Factor,K291+10)-INDEX(Factor,K291))/(INDEX(Degrees,K291+10)-INDEX(Degrees,K291))*(L291-INDEX(Degrees,K291))+INDEX(Factor,K291))</f>
        <v>0.99399999999999999</v>
      </c>
    </row>
    <row r="292" spans="11:13">
      <c r="K292" s="350">
        <f t="shared" si="5"/>
        <v>281</v>
      </c>
      <c r="L292" s="350">
        <v>239</v>
      </c>
      <c r="M292" s="350">
        <f>IFERROR(INDEX($Z$3:$Z$39,MATCH(L292,$Y$3:$Y$39,0)),(INDEX(Factor,K292+10)-INDEX(Factor,K292))/(INDEX(Degrees,K292+10)-INDEX(Degrees,K292))*(L292-INDEX(Degrees,K292))+INDEX(Factor,K292))</f>
        <v>0.997</v>
      </c>
    </row>
    <row r="293" spans="11:13">
      <c r="K293" s="350">
        <f t="shared" si="5"/>
        <v>291</v>
      </c>
      <c r="L293" s="350">
        <v>240</v>
      </c>
      <c r="M293" s="350">
        <f>IFERROR(INDEX($Z$3:$Z$39,MATCH(L293,$Y$3:$Y$39,0)),(INDEX(Factor,K293+10)-INDEX(Factor,K293))/(INDEX(Degrees,K293+10)-INDEX(Degrees,K293))*(L293-INDEX(Degrees,K293))+INDEX(Factor,K293))</f>
        <v>1</v>
      </c>
    </row>
    <row r="294" spans="11:13">
      <c r="K294" s="350">
        <f t="shared" si="5"/>
        <v>291</v>
      </c>
      <c r="L294" s="350">
        <v>241</v>
      </c>
      <c r="M294" s="350">
        <f>IFERROR(INDEX($Z$3:$Z$39,MATCH(L294,$Y$3:$Y$39,0)),(INDEX(Factor,K294+10)-INDEX(Factor,K294))/(INDEX(Degrees,K294+10)-INDEX(Degrees,K294))*(L294-INDEX(Degrees,K294))+INDEX(Factor,K294))</f>
        <v>1</v>
      </c>
    </row>
    <row r="295" spans="11:13">
      <c r="K295" s="350">
        <f t="shared" si="5"/>
        <v>291</v>
      </c>
      <c r="L295" s="350">
        <v>242</v>
      </c>
      <c r="M295" s="350">
        <f>IFERROR(INDEX($Z$3:$Z$39,MATCH(L295,$Y$3:$Y$39,0)),(INDEX(Factor,K295+10)-INDEX(Factor,K295))/(INDEX(Degrees,K295+10)-INDEX(Degrees,K295))*(L295-INDEX(Degrees,K295))+INDEX(Factor,K295))</f>
        <v>1</v>
      </c>
    </row>
    <row r="296" spans="11:13">
      <c r="K296" s="350">
        <f t="shared" si="5"/>
        <v>291</v>
      </c>
      <c r="L296" s="350">
        <v>243</v>
      </c>
      <c r="M296" s="350">
        <f>IFERROR(INDEX($Z$3:$Z$39,MATCH(L296,$Y$3:$Y$39,0)),(INDEX(Factor,K296+10)-INDEX(Factor,K296))/(INDEX(Degrees,K296+10)-INDEX(Degrees,K296))*(L296-INDEX(Degrees,K296))+INDEX(Factor,K296))</f>
        <v>1</v>
      </c>
    </row>
    <row r="297" spans="11:13">
      <c r="K297" s="350">
        <f t="shared" si="5"/>
        <v>291</v>
      </c>
      <c r="L297" s="350">
        <v>244</v>
      </c>
      <c r="M297" s="350">
        <f>IFERROR(INDEX($Z$3:$Z$39,MATCH(L297,$Y$3:$Y$39,0)),(INDEX(Factor,K297+10)-INDEX(Factor,K297))/(INDEX(Degrees,K297+10)-INDEX(Degrees,K297))*(L297-INDEX(Degrees,K297))+INDEX(Factor,K297))</f>
        <v>1</v>
      </c>
    </row>
    <row r="298" spans="11:13">
      <c r="K298" s="350">
        <f t="shared" si="5"/>
        <v>291</v>
      </c>
      <c r="L298" s="350">
        <v>245</v>
      </c>
      <c r="M298" s="350">
        <f>IFERROR(INDEX($Z$3:$Z$39,MATCH(L298,$Y$3:$Y$39,0)),(INDEX(Factor,K298+10)-INDEX(Factor,K298))/(INDEX(Degrees,K298+10)-INDEX(Degrees,K298))*(L298-INDEX(Degrees,K298))+INDEX(Factor,K298))</f>
        <v>1</v>
      </c>
    </row>
    <row r="299" spans="11:13">
      <c r="K299" s="350">
        <f t="shared" si="5"/>
        <v>291</v>
      </c>
      <c r="L299" s="350">
        <v>246</v>
      </c>
      <c r="M299" s="350">
        <f>IFERROR(INDEX($Z$3:$Z$39,MATCH(L299,$Y$3:$Y$39,0)),(INDEX(Factor,K299+10)-INDEX(Factor,K299))/(INDEX(Degrees,K299+10)-INDEX(Degrees,K299))*(L299-INDEX(Degrees,K299))+INDEX(Factor,K299))</f>
        <v>1</v>
      </c>
    </row>
    <row r="300" spans="11:13">
      <c r="K300" s="350">
        <f t="shared" si="5"/>
        <v>291</v>
      </c>
      <c r="L300" s="350">
        <v>247</v>
      </c>
      <c r="M300" s="350">
        <f>IFERROR(INDEX($Z$3:$Z$39,MATCH(L300,$Y$3:$Y$39,0)),(INDEX(Factor,K300+10)-INDEX(Factor,K300))/(INDEX(Degrees,K300+10)-INDEX(Degrees,K300))*(L300-INDEX(Degrees,K300))+INDEX(Factor,K300))</f>
        <v>1</v>
      </c>
    </row>
    <row r="301" spans="11:13">
      <c r="K301" s="350">
        <f t="shared" si="5"/>
        <v>291</v>
      </c>
      <c r="L301" s="350">
        <v>248</v>
      </c>
      <c r="M301" s="350">
        <f>IFERROR(INDEX($Z$3:$Z$39,MATCH(L301,$Y$3:$Y$39,0)),(INDEX(Factor,K301+10)-INDEX(Factor,K301))/(INDEX(Degrees,K301+10)-INDEX(Degrees,K301))*(L301-INDEX(Degrees,K301))+INDEX(Factor,K301))</f>
        <v>1</v>
      </c>
    </row>
    <row r="302" spans="11:13">
      <c r="K302" s="350">
        <f t="shared" si="5"/>
        <v>291</v>
      </c>
      <c r="L302" s="350">
        <v>249</v>
      </c>
      <c r="M302" s="350">
        <f>IFERROR(INDEX($Z$3:$Z$39,MATCH(L302,$Y$3:$Y$39,0)),(INDEX(Factor,K302+10)-INDEX(Factor,K302))/(INDEX(Degrees,K302+10)-INDEX(Degrees,K302))*(L302-INDEX(Degrees,K302))+INDEX(Factor,K302))</f>
        <v>1</v>
      </c>
    </row>
    <row r="303" spans="11:13">
      <c r="K303" s="350">
        <f t="shared" si="5"/>
        <v>301</v>
      </c>
      <c r="L303" s="350">
        <v>250</v>
      </c>
      <c r="M303" s="350">
        <f>IFERROR(INDEX($Z$3:$Z$39,MATCH(L303,$Y$3:$Y$39,0)),(INDEX(Factor,K303+10)-INDEX(Factor,K303))/(INDEX(Degrees,K303+10)-INDEX(Degrees,K303))*(L303-INDEX(Degrees,K303))+INDEX(Factor,K303))</f>
        <v>1</v>
      </c>
    </row>
    <row r="304" spans="11:13">
      <c r="K304" s="350">
        <f t="shared" si="5"/>
        <v>301</v>
      </c>
      <c r="L304" s="350">
        <v>251</v>
      </c>
      <c r="M304" s="350">
        <f>IFERROR(INDEX($Z$3:$Z$39,MATCH(L304,$Y$3:$Y$39,0)),(INDEX(Factor,K304+10)-INDEX(Factor,K304))/(INDEX(Degrees,K304+10)-INDEX(Degrees,K304))*(L304-INDEX(Degrees,K304))+INDEX(Factor,K304))</f>
        <v>0.999</v>
      </c>
    </row>
    <row r="305" spans="11:13">
      <c r="K305" s="350">
        <f t="shared" si="5"/>
        <v>301</v>
      </c>
      <c r="L305" s="350">
        <v>252</v>
      </c>
      <c r="M305" s="350">
        <f>IFERROR(INDEX($Z$3:$Z$39,MATCH(L305,$Y$3:$Y$39,0)),(INDEX(Factor,K305+10)-INDEX(Factor,K305))/(INDEX(Degrees,K305+10)-INDEX(Degrees,K305))*(L305-INDEX(Degrees,K305))+INDEX(Factor,K305))</f>
        <v>0.998</v>
      </c>
    </row>
    <row r="306" spans="11:13">
      <c r="K306" s="350">
        <f t="shared" si="5"/>
        <v>301</v>
      </c>
      <c r="L306" s="350">
        <v>253</v>
      </c>
      <c r="M306" s="350">
        <f>IFERROR(INDEX($Z$3:$Z$39,MATCH(L306,$Y$3:$Y$39,0)),(INDEX(Factor,K306+10)-INDEX(Factor,K306))/(INDEX(Degrees,K306+10)-INDEX(Degrees,K306))*(L306-INDEX(Degrees,K306))+INDEX(Factor,K306))</f>
        <v>0.997</v>
      </c>
    </row>
    <row r="307" spans="11:13">
      <c r="K307" s="350">
        <f t="shared" si="5"/>
        <v>301</v>
      </c>
      <c r="L307" s="350">
        <v>254</v>
      </c>
      <c r="M307" s="350">
        <f>IFERROR(INDEX($Z$3:$Z$39,MATCH(L307,$Y$3:$Y$39,0)),(INDEX(Factor,K307+10)-INDEX(Factor,K307))/(INDEX(Degrees,K307+10)-INDEX(Degrees,K307))*(L307-INDEX(Degrees,K307))+INDEX(Factor,K307))</f>
        <v>0.996</v>
      </c>
    </row>
    <row r="308" spans="11:13">
      <c r="K308" s="350">
        <f t="shared" si="5"/>
        <v>301</v>
      </c>
      <c r="L308" s="350">
        <v>255</v>
      </c>
      <c r="M308" s="350">
        <f>IFERROR(INDEX($Z$3:$Z$39,MATCH(L308,$Y$3:$Y$39,0)),(INDEX(Factor,K308+10)-INDEX(Factor,K308))/(INDEX(Degrees,K308+10)-INDEX(Degrees,K308))*(L308-INDEX(Degrees,K308))+INDEX(Factor,K308))</f>
        <v>0.995</v>
      </c>
    </row>
    <row r="309" spans="11:13">
      <c r="K309" s="350">
        <f t="shared" si="5"/>
        <v>301</v>
      </c>
      <c r="L309" s="350">
        <v>256</v>
      </c>
      <c r="M309" s="350">
        <f>IFERROR(INDEX($Z$3:$Z$39,MATCH(L309,$Y$3:$Y$39,0)),(INDEX(Factor,K309+10)-INDEX(Factor,K309))/(INDEX(Degrees,K309+10)-INDEX(Degrees,K309))*(L309-INDEX(Degrees,K309))+INDEX(Factor,K309))</f>
        <v>0.99399999999999999</v>
      </c>
    </row>
    <row r="310" spans="11:13">
      <c r="K310" s="350">
        <f t="shared" si="5"/>
        <v>301</v>
      </c>
      <c r="L310" s="350">
        <v>257</v>
      </c>
      <c r="M310" s="350">
        <f>IFERROR(INDEX($Z$3:$Z$39,MATCH(L310,$Y$3:$Y$39,0)),(INDEX(Factor,K310+10)-INDEX(Factor,K310))/(INDEX(Degrees,K310+10)-INDEX(Degrees,K310))*(L310-INDEX(Degrees,K310))+INDEX(Factor,K310))</f>
        <v>0.99299999999999999</v>
      </c>
    </row>
    <row r="311" spans="11:13">
      <c r="K311" s="350">
        <f t="shared" si="5"/>
        <v>301</v>
      </c>
      <c r="L311" s="350">
        <v>258</v>
      </c>
      <c r="M311" s="350">
        <f>IFERROR(INDEX($Z$3:$Z$39,MATCH(L311,$Y$3:$Y$39,0)),(INDEX(Factor,K311+10)-INDEX(Factor,K311))/(INDEX(Degrees,K311+10)-INDEX(Degrees,K311))*(L311-INDEX(Degrees,K311))+INDEX(Factor,K311))</f>
        <v>0.99199999999999999</v>
      </c>
    </row>
    <row r="312" spans="11:13">
      <c r="K312" s="350">
        <f t="shared" si="5"/>
        <v>301</v>
      </c>
      <c r="L312" s="350">
        <v>259</v>
      </c>
      <c r="M312" s="350">
        <f>IFERROR(INDEX($Z$3:$Z$39,MATCH(L312,$Y$3:$Y$39,0)),(INDEX(Factor,K312+10)-INDEX(Factor,K312))/(INDEX(Degrees,K312+10)-INDEX(Degrees,K312))*(L312-INDEX(Degrees,K312))+INDEX(Factor,K312))</f>
        <v>0.99099999999999999</v>
      </c>
    </row>
    <row r="313" spans="11:13">
      <c r="K313" s="350">
        <f t="shared" si="5"/>
        <v>311</v>
      </c>
      <c r="L313" s="350">
        <v>260</v>
      </c>
      <c r="M313" s="350">
        <f>IFERROR(INDEX($Z$3:$Z$39,MATCH(L313,$Y$3:$Y$39,0)),(INDEX(Factor,K313+10)-INDEX(Factor,K313))/(INDEX(Degrees,K313+10)-INDEX(Degrees,K313))*(L313-INDEX(Degrees,K313))+INDEX(Factor,K313))</f>
        <v>0.99</v>
      </c>
    </row>
    <row r="314" spans="11:13">
      <c r="K314" s="350">
        <f t="shared" si="5"/>
        <v>311</v>
      </c>
      <c r="L314" s="350">
        <v>261</v>
      </c>
      <c r="M314" s="350">
        <f>IFERROR(INDEX($Z$3:$Z$39,MATCH(L314,$Y$3:$Y$39,0)),(INDEX(Factor,K314+10)-INDEX(Factor,K314))/(INDEX(Degrees,K314+10)-INDEX(Degrees,K314))*(L314-INDEX(Degrees,K314))+INDEX(Factor,K314))</f>
        <v>0.99</v>
      </c>
    </row>
    <row r="315" spans="11:13">
      <c r="K315" s="350">
        <f t="shared" si="5"/>
        <v>311</v>
      </c>
      <c r="L315" s="350">
        <v>262</v>
      </c>
      <c r="M315" s="350">
        <f>IFERROR(INDEX($Z$3:$Z$39,MATCH(L315,$Y$3:$Y$39,0)),(INDEX(Factor,K315+10)-INDEX(Factor,K315))/(INDEX(Degrees,K315+10)-INDEX(Degrees,K315))*(L315-INDEX(Degrees,K315))+INDEX(Factor,K315))</f>
        <v>0.99</v>
      </c>
    </row>
    <row r="316" spans="11:13">
      <c r="K316" s="350">
        <f t="shared" si="5"/>
        <v>311</v>
      </c>
      <c r="L316" s="350">
        <v>263</v>
      </c>
      <c r="M316" s="350">
        <f>IFERROR(INDEX($Z$3:$Z$39,MATCH(L316,$Y$3:$Y$39,0)),(INDEX(Factor,K316+10)-INDEX(Factor,K316))/(INDEX(Degrees,K316+10)-INDEX(Degrees,K316))*(L316-INDEX(Degrees,K316))+INDEX(Factor,K316))</f>
        <v>0.99</v>
      </c>
    </row>
    <row r="317" spans="11:13">
      <c r="K317" s="350">
        <f t="shared" si="5"/>
        <v>311</v>
      </c>
      <c r="L317" s="350">
        <v>264</v>
      </c>
      <c r="M317" s="350">
        <f>IFERROR(INDEX($Z$3:$Z$39,MATCH(L317,$Y$3:$Y$39,0)),(INDEX(Factor,K317+10)-INDEX(Factor,K317))/(INDEX(Degrees,K317+10)-INDEX(Degrees,K317))*(L317-INDEX(Degrees,K317))+INDEX(Factor,K317))</f>
        <v>0.99</v>
      </c>
    </row>
    <row r="318" spans="11:13">
      <c r="K318" s="350">
        <f t="shared" si="5"/>
        <v>311</v>
      </c>
      <c r="L318" s="350">
        <v>265</v>
      </c>
      <c r="M318" s="350">
        <f>IFERROR(INDEX($Z$3:$Z$39,MATCH(L318,$Y$3:$Y$39,0)),(INDEX(Factor,K318+10)-INDEX(Factor,K318))/(INDEX(Degrees,K318+10)-INDEX(Degrees,K318))*(L318-INDEX(Degrees,K318))+INDEX(Factor,K318))</f>
        <v>0.99</v>
      </c>
    </row>
    <row r="319" spans="11:13">
      <c r="K319" s="350">
        <f t="shared" si="5"/>
        <v>311</v>
      </c>
      <c r="L319" s="350">
        <v>266</v>
      </c>
      <c r="M319" s="350">
        <f>IFERROR(INDEX($Z$3:$Z$39,MATCH(L319,$Y$3:$Y$39,0)),(INDEX(Factor,K319+10)-INDEX(Factor,K319))/(INDEX(Degrees,K319+10)-INDEX(Degrees,K319))*(L319-INDEX(Degrees,K319))+INDEX(Factor,K319))</f>
        <v>0.99</v>
      </c>
    </row>
    <row r="320" spans="11:13">
      <c r="K320" s="350">
        <f t="shared" si="5"/>
        <v>311</v>
      </c>
      <c r="L320" s="350">
        <v>267</v>
      </c>
      <c r="M320" s="350">
        <f>IFERROR(INDEX($Z$3:$Z$39,MATCH(L320,$Y$3:$Y$39,0)),(INDEX(Factor,K320+10)-INDEX(Factor,K320))/(INDEX(Degrees,K320+10)-INDEX(Degrees,K320))*(L320-INDEX(Degrees,K320))+INDEX(Factor,K320))</f>
        <v>0.99</v>
      </c>
    </row>
    <row r="321" spans="11:13">
      <c r="K321" s="350">
        <f t="shared" si="5"/>
        <v>311</v>
      </c>
      <c r="L321" s="350">
        <v>268</v>
      </c>
      <c r="M321" s="350">
        <f>IFERROR(INDEX($Z$3:$Z$39,MATCH(L321,$Y$3:$Y$39,0)),(INDEX(Factor,K321+10)-INDEX(Factor,K321))/(INDEX(Degrees,K321+10)-INDEX(Degrees,K321))*(L321-INDEX(Degrees,K321))+INDEX(Factor,K321))</f>
        <v>0.99</v>
      </c>
    </row>
    <row r="322" spans="11:13">
      <c r="K322" s="350">
        <f t="shared" si="5"/>
        <v>311</v>
      </c>
      <c r="L322" s="350">
        <v>269</v>
      </c>
      <c r="M322" s="350">
        <f>IFERROR(INDEX($Z$3:$Z$39,MATCH(L322,$Y$3:$Y$39,0)),(INDEX(Factor,K322+10)-INDEX(Factor,K322))/(INDEX(Degrees,K322+10)-INDEX(Degrees,K322))*(L322-INDEX(Degrees,K322))+INDEX(Factor,K322))</f>
        <v>0.99</v>
      </c>
    </row>
    <row r="323" spans="11:13">
      <c r="K323" s="350">
        <f t="shared" ref="K323:K386" si="6">ROUNDDOWN(ROW()-3,-1)+1</f>
        <v>321</v>
      </c>
      <c r="L323" s="350">
        <v>270</v>
      </c>
      <c r="M323" s="350">
        <f>IFERROR(INDEX($Z$3:$Z$39,MATCH(L323,$Y$3:$Y$39,0)),(INDEX(Factor,K323+10)-INDEX(Factor,K323))/(INDEX(Degrees,K323+10)-INDEX(Degrees,K323))*(L323-INDEX(Degrees,K323))+INDEX(Factor,K323))</f>
        <v>0.99</v>
      </c>
    </row>
    <row r="324" spans="11:13">
      <c r="K324" s="350">
        <f t="shared" si="6"/>
        <v>321</v>
      </c>
      <c r="L324" s="350">
        <v>271</v>
      </c>
      <c r="M324" s="350">
        <f>IFERROR(INDEX($Z$3:$Z$39,MATCH(L324,$Y$3:$Y$39,0)),(INDEX(Factor,K324+10)-INDEX(Factor,K324))/(INDEX(Degrees,K324+10)-INDEX(Degrees,K324))*(L324-INDEX(Degrees,K324))+INDEX(Factor,K324))</f>
        <v>0.98699999999999999</v>
      </c>
    </row>
    <row r="325" spans="11:13">
      <c r="K325" s="350">
        <f t="shared" si="6"/>
        <v>321</v>
      </c>
      <c r="L325" s="350">
        <v>272</v>
      </c>
      <c r="M325" s="350">
        <f>IFERROR(INDEX($Z$3:$Z$39,MATCH(L325,$Y$3:$Y$39,0)),(INDEX(Factor,K325+10)-INDEX(Factor,K325))/(INDEX(Degrees,K325+10)-INDEX(Degrees,K325))*(L325-INDEX(Degrees,K325))+INDEX(Factor,K325))</f>
        <v>0.98399999999999999</v>
      </c>
    </row>
    <row r="326" spans="11:13">
      <c r="K326" s="350">
        <f t="shared" si="6"/>
        <v>321</v>
      </c>
      <c r="L326" s="350">
        <v>273</v>
      </c>
      <c r="M326" s="350">
        <f>IFERROR(INDEX($Z$3:$Z$39,MATCH(L326,$Y$3:$Y$39,0)),(INDEX(Factor,K326+10)-INDEX(Factor,K326))/(INDEX(Degrees,K326+10)-INDEX(Degrees,K326))*(L326-INDEX(Degrees,K326))+INDEX(Factor,K326))</f>
        <v>0.98099999999999998</v>
      </c>
    </row>
    <row r="327" spans="11:13">
      <c r="K327" s="350">
        <f t="shared" si="6"/>
        <v>321</v>
      </c>
      <c r="L327" s="350">
        <v>274</v>
      </c>
      <c r="M327" s="350">
        <f>IFERROR(INDEX($Z$3:$Z$39,MATCH(L327,$Y$3:$Y$39,0)),(INDEX(Factor,K327+10)-INDEX(Factor,K327))/(INDEX(Degrees,K327+10)-INDEX(Degrees,K327))*(L327-INDEX(Degrees,K327))+INDEX(Factor,K327))</f>
        <v>0.97799999999999998</v>
      </c>
    </row>
    <row r="328" spans="11:13">
      <c r="K328" s="350">
        <f t="shared" si="6"/>
        <v>321</v>
      </c>
      <c r="L328" s="350">
        <v>275</v>
      </c>
      <c r="M328" s="350">
        <f>IFERROR(INDEX($Z$3:$Z$39,MATCH(L328,$Y$3:$Y$39,0)),(INDEX(Factor,K328+10)-INDEX(Factor,K328))/(INDEX(Degrees,K328+10)-INDEX(Degrees,K328))*(L328-INDEX(Degrees,K328))+INDEX(Factor,K328))</f>
        <v>0.97499999999999998</v>
      </c>
    </row>
    <row r="329" spans="11:13">
      <c r="K329" s="350">
        <f t="shared" si="6"/>
        <v>321</v>
      </c>
      <c r="L329" s="350">
        <v>276</v>
      </c>
      <c r="M329" s="350">
        <f>IFERROR(INDEX($Z$3:$Z$39,MATCH(L329,$Y$3:$Y$39,0)),(INDEX(Factor,K329+10)-INDEX(Factor,K329))/(INDEX(Degrees,K329+10)-INDEX(Degrees,K329))*(L329-INDEX(Degrees,K329))+INDEX(Factor,K329))</f>
        <v>0.97199999999999998</v>
      </c>
    </row>
    <row r="330" spans="11:13">
      <c r="K330" s="350">
        <f t="shared" si="6"/>
        <v>321</v>
      </c>
      <c r="L330" s="350">
        <v>277</v>
      </c>
      <c r="M330" s="350">
        <f>IFERROR(INDEX($Z$3:$Z$39,MATCH(L330,$Y$3:$Y$39,0)),(INDEX(Factor,K330+10)-INDEX(Factor,K330))/(INDEX(Degrees,K330+10)-INDEX(Degrees,K330))*(L330-INDEX(Degrees,K330))+INDEX(Factor,K330))</f>
        <v>0.96899999999999997</v>
      </c>
    </row>
    <row r="331" spans="11:13">
      <c r="K331" s="350">
        <f t="shared" si="6"/>
        <v>321</v>
      </c>
      <c r="L331" s="350">
        <v>278</v>
      </c>
      <c r="M331" s="350">
        <f>IFERROR(INDEX($Z$3:$Z$39,MATCH(L331,$Y$3:$Y$39,0)),(INDEX(Factor,K331+10)-INDEX(Factor,K331))/(INDEX(Degrees,K331+10)-INDEX(Degrees,K331))*(L331-INDEX(Degrees,K331))+INDEX(Factor,K331))</f>
        <v>0.96599999999999997</v>
      </c>
    </row>
    <row r="332" spans="11:13">
      <c r="K332" s="350">
        <f t="shared" si="6"/>
        <v>321</v>
      </c>
      <c r="L332" s="350">
        <v>279</v>
      </c>
      <c r="M332" s="350">
        <f>IFERROR(INDEX($Z$3:$Z$39,MATCH(L332,$Y$3:$Y$39,0)),(INDEX(Factor,K332+10)-INDEX(Factor,K332))/(INDEX(Degrees,K332+10)-INDEX(Degrees,K332))*(L332-INDEX(Degrees,K332))+INDEX(Factor,K332))</f>
        <v>0.96299999999999997</v>
      </c>
    </row>
    <row r="333" spans="11:13">
      <c r="K333" s="350">
        <f t="shared" si="6"/>
        <v>331</v>
      </c>
      <c r="L333" s="350">
        <v>280</v>
      </c>
      <c r="M333" s="350">
        <f>IFERROR(INDEX($Z$3:$Z$39,MATCH(L333,$Y$3:$Y$39,0)),(INDEX(Factor,K333+10)-INDEX(Factor,K333))/(INDEX(Degrees,K333+10)-INDEX(Degrees,K333))*(L333-INDEX(Degrees,K333))+INDEX(Factor,K333))</f>
        <v>0.96</v>
      </c>
    </row>
    <row r="334" spans="11:13">
      <c r="K334" s="350">
        <f t="shared" si="6"/>
        <v>331</v>
      </c>
      <c r="L334" s="350">
        <v>281</v>
      </c>
      <c r="M334" s="350">
        <f>IFERROR(INDEX($Z$3:$Z$39,MATCH(L334,$Y$3:$Y$39,0)),(INDEX(Factor,K334+10)-INDEX(Factor,K334))/(INDEX(Degrees,K334+10)-INDEX(Degrees,K334))*(L334-INDEX(Degrees,K334))+INDEX(Factor,K334))</f>
        <v>0.95699999999999996</v>
      </c>
    </row>
    <row r="335" spans="11:13">
      <c r="K335" s="350">
        <f t="shared" si="6"/>
        <v>331</v>
      </c>
      <c r="L335" s="350">
        <v>282</v>
      </c>
      <c r="M335" s="350">
        <f>IFERROR(INDEX($Z$3:$Z$39,MATCH(L335,$Y$3:$Y$39,0)),(INDEX(Factor,K335+10)-INDEX(Factor,K335))/(INDEX(Degrees,K335+10)-INDEX(Degrees,K335))*(L335-INDEX(Degrees,K335))+INDEX(Factor,K335))</f>
        <v>0.95399999999999996</v>
      </c>
    </row>
    <row r="336" spans="11:13">
      <c r="K336" s="350">
        <f t="shared" si="6"/>
        <v>331</v>
      </c>
      <c r="L336" s="350">
        <v>283</v>
      </c>
      <c r="M336" s="350">
        <f>IFERROR(INDEX($Z$3:$Z$39,MATCH(L336,$Y$3:$Y$39,0)),(INDEX(Factor,K336+10)-INDEX(Factor,K336))/(INDEX(Degrees,K336+10)-INDEX(Degrees,K336))*(L336-INDEX(Degrees,K336))+INDEX(Factor,K336))</f>
        <v>0.95099999999999996</v>
      </c>
    </row>
    <row r="337" spans="11:13">
      <c r="K337" s="350">
        <f t="shared" si="6"/>
        <v>331</v>
      </c>
      <c r="L337" s="350">
        <v>284</v>
      </c>
      <c r="M337" s="350">
        <f>IFERROR(INDEX($Z$3:$Z$39,MATCH(L337,$Y$3:$Y$39,0)),(INDEX(Factor,K337+10)-INDEX(Factor,K337))/(INDEX(Degrees,K337+10)-INDEX(Degrees,K337))*(L337-INDEX(Degrees,K337))+INDEX(Factor,K337))</f>
        <v>0.94799999999999995</v>
      </c>
    </row>
    <row r="338" spans="11:13">
      <c r="K338" s="350">
        <f t="shared" si="6"/>
        <v>331</v>
      </c>
      <c r="L338" s="350">
        <v>285</v>
      </c>
      <c r="M338" s="350">
        <f>IFERROR(INDEX($Z$3:$Z$39,MATCH(L338,$Y$3:$Y$39,0)),(INDEX(Factor,K338+10)-INDEX(Factor,K338))/(INDEX(Degrees,K338+10)-INDEX(Degrees,K338))*(L338-INDEX(Degrees,K338))+INDEX(Factor,K338))</f>
        <v>0.94500000000000006</v>
      </c>
    </row>
    <row r="339" spans="11:13">
      <c r="K339" s="350">
        <f t="shared" si="6"/>
        <v>331</v>
      </c>
      <c r="L339" s="350">
        <v>286</v>
      </c>
      <c r="M339" s="350">
        <f>IFERROR(INDEX($Z$3:$Z$39,MATCH(L339,$Y$3:$Y$39,0)),(INDEX(Factor,K339+10)-INDEX(Factor,K339))/(INDEX(Degrees,K339+10)-INDEX(Degrees,K339))*(L339-INDEX(Degrees,K339))+INDEX(Factor,K339))</f>
        <v>0.94200000000000006</v>
      </c>
    </row>
    <row r="340" spans="11:13">
      <c r="K340" s="350">
        <f t="shared" si="6"/>
        <v>331</v>
      </c>
      <c r="L340" s="350">
        <v>287</v>
      </c>
      <c r="M340" s="350">
        <f>IFERROR(INDEX($Z$3:$Z$39,MATCH(L340,$Y$3:$Y$39,0)),(INDEX(Factor,K340+10)-INDEX(Factor,K340))/(INDEX(Degrees,K340+10)-INDEX(Degrees,K340))*(L340-INDEX(Degrees,K340))+INDEX(Factor,K340))</f>
        <v>0.93900000000000006</v>
      </c>
    </row>
    <row r="341" spans="11:13">
      <c r="K341" s="350">
        <f t="shared" si="6"/>
        <v>331</v>
      </c>
      <c r="L341" s="350">
        <v>288</v>
      </c>
      <c r="M341" s="350">
        <f>IFERROR(INDEX($Z$3:$Z$39,MATCH(L341,$Y$3:$Y$39,0)),(INDEX(Factor,K341+10)-INDEX(Factor,K341))/(INDEX(Degrees,K341+10)-INDEX(Degrees,K341))*(L341-INDEX(Degrees,K341))+INDEX(Factor,K341))</f>
        <v>0.93600000000000005</v>
      </c>
    </row>
    <row r="342" spans="11:13">
      <c r="K342" s="350">
        <f t="shared" si="6"/>
        <v>331</v>
      </c>
      <c r="L342" s="350">
        <v>289</v>
      </c>
      <c r="M342" s="350">
        <f>IFERROR(INDEX($Z$3:$Z$39,MATCH(L342,$Y$3:$Y$39,0)),(INDEX(Factor,K342+10)-INDEX(Factor,K342))/(INDEX(Degrees,K342+10)-INDEX(Degrees,K342))*(L342-INDEX(Degrees,K342))+INDEX(Factor,K342))</f>
        <v>0.93300000000000005</v>
      </c>
    </row>
    <row r="343" spans="11:13">
      <c r="K343" s="350">
        <f t="shared" si="6"/>
        <v>341</v>
      </c>
      <c r="L343" s="350">
        <v>290</v>
      </c>
      <c r="M343" s="350">
        <f>IFERROR(INDEX($Z$3:$Z$39,MATCH(L343,$Y$3:$Y$39,0)),(INDEX(Factor,K343+10)-INDEX(Factor,K343))/(INDEX(Degrees,K343+10)-INDEX(Degrees,K343))*(L343-INDEX(Degrees,K343))+INDEX(Factor,K343))</f>
        <v>0.93</v>
      </c>
    </row>
    <row r="344" spans="11:13">
      <c r="K344" s="350">
        <f t="shared" si="6"/>
        <v>341</v>
      </c>
      <c r="L344" s="350">
        <v>291</v>
      </c>
      <c r="M344" s="350">
        <f>IFERROR(INDEX($Z$3:$Z$39,MATCH(L344,$Y$3:$Y$39,0)),(INDEX(Factor,K344+10)-INDEX(Factor,K344))/(INDEX(Degrees,K344+10)-INDEX(Degrees,K344))*(L344-INDEX(Degrees,K344))+INDEX(Factor,K344))</f>
        <v>0.92800000000000005</v>
      </c>
    </row>
    <row r="345" spans="11:13">
      <c r="K345" s="350">
        <f t="shared" si="6"/>
        <v>341</v>
      </c>
      <c r="L345" s="350">
        <v>292</v>
      </c>
      <c r="M345" s="350">
        <f>IFERROR(INDEX($Z$3:$Z$39,MATCH(L345,$Y$3:$Y$39,0)),(INDEX(Factor,K345+10)-INDEX(Factor,K345))/(INDEX(Degrees,K345+10)-INDEX(Degrees,K345))*(L345-INDEX(Degrees,K345))+INDEX(Factor,K345))</f>
        <v>0.92600000000000005</v>
      </c>
    </row>
    <row r="346" spans="11:13">
      <c r="K346" s="350">
        <f t="shared" si="6"/>
        <v>341</v>
      </c>
      <c r="L346" s="350">
        <v>293</v>
      </c>
      <c r="M346" s="350">
        <f>IFERROR(INDEX($Z$3:$Z$39,MATCH(L346,$Y$3:$Y$39,0)),(INDEX(Factor,K346+10)-INDEX(Factor,K346))/(INDEX(Degrees,K346+10)-INDEX(Degrees,K346))*(L346-INDEX(Degrees,K346))+INDEX(Factor,K346))</f>
        <v>0.92400000000000004</v>
      </c>
    </row>
    <row r="347" spans="11:13">
      <c r="K347" s="350">
        <f t="shared" si="6"/>
        <v>341</v>
      </c>
      <c r="L347" s="350">
        <v>294</v>
      </c>
      <c r="M347" s="350">
        <f>IFERROR(INDEX($Z$3:$Z$39,MATCH(L347,$Y$3:$Y$39,0)),(INDEX(Factor,K347+10)-INDEX(Factor,K347))/(INDEX(Degrees,K347+10)-INDEX(Degrees,K347))*(L347-INDEX(Degrees,K347))+INDEX(Factor,K347))</f>
        <v>0.92200000000000004</v>
      </c>
    </row>
    <row r="348" spans="11:13">
      <c r="K348" s="350">
        <f t="shared" si="6"/>
        <v>341</v>
      </c>
      <c r="L348" s="350">
        <v>295</v>
      </c>
      <c r="M348" s="350">
        <f>IFERROR(INDEX($Z$3:$Z$39,MATCH(L348,$Y$3:$Y$39,0)),(INDEX(Factor,K348+10)-INDEX(Factor,K348))/(INDEX(Degrees,K348+10)-INDEX(Degrees,K348))*(L348-INDEX(Degrees,K348))+INDEX(Factor,K348))</f>
        <v>0.92</v>
      </c>
    </row>
    <row r="349" spans="11:13">
      <c r="K349" s="350">
        <f t="shared" si="6"/>
        <v>341</v>
      </c>
      <c r="L349" s="350">
        <v>296</v>
      </c>
      <c r="M349" s="350">
        <f>IFERROR(INDEX($Z$3:$Z$39,MATCH(L349,$Y$3:$Y$39,0)),(INDEX(Factor,K349+10)-INDEX(Factor,K349))/(INDEX(Degrees,K349+10)-INDEX(Degrees,K349))*(L349-INDEX(Degrees,K349))+INDEX(Factor,K349))</f>
        <v>0.91800000000000004</v>
      </c>
    </row>
    <row r="350" spans="11:13">
      <c r="K350" s="350">
        <f t="shared" si="6"/>
        <v>341</v>
      </c>
      <c r="L350" s="350">
        <v>297</v>
      </c>
      <c r="M350" s="350">
        <f>IFERROR(INDEX($Z$3:$Z$39,MATCH(L350,$Y$3:$Y$39,0)),(INDEX(Factor,K350+10)-INDEX(Factor,K350))/(INDEX(Degrees,K350+10)-INDEX(Degrees,K350))*(L350-INDEX(Degrees,K350))+INDEX(Factor,K350))</f>
        <v>0.91600000000000004</v>
      </c>
    </row>
    <row r="351" spans="11:13">
      <c r="K351" s="350">
        <f t="shared" si="6"/>
        <v>341</v>
      </c>
      <c r="L351" s="350">
        <v>298</v>
      </c>
      <c r="M351" s="350">
        <f>IFERROR(INDEX($Z$3:$Z$39,MATCH(L351,$Y$3:$Y$39,0)),(INDEX(Factor,K351+10)-INDEX(Factor,K351))/(INDEX(Degrees,K351+10)-INDEX(Degrees,K351))*(L351-INDEX(Degrees,K351))+INDEX(Factor,K351))</f>
        <v>0.91400000000000003</v>
      </c>
    </row>
    <row r="352" spans="11:13">
      <c r="K352" s="350">
        <f t="shared" si="6"/>
        <v>341</v>
      </c>
      <c r="L352" s="350">
        <v>299</v>
      </c>
      <c r="M352" s="350">
        <f>IFERROR(INDEX($Z$3:$Z$39,MATCH(L352,$Y$3:$Y$39,0)),(INDEX(Factor,K352+10)-INDEX(Factor,K352))/(INDEX(Degrees,K352+10)-INDEX(Degrees,K352))*(L352-INDEX(Degrees,K352))+INDEX(Factor,K352))</f>
        <v>0.91200000000000003</v>
      </c>
    </row>
    <row r="353" spans="11:13">
      <c r="K353" s="350">
        <f t="shared" si="6"/>
        <v>351</v>
      </c>
      <c r="L353" s="350">
        <v>300</v>
      </c>
      <c r="M353" s="350">
        <f>IFERROR(INDEX($Z$3:$Z$39,MATCH(L353,$Y$3:$Y$39,0)),(INDEX(Factor,K353+10)-INDEX(Factor,K353))/(INDEX(Degrees,K353+10)-INDEX(Degrees,K353))*(L353-INDEX(Degrees,K353))+INDEX(Factor,K353))</f>
        <v>0.91</v>
      </c>
    </row>
    <row r="354" spans="11:13">
      <c r="K354" s="350">
        <f t="shared" si="6"/>
        <v>351</v>
      </c>
      <c r="L354" s="350">
        <v>301</v>
      </c>
      <c r="M354" s="350">
        <f>IFERROR(INDEX($Z$3:$Z$39,MATCH(L354,$Y$3:$Y$39,0)),(INDEX(Factor,K354+10)-INDEX(Factor,K354))/(INDEX(Degrees,K354+10)-INDEX(Degrees,K354))*(L354-INDEX(Degrees,K354))+INDEX(Factor,K354))</f>
        <v>0.90700000000000003</v>
      </c>
    </row>
    <row r="355" spans="11:13">
      <c r="K355" s="350">
        <f t="shared" si="6"/>
        <v>351</v>
      </c>
      <c r="L355" s="350">
        <v>302</v>
      </c>
      <c r="M355" s="350">
        <f>IFERROR(INDEX($Z$3:$Z$39,MATCH(L355,$Y$3:$Y$39,0)),(INDEX(Factor,K355+10)-INDEX(Factor,K355))/(INDEX(Degrees,K355+10)-INDEX(Degrees,K355))*(L355-INDEX(Degrees,K355))+INDEX(Factor,K355))</f>
        <v>0.90400000000000003</v>
      </c>
    </row>
    <row r="356" spans="11:13">
      <c r="K356" s="350">
        <f t="shared" si="6"/>
        <v>351</v>
      </c>
      <c r="L356" s="350">
        <v>303</v>
      </c>
      <c r="M356" s="350">
        <f>IFERROR(INDEX($Z$3:$Z$39,MATCH(L356,$Y$3:$Y$39,0)),(INDEX(Factor,K356+10)-INDEX(Factor,K356))/(INDEX(Degrees,K356+10)-INDEX(Degrees,K356))*(L356-INDEX(Degrees,K356))+INDEX(Factor,K356))</f>
        <v>0.90100000000000002</v>
      </c>
    </row>
    <row r="357" spans="11:13">
      <c r="K357" s="350">
        <f t="shared" si="6"/>
        <v>351</v>
      </c>
      <c r="L357" s="350">
        <v>304</v>
      </c>
      <c r="M357" s="350">
        <f>IFERROR(INDEX($Z$3:$Z$39,MATCH(L357,$Y$3:$Y$39,0)),(INDEX(Factor,K357+10)-INDEX(Factor,K357))/(INDEX(Degrees,K357+10)-INDEX(Degrees,K357))*(L357-INDEX(Degrees,K357))+INDEX(Factor,K357))</f>
        <v>0.89800000000000002</v>
      </c>
    </row>
    <row r="358" spans="11:13">
      <c r="K358" s="350">
        <f t="shared" si="6"/>
        <v>351</v>
      </c>
      <c r="L358" s="350">
        <v>305</v>
      </c>
      <c r="M358" s="350">
        <f>IFERROR(INDEX($Z$3:$Z$39,MATCH(L358,$Y$3:$Y$39,0)),(INDEX(Factor,K358+10)-INDEX(Factor,K358))/(INDEX(Degrees,K358+10)-INDEX(Degrees,K358))*(L358-INDEX(Degrees,K358))+INDEX(Factor,K358))</f>
        <v>0.89500000000000002</v>
      </c>
    </row>
    <row r="359" spans="11:13">
      <c r="K359" s="350">
        <f t="shared" si="6"/>
        <v>351</v>
      </c>
      <c r="L359" s="350">
        <v>306</v>
      </c>
      <c r="M359" s="350">
        <f>IFERROR(INDEX($Z$3:$Z$39,MATCH(L359,$Y$3:$Y$39,0)),(INDEX(Factor,K359+10)-INDEX(Factor,K359))/(INDEX(Degrees,K359+10)-INDEX(Degrees,K359))*(L359-INDEX(Degrees,K359))+INDEX(Factor,K359))</f>
        <v>0.89200000000000002</v>
      </c>
    </row>
    <row r="360" spans="11:13">
      <c r="K360" s="350">
        <f t="shared" si="6"/>
        <v>351</v>
      </c>
      <c r="L360" s="350">
        <v>307</v>
      </c>
      <c r="M360" s="350">
        <f>IFERROR(INDEX($Z$3:$Z$39,MATCH(L360,$Y$3:$Y$39,0)),(INDEX(Factor,K360+10)-INDEX(Factor,K360))/(INDEX(Degrees,K360+10)-INDEX(Degrees,K360))*(L360-INDEX(Degrees,K360))+INDEX(Factor,K360))</f>
        <v>0.88900000000000001</v>
      </c>
    </row>
    <row r="361" spans="11:13">
      <c r="K361" s="350">
        <f t="shared" si="6"/>
        <v>351</v>
      </c>
      <c r="L361" s="350">
        <v>308</v>
      </c>
      <c r="M361" s="350">
        <f>IFERROR(INDEX($Z$3:$Z$39,MATCH(L361,$Y$3:$Y$39,0)),(INDEX(Factor,K361+10)-INDEX(Factor,K361))/(INDEX(Degrees,K361+10)-INDEX(Degrees,K361))*(L361-INDEX(Degrees,K361))+INDEX(Factor,K361))</f>
        <v>0.88600000000000001</v>
      </c>
    </row>
    <row r="362" spans="11:13">
      <c r="K362" s="350">
        <f t="shared" si="6"/>
        <v>351</v>
      </c>
      <c r="L362" s="350">
        <v>309</v>
      </c>
      <c r="M362" s="350">
        <f>IFERROR(INDEX($Z$3:$Z$39,MATCH(L362,$Y$3:$Y$39,0)),(INDEX(Factor,K362+10)-INDEX(Factor,K362))/(INDEX(Degrees,K362+10)-INDEX(Degrees,K362))*(L362-INDEX(Degrees,K362))+INDEX(Factor,K362))</f>
        <v>0.88300000000000001</v>
      </c>
    </row>
    <row r="363" spans="11:13">
      <c r="K363" s="350">
        <f t="shared" si="6"/>
        <v>361</v>
      </c>
      <c r="L363" s="350">
        <v>310</v>
      </c>
      <c r="M363" s="350">
        <f>IFERROR(INDEX($Z$3:$Z$39,MATCH(L363,$Y$3:$Y$39,0)),(INDEX(Factor,K363+10)-INDEX(Factor,K363))/(INDEX(Degrees,K363+10)-INDEX(Degrees,K363))*(L363-INDEX(Degrees,K363))+INDEX(Factor,K363))</f>
        <v>0.88</v>
      </c>
    </row>
    <row r="364" spans="11:13">
      <c r="K364" s="350">
        <f t="shared" si="6"/>
        <v>361</v>
      </c>
      <c r="L364" s="350">
        <v>311</v>
      </c>
      <c r="M364" s="350">
        <f>IFERROR(INDEX($Z$3:$Z$39,MATCH(L364,$Y$3:$Y$39,0)),(INDEX(Factor,K364+10)-INDEX(Factor,K364))/(INDEX(Degrees,K364+10)-INDEX(Degrees,K364))*(L364-INDEX(Degrees,K364))+INDEX(Factor,K364))</f>
        <v>0.877</v>
      </c>
    </row>
    <row r="365" spans="11:13">
      <c r="K365" s="350">
        <f t="shared" si="6"/>
        <v>361</v>
      </c>
      <c r="L365" s="350">
        <v>312</v>
      </c>
      <c r="M365" s="350">
        <f>IFERROR(INDEX($Z$3:$Z$39,MATCH(L365,$Y$3:$Y$39,0)),(INDEX(Factor,K365+10)-INDEX(Factor,K365))/(INDEX(Degrees,K365+10)-INDEX(Degrees,K365))*(L365-INDEX(Degrees,K365))+INDEX(Factor,K365))</f>
        <v>0.874</v>
      </c>
    </row>
    <row r="366" spans="11:13">
      <c r="K366" s="350">
        <f t="shared" si="6"/>
        <v>361</v>
      </c>
      <c r="L366" s="350">
        <v>313</v>
      </c>
      <c r="M366" s="350">
        <f>IFERROR(INDEX($Z$3:$Z$39,MATCH(L366,$Y$3:$Y$39,0)),(INDEX(Factor,K366+10)-INDEX(Factor,K366))/(INDEX(Degrees,K366+10)-INDEX(Degrees,K366))*(L366-INDEX(Degrees,K366))+INDEX(Factor,K366))</f>
        <v>0.871</v>
      </c>
    </row>
    <row r="367" spans="11:13">
      <c r="K367" s="350">
        <f t="shared" si="6"/>
        <v>361</v>
      </c>
      <c r="L367" s="350">
        <v>314</v>
      </c>
      <c r="M367" s="350">
        <f>IFERROR(INDEX($Z$3:$Z$39,MATCH(L367,$Y$3:$Y$39,0)),(INDEX(Factor,K367+10)-INDEX(Factor,K367))/(INDEX(Degrees,K367+10)-INDEX(Degrees,K367))*(L367-INDEX(Degrees,K367))+INDEX(Factor,K367))</f>
        <v>0.86799999999999999</v>
      </c>
    </row>
    <row r="368" spans="11:13">
      <c r="K368" s="350">
        <f t="shared" si="6"/>
        <v>361</v>
      </c>
      <c r="L368" s="350">
        <v>315</v>
      </c>
      <c r="M368" s="350">
        <f>IFERROR(INDEX($Z$3:$Z$39,MATCH(L368,$Y$3:$Y$39,0)),(INDEX(Factor,K368+10)-INDEX(Factor,K368))/(INDEX(Degrees,K368+10)-INDEX(Degrees,K368))*(L368-INDEX(Degrees,K368))+INDEX(Factor,K368))</f>
        <v>0.86499999999999999</v>
      </c>
    </row>
    <row r="369" spans="11:13">
      <c r="K369" s="350">
        <f t="shared" si="6"/>
        <v>361</v>
      </c>
      <c r="L369" s="350">
        <v>316</v>
      </c>
      <c r="M369" s="350">
        <f>IFERROR(INDEX($Z$3:$Z$39,MATCH(L369,$Y$3:$Y$39,0)),(INDEX(Factor,K369+10)-INDEX(Factor,K369))/(INDEX(Degrees,K369+10)-INDEX(Degrees,K369))*(L369-INDEX(Degrees,K369))+INDEX(Factor,K369))</f>
        <v>0.86199999999999999</v>
      </c>
    </row>
    <row r="370" spans="11:13">
      <c r="K370" s="350">
        <f t="shared" si="6"/>
        <v>361</v>
      </c>
      <c r="L370" s="350">
        <v>317</v>
      </c>
      <c r="M370" s="350">
        <f>IFERROR(INDEX($Z$3:$Z$39,MATCH(L370,$Y$3:$Y$39,0)),(INDEX(Factor,K370+10)-INDEX(Factor,K370))/(INDEX(Degrees,K370+10)-INDEX(Degrees,K370))*(L370-INDEX(Degrees,K370))+INDEX(Factor,K370))</f>
        <v>0.85899999999999999</v>
      </c>
    </row>
    <row r="371" spans="11:13">
      <c r="K371" s="350">
        <f t="shared" si="6"/>
        <v>361</v>
      </c>
      <c r="L371" s="350">
        <v>318</v>
      </c>
      <c r="M371" s="350">
        <f>IFERROR(INDEX($Z$3:$Z$39,MATCH(L371,$Y$3:$Y$39,0)),(INDEX(Factor,K371+10)-INDEX(Factor,K371))/(INDEX(Degrees,K371+10)-INDEX(Degrees,K371))*(L371-INDEX(Degrees,K371))+INDEX(Factor,K371))</f>
        <v>0.85599999999999998</v>
      </c>
    </row>
    <row r="372" spans="11:13">
      <c r="K372" s="350">
        <f t="shared" si="6"/>
        <v>361</v>
      </c>
      <c r="L372" s="350">
        <v>319</v>
      </c>
      <c r="M372" s="350">
        <f>IFERROR(INDEX($Z$3:$Z$39,MATCH(L372,$Y$3:$Y$39,0)),(INDEX(Factor,K372+10)-INDEX(Factor,K372))/(INDEX(Degrees,K372+10)-INDEX(Degrees,K372))*(L372-INDEX(Degrees,K372))+INDEX(Factor,K372))</f>
        <v>0.85299999999999998</v>
      </c>
    </row>
    <row r="373" spans="11:13">
      <c r="K373" s="350">
        <f t="shared" si="6"/>
        <v>371</v>
      </c>
      <c r="L373" s="350">
        <v>320</v>
      </c>
      <c r="M373" s="350">
        <f>IFERROR(INDEX($Z$3:$Z$39,MATCH(L373,$Y$3:$Y$39,0)),(INDEX(Factor,K373+10)-INDEX(Factor,K373))/(INDEX(Degrees,K373+10)-INDEX(Degrees,K373))*(L373-INDEX(Degrees,K373))+INDEX(Factor,K373))</f>
        <v>0.85</v>
      </c>
    </row>
    <row r="374" spans="11:13">
      <c r="K374" s="350">
        <f t="shared" si="6"/>
        <v>371</v>
      </c>
      <c r="L374" s="350">
        <v>321</v>
      </c>
      <c r="M374" s="350">
        <f>IFERROR(INDEX($Z$3:$Z$39,MATCH(L374,$Y$3:$Y$39,0)),(INDEX(Factor,K374+10)-INDEX(Factor,K374))/(INDEX(Degrees,K374+10)-INDEX(Degrees,K374))*(L374-INDEX(Degrees,K374))+INDEX(Factor,K374))</f>
        <v>0.84699999999999998</v>
      </c>
    </row>
    <row r="375" spans="11:13">
      <c r="K375" s="350">
        <f t="shared" si="6"/>
        <v>371</v>
      </c>
      <c r="L375" s="350">
        <v>322</v>
      </c>
      <c r="M375" s="350">
        <f>IFERROR(INDEX($Z$3:$Z$39,MATCH(L375,$Y$3:$Y$39,0)),(INDEX(Factor,K375+10)-INDEX(Factor,K375))/(INDEX(Degrees,K375+10)-INDEX(Degrees,K375))*(L375-INDEX(Degrees,K375))+INDEX(Factor,K375))</f>
        <v>0.84399999999999997</v>
      </c>
    </row>
    <row r="376" spans="11:13">
      <c r="K376" s="350">
        <f t="shared" si="6"/>
        <v>371</v>
      </c>
      <c r="L376" s="350">
        <v>323</v>
      </c>
      <c r="M376" s="350">
        <f>IFERROR(INDEX($Z$3:$Z$39,MATCH(L376,$Y$3:$Y$39,0)),(INDEX(Factor,K376+10)-INDEX(Factor,K376))/(INDEX(Degrees,K376+10)-INDEX(Degrees,K376))*(L376-INDEX(Degrees,K376))+INDEX(Factor,K376))</f>
        <v>0.84099999999999997</v>
      </c>
    </row>
    <row r="377" spans="11:13">
      <c r="K377" s="350">
        <f t="shared" si="6"/>
        <v>371</v>
      </c>
      <c r="L377" s="350">
        <v>324</v>
      </c>
      <c r="M377" s="350">
        <f>IFERROR(INDEX($Z$3:$Z$39,MATCH(L377,$Y$3:$Y$39,0)),(INDEX(Factor,K377+10)-INDEX(Factor,K377))/(INDEX(Degrees,K377+10)-INDEX(Degrees,K377))*(L377-INDEX(Degrees,K377))+INDEX(Factor,K377))</f>
        <v>0.83799999999999997</v>
      </c>
    </row>
    <row r="378" spans="11:13">
      <c r="K378" s="350">
        <f t="shared" si="6"/>
        <v>371</v>
      </c>
      <c r="L378" s="350">
        <v>325</v>
      </c>
      <c r="M378" s="350">
        <f>IFERROR(INDEX($Z$3:$Z$39,MATCH(L378,$Y$3:$Y$39,0)),(INDEX(Factor,K378+10)-INDEX(Factor,K378))/(INDEX(Degrees,K378+10)-INDEX(Degrees,K378))*(L378-INDEX(Degrees,K378))+INDEX(Factor,K378))</f>
        <v>0.83499999999999996</v>
      </c>
    </row>
    <row r="379" spans="11:13">
      <c r="K379" s="350">
        <f t="shared" si="6"/>
        <v>371</v>
      </c>
      <c r="L379" s="350">
        <v>326</v>
      </c>
      <c r="M379" s="350">
        <f>IFERROR(INDEX($Z$3:$Z$39,MATCH(L379,$Y$3:$Y$39,0)),(INDEX(Factor,K379+10)-INDEX(Factor,K379))/(INDEX(Degrees,K379+10)-INDEX(Degrees,K379))*(L379-INDEX(Degrees,K379))+INDEX(Factor,K379))</f>
        <v>0.83199999999999996</v>
      </c>
    </row>
    <row r="380" spans="11:13">
      <c r="K380" s="350">
        <f t="shared" si="6"/>
        <v>371</v>
      </c>
      <c r="L380" s="350">
        <v>327</v>
      </c>
      <c r="M380" s="350">
        <f>IFERROR(INDEX($Z$3:$Z$39,MATCH(L380,$Y$3:$Y$39,0)),(INDEX(Factor,K380+10)-INDEX(Factor,K380))/(INDEX(Degrees,K380+10)-INDEX(Degrees,K380))*(L380-INDEX(Degrees,K380))+INDEX(Factor,K380))</f>
        <v>0.82899999999999996</v>
      </c>
    </row>
    <row r="381" spans="11:13">
      <c r="K381" s="350">
        <f t="shared" si="6"/>
        <v>371</v>
      </c>
      <c r="L381" s="350">
        <v>328</v>
      </c>
      <c r="M381" s="350">
        <f>IFERROR(INDEX($Z$3:$Z$39,MATCH(L381,$Y$3:$Y$39,0)),(INDEX(Factor,K381+10)-INDEX(Factor,K381))/(INDEX(Degrees,K381+10)-INDEX(Degrees,K381))*(L381-INDEX(Degrees,K381))+INDEX(Factor,K381))</f>
        <v>0.82599999999999996</v>
      </c>
    </row>
    <row r="382" spans="11:13">
      <c r="K382" s="350">
        <f t="shared" si="6"/>
        <v>371</v>
      </c>
      <c r="L382" s="350">
        <v>329</v>
      </c>
      <c r="M382" s="350">
        <f>IFERROR(INDEX($Z$3:$Z$39,MATCH(L382,$Y$3:$Y$39,0)),(INDEX(Factor,K382+10)-INDEX(Factor,K382))/(INDEX(Degrees,K382+10)-INDEX(Degrees,K382))*(L382-INDEX(Degrees,K382))+INDEX(Factor,K382))</f>
        <v>0.82299999999999995</v>
      </c>
    </row>
    <row r="383" spans="11:13">
      <c r="K383" s="350">
        <f t="shared" si="6"/>
        <v>381</v>
      </c>
      <c r="L383" s="350">
        <v>330</v>
      </c>
      <c r="M383" s="350">
        <f>IFERROR(INDEX($Z$3:$Z$39,MATCH(L383,$Y$3:$Y$39,0)),(INDEX(Factor,K383+10)-INDEX(Factor,K383))/(INDEX(Degrees,K383+10)-INDEX(Degrees,K383))*(L383-INDEX(Degrees,K383))+INDEX(Factor,K383))</f>
        <v>0.82</v>
      </c>
    </row>
    <row r="384" spans="11:13">
      <c r="K384" s="350">
        <f t="shared" si="6"/>
        <v>381</v>
      </c>
      <c r="L384" s="350">
        <v>331</v>
      </c>
      <c r="M384" s="350">
        <f>IFERROR(INDEX($Z$3:$Z$39,MATCH(L384,$Y$3:$Y$39,0)),(INDEX(Factor,K384+10)-INDEX(Factor,K384))/(INDEX(Degrees,K384+10)-INDEX(Degrees,K384))*(L384-INDEX(Degrees,K384))+INDEX(Factor,K384))</f>
        <v>0.81799999999999995</v>
      </c>
    </row>
    <row r="385" spans="11:13">
      <c r="K385" s="350">
        <f t="shared" si="6"/>
        <v>381</v>
      </c>
      <c r="L385" s="350">
        <v>332</v>
      </c>
      <c r="M385" s="350">
        <f>IFERROR(INDEX($Z$3:$Z$39,MATCH(L385,$Y$3:$Y$39,0)),(INDEX(Factor,K385+10)-INDEX(Factor,K385))/(INDEX(Degrees,K385+10)-INDEX(Degrees,K385))*(L385-INDEX(Degrees,K385))+INDEX(Factor,K385))</f>
        <v>0.81599999999999995</v>
      </c>
    </row>
    <row r="386" spans="11:13">
      <c r="K386" s="350">
        <f t="shared" si="6"/>
        <v>381</v>
      </c>
      <c r="L386" s="350">
        <v>333</v>
      </c>
      <c r="M386" s="350">
        <f>IFERROR(INDEX($Z$3:$Z$39,MATCH(L386,$Y$3:$Y$39,0)),(INDEX(Factor,K386+10)-INDEX(Factor,K386))/(INDEX(Degrees,K386+10)-INDEX(Degrees,K386))*(L386-INDEX(Degrees,K386))+INDEX(Factor,K386))</f>
        <v>0.81399999999999995</v>
      </c>
    </row>
    <row r="387" spans="11:13">
      <c r="K387" s="350">
        <f t="shared" ref="K387:K450" si="7">ROUNDDOWN(ROW()-3,-1)+1</f>
        <v>381</v>
      </c>
      <c r="L387" s="350">
        <v>334</v>
      </c>
      <c r="M387" s="350">
        <f>IFERROR(INDEX($Z$3:$Z$39,MATCH(L387,$Y$3:$Y$39,0)),(INDEX(Factor,K387+10)-INDEX(Factor,K387))/(INDEX(Degrees,K387+10)-INDEX(Degrees,K387))*(L387-INDEX(Degrees,K387))+INDEX(Factor,K387))</f>
        <v>0.81199999999999994</v>
      </c>
    </row>
    <row r="388" spans="11:13">
      <c r="K388" s="350">
        <f t="shared" si="7"/>
        <v>381</v>
      </c>
      <c r="L388" s="350">
        <v>335</v>
      </c>
      <c r="M388" s="350">
        <f>IFERROR(INDEX($Z$3:$Z$39,MATCH(L388,$Y$3:$Y$39,0)),(INDEX(Factor,K388+10)-INDEX(Factor,K388))/(INDEX(Degrees,K388+10)-INDEX(Degrees,K388))*(L388-INDEX(Degrees,K388))+INDEX(Factor,K388))</f>
        <v>0.81</v>
      </c>
    </row>
    <row r="389" spans="11:13">
      <c r="K389" s="350">
        <f t="shared" si="7"/>
        <v>381</v>
      </c>
      <c r="L389" s="350">
        <v>336</v>
      </c>
      <c r="M389" s="350">
        <f>IFERROR(INDEX($Z$3:$Z$39,MATCH(L389,$Y$3:$Y$39,0)),(INDEX(Factor,K389+10)-INDEX(Factor,K389))/(INDEX(Degrees,K389+10)-INDEX(Degrees,K389))*(L389-INDEX(Degrees,K389))+INDEX(Factor,K389))</f>
        <v>0.80800000000000005</v>
      </c>
    </row>
    <row r="390" spans="11:13">
      <c r="K390" s="350">
        <f t="shared" si="7"/>
        <v>381</v>
      </c>
      <c r="L390" s="350">
        <v>337</v>
      </c>
      <c r="M390" s="350">
        <f>IFERROR(INDEX($Z$3:$Z$39,MATCH(L390,$Y$3:$Y$39,0)),(INDEX(Factor,K390+10)-INDEX(Factor,K390))/(INDEX(Degrees,K390+10)-INDEX(Degrees,K390))*(L390-INDEX(Degrees,K390))+INDEX(Factor,K390))</f>
        <v>0.80600000000000005</v>
      </c>
    </row>
    <row r="391" spans="11:13">
      <c r="K391" s="350">
        <f t="shared" si="7"/>
        <v>381</v>
      </c>
      <c r="L391" s="350">
        <v>338</v>
      </c>
      <c r="M391" s="350">
        <f>IFERROR(INDEX($Z$3:$Z$39,MATCH(L391,$Y$3:$Y$39,0)),(INDEX(Factor,K391+10)-INDEX(Factor,K391))/(INDEX(Degrees,K391+10)-INDEX(Degrees,K391))*(L391-INDEX(Degrees,K391))+INDEX(Factor,K391))</f>
        <v>0.80400000000000005</v>
      </c>
    </row>
    <row r="392" spans="11:13">
      <c r="K392" s="350">
        <f t="shared" si="7"/>
        <v>381</v>
      </c>
      <c r="L392" s="350">
        <v>339</v>
      </c>
      <c r="M392" s="350">
        <f>IFERROR(INDEX($Z$3:$Z$39,MATCH(L392,$Y$3:$Y$39,0)),(INDEX(Factor,K392+10)-INDEX(Factor,K392))/(INDEX(Degrees,K392+10)-INDEX(Degrees,K392))*(L392-INDEX(Degrees,K392))+INDEX(Factor,K392))</f>
        <v>0.80200000000000005</v>
      </c>
    </row>
    <row r="393" spans="11:13">
      <c r="K393" s="350">
        <f t="shared" si="7"/>
        <v>391</v>
      </c>
      <c r="L393" s="350">
        <v>340</v>
      </c>
      <c r="M393" s="350">
        <f>IFERROR(INDEX($Z$3:$Z$39,MATCH(L393,$Y$3:$Y$39,0)),(INDEX(Factor,K393+10)-INDEX(Factor,K393))/(INDEX(Degrees,K393+10)-INDEX(Degrees,K393))*(L393-INDEX(Degrees,K393))+INDEX(Factor,K393))</f>
        <v>0.8</v>
      </c>
    </row>
    <row r="394" spans="11:13">
      <c r="K394" s="350">
        <f t="shared" si="7"/>
        <v>391</v>
      </c>
      <c r="L394" s="350">
        <v>341</v>
      </c>
      <c r="M394" s="350">
        <f>IFERROR(INDEX($Z$3:$Z$39,MATCH(L394,$Y$3:$Y$39,0)),(INDEX(Factor,K394+10)-INDEX(Factor,K394))/(INDEX(Degrees,K394+10)-INDEX(Degrees,K394))*(L394-INDEX(Degrees,K394))+INDEX(Factor,K394))</f>
        <v>0.79900000000000004</v>
      </c>
    </row>
    <row r="395" spans="11:13">
      <c r="K395" s="350">
        <f t="shared" si="7"/>
        <v>391</v>
      </c>
      <c r="L395" s="350">
        <v>342</v>
      </c>
      <c r="M395" s="350">
        <f>IFERROR(INDEX($Z$3:$Z$39,MATCH(L395,$Y$3:$Y$39,0)),(INDEX(Factor,K395+10)-INDEX(Factor,K395))/(INDEX(Degrees,K395+10)-INDEX(Degrees,K395))*(L395-INDEX(Degrees,K395))+INDEX(Factor,K395))</f>
        <v>0.79800000000000004</v>
      </c>
    </row>
    <row r="396" spans="11:13">
      <c r="K396" s="350">
        <f t="shared" si="7"/>
        <v>391</v>
      </c>
      <c r="L396" s="350">
        <v>343</v>
      </c>
      <c r="M396" s="350">
        <f>IFERROR(INDEX($Z$3:$Z$39,MATCH(L396,$Y$3:$Y$39,0)),(INDEX(Factor,K396+10)-INDEX(Factor,K396))/(INDEX(Degrees,K396+10)-INDEX(Degrees,K396))*(L396-INDEX(Degrees,K396))+INDEX(Factor,K396))</f>
        <v>0.79700000000000004</v>
      </c>
    </row>
    <row r="397" spans="11:13">
      <c r="K397" s="350">
        <f t="shared" si="7"/>
        <v>391</v>
      </c>
      <c r="L397" s="350">
        <v>344</v>
      </c>
      <c r="M397" s="350">
        <f>IFERROR(INDEX($Z$3:$Z$39,MATCH(L397,$Y$3:$Y$39,0)),(INDEX(Factor,K397+10)-INDEX(Factor,K397))/(INDEX(Degrees,K397+10)-INDEX(Degrees,K397))*(L397-INDEX(Degrees,K397))+INDEX(Factor,K397))</f>
        <v>0.79600000000000004</v>
      </c>
    </row>
    <row r="398" spans="11:13">
      <c r="K398" s="350">
        <f t="shared" si="7"/>
        <v>391</v>
      </c>
      <c r="L398" s="350">
        <v>345</v>
      </c>
      <c r="M398" s="350">
        <f>IFERROR(INDEX($Z$3:$Z$39,MATCH(L398,$Y$3:$Y$39,0)),(INDEX(Factor,K398+10)-INDEX(Factor,K398))/(INDEX(Degrees,K398+10)-INDEX(Degrees,K398))*(L398-INDEX(Degrees,K398))+INDEX(Factor,K398))</f>
        <v>0.79500000000000004</v>
      </c>
    </row>
    <row r="399" spans="11:13">
      <c r="K399" s="350">
        <f t="shared" si="7"/>
        <v>391</v>
      </c>
      <c r="L399" s="350">
        <v>346</v>
      </c>
      <c r="M399" s="350">
        <f>IFERROR(INDEX($Z$3:$Z$39,MATCH(L399,$Y$3:$Y$39,0)),(INDEX(Factor,K399+10)-INDEX(Factor,K399))/(INDEX(Degrees,K399+10)-INDEX(Degrees,K399))*(L399-INDEX(Degrees,K399))+INDEX(Factor,K399))</f>
        <v>0.79400000000000004</v>
      </c>
    </row>
    <row r="400" spans="11:13">
      <c r="K400" s="350">
        <f t="shared" si="7"/>
        <v>391</v>
      </c>
      <c r="L400" s="350">
        <v>347</v>
      </c>
      <c r="M400" s="350">
        <f>IFERROR(INDEX($Z$3:$Z$39,MATCH(L400,$Y$3:$Y$39,0)),(INDEX(Factor,K400+10)-INDEX(Factor,K400))/(INDEX(Degrees,K400+10)-INDEX(Degrees,K400))*(L400-INDEX(Degrees,K400))+INDEX(Factor,K400))</f>
        <v>0.79300000000000004</v>
      </c>
    </row>
    <row r="401" spans="11:13">
      <c r="K401" s="350">
        <f t="shared" si="7"/>
        <v>391</v>
      </c>
      <c r="L401" s="350">
        <v>348</v>
      </c>
      <c r="M401" s="350">
        <f>IFERROR(INDEX($Z$3:$Z$39,MATCH(L401,$Y$3:$Y$39,0)),(INDEX(Factor,K401+10)-INDEX(Factor,K401))/(INDEX(Degrees,K401+10)-INDEX(Degrees,K401))*(L401-INDEX(Degrees,K401))+INDEX(Factor,K401))</f>
        <v>0.79200000000000004</v>
      </c>
    </row>
    <row r="402" spans="11:13">
      <c r="K402" s="350">
        <f t="shared" si="7"/>
        <v>391</v>
      </c>
      <c r="L402" s="350">
        <v>349</v>
      </c>
      <c r="M402" s="350">
        <f>IFERROR(INDEX($Z$3:$Z$39,MATCH(L402,$Y$3:$Y$39,0)),(INDEX(Factor,K402+10)-INDEX(Factor,K402))/(INDEX(Degrees,K402+10)-INDEX(Degrees,K402))*(L402-INDEX(Degrees,K402))+INDEX(Factor,K402))</f>
        <v>0.79100000000000004</v>
      </c>
    </row>
    <row r="403" spans="11:13">
      <c r="K403" s="350">
        <f t="shared" si="7"/>
        <v>401</v>
      </c>
      <c r="L403" s="350">
        <v>350</v>
      </c>
      <c r="M403" s="350">
        <f>IFERROR(INDEX($Z$3:$Z$39,MATCH(L403,$Y$3:$Y$39,0)),(INDEX(Factor,K403+10)-INDEX(Factor,K403))/(INDEX(Degrees,K403+10)-INDEX(Degrees,K403))*(L403-INDEX(Degrees,K403))+INDEX(Factor,K403))</f>
        <v>0.79</v>
      </c>
    </row>
    <row r="404" spans="11:13">
      <c r="K404" s="350">
        <f t="shared" si="7"/>
        <v>401</v>
      </c>
      <c r="L404" s="350">
        <v>351</v>
      </c>
      <c r="M404" s="350">
        <f>IFERROR(INDEX($Z$3:$Z$39,MATCH(L404,$Y$3:$Y$39,0)),(INDEX(Factor,K404+10)-INDEX(Factor,K404))/(INDEX(Degrees,K404+10)-INDEX(Degrees,K404))*(L404-INDEX(Degrees,K404))+INDEX(Factor,K404))</f>
        <v>0.78900000000000003</v>
      </c>
    </row>
    <row r="405" spans="11:13">
      <c r="K405" s="350">
        <f t="shared" si="7"/>
        <v>401</v>
      </c>
      <c r="L405" s="350">
        <v>352</v>
      </c>
      <c r="M405" s="350">
        <f>IFERROR(INDEX($Z$3:$Z$39,MATCH(L405,$Y$3:$Y$39,0)),(INDEX(Factor,K405+10)-INDEX(Factor,K405))/(INDEX(Degrees,K405+10)-INDEX(Degrees,K405))*(L405-INDEX(Degrees,K405))+INDEX(Factor,K405))</f>
        <v>0.78800000000000003</v>
      </c>
    </row>
    <row r="406" spans="11:13">
      <c r="K406" s="350">
        <f t="shared" si="7"/>
        <v>401</v>
      </c>
      <c r="L406" s="350">
        <v>353</v>
      </c>
      <c r="M406" s="350">
        <f>IFERROR(INDEX($Z$3:$Z$39,MATCH(L406,$Y$3:$Y$39,0)),(INDEX(Factor,K406+10)-INDEX(Factor,K406))/(INDEX(Degrees,K406+10)-INDEX(Degrees,K406))*(L406-INDEX(Degrees,K406))+INDEX(Factor,K406))</f>
        <v>0.78700000000000003</v>
      </c>
    </row>
    <row r="407" spans="11:13">
      <c r="K407" s="350">
        <f t="shared" si="7"/>
        <v>401</v>
      </c>
      <c r="L407" s="350">
        <v>354</v>
      </c>
      <c r="M407" s="350">
        <f>IFERROR(INDEX($Z$3:$Z$39,MATCH(L407,$Y$3:$Y$39,0)),(INDEX(Factor,K407+10)-INDEX(Factor,K407))/(INDEX(Degrees,K407+10)-INDEX(Degrees,K407))*(L407-INDEX(Degrees,K407))+INDEX(Factor,K407))</f>
        <v>0.78600000000000003</v>
      </c>
    </row>
    <row r="408" spans="11:13">
      <c r="K408" s="350">
        <f t="shared" si="7"/>
        <v>401</v>
      </c>
      <c r="L408" s="350">
        <v>355</v>
      </c>
      <c r="M408" s="350">
        <f>IFERROR(INDEX($Z$3:$Z$39,MATCH(L408,$Y$3:$Y$39,0)),(INDEX(Factor,K408+10)-INDEX(Factor,K408))/(INDEX(Degrees,K408+10)-INDEX(Degrees,K408))*(L408-INDEX(Degrees,K408))+INDEX(Factor,K408))</f>
        <v>0.78500000000000003</v>
      </c>
    </row>
    <row r="409" spans="11:13">
      <c r="K409" s="350">
        <f t="shared" si="7"/>
        <v>401</v>
      </c>
      <c r="L409" s="350">
        <v>356</v>
      </c>
      <c r="M409" s="350">
        <f>IFERROR(INDEX($Z$3:$Z$39,MATCH(L409,$Y$3:$Y$39,0)),(INDEX(Factor,K409+10)-INDEX(Factor,K409))/(INDEX(Degrees,K409+10)-INDEX(Degrees,K409))*(L409-INDEX(Degrees,K409))+INDEX(Factor,K409))</f>
        <v>0.78400000000000003</v>
      </c>
    </row>
    <row r="410" spans="11:13">
      <c r="K410" s="350">
        <f t="shared" si="7"/>
        <v>401</v>
      </c>
      <c r="L410" s="350">
        <v>357</v>
      </c>
      <c r="M410" s="350">
        <f>IFERROR(INDEX($Z$3:$Z$39,MATCH(L410,$Y$3:$Y$39,0)),(INDEX(Factor,K410+10)-INDEX(Factor,K410))/(INDEX(Degrees,K410+10)-INDEX(Degrees,K410))*(L410-INDEX(Degrees,K410))+INDEX(Factor,K410))</f>
        <v>0.78300000000000003</v>
      </c>
    </row>
    <row r="411" spans="11:13">
      <c r="K411" s="350">
        <f t="shared" si="7"/>
        <v>401</v>
      </c>
      <c r="L411" s="350">
        <v>358</v>
      </c>
      <c r="M411" s="350">
        <f>IFERROR(INDEX($Z$3:$Z$39,MATCH(L411,$Y$3:$Y$39,0)),(INDEX(Factor,K411+10)-INDEX(Factor,K411))/(INDEX(Degrees,K411+10)-INDEX(Degrees,K411))*(L411-INDEX(Degrees,K411))+INDEX(Factor,K411))</f>
        <v>0.78200000000000003</v>
      </c>
    </row>
    <row r="412" spans="11:13">
      <c r="K412" s="350">
        <f t="shared" si="7"/>
        <v>401</v>
      </c>
      <c r="L412" s="350">
        <v>359</v>
      </c>
      <c r="M412" s="350">
        <f>IFERROR(INDEX($Z$3:$Z$39,MATCH(L412,$Y$3:$Y$39,0)),(INDEX(Factor,K412+10)-INDEX(Factor,K412))/(INDEX(Degrees,K412+10)-INDEX(Degrees,K412))*(L412-INDEX(Degrees,K412))+INDEX(Factor,K412))</f>
        <v>0.78100000000000003</v>
      </c>
    </row>
    <row r="413" spans="11:13">
      <c r="K413" s="350">
        <f t="shared" si="7"/>
        <v>411</v>
      </c>
      <c r="L413" s="350">
        <v>360</v>
      </c>
      <c r="M413" s="350">
        <f>IFERROR(INDEX($Z$3:$Z$39,MATCH(L413,$Y$3:$Y$39,0)),(INDEX(Factor,K413+10)-INDEX(Factor,K413))/(INDEX(Degrees,K413+10)-0)*(L413-INDEX(Degrees,K413))+INDEX(Factor,K413))</f>
        <v>0.78</v>
      </c>
    </row>
    <row r="414" spans="11:13">
      <c r="K414" s="350">
        <f t="shared" si="7"/>
        <v>411</v>
      </c>
      <c r="L414" s="350">
        <v>1</v>
      </c>
      <c r="M414" s="517">
        <f>M54</f>
        <v>0.77800000000000002</v>
      </c>
    </row>
    <row r="415" spans="11:13">
      <c r="K415" s="350">
        <f t="shared" si="7"/>
        <v>411</v>
      </c>
      <c r="L415" s="350">
        <v>2</v>
      </c>
      <c r="M415" s="517">
        <f t="shared" ref="M415:M422" si="8">M55</f>
        <v>0.77600000000000002</v>
      </c>
    </row>
    <row r="416" spans="11:13">
      <c r="K416" s="350">
        <f t="shared" si="7"/>
        <v>411</v>
      </c>
      <c r="L416" s="350">
        <v>3</v>
      </c>
      <c r="M416" s="517">
        <f t="shared" si="8"/>
        <v>0.77400000000000002</v>
      </c>
    </row>
    <row r="417" spans="11:13">
      <c r="K417" s="350">
        <f t="shared" si="7"/>
        <v>411</v>
      </c>
      <c r="L417" s="350">
        <v>4</v>
      </c>
      <c r="M417" s="517">
        <f t="shared" si="8"/>
        <v>0.77200000000000002</v>
      </c>
    </row>
    <row r="418" spans="11:13">
      <c r="K418" s="350">
        <f t="shared" si="7"/>
        <v>411</v>
      </c>
      <c r="L418" s="350">
        <v>5</v>
      </c>
      <c r="M418" s="517">
        <f t="shared" si="8"/>
        <v>0.77</v>
      </c>
    </row>
    <row r="419" spans="11:13">
      <c r="K419" s="350">
        <f t="shared" si="7"/>
        <v>411</v>
      </c>
      <c r="L419" s="350">
        <v>6</v>
      </c>
      <c r="M419" s="517">
        <f t="shared" si="8"/>
        <v>0.76800000000000002</v>
      </c>
    </row>
    <row r="420" spans="11:13">
      <c r="K420" s="350">
        <f t="shared" si="7"/>
        <v>411</v>
      </c>
      <c r="L420" s="350">
        <v>7</v>
      </c>
      <c r="M420" s="517">
        <f t="shared" si="8"/>
        <v>0.76600000000000001</v>
      </c>
    </row>
    <row r="421" spans="11:13">
      <c r="K421" s="350">
        <f t="shared" si="7"/>
        <v>411</v>
      </c>
      <c r="L421" s="350">
        <v>8</v>
      </c>
      <c r="M421" s="517">
        <f t="shared" si="8"/>
        <v>0.76400000000000001</v>
      </c>
    </row>
    <row r="422" spans="11:13">
      <c r="K422" s="350">
        <f t="shared" si="7"/>
        <v>411</v>
      </c>
      <c r="L422" s="350">
        <v>9</v>
      </c>
      <c r="M422" s="517">
        <f t="shared" si="8"/>
        <v>0.76200000000000001</v>
      </c>
    </row>
    <row r="423" spans="11:13">
      <c r="K423" s="350">
        <f t="shared" si="7"/>
        <v>421</v>
      </c>
      <c r="L423" s="350">
        <v>10</v>
      </c>
      <c r="M423" s="350">
        <f>IFERROR(INDEX($Z$3:$Z$39,MATCH(L423,$Y$3:$Y$39,0)),(INDEX(Factor,K423+10)-INDEX(Factor,K423))/(INDEX(Degrees,K423+10)-INDEX(Degrees,K423))*(L423-INDEX(Degrees,K423))+INDEX(Factor,K423))</f>
        <v>0.76</v>
      </c>
    </row>
    <row r="424" spans="11:13">
      <c r="K424" s="350">
        <f t="shared" si="7"/>
        <v>421</v>
      </c>
      <c r="L424" s="350">
        <v>11</v>
      </c>
      <c r="M424" s="350">
        <f>IFERROR(INDEX($Z$3:$Z$39,MATCH(L424,$Y$3:$Y$39,0)),(INDEX(Factor,K424+10)-INDEX(Factor,K424))/(INDEX(Degrees,K424+10)-INDEX(Degrees,K424))*(L424-INDEX(Degrees,K424))+INDEX(Factor,K424))</f>
        <v>0.75800000000000001</v>
      </c>
    </row>
    <row r="425" spans="11:13">
      <c r="K425" s="350">
        <f t="shared" si="7"/>
        <v>421</v>
      </c>
      <c r="L425" s="350">
        <v>12</v>
      </c>
      <c r="M425" s="350">
        <f>IFERROR(INDEX($Z$3:$Z$39,MATCH(L425,$Y$3:$Y$39,0)),(INDEX(Factor,K425+10)-INDEX(Factor,K425))/(INDEX(Degrees,K425+10)-INDEX(Degrees,K425))*(L425-INDEX(Degrees,K425))+INDEX(Factor,K425))</f>
        <v>0.75600000000000001</v>
      </c>
    </row>
    <row r="426" spans="11:13">
      <c r="K426" s="350">
        <f t="shared" si="7"/>
        <v>421</v>
      </c>
      <c r="L426" s="350">
        <v>13</v>
      </c>
      <c r="M426" s="350">
        <f>IFERROR(INDEX($Z$3:$Z$39,MATCH(L426,$Y$3:$Y$39,0)),(INDEX(Factor,K426+10)-INDEX(Factor,K426))/(INDEX(Degrees,K426+10)-INDEX(Degrees,K426))*(L426-INDEX(Degrees,K426))+INDEX(Factor,K426))</f>
        <v>0.754</v>
      </c>
    </row>
    <row r="427" spans="11:13">
      <c r="K427" s="350">
        <f t="shared" si="7"/>
        <v>421</v>
      </c>
      <c r="L427" s="350">
        <v>14</v>
      </c>
      <c r="M427" s="350">
        <f>IFERROR(INDEX($Z$3:$Z$39,MATCH(L427,$Y$3:$Y$39,0)),(INDEX(Factor,K427+10)-INDEX(Factor,K427))/(INDEX(Degrees,K427+10)-INDEX(Degrees,K427))*(L427-INDEX(Degrees,K427))+INDEX(Factor,K427))</f>
        <v>0.752</v>
      </c>
    </row>
    <row r="428" spans="11:13">
      <c r="K428" s="350">
        <f t="shared" si="7"/>
        <v>421</v>
      </c>
      <c r="L428" s="350">
        <v>15</v>
      </c>
      <c r="M428" s="350">
        <f>IFERROR(INDEX($Z$3:$Z$39,MATCH(L428,$Y$3:$Y$39,0)),(INDEX(Factor,K428+10)-INDEX(Factor,K428))/(INDEX(Degrees,K428+10)-INDEX(Degrees,K428))*(L428-INDEX(Degrees,K428))+INDEX(Factor,K428))</f>
        <v>0.75</v>
      </c>
    </row>
    <row r="429" spans="11:13">
      <c r="K429" s="350">
        <f t="shared" si="7"/>
        <v>421</v>
      </c>
      <c r="L429" s="350">
        <v>16</v>
      </c>
      <c r="M429" s="350">
        <f>IFERROR(INDEX($Z$3:$Z$39,MATCH(L429,$Y$3:$Y$39,0)),(INDEX(Factor,K429+10)-INDEX(Factor,K429))/(INDEX(Degrees,K429+10)-INDEX(Degrees,K429))*(L429-INDEX(Degrees,K429))+INDEX(Factor,K429))</f>
        <v>0.748</v>
      </c>
    </row>
    <row r="430" spans="11:13">
      <c r="K430" s="350">
        <f t="shared" si="7"/>
        <v>421</v>
      </c>
      <c r="L430" s="350">
        <v>17</v>
      </c>
      <c r="M430" s="350">
        <f>IFERROR(INDEX($Z$3:$Z$39,MATCH(L430,$Y$3:$Y$39,0)),(INDEX(Factor,K430+10)-INDEX(Factor,K430))/(INDEX(Degrees,K430+10)-INDEX(Degrees,K430))*(L430-INDEX(Degrees,K430))+INDEX(Factor,K430))</f>
        <v>0.746</v>
      </c>
    </row>
    <row r="431" spans="11:13">
      <c r="K431" s="350">
        <f t="shared" si="7"/>
        <v>421</v>
      </c>
      <c r="L431" s="350">
        <v>18</v>
      </c>
      <c r="M431" s="350">
        <f>IFERROR(INDEX($Z$3:$Z$39,MATCH(L431,$Y$3:$Y$39,0)),(INDEX(Factor,K431+10)-INDEX(Factor,K431))/(INDEX(Degrees,K431+10)-INDEX(Degrees,K431))*(L431-INDEX(Degrees,K431))+INDEX(Factor,K431))</f>
        <v>0.74399999999999999</v>
      </c>
    </row>
    <row r="432" spans="11:13">
      <c r="K432" s="350">
        <f t="shared" si="7"/>
        <v>421</v>
      </c>
      <c r="L432" s="350">
        <v>19</v>
      </c>
      <c r="M432" s="350">
        <f>IFERROR(INDEX($Z$3:$Z$39,MATCH(L432,$Y$3:$Y$39,0)),(INDEX(Factor,K432+10)-INDEX(Factor,K432))/(INDEX(Degrees,K432+10)-INDEX(Degrees,K432))*(L432-INDEX(Degrees,K432))+INDEX(Factor,K432))</f>
        <v>0.74199999999999999</v>
      </c>
    </row>
    <row r="433" spans="11:13">
      <c r="K433" s="350">
        <f t="shared" si="7"/>
        <v>431</v>
      </c>
      <c r="L433" s="350">
        <v>20</v>
      </c>
      <c r="M433" s="350">
        <f>IFERROR(INDEX($Z$3:$Z$39,MATCH(L433,$Y$3:$Y$39,0)),(INDEX(Factor,K433+10)-INDEX(Factor,K433))/(INDEX(Degrees,K433+10)-INDEX(Degrees,K433))*(L433-INDEX(Degrees,K433))+INDEX(Factor,K433))</f>
        <v>0.74</v>
      </c>
    </row>
    <row r="434" spans="11:13">
      <c r="K434" s="350">
        <f t="shared" si="7"/>
        <v>431</v>
      </c>
      <c r="L434" s="350">
        <v>21</v>
      </c>
      <c r="M434" s="350">
        <f>IFERROR(INDEX($Z$3:$Z$39,MATCH(L434,$Y$3:$Y$39,0)),(INDEX(Factor,K434+10)-INDEX(Factor,K434))/(INDEX(Degrees,K434+10)-INDEX(Degrees,K434))*(L434-INDEX(Degrees,K434))+INDEX(Factor,K434))</f>
        <v>0.73899999999999999</v>
      </c>
    </row>
    <row r="435" spans="11:13">
      <c r="K435" s="350">
        <f t="shared" si="7"/>
        <v>431</v>
      </c>
      <c r="L435" s="350">
        <v>22</v>
      </c>
      <c r="M435" s="350">
        <f>IFERROR(INDEX($Z$3:$Z$39,MATCH(L435,$Y$3:$Y$39,0)),(INDEX(Factor,K435+10)-INDEX(Factor,K435))/(INDEX(Degrees,K435+10)-INDEX(Degrees,K435))*(L435-INDEX(Degrees,K435))+INDEX(Factor,K435))</f>
        <v>0.73799999999999999</v>
      </c>
    </row>
    <row r="436" spans="11:13">
      <c r="K436" s="350">
        <f t="shared" si="7"/>
        <v>431</v>
      </c>
      <c r="L436" s="350">
        <v>23</v>
      </c>
      <c r="M436" s="350">
        <f>IFERROR(INDEX($Z$3:$Z$39,MATCH(L436,$Y$3:$Y$39,0)),(INDEX(Factor,K436+10)-INDEX(Factor,K436))/(INDEX(Degrees,K436+10)-INDEX(Degrees,K436))*(L436-INDEX(Degrees,K436))+INDEX(Factor,K436))</f>
        <v>0.73699999999999999</v>
      </c>
    </row>
    <row r="437" spans="11:13">
      <c r="K437" s="350">
        <f t="shared" si="7"/>
        <v>431</v>
      </c>
      <c r="L437" s="350">
        <v>24</v>
      </c>
      <c r="M437" s="350">
        <f>IFERROR(INDEX($Z$3:$Z$39,MATCH(L437,$Y$3:$Y$39,0)),(INDEX(Factor,K437+10)-INDEX(Factor,K437))/(INDEX(Degrees,K437+10)-INDEX(Degrees,K437))*(L437-INDEX(Degrees,K437))+INDEX(Factor,K437))</f>
        <v>0.73599999999999999</v>
      </c>
    </row>
    <row r="438" spans="11:13">
      <c r="K438" s="350">
        <f t="shared" si="7"/>
        <v>431</v>
      </c>
      <c r="L438" s="350">
        <v>25</v>
      </c>
      <c r="M438" s="350">
        <f>IFERROR(INDEX($Z$3:$Z$39,MATCH(L438,$Y$3:$Y$39,0)),(INDEX(Factor,K438+10)-INDEX(Factor,K438))/(INDEX(Degrees,K438+10)-INDEX(Degrees,K438))*(L438-INDEX(Degrees,K438))+INDEX(Factor,K438))</f>
        <v>0.73499999999999999</v>
      </c>
    </row>
    <row r="439" spans="11:13">
      <c r="K439" s="350">
        <f t="shared" si="7"/>
        <v>431</v>
      </c>
      <c r="L439" s="350">
        <v>26</v>
      </c>
      <c r="M439" s="350">
        <f>IFERROR(INDEX($Z$3:$Z$39,MATCH(L439,$Y$3:$Y$39,0)),(INDEX(Factor,K439+10)-INDEX(Factor,K439))/(INDEX(Degrees,K439+10)-INDEX(Degrees,K439))*(L439-INDEX(Degrees,K439))+INDEX(Factor,K439))</f>
        <v>0.73399999999999999</v>
      </c>
    </row>
    <row r="440" spans="11:13">
      <c r="K440" s="350">
        <f t="shared" si="7"/>
        <v>431</v>
      </c>
      <c r="L440" s="350">
        <v>27</v>
      </c>
      <c r="M440" s="350">
        <f>IFERROR(INDEX($Z$3:$Z$39,MATCH(L440,$Y$3:$Y$39,0)),(INDEX(Factor,K440+10)-INDEX(Factor,K440))/(INDEX(Degrees,K440+10)-INDEX(Degrees,K440))*(L440-INDEX(Degrees,K440))+INDEX(Factor,K440))</f>
        <v>0.73299999999999998</v>
      </c>
    </row>
    <row r="441" spans="11:13">
      <c r="K441" s="350">
        <f t="shared" si="7"/>
        <v>431</v>
      </c>
      <c r="L441" s="350">
        <v>28</v>
      </c>
      <c r="M441" s="350">
        <f>IFERROR(INDEX($Z$3:$Z$39,MATCH(L441,$Y$3:$Y$39,0)),(INDEX(Factor,K441+10)-INDEX(Factor,K441))/(INDEX(Degrees,K441+10)-INDEX(Degrees,K441))*(L441-INDEX(Degrees,K441))+INDEX(Factor,K441))</f>
        <v>0.73199999999999998</v>
      </c>
    </row>
    <row r="442" spans="11:13">
      <c r="K442" s="350">
        <f t="shared" si="7"/>
        <v>431</v>
      </c>
      <c r="L442" s="350">
        <v>29</v>
      </c>
      <c r="M442" s="350">
        <f>IFERROR(INDEX($Z$3:$Z$39,MATCH(L442,$Y$3:$Y$39,0)),(INDEX(Factor,K442+10)-INDEX(Factor,K442))/(INDEX(Degrees,K442+10)-INDEX(Degrees,K442))*(L442-INDEX(Degrees,K442))+INDEX(Factor,K442))</f>
        <v>0.73099999999999998</v>
      </c>
    </row>
    <row r="443" spans="11:13">
      <c r="K443" s="350">
        <f t="shared" si="7"/>
        <v>441</v>
      </c>
      <c r="L443" s="350">
        <v>30</v>
      </c>
      <c r="M443" s="350">
        <f>IFERROR(INDEX($Z$3:$Z$39,MATCH(L443,$Y$3:$Y$39,0)),(INDEX(Factor,K443+10)-INDEX(Factor,K443))/(INDEX(Degrees,K443+10)-INDEX(Degrees,K443))*(L443-INDEX(Degrees,K443))+INDEX(Factor,K443))</f>
        <v>0.73</v>
      </c>
    </row>
    <row r="444" spans="11:13">
      <c r="K444" s="350">
        <f t="shared" si="7"/>
        <v>441</v>
      </c>
      <c r="L444" s="350">
        <v>31</v>
      </c>
      <c r="M444" s="350">
        <f>IFERROR(INDEX($Z$3:$Z$39,MATCH(L444,$Y$3:$Y$39,0)),(INDEX(Factor,K444+10)-INDEX(Factor,K444))/(INDEX(Degrees,K444+10)-INDEX(Degrees,K444))*(L444-INDEX(Degrees,K444))+INDEX(Factor,K444))</f>
        <v>0.73</v>
      </c>
    </row>
    <row r="445" spans="11:13">
      <c r="K445" s="350">
        <f t="shared" si="7"/>
        <v>441</v>
      </c>
      <c r="L445" s="350">
        <v>32</v>
      </c>
      <c r="M445" s="350">
        <f>IFERROR(INDEX($Z$3:$Z$39,MATCH(L445,$Y$3:$Y$39,0)),(INDEX(Factor,K445+10)-INDEX(Factor,K445))/(INDEX(Degrees,K445+10)-INDEX(Degrees,K445))*(L445-INDEX(Degrees,K445))+INDEX(Factor,K445))</f>
        <v>0.73</v>
      </c>
    </row>
    <row r="446" spans="11:13">
      <c r="K446" s="350">
        <f t="shared" si="7"/>
        <v>441</v>
      </c>
      <c r="L446" s="350">
        <v>33</v>
      </c>
      <c r="M446" s="350">
        <f>IFERROR(INDEX($Z$3:$Z$39,MATCH(L446,$Y$3:$Y$39,0)),(INDEX(Factor,K446+10)-INDEX(Factor,K446))/(INDEX(Degrees,K446+10)-INDEX(Degrees,K446))*(L446-INDEX(Degrees,K446))+INDEX(Factor,K446))</f>
        <v>0.73</v>
      </c>
    </row>
    <row r="447" spans="11:13">
      <c r="K447" s="350">
        <f t="shared" si="7"/>
        <v>441</v>
      </c>
      <c r="L447" s="350">
        <v>34</v>
      </c>
      <c r="M447" s="350">
        <f>IFERROR(INDEX($Z$3:$Z$39,MATCH(L447,$Y$3:$Y$39,0)),(INDEX(Factor,K447+10)-INDEX(Factor,K447))/(INDEX(Degrees,K447+10)-INDEX(Degrees,K447))*(L447-INDEX(Degrees,K447))+INDEX(Factor,K447))</f>
        <v>0.73</v>
      </c>
    </row>
    <row r="448" spans="11:13">
      <c r="K448" s="350">
        <f t="shared" si="7"/>
        <v>441</v>
      </c>
      <c r="L448" s="350">
        <v>35</v>
      </c>
      <c r="M448" s="350">
        <f>IFERROR(INDEX($Z$3:$Z$39,MATCH(L448,$Y$3:$Y$39,0)),(INDEX(Factor,K448+10)-INDEX(Factor,K448))/(INDEX(Degrees,K448+10)-INDEX(Degrees,K448))*(L448-INDEX(Degrees,K448))+INDEX(Factor,K448))</f>
        <v>0.73</v>
      </c>
    </row>
    <row r="449" spans="11:13">
      <c r="K449" s="350">
        <f t="shared" si="7"/>
        <v>441</v>
      </c>
      <c r="L449" s="350">
        <v>36</v>
      </c>
      <c r="M449" s="350">
        <f>IFERROR(INDEX($Z$3:$Z$39,MATCH(L449,$Y$3:$Y$39,0)),(INDEX(Factor,K449+10)-INDEX(Factor,K449))/(INDEX(Degrees,K449+10)-INDEX(Degrees,K449))*(L449-INDEX(Degrees,K449))+INDEX(Factor,K449))</f>
        <v>0.73</v>
      </c>
    </row>
    <row r="450" spans="11:13">
      <c r="K450" s="350">
        <f t="shared" si="7"/>
        <v>441</v>
      </c>
      <c r="L450" s="350">
        <v>37</v>
      </c>
      <c r="M450" s="350">
        <f>IFERROR(INDEX($Z$3:$Z$39,MATCH(L450,$Y$3:$Y$39,0)),(INDEX(Factor,K450+10)-INDEX(Factor,K450))/(INDEX(Degrees,K450+10)-INDEX(Degrees,K450))*(L450-INDEX(Degrees,K450))+INDEX(Factor,K450))</f>
        <v>0.73</v>
      </c>
    </row>
    <row r="451" spans="11:13">
      <c r="K451" s="350">
        <f t="shared" ref="K451:K462" si="9">ROUNDDOWN(ROW()-3,-1)+1</f>
        <v>441</v>
      </c>
      <c r="L451" s="350">
        <v>38</v>
      </c>
      <c r="M451" s="350">
        <f>IFERROR(INDEX($Z$3:$Z$39,MATCH(L451,$Y$3:$Y$39,0)),(INDEX(Factor,K451+10)-INDEX(Factor,K451))/(INDEX(Degrees,K451+10)-INDEX(Degrees,K451))*(L451-INDEX(Degrees,K451))+INDEX(Factor,K451))</f>
        <v>0.73</v>
      </c>
    </row>
    <row r="452" spans="11:13">
      <c r="K452" s="350">
        <f t="shared" si="9"/>
        <v>441</v>
      </c>
      <c r="L452" s="350">
        <v>39</v>
      </c>
      <c r="M452" s="350">
        <f>IFERROR(INDEX($Z$3:$Z$39,MATCH(L452,$Y$3:$Y$39,0)),(INDEX(Factor,K452+10)-INDEX(Factor,K452))/(INDEX(Degrees,K452+10)-INDEX(Degrees,K452))*(L452-INDEX(Degrees,K452))+INDEX(Factor,K452))</f>
        <v>0.73</v>
      </c>
    </row>
    <row r="453" spans="11:13">
      <c r="K453" s="350">
        <f t="shared" si="9"/>
        <v>451</v>
      </c>
      <c r="L453" s="350">
        <v>40</v>
      </c>
      <c r="M453" s="350">
        <f>IFERROR(INDEX($Z$3:$Z$39,MATCH(L453,$Y$3:$Y$39,0)),(INDEX(Factor,K453+10)-INDEX(Factor,K453))/(INDEX(Degrees,K453+10)-INDEX(Degrees,K453))*(L453-INDEX(Degrees,K453))+INDEX(Factor,K453))</f>
        <v>0.73</v>
      </c>
    </row>
    <row r="454" spans="11:13">
      <c r="K454" s="350">
        <f t="shared" si="9"/>
        <v>451</v>
      </c>
      <c r="L454" s="350">
        <v>41</v>
      </c>
      <c r="M454" s="350">
        <f>IFERROR(INDEX($Z$3:$Z$39,MATCH(L454,$Y$3:$Y$39,0)),(INDEX(Factor,K454+10)-INDEX(Factor,K454))/(INDEX(Degrees,K454+10)-INDEX(Degrees,K454))*(L454-INDEX(Degrees,K454))+INDEX(Factor,K454))</f>
        <v>0.73</v>
      </c>
    </row>
    <row r="455" spans="11:13">
      <c r="K455" s="350">
        <f t="shared" si="9"/>
        <v>451</v>
      </c>
      <c r="L455" s="350">
        <v>42</v>
      </c>
      <c r="M455" s="350">
        <f>IFERROR(INDEX($Z$3:$Z$39,MATCH(L455,$Y$3:$Y$39,0)),(INDEX(Factor,K455+10)-INDEX(Factor,K455))/(INDEX(Degrees,K455+10)-INDEX(Degrees,K455))*(L455-INDEX(Degrees,K455))+INDEX(Factor,K455))</f>
        <v>0.73</v>
      </c>
    </row>
    <row r="456" spans="11:13">
      <c r="K456" s="350">
        <f t="shared" si="9"/>
        <v>451</v>
      </c>
      <c r="L456" s="350">
        <v>43</v>
      </c>
      <c r="M456" s="350">
        <f>IFERROR(INDEX($Z$3:$Z$39,MATCH(L456,$Y$3:$Y$39,0)),(INDEX(Factor,K456+10)-INDEX(Factor,K456))/(INDEX(Degrees,K456+10)-INDEX(Degrees,K456))*(L456-INDEX(Degrees,K456))+INDEX(Factor,K456))</f>
        <v>0.73</v>
      </c>
    </row>
    <row r="457" spans="11:13">
      <c r="K457" s="350">
        <f t="shared" si="9"/>
        <v>451</v>
      </c>
      <c r="L457" s="350">
        <v>44</v>
      </c>
      <c r="M457" s="350">
        <f>IFERROR(INDEX($Z$3:$Z$39,MATCH(L457,$Y$3:$Y$39,0)),(INDEX(Factor,K457+10)-INDEX(Factor,K457))/(INDEX(Degrees,K457+10)-INDEX(Degrees,K457))*(L457-INDEX(Degrees,K457))+INDEX(Factor,K457))</f>
        <v>0.73</v>
      </c>
    </row>
    <row r="458" spans="11:13">
      <c r="K458" s="350">
        <f t="shared" si="9"/>
        <v>451</v>
      </c>
      <c r="L458" s="350">
        <v>45</v>
      </c>
      <c r="M458" s="350">
        <f>IFERROR(INDEX($Z$3:$Z$39,MATCH(L458,$Y$3:$Y$39,0)),(INDEX(Factor,K458+10)-INDEX(Factor,K458))/(INDEX(Degrees,K458+10)-INDEX(Degrees,K458))*(L458-INDEX(Degrees,K458))+INDEX(Factor,K458))</f>
        <v>0.73</v>
      </c>
    </row>
    <row r="459" spans="11:13">
      <c r="K459" s="350">
        <f t="shared" si="9"/>
        <v>451</v>
      </c>
      <c r="L459" s="350">
        <v>46</v>
      </c>
      <c r="M459" s="350">
        <f>IFERROR(INDEX($Z$3:$Z$39,MATCH(L459,$Y$3:$Y$39,0)),(INDEX(Factor,K459+10)-INDEX(Factor,K459))/(INDEX(Degrees,K459+10)-INDEX(Degrees,K459))*(L459-INDEX(Degrees,K459))+INDEX(Factor,K459))</f>
        <v>0.73</v>
      </c>
    </row>
    <row r="460" spans="11:13">
      <c r="K460" s="350">
        <f t="shared" si="9"/>
        <v>451</v>
      </c>
      <c r="L460" s="350">
        <v>47</v>
      </c>
      <c r="M460" s="350">
        <f>IFERROR(INDEX($Z$3:$Z$39,MATCH(L460,$Y$3:$Y$39,0)),(INDEX(Factor,K460+10)-INDEX(Factor,K460))/(INDEX(Degrees,K460+10)-INDEX(Degrees,K460))*(L460-INDEX(Degrees,K460))+INDEX(Factor,K460))</f>
        <v>0.73</v>
      </c>
    </row>
    <row r="461" spans="11:13">
      <c r="K461" s="350">
        <f t="shared" si="9"/>
        <v>451</v>
      </c>
      <c r="L461" s="350">
        <v>48</v>
      </c>
      <c r="M461" s="350">
        <f>IFERROR(INDEX($Z$3:$Z$39,MATCH(L461,$Y$3:$Y$39,0)),(INDEX(Factor,K461+10)-INDEX(Factor,K461))/(INDEX(Degrees,K461+10)-INDEX(Degrees,K461))*(L461-INDEX(Degrees,K461))+INDEX(Factor,K461))</f>
        <v>0.73</v>
      </c>
    </row>
    <row r="462" spans="11:13">
      <c r="K462" s="350">
        <f t="shared" si="9"/>
        <v>451</v>
      </c>
      <c r="L462" s="350">
        <v>49</v>
      </c>
      <c r="M462" s="350">
        <f>IFERROR(INDEX($Z$3:$Z$39,MATCH(L462,$Y$3:$Y$39,0)),(INDEX(Factor,K462+10)-INDEX(Factor,K462))/(INDEX(Degrees,K462+10)-INDEX(Degrees,K462))*(L462-INDEX(Degrees,K462))+INDEX(Factor,K462))</f>
        <v>0.73</v>
      </c>
    </row>
    <row r="463" spans="11:13">
      <c r="K463" s="350">
        <v>461</v>
      </c>
      <c r="L463" s="350">
        <v>50</v>
      </c>
      <c r="M463" s="350">
        <f>IFERROR(INDEX($Z$3:$Z$39,MATCH(L463,$Y$3:$Y$39,0)),(INDEX(Factor,K463+10)-INDEX(Factor,K463))/(INDEX(Degrees,K463+10)-INDEX(Degrees,K463))*(L463-INDEX(Degrees,K463))+INDEX(Factor,K463))</f>
        <v>0.73</v>
      </c>
    </row>
  </sheetData>
  <sheetProtection password="CD8C" sheet="1" objects="1" scenarios="1"/>
  <customSheetViews>
    <customSheetView guid="{6C52B67B-3021-4890-8879-9905AB467CFE}" hiddenColumns="1">
      <selection activeCell="AB18" sqref="AB18:AB19"/>
      <pageMargins left="0.7" right="0.7" top="0.75" bottom="0.75" header="0.3" footer="0.3"/>
      <pageSetup paperSize="9" orientation="portrait" verticalDpi="0" r:id="rId1"/>
    </customSheetView>
  </customSheetViews>
  <mergeCells count="2">
    <mergeCell ref="P24:Q24"/>
    <mergeCell ref="K1:M1"/>
  </mergeCells>
  <pageMargins left="0.7" right="0.7" top="0.74803149606299202" bottom="0.75" header="0.3" footer="0.3"/>
  <pageSetup paperSize="9" scale="74"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AV69"/>
  <sheetViews>
    <sheetView showGridLines="0" topLeftCell="A7" zoomScaleNormal="100" zoomScaleSheetLayoutView="75" workbookViewId="0">
      <selection activeCell="G9" sqref="G9:N9"/>
    </sheetView>
  </sheetViews>
  <sheetFormatPr defaultRowHeight="15" customHeight="1"/>
  <cols>
    <col min="1" max="1" width="2.5703125" style="13" customWidth="1"/>
    <col min="2" max="2" width="2" style="13" customWidth="1"/>
    <col min="3" max="3" width="6.140625" style="13" customWidth="1"/>
    <col min="4" max="27" width="4.7109375" style="13" customWidth="1"/>
    <col min="28" max="28" width="2" style="13" customWidth="1"/>
    <col min="29" max="29" width="2.5703125" style="13" customWidth="1"/>
    <col min="30" max="35" width="9.140625" style="136" hidden="1" customWidth="1"/>
    <col min="36" max="36" width="9.140625" style="252" hidden="1" customWidth="1"/>
    <col min="37" max="37" width="9.140625" style="136" hidden="1" customWidth="1"/>
    <col min="38" max="46" width="9.140625" style="247" hidden="1" customWidth="1"/>
    <col min="47" max="47" width="9.140625" style="247" customWidth="1"/>
    <col min="48" max="48" width="9.140625" style="247"/>
    <col min="49" max="16384" width="9.140625" style="136"/>
  </cols>
  <sheetData>
    <row r="1" spans="1:48" ht="15" customHeight="1">
      <c r="A1" s="133"/>
      <c r="B1" s="769" t="s">
        <v>486</v>
      </c>
      <c r="C1" s="769"/>
      <c r="D1" s="769"/>
      <c r="E1" s="769"/>
      <c r="F1" s="769"/>
      <c r="G1" s="769"/>
      <c r="H1" s="769"/>
      <c r="I1" s="769"/>
      <c r="J1" s="769"/>
      <c r="K1" s="769"/>
      <c r="L1" s="769"/>
      <c r="M1" s="769"/>
      <c r="N1" s="769"/>
      <c r="O1" s="769"/>
      <c r="P1" s="769"/>
      <c r="Q1" s="769"/>
      <c r="R1" s="769"/>
      <c r="S1" s="770" t="s">
        <v>487</v>
      </c>
      <c r="T1" s="770"/>
      <c r="U1" s="770"/>
      <c r="V1" s="770"/>
      <c r="W1" s="770"/>
      <c r="X1" s="770"/>
      <c r="Y1" s="770"/>
      <c r="Z1" s="770"/>
      <c r="AA1" s="770"/>
      <c r="AB1" s="770"/>
      <c r="AD1" s="43"/>
      <c r="AE1" s="43"/>
      <c r="AF1" s="43"/>
      <c r="AG1" s="43"/>
      <c r="AH1" s="43"/>
      <c r="AI1" s="43"/>
      <c r="AJ1" s="45"/>
      <c r="AK1" s="43"/>
      <c r="AL1" s="154"/>
      <c r="AM1" s="154"/>
      <c r="AN1" s="154"/>
      <c r="AO1" s="154"/>
      <c r="AP1" s="154"/>
      <c r="AQ1" s="154"/>
      <c r="AR1" s="154"/>
      <c r="AS1" s="154"/>
      <c r="AT1" s="154"/>
      <c r="AU1" s="154"/>
      <c r="AV1" s="154"/>
    </row>
    <row r="2" spans="1:48" ht="29.25" customHeight="1" thickBot="1">
      <c r="A2" s="133"/>
      <c r="AD2" s="43"/>
      <c r="AE2" s="43"/>
      <c r="AF2" s="43"/>
      <c r="AG2" s="43"/>
      <c r="AH2" s="43"/>
      <c r="AI2" s="43"/>
      <c r="AJ2" s="45" t="b">
        <f>AND(5&lt;=M17,M17&lt;=30)</f>
        <v>1</v>
      </c>
      <c r="AK2" s="43"/>
      <c r="AL2" s="154"/>
      <c r="AM2" s="154"/>
      <c r="AN2" s="154"/>
      <c r="AO2" s="154"/>
      <c r="AP2" s="154"/>
      <c r="AQ2" s="154"/>
      <c r="AR2" s="154"/>
      <c r="AS2" s="154"/>
      <c r="AT2" s="154"/>
      <c r="AU2" s="154"/>
      <c r="AV2" s="154"/>
    </row>
    <row r="3" spans="1:48" ht="19.5" customHeight="1" thickBot="1">
      <c r="A3" s="133"/>
      <c r="AD3" s="43"/>
      <c r="AE3" s="43"/>
      <c r="AF3" s="43"/>
      <c r="AG3" s="43"/>
      <c r="AH3" s="270">
        <f>MATCH(AJ3,AJ4:AJ10,0)</f>
        <v>5</v>
      </c>
      <c r="AI3" s="235" t="s">
        <v>127</v>
      </c>
      <c r="AJ3" s="270">
        <f>CEILING(MIN(30,MAX(5,M17)),5)</f>
        <v>20</v>
      </c>
      <c r="AK3" s="236">
        <f>MATCH(G11,AL4:AL6,0)</f>
        <v>3</v>
      </c>
      <c r="AL3" s="237" t="s">
        <v>170</v>
      </c>
      <c r="AM3" s="238"/>
      <c r="AN3" s="154"/>
      <c r="AO3" s="154"/>
      <c r="AP3" s="154"/>
      <c r="AQ3" s="154"/>
      <c r="AR3" s="154"/>
      <c r="AS3" s="154"/>
      <c r="AT3" s="154"/>
      <c r="AU3" s="154"/>
      <c r="AV3" s="154"/>
    </row>
    <row r="4" spans="1:48" ht="19.5" customHeight="1">
      <c r="A4" s="133"/>
      <c r="AD4" s="43"/>
      <c r="AE4" s="43"/>
      <c r="AF4" s="43"/>
      <c r="AG4" s="43"/>
      <c r="AH4" s="204">
        <v>1</v>
      </c>
      <c r="AI4" s="186" t="s">
        <v>161</v>
      </c>
      <c r="AJ4" s="98">
        <v>0</v>
      </c>
      <c r="AK4" s="186">
        <v>1</v>
      </c>
      <c r="AL4" s="237" t="s">
        <v>171</v>
      </c>
      <c r="AM4" s="238"/>
      <c r="AN4" s="154"/>
      <c r="AO4" s="154"/>
      <c r="AP4" s="154"/>
      <c r="AQ4" s="154"/>
      <c r="AR4" s="154"/>
      <c r="AS4" s="154"/>
      <c r="AT4" s="154"/>
      <c r="AU4" s="154"/>
      <c r="AV4" s="154"/>
    </row>
    <row r="5" spans="1:48" ht="19.5" customHeight="1">
      <c r="A5" s="133"/>
      <c r="AD5" s="43"/>
      <c r="AE5" s="43"/>
      <c r="AF5" s="43"/>
      <c r="AG5" s="43"/>
      <c r="AH5" s="186">
        <v>2</v>
      </c>
      <c r="AI5" s="186" t="s">
        <v>162</v>
      </c>
      <c r="AJ5" s="98">
        <v>5</v>
      </c>
      <c r="AK5" s="186">
        <v>2</v>
      </c>
      <c r="AL5" s="237" t="s">
        <v>464</v>
      </c>
      <c r="AM5" s="238"/>
      <c r="AN5" s="154"/>
      <c r="AO5" s="154"/>
      <c r="AP5" s="154"/>
      <c r="AQ5" s="154"/>
      <c r="AR5" s="154"/>
      <c r="AS5" s="154"/>
      <c r="AT5" s="154"/>
      <c r="AU5" s="154"/>
      <c r="AV5" s="154"/>
    </row>
    <row r="6" spans="1:48" ht="17.100000000000001" customHeight="1">
      <c r="A6" s="133"/>
      <c r="B6" s="119"/>
      <c r="C6" s="23"/>
      <c r="D6" s="23"/>
      <c r="E6" s="23"/>
      <c r="F6" s="23"/>
      <c r="G6" s="23"/>
      <c r="H6" s="23"/>
      <c r="I6" s="23"/>
      <c r="J6" s="23"/>
      <c r="K6" s="23"/>
      <c r="L6" s="23"/>
      <c r="M6" s="23"/>
      <c r="N6" s="23"/>
      <c r="O6" s="23"/>
      <c r="P6" s="23"/>
      <c r="Q6" s="23"/>
      <c r="R6" s="23"/>
      <c r="S6" s="23"/>
      <c r="T6" s="23"/>
      <c r="U6" s="23"/>
      <c r="V6" s="23"/>
      <c r="W6" s="23"/>
      <c r="X6" s="23"/>
      <c r="Y6" s="23"/>
      <c r="Z6" s="23"/>
      <c r="AA6" s="23"/>
      <c r="AB6" s="120"/>
      <c r="AD6" s="43"/>
      <c r="AE6" s="43"/>
      <c r="AF6" s="43"/>
      <c r="AG6" s="43"/>
      <c r="AH6" s="186">
        <v>3</v>
      </c>
      <c r="AI6" s="186" t="s">
        <v>163</v>
      </c>
      <c r="AJ6" s="98">
        <v>10</v>
      </c>
      <c r="AK6" s="186">
        <v>3</v>
      </c>
      <c r="AL6" s="237" t="s">
        <v>465</v>
      </c>
      <c r="AM6" s="238"/>
      <c r="AN6" s="154"/>
      <c r="AO6" s="154"/>
      <c r="AP6" s="154"/>
      <c r="AQ6" s="154"/>
      <c r="AR6" s="154"/>
      <c r="AS6" s="154"/>
      <c r="AT6" s="154"/>
      <c r="AU6" s="154"/>
      <c r="AV6" s="154"/>
    </row>
    <row r="7" spans="1:48" ht="17.100000000000001" customHeight="1">
      <c r="B7" s="119"/>
      <c r="C7" s="23"/>
      <c r="D7" s="23"/>
      <c r="E7" s="23"/>
      <c r="F7" s="23"/>
      <c r="G7" s="23"/>
      <c r="H7" s="23"/>
      <c r="I7" s="23"/>
      <c r="J7" s="23"/>
      <c r="K7" s="23"/>
      <c r="L7" s="23"/>
      <c r="M7" s="23"/>
      <c r="N7" s="23"/>
      <c r="O7" s="23"/>
      <c r="P7" s="23"/>
      <c r="Q7" s="23"/>
      <c r="R7" s="23"/>
      <c r="S7" s="23"/>
      <c r="T7" s="23"/>
      <c r="U7" s="23"/>
      <c r="V7" s="23"/>
      <c r="W7" s="23"/>
      <c r="X7" s="23"/>
      <c r="Y7" s="23"/>
      <c r="Z7" s="23"/>
      <c r="AA7" s="23"/>
      <c r="AB7" s="120"/>
      <c r="AD7" s="43"/>
      <c r="AE7" s="43"/>
      <c r="AF7" s="43"/>
      <c r="AG7" s="43"/>
      <c r="AH7" s="186">
        <v>4</v>
      </c>
      <c r="AI7" s="186" t="s">
        <v>164</v>
      </c>
      <c r="AJ7" s="98">
        <v>15</v>
      </c>
      <c r="AK7" s="43"/>
      <c r="AL7" s="154"/>
      <c r="AM7" s="154"/>
      <c r="AN7" s="154"/>
      <c r="AO7" s="154"/>
      <c r="AP7" s="154"/>
      <c r="AQ7" s="154"/>
      <c r="AR7" s="154"/>
      <c r="AS7" s="154"/>
      <c r="AT7" s="154"/>
      <c r="AU7" s="154"/>
      <c r="AV7" s="154"/>
    </row>
    <row r="8" spans="1:48" ht="17.100000000000001" customHeight="1">
      <c r="B8" s="119"/>
      <c r="C8" s="573" t="s">
        <v>348</v>
      </c>
      <c r="D8" s="574"/>
      <c r="E8" s="574"/>
      <c r="F8" s="574"/>
      <c r="G8" s="574"/>
      <c r="H8" s="574"/>
      <c r="I8" s="574"/>
      <c r="J8" s="574"/>
      <c r="K8" s="574"/>
      <c r="L8" s="574"/>
      <c r="M8" s="574"/>
      <c r="N8" s="575"/>
      <c r="O8" s="23"/>
      <c r="P8" s="573" t="s">
        <v>380</v>
      </c>
      <c r="Q8" s="574"/>
      <c r="R8" s="574"/>
      <c r="S8" s="574"/>
      <c r="T8" s="574"/>
      <c r="U8" s="574"/>
      <c r="V8" s="574"/>
      <c r="W8" s="574"/>
      <c r="X8" s="574"/>
      <c r="Y8" s="574"/>
      <c r="Z8" s="574"/>
      <c r="AA8" s="575"/>
      <c r="AB8" s="120"/>
      <c r="AD8" s="13" t="s">
        <v>579</v>
      </c>
      <c r="AE8" s="398" t="str">
        <f>G9</f>
        <v>Hipped roofs</v>
      </c>
      <c r="AF8" s="199" t="s">
        <v>554</v>
      </c>
      <c r="AG8" s="43"/>
      <c r="AH8" s="186">
        <v>5</v>
      </c>
      <c r="AI8" s="186" t="s">
        <v>165</v>
      </c>
      <c r="AJ8" s="98">
        <v>20</v>
      </c>
      <c r="AK8" s="43" t="str">
        <f>"Roof width b = "&amp;FIXED(M13,2)&amp;"m"</f>
        <v>Roof width b = 80.00m</v>
      </c>
      <c r="AL8" s="154"/>
      <c r="AM8" s="154"/>
      <c r="AN8" s="154"/>
      <c r="AO8" s="154"/>
      <c r="AP8" s="154"/>
      <c r="AQ8" s="154"/>
      <c r="AR8" s="154"/>
      <c r="AS8" s="154"/>
      <c r="AT8" s="154"/>
      <c r="AU8" s="154"/>
      <c r="AV8" s="154"/>
    </row>
    <row r="9" spans="1:48" ht="17.100000000000001" customHeight="1">
      <c r="B9" s="119"/>
      <c r="C9" s="690" t="s">
        <v>370</v>
      </c>
      <c r="D9" s="691"/>
      <c r="E9" s="691"/>
      <c r="F9" s="691"/>
      <c r="G9" s="637" t="s">
        <v>575</v>
      </c>
      <c r="H9" s="637"/>
      <c r="I9" s="637"/>
      <c r="J9" s="637"/>
      <c r="K9" s="637"/>
      <c r="L9" s="637"/>
      <c r="M9" s="637"/>
      <c r="N9" s="638"/>
      <c r="O9" s="23"/>
      <c r="P9" s="809" t="s">
        <v>385</v>
      </c>
      <c r="Q9" s="810"/>
      <c r="R9" s="955" t="s">
        <v>76</v>
      </c>
      <c r="S9" s="955"/>
      <c r="T9" s="955" t="s">
        <v>77</v>
      </c>
      <c r="U9" s="955"/>
      <c r="V9" s="955" t="s">
        <v>80</v>
      </c>
      <c r="W9" s="955"/>
      <c r="X9" s="954" t="s">
        <v>462</v>
      </c>
      <c r="Y9" s="810"/>
      <c r="Z9" s="810"/>
      <c r="AA9" s="428"/>
      <c r="AB9" s="120"/>
      <c r="AD9" s="13" t="s">
        <v>580</v>
      </c>
      <c r="AE9" s="400" t="s">
        <v>353</v>
      </c>
      <c r="AF9" s="199"/>
      <c r="AG9" s="43"/>
      <c r="AH9" s="186">
        <v>6</v>
      </c>
      <c r="AI9" s="186" t="s">
        <v>166</v>
      </c>
      <c r="AJ9" s="98">
        <v>25</v>
      </c>
      <c r="AK9" s="43"/>
      <c r="AL9" s="154"/>
      <c r="AM9" s="154"/>
      <c r="AN9" s="154"/>
      <c r="AO9" s="154"/>
      <c r="AP9" s="154"/>
      <c r="AQ9" s="154"/>
      <c r="AR9" s="154"/>
      <c r="AS9" s="154"/>
      <c r="AT9" s="154"/>
      <c r="AU9" s="154"/>
      <c r="AV9" s="154"/>
    </row>
    <row r="10" spans="1:48" ht="17.100000000000001" customHeight="1">
      <c r="B10" s="119"/>
      <c r="C10" s="696" t="s">
        <v>356</v>
      </c>
      <c r="D10" s="697"/>
      <c r="E10" s="697"/>
      <c r="F10" s="697"/>
      <c r="G10" s="639" t="s">
        <v>357</v>
      </c>
      <c r="H10" s="639"/>
      <c r="I10" s="639"/>
      <c r="J10" s="639"/>
      <c r="K10" s="639"/>
      <c r="L10" s="639"/>
      <c r="M10" s="639"/>
      <c r="N10" s="640"/>
      <c r="O10" s="23"/>
      <c r="P10" s="752" t="s">
        <v>444</v>
      </c>
      <c r="Q10" s="753"/>
      <c r="R10" s="711">
        <f>F32</f>
        <v>2.2949999999999999</v>
      </c>
      <c r="S10" s="711"/>
      <c r="T10" s="711">
        <f>H32</f>
        <v>3.915</v>
      </c>
      <c r="U10" s="711"/>
      <c r="V10" s="711">
        <f>J32</f>
        <v>2.8350000000000004</v>
      </c>
      <c r="W10" s="711"/>
      <c r="X10" s="974" t="s">
        <v>471</v>
      </c>
      <c r="Y10" s="975"/>
      <c r="Z10" s="968">
        <f>M32</f>
        <v>4320</v>
      </c>
      <c r="AA10" s="969"/>
      <c r="AB10" s="120"/>
      <c r="AD10" s="13" t="s">
        <v>581</v>
      </c>
      <c r="AE10" s="398" t="str">
        <f>G10</f>
        <v>Smooth (e.g. smooth concrete, steel)</v>
      </c>
      <c r="AF10" s="199" t="s">
        <v>556</v>
      </c>
      <c r="AG10" s="43"/>
      <c r="AH10" s="186">
        <v>7</v>
      </c>
      <c r="AI10" s="186" t="s">
        <v>167</v>
      </c>
      <c r="AJ10" s="98">
        <v>30</v>
      </c>
      <c r="AK10" s="43"/>
      <c r="AL10" s="154"/>
      <c r="AM10" s="154"/>
      <c r="AN10" s="154"/>
      <c r="AO10" s="154"/>
      <c r="AP10" s="154"/>
      <c r="AQ10" s="271">
        <v>7</v>
      </c>
      <c r="AR10" s="271">
        <v>8</v>
      </c>
      <c r="AS10" s="271">
        <v>9</v>
      </c>
      <c r="AT10" s="271">
        <v>10</v>
      </c>
      <c r="AU10" s="154"/>
      <c r="AV10" s="154"/>
    </row>
    <row r="11" spans="1:48" ht="17.100000000000001" customHeight="1">
      <c r="B11" s="119"/>
      <c r="C11" s="696" t="s">
        <v>478</v>
      </c>
      <c r="D11" s="697"/>
      <c r="E11" s="697"/>
      <c r="F11" s="697"/>
      <c r="G11" s="639" t="s">
        <v>465</v>
      </c>
      <c r="H11" s="639"/>
      <c r="I11" s="639"/>
      <c r="J11" s="639"/>
      <c r="K11" s="639"/>
      <c r="L11" s="639"/>
      <c r="M11" s="639"/>
      <c r="N11" s="640"/>
      <c r="O11" s="23"/>
      <c r="P11" s="754" t="s">
        <v>443</v>
      </c>
      <c r="Q11" s="755"/>
      <c r="R11" s="768">
        <f>F33</f>
        <v>-2.5650000000000004</v>
      </c>
      <c r="S11" s="768"/>
      <c r="T11" s="768">
        <f>H33</f>
        <v>-3.8474999999999997</v>
      </c>
      <c r="U11" s="768"/>
      <c r="V11" s="768">
        <f>J33</f>
        <v>-3.9825000000000004</v>
      </c>
      <c r="W11" s="768"/>
      <c r="X11" s="966" t="s">
        <v>471</v>
      </c>
      <c r="Y11" s="967"/>
      <c r="Z11" s="970">
        <f>M33</f>
        <v>-7290.0000000000009</v>
      </c>
      <c r="AA11" s="971"/>
      <c r="AB11" s="120"/>
      <c r="AD11" s="13" t="s">
        <v>537</v>
      </c>
      <c r="AE11" s="399">
        <f>1.35</f>
        <v>1.35</v>
      </c>
      <c r="AF11" s="199">
        <v>1.35</v>
      </c>
      <c r="AG11" s="43"/>
      <c r="AH11" s="43"/>
      <c r="AI11" s="43"/>
      <c r="AJ11" s="45"/>
      <c r="AK11" s="43"/>
      <c r="AL11" s="154"/>
      <c r="AM11" s="154"/>
      <c r="AN11" s="154"/>
      <c r="AO11" s="154"/>
      <c r="AP11" s="154"/>
      <c r="AQ11" s="154"/>
      <c r="AR11" s="154"/>
      <c r="AS11" s="154"/>
      <c r="AT11" s="154"/>
      <c r="AU11" s="154"/>
      <c r="AV11" s="239"/>
    </row>
    <row r="12" spans="1:48" ht="17.100000000000001" customHeight="1">
      <c r="B12" s="119"/>
      <c r="C12" s="714" t="s">
        <v>347</v>
      </c>
      <c r="D12" s="715"/>
      <c r="E12" s="715"/>
      <c r="F12" s="715"/>
      <c r="G12" s="715"/>
      <c r="H12" s="715"/>
      <c r="I12" s="715"/>
      <c r="J12" s="715"/>
      <c r="K12" s="715"/>
      <c r="L12" s="715"/>
      <c r="M12" s="688">
        <v>1.35</v>
      </c>
      <c r="N12" s="689"/>
      <c r="O12" s="23"/>
      <c r="P12" s="869" t="s">
        <v>472</v>
      </c>
      <c r="Q12" s="784"/>
      <c r="R12" s="784"/>
      <c r="S12" s="784"/>
      <c r="T12" s="784"/>
      <c r="U12" s="784"/>
      <c r="V12" s="784"/>
      <c r="W12" s="784"/>
      <c r="X12" s="784"/>
      <c r="Y12" s="784"/>
      <c r="Z12" s="784"/>
      <c r="AA12" s="784"/>
      <c r="AB12" s="120"/>
      <c r="AD12" s="13" t="s">
        <v>555</v>
      </c>
      <c r="AE12" s="399">
        <f>M13</f>
        <v>80</v>
      </c>
      <c r="AF12" s="199" t="s">
        <v>559</v>
      </c>
      <c r="AG12" s="43"/>
      <c r="AH12" s="834" t="s">
        <v>237</v>
      </c>
      <c r="AI12" s="254"/>
      <c r="AJ12" s="254"/>
      <c r="AK12" s="255"/>
      <c r="AL12" s="959" t="s">
        <v>177</v>
      </c>
      <c r="AM12" s="959"/>
      <c r="AN12" s="959"/>
      <c r="AO12" s="960"/>
      <c r="AP12" s="154"/>
      <c r="AQ12" s="958" t="s">
        <v>178</v>
      </c>
      <c r="AR12" s="959"/>
      <c r="AS12" s="959"/>
      <c r="AT12" s="960"/>
      <c r="AU12" s="154"/>
      <c r="AV12" s="154"/>
    </row>
    <row r="13" spans="1:48" ht="17.100000000000001" customHeight="1">
      <c r="B13" s="119"/>
      <c r="C13" s="714" t="s">
        <v>448</v>
      </c>
      <c r="D13" s="715"/>
      <c r="E13" s="715"/>
      <c r="F13" s="715"/>
      <c r="G13" s="715"/>
      <c r="H13" s="715"/>
      <c r="I13" s="715"/>
      <c r="J13" s="715"/>
      <c r="K13" s="715"/>
      <c r="L13" s="715"/>
      <c r="M13" s="653">
        <v>80</v>
      </c>
      <c r="N13" s="654"/>
      <c r="O13" s="23"/>
      <c r="P13" s="23"/>
      <c r="Q13" s="23"/>
      <c r="R13" s="23"/>
      <c r="S13" s="23"/>
      <c r="T13" s="23"/>
      <c r="U13" s="23"/>
      <c r="V13" s="23"/>
      <c r="W13" s="23"/>
      <c r="X13" s="23"/>
      <c r="Y13" s="23"/>
      <c r="Z13" s="23"/>
      <c r="AA13" s="23"/>
      <c r="AB13" s="120"/>
      <c r="AD13" s="13" t="s">
        <v>540</v>
      </c>
      <c r="AE13" s="399">
        <f>M14</f>
        <v>50</v>
      </c>
      <c r="AF13" s="199" t="s">
        <v>560</v>
      </c>
      <c r="AG13" s="43"/>
      <c r="AH13" s="961"/>
      <c r="AI13" s="183" t="s">
        <v>160</v>
      </c>
      <c r="AJ13" s="183" t="s">
        <v>172</v>
      </c>
      <c r="AK13" s="183" t="s">
        <v>174</v>
      </c>
      <c r="AL13" s="72" t="s">
        <v>173</v>
      </c>
      <c r="AM13" s="72" t="s">
        <v>76</v>
      </c>
      <c r="AN13" s="72" t="s">
        <v>77</v>
      </c>
      <c r="AO13" s="257" t="s">
        <v>80</v>
      </c>
      <c r="AP13" s="98"/>
      <c r="AQ13" s="258" t="s">
        <v>173</v>
      </c>
      <c r="AR13" s="72" t="s">
        <v>76</v>
      </c>
      <c r="AS13" s="72" t="s">
        <v>77</v>
      </c>
      <c r="AT13" s="257" t="s">
        <v>80</v>
      </c>
      <c r="AU13" s="98"/>
      <c r="AV13" s="98"/>
    </row>
    <row r="14" spans="1:48" ht="17.100000000000001" customHeight="1">
      <c r="B14" s="119"/>
      <c r="C14" s="714" t="s">
        <v>447</v>
      </c>
      <c r="D14" s="715"/>
      <c r="E14" s="715"/>
      <c r="F14" s="715"/>
      <c r="G14" s="715"/>
      <c r="H14" s="715"/>
      <c r="I14" s="715"/>
      <c r="J14" s="715"/>
      <c r="K14" s="715"/>
      <c r="L14" s="715"/>
      <c r="M14" s="653">
        <v>50</v>
      </c>
      <c r="N14" s="654"/>
      <c r="O14" s="23"/>
      <c r="P14" s="23"/>
      <c r="Q14" s="23"/>
      <c r="R14" s="23"/>
      <c r="S14" s="23"/>
      <c r="T14" s="23"/>
      <c r="U14" s="23"/>
      <c r="V14" s="23"/>
      <c r="W14" s="23"/>
      <c r="X14" s="23"/>
      <c r="Y14" s="23"/>
      <c r="Z14" s="23"/>
      <c r="AA14" s="23"/>
      <c r="AB14" s="120"/>
      <c r="AD14" s="13" t="s">
        <v>539</v>
      </c>
      <c r="AE14" s="399">
        <f>82</f>
        <v>82</v>
      </c>
      <c r="AF14" s="199">
        <v>82</v>
      </c>
      <c r="AG14" s="43"/>
      <c r="AH14" s="961"/>
      <c r="AI14" s="183" t="b">
        <f>AND($AH$3=1)</f>
        <v>0</v>
      </c>
      <c r="AJ14" s="183" t="b">
        <v>1</v>
      </c>
      <c r="AK14" s="183" t="b">
        <f>AND(AI14=TRUE,AJ14=TRUE)</f>
        <v>0</v>
      </c>
      <c r="AL14" s="72">
        <v>0.2</v>
      </c>
      <c r="AM14" s="72">
        <v>0.5</v>
      </c>
      <c r="AN14" s="72">
        <v>1.8</v>
      </c>
      <c r="AO14" s="257">
        <v>1.1000000000000001</v>
      </c>
      <c r="AP14" s="98"/>
      <c r="AQ14" s="258">
        <f t="shared" ref="AQ14:AQ20" si="0">1.35*$M$13*$M$14*AL14</f>
        <v>1080</v>
      </c>
      <c r="AR14" s="72">
        <f t="shared" ref="AR14:AT20" si="1">1.35*AM14</f>
        <v>0.67500000000000004</v>
      </c>
      <c r="AS14" s="72">
        <f t="shared" si="1"/>
        <v>2.4300000000000002</v>
      </c>
      <c r="AT14" s="257">
        <f t="shared" si="1"/>
        <v>1.4850000000000003</v>
      </c>
      <c r="AU14" s="98"/>
      <c r="AV14" s="154"/>
    </row>
    <row r="15" spans="1:48" ht="17.100000000000001" customHeight="1">
      <c r="B15" s="119"/>
      <c r="C15" s="714" t="s">
        <v>449</v>
      </c>
      <c r="D15" s="715"/>
      <c r="E15" s="715"/>
      <c r="F15" s="715"/>
      <c r="G15" s="715"/>
      <c r="H15" s="715"/>
      <c r="I15" s="715"/>
      <c r="J15" s="715"/>
      <c r="K15" s="715"/>
      <c r="L15" s="715"/>
      <c r="M15" s="688">
        <v>81.8</v>
      </c>
      <c r="N15" s="689"/>
      <c r="O15" s="23"/>
      <c r="P15" s="23"/>
      <c r="Q15" s="23"/>
      <c r="R15" s="23"/>
      <c r="S15" s="23"/>
      <c r="T15" s="23"/>
      <c r="U15" s="23"/>
      <c r="V15" s="23"/>
      <c r="W15" s="23"/>
      <c r="X15" s="23"/>
      <c r="Y15" s="23"/>
      <c r="Z15" s="23"/>
      <c r="AA15" s="23"/>
      <c r="AB15" s="120"/>
      <c r="AD15" s="13" t="s">
        <v>538</v>
      </c>
      <c r="AE15" s="403">
        <v>70</v>
      </c>
      <c r="AF15" s="199"/>
      <c r="AG15" s="43"/>
      <c r="AH15" s="961"/>
      <c r="AI15" s="183" t="b">
        <f>AND($AH$3=2)</f>
        <v>0</v>
      </c>
      <c r="AJ15" s="183" t="b">
        <v>1</v>
      </c>
      <c r="AK15" s="183" t="b">
        <f t="shared" ref="AK15:AK20" si="2">AND(AI15=TRUE,AJ15=TRUE)</f>
        <v>0</v>
      </c>
      <c r="AL15" s="72">
        <v>0.4</v>
      </c>
      <c r="AM15" s="72">
        <v>0.8</v>
      </c>
      <c r="AN15" s="72">
        <v>2.1</v>
      </c>
      <c r="AO15" s="257">
        <v>1.3</v>
      </c>
      <c r="AP15" s="98"/>
      <c r="AQ15" s="258">
        <f t="shared" si="0"/>
        <v>2160</v>
      </c>
      <c r="AR15" s="72">
        <f t="shared" si="1"/>
        <v>1.08</v>
      </c>
      <c r="AS15" s="72">
        <f t="shared" si="1"/>
        <v>2.8350000000000004</v>
      </c>
      <c r="AT15" s="257">
        <f t="shared" si="1"/>
        <v>1.7550000000000001</v>
      </c>
      <c r="AU15" s="98"/>
      <c r="AV15" s="154"/>
    </row>
    <row r="16" spans="1:48" ht="17.100000000000001" customHeight="1">
      <c r="B16" s="119"/>
      <c r="C16" s="714" t="s">
        <v>483</v>
      </c>
      <c r="D16" s="715"/>
      <c r="E16" s="715"/>
      <c r="F16" s="715"/>
      <c r="G16" s="715"/>
      <c r="H16" s="715"/>
      <c r="I16" s="715"/>
      <c r="J16" s="715"/>
      <c r="K16" s="715"/>
      <c r="L16" s="715"/>
      <c r="M16" s="653">
        <v>0.5</v>
      </c>
      <c r="N16" s="654"/>
      <c r="O16" s="23"/>
      <c r="P16" s="23"/>
      <c r="Q16" s="23"/>
      <c r="R16" s="23"/>
      <c r="S16" s="23"/>
      <c r="T16" s="23"/>
      <c r="U16" s="23"/>
      <c r="V16" s="23"/>
      <c r="W16" s="23"/>
      <c r="X16" s="23"/>
      <c r="Y16" s="23"/>
      <c r="Z16" s="23"/>
      <c r="AA16" s="23"/>
      <c r="AB16" s="120"/>
      <c r="AD16" s="13" t="s">
        <v>582</v>
      </c>
      <c r="AE16" s="400" t="s">
        <v>299</v>
      </c>
      <c r="AF16" s="199"/>
      <c r="AG16" s="43"/>
      <c r="AH16" s="961"/>
      <c r="AI16" s="183" t="b">
        <f>AND($AH$3=3)</f>
        <v>0</v>
      </c>
      <c r="AJ16" s="183" t="b">
        <v>1</v>
      </c>
      <c r="AK16" s="183" t="b">
        <f t="shared" si="2"/>
        <v>0</v>
      </c>
      <c r="AL16" s="72">
        <v>0.5</v>
      </c>
      <c r="AM16" s="72">
        <v>1.2</v>
      </c>
      <c r="AN16" s="72">
        <v>2.4</v>
      </c>
      <c r="AO16" s="257">
        <v>1.6</v>
      </c>
      <c r="AP16" s="98"/>
      <c r="AQ16" s="258">
        <f t="shared" si="0"/>
        <v>2700</v>
      </c>
      <c r="AR16" s="72">
        <f t="shared" si="1"/>
        <v>1.62</v>
      </c>
      <c r="AS16" s="72">
        <f t="shared" si="1"/>
        <v>3.24</v>
      </c>
      <c r="AT16" s="257">
        <f t="shared" si="1"/>
        <v>2.16</v>
      </c>
      <c r="AU16" s="98"/>
      <c r="AV16" s="154"/>
    </row>
    <row r="17" spans="1:48" ht="17.100000000000001" customHeight="1">
      <c r="B17" s="119"/>
      <c r="C17" s="739" t="s">
        <v>484</v>
      </c>
      <c r="D17" s="740"/>
      <c r="E17" s="740"/>
      <c r="F17" s="740"/>
      <c r="G17" s="740"/>
      <c r="H17" s="740"/>
      <c r="I17" s="740"/>
      <c r="J17" s="740"/>
      <c r="K17" s="740"/>
      <c r="L17" s="740"/>
      <c r="M17" s="832">
        <v>20</v>
      </c>
      <c r="N17" s="833"/>
      <c r="O17" s="23"/>
      <c r="P17" s="23"/>
      <c r="Q17" s="23"/>
      <c r="R17" s="23"/>
      <c r="S17" s="23"/>
      <c r="T17" s="23"/>
      <c r="U17" s="23"/>
      <c r="V17" s="23"/>
      <c r="W17" s="23"/>
      <c r="X17" s="23"/>
      <c r="Y17" s="23"/>
      <c r="Z17" s="23"/>
      <c r="AA17" s="23"/>
      <c r="AB17" s="120"/>
      <c r="AD17" s="13" t="s">
        <v>541</v>
      </c>
      <c r="AE17" s="403">
        <v>15</v>
      </c>
      <c r="AF17" s="199"/>
      <c r="AG17" s="43"/>
      <c r="AH17" s="961"/>
      <c r="AI17" s="183" t="b">
        <f>AND($AH$3=4)</f>
        <v>0</v>
      </c>
      <c r="AJ17" s="183" t="b">
        <v>1</v>
      </c>
      <c r="AK17" s="183" t="b">
        <f t="shared" si="2"/>
        <v>0</v>
      </c>
      <c r="AL17" s="72">
        <v>0.7</v>
      </c>
      <c r="AM17" s="72">
        <v>1.4</v>
      </c>
      <c r="AN17" s="72">
        <v>2.7</v>
      </c>
      <c r="AO17" s="257">
        <v>1.8</v>
      </c>
      <c r="AP17" s="98"/>
      <c r="AQ17" s="258">
        <f t="shared" si="0"/>
        <v>3779.9999999999995</v>
      </c>
      <c r="AR17" s="72">
        <f t="shared" si="1"/>
        <v>1.89</v>
      </c>
      <c r="AS17" s="72">
        <f t="shared" si="1"/>
        <v>3.6450000000000005</v>
      </c>
      <c r="AT17" s="257">
        <f t="shared" si="1"/>
        <v>2.4300000000000002</v>
      </c>
      <c r="AU17" s="98"/>
      <c r="AV17" s="154"/>
    </row>
    <row r="18" spans="1:48" ht="17.100000000000001" customHeight="1">
      <c r="B18" s="119"/>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120"/>
      <c r="AD18" s="13" t="s">
        <v>542</v>
      </c>
      <c r="AE18" s="403">
        <v>10</v>
      </c>
      <c r="AF18" s="199"/>
      <c r="AG18" s="43"/>
      <c r="AH18" s="961"/>
      <c r="AI18" s="183" t="b">
        <f>AND($AH$3=5)</f>
        <v>1</v>
      </c>
      <c r="AJ18" s="183" t="b">
        <v>1</v>
      </c>
      <c r="AK18" s="183" t="b">
        <f t="shared" si="2"/>
        <v>1</v>
      </c>
      <c r="AL18" s="72">
        <v>0.8</v>
      </c>
      <c r="AM18" s="72">
        <v>1.7</v>
      </c>
      <c r="AN18" s="72">
        <v>2.9</v>
      </c>
      <c r="AO18" s="257">
        <v>2.1</v>
      </c>
      <c r="AP18" s="98"/>
      <c r="AQ18" s="258">
        <f t="shared" si="0"/>
        <v>4320</v>
      </c>
      <c r="AR18" s="72">
        <f t="shared" si="1"/>
        <v>2.2949999999999999</v>
      </c>
      <c r="AS18" s="72">
        <f t="shared" si="1"/>
        <v>3.915</v>
      </c>
      <c r="AT18" s="257">
        <f t="shared" si="1"/>
        <v>2.8350000000000004</v>
      </c>
      <c r="AU18" s="98"/>
      <c r="AV18" s="154"/>
    </row>
    <row r="19" spans="1:48" s="252" customFormat="1" ht="17.100000000000001" customHeight="1">
      <c r="A19" s="13"/>
      <c r="B19" s="119"/>
      <c r="C19" s="427"/>
      <c r="D19" s="574" t="s">
        <v>391</v>
      </c>
      <c r="E19" s="574"/>
      <c r="F19" s="574"/>
      <c r="G19" s="574"/>
      <c r="H19" s="574"/>
      <c r="I19" s="574"/>
      <c r="J19" s="574"/>
      <c r="K19" s="574"/>
      <c r="L19" s="574"/>
      <c r="M19" s="574"/>
      <c r="N19" s="195" t="s">
        <v>288</v>
      </c>
      <c r="O19" s="23"/>
      <c r="P19" s="23"/>
      <c r="Q19" s="23"/>
      <c r="R19" s="23"/>
      <c r="S19" s="23"/>
      <c r="T19" s="23"/>
      <c r="U19" s="23"/>
      <c r="V19" s="23"/>
      <c r="W19" s="23"/>
      <c r="X19" s="23"/>
      <c r="Y19" s="23"/>
      <c r="Z19" s="23"/>
      <c r="AA19" s="23"/>
      <c r="AB19" s="120"/>
      <c r="AC19" s="13"/>
      <c r="AD19" s="13" t="s">
        <v>543</v>
      </c>
      <c r="AE19" s="403">
        <v>0.2</v>
      </c>
      <c r="AF19" s="199"/>
      <c r="AG19" s="45"/>
      <c r="AH19" s="961"/>
      <c r="AI19" s="183" t="b">
        <f>AND($AH$3=6)</f>
        <v>0</v>
      </c>
      <c r="AJ19" s="183" t="b">
        <v>1</v>
      </c>
      <c r="AK19" s="183" t="b">
        <f t="shared" si="2"/>
        <v>0</v>
      </c>
      <c r="AL19" s="72">
        <v>1</v>
      </c>
      <c r="AM19" s="72">
        <v>2</v>
      </c>
      <c r="AN19" s="72">
        <v>3.1</v>
      </c>
      <c r="AO19" s="257">
        <v>2.2999999999999998</v>
      </c>
      <c r="AP19" s="98"/>
      <c r="AQ19" s="258">
        <f t="shared" si="0"/>
        <v>5400</v>
      </c>
      <c r="AR19" s="72">
        <f t="shared" si="1"/>
        <v>2.7</v>
      </c>
      <c r="AS19" s="72">
        <f t="shared" si="1"/>
        <v>4.1850000000000005</v>
      </c>
      <c r="AT19" s="257">
        <f t="shared" si="1"/>
        <v>3.105</v>
      </c>
      <c r="AU19" s="98"/>
      <c r="AV19" s="45"/>
    </row>
    <row r="20" spans="1:48" s="252" customFormat="1" ht="17.100000000000001" customHeight="1">
      <c r="A20" s="13"/>
      <c r="B20" s="119"/>
      <c r="C20" s="714" t="s">
        <v>445</v>
      </c>
      <c r="D20" s="715"/>
      <c r="E20" s="715"/>
      <c r="F20" s="715"/>
      <c r="G20" s="715"/>
      <c r="H20" s="715"/>
      <c r="I20" s="715"/>
      <c r="J20" s="715"/>
      <c r="K20" s="715"/>
      <c r="L20" s="715"/>
      <c r="M20" s="964">
        <f>+input!$Z$26</f>
        <v>0.01</v>
      </c>
      <c r="N20" s="965"/>
      <c r="O20" s="23"/>
      <c r="P20" s="23"/>
      <c r="Q20" s="23"/>
      <c r="R20" s="23"/>
      <c r="S20" s="23"/>
      <c r="T20" s="23"/>
      <c r="U20" s="23"/>
      <c r="V20" s="23"/>
      <c r="W20" s="23"/>
      <c r="X20" s="23"/>
      <c r="Y20" s="23"/>
      <c r="Z20" s="23"/>
      <c r="AA20" s="23"/>
      <c r="AB20" s="120"/>
      <c r="AC20" s="13"/>
      <c r="AD20" s="13" t="s">
        <v>544</v>
      </c>
      <c r="AE20" s="403">
        <v>-0.3</v>
      </c>
      <c r="AF20" s="199"/>
      <c r="AG20" s="45"/>
      <c r="AH20" s="790"/>
      <c r="AI20" s="185" t="b">
        <f>AND($AH$3=7)</f>
        <v>0</v>
      </c>
      <c r="AJ20" s="185" t="b">
        <v>1</v>
      </c>
      <c r="AK20" s="185" t="b">
        <f t="shared" si="2"/>
        <v>0</v>
      </c>
      <c r="AL20" s="260">
        <v>1.2</v>
      </c>
      <c r="AM20" s="260">
        <v>2.2000000000000002</v>
      </c>
      <c r="AN20" s="260">
        <v>3.2</v>
      </c>
      <c r="AO20" s="261">
        <v>2.4</v>
      </c>
      <c r="AP20" s="98"/>
      <c r="AQ20" s="262">
        <f t="shared" si="0"/>
        <v>6480</v>
      </c>
      <c r="AR20" s="260">
        <f t="shared" si="1"/>
        <v>2.9700000000000006</v>
      </c>
      <c r="AS20" s="260">
        <f t="shared" si="1"/>
        <v>4.32</v>
      </c>
      <c r="AT20" s="261">
        <f t="shared" si="1"/>
        <v>3.24</v>
      </c>
      <c r="AU20" s="98"/>
      <c r="AV20" s="45"/>
    </row>
    <row r="21" spans="1:48" s="252" customFormat="1" ht="17.100000000000001" customHeight="1">
      <c r="A21" s="13"/>
      <c r="B21" s="119"/>
      <c r="C21" s="714" t="s">
        <v>389</v>
      </c>
      <c r="D21" s="715"/>
      <c r="E21" s="715"/>
      <c r="F21" s="715"/>
      <c r="G21" s="715"/>
      <c r="H21" s="715"/>
      <c r="I21" s="715"/>
      <c r="J21" s="715"/>
      <c r="K21" s="715"/>
      <c r="L21" s="715"/>
      <c r="M21" s="550">
        <f>2*M13*M14/COS(AJ3*3.14/180)</f>
        <v>8512.8740097645041</v>
      </c>
      <c r="N21" s="551"/>
      <c r="O21" s="23"/>
      <c r="P21" s="23"/>
      <c r="Q21" s="23"/>
      <c r="R21" s="23"/>
      <c r="S21" s="23"/>
      <c r="T21" s="23"/>
      <c r="U21" s="23"/>
      <c r="V21" s="23"/>
      <c r="W21" s="23"/>
      <c r="X21" s="23"/>
      <c r="Y21" s="23"/>
      <c r="Z21" s="23"/>
      <c r="AA21" s="23"/>
      <c r="AB21" s="120"/>
      <c r="AC21" s="13"/>
      <c r="AD21" s="13" t="s">
        <v>583</v>
      </c>
      <c r="AE21" s="403" t="s">
        <v>95</v>
      </c>
      <c r="AF21" s="199"/>
      <c r="AG21" s="45"/>
      <c r="AH21" s="45"/>
      <c r="AI21" s="45"/>
      <c r="AJ21" s="45"/>
      <c r="AK21" s="45"/>
      <c r="AL21" s="98"/>
      <c r="AM21" s="98"/>
      <c r="AN21" s="98"/>
      <c r="AO21" s="98"/>
      <c r="AP21" s="98"/>
      <c r="AQ21" s="98"/>
      <c r="AR21" s="98"/>
      <c r="AS21" s="98"/>
      <c r="AT21" s="98"/>
      <c r="AU21" s="98"/>
      <c r="AV21" s="98"/>
    </row>
    <row r="22" spans="1:48" s="252" customFormat="1" ht="17.100000000000001" customHeight="1">
      <c r="A22" s="13"/>
      <c r="B22" s="119"/>
      <c r="C22" s="739" t="s">
        <v>390</v>
      </c>
      <c r="D22" s="740"/>
      <c r="E22" s="740"/>
      <c r="F22" s="740"/>
      <c r="G22" s="740"/>
      <c r="H22" s="740"/>
      <c r="I22" s="740"/>
      <c r="J22" s="740"/>
      <c r="K22" s="740"/>
      <c r="L22" s="740"/>
      <c r="M22" s="587">
        <f>1.35*M20*M21</f>
        <v>114.92379913182081</v>
      </c>
      <c r="N22" s="588"/>
      <c r="O22" s="23"/>
      <c r="P22" s="23"/>
      <c r="Q22" s="23"/>
      <c r="R22" s="23"/>
      <c r="S22" s="23"/>
      <c r="T22" s="23"/>
      <c r="U22" s="23"/>
      <c r="V22" s="23"/>
      <c r="W22" s="23"/>
      <c r="X22" s="23"/>
      <c r="Y22" s="23"/>
      <c r="Z22" s="23"/>
      <c r="AA22" s="23"/>
      <c r="AB22" s="120"/>
      <c r="AC22" s="13"/>
      <c r="AD22" s="13" t="s">
        <v>545</v>
      </c>
      <c r="AE22" s="403">
        <v>5</v>
      </c>
      <c r="AF22" s="199"/>
      <c r="AG22" s="45"/>
      <c r="AH22" s="45"/>
      <c r="AI22" s="45"/>
      <c r="AJ22" s="45"/>
      <c r="AK22" s="45"/>
      <c r="AL22" s="98"/>
      <c r="AM22" s="98"/>
      <c r="AN22" s="98"/>
      <c r="AO22" s="98"/>
      <c r="AP22" s="98"/>
      <c r="AQ22" s="98"/>
      <c r="AR22" s="98"/>
      <c r="AS22" s="98"/>
      <c r="AT22" s="98"/>
      <c r="AU22" s="98"/>
      <c r="AV22" s="98"/>
    </row>
    <row r="23" spans="1:48" s="252" customFormat="1" ht="17.100000000000001" customHeight="1">
      <c r="A23" s="13"/>
      <c r="B23" s="119"/>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120"/>
      <c r="AC23" s="13"/>
      <c r="AD23" s="13" t="s">
        <v>546</v>
      </c>
      <c r="AE23" s="403">
        <v>0</v>
      </c>
      <c r="AF23" s="199"/>
      <c r="AG23" s="45"/>
      <c r="AH23" s="834" t="s">
        <v>238</v>
      </c>
      <c r="AI23" s="254"/>
      <c r="AJ23" s="254"/>
      <c r="AK23" s="255"/>
      <c r="AL23" s="272" t="s">
        <v>177</v>
      </c>
      <c r="AM23" s="272"/>
      <c r="AN23" s="272"/>
      <c r="AO23" s="272"/>
      <c r="AP23" s="263"/>
      <c r="AQ23" s="958" t="s">
        <v>178</v>
      </c>
      <c r="AR23" s="959"/>
      <c r="AS23" s="959"/>
      <c r="AT23" s="960"/>
      <c r="AU23" s="98"/>
      <c r="AV23" s="98"/>
    </row>
    <row r="24" spans="1:48" s="252" customFormat="1" ht="17.100000000000001" customHeight="1">
      <c r="A24" s="13"/>
      <c r="B24" s="119"/>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120"/>
      <c r="AC24" s="13"/>
      <c r="AD24" s="13" t="s">
        <v>547</v>
      </c>
      <c r="AE24" s="403">
        <v>1</v>
      </c>
      <c r="AF24" s="199"/>
      <c r="AG24" s="45"/>
      <c r="AH24" s="961"/>
      <c r="AI24" s="183" t="s">
        <v>160</v>
      </c>
      <c r="AJ24" s="183" t="s">
        <v>172</v>
      </c>
      <c r="AK24" s="183" t="s">
        <v>174</v>
      </c>
      <c r="AL24" s="72" t="s">
        <v>173</v>
      </c>
      <c r="AM24" s="72" t="s">
        <v>76</v>
      </c>
      <c r="AN24" s="72" t="s">
        <v>77</v>
      </c>
      <c r="AO24" s="72" t="s">
        <v>80</v>
      </c>
      <c r="AP24" s="257"/>
      <c r="AQ24" s="258" t="s">
        <v>173</v>
      </c>
      <c r="AR24" s="72" t="s">
        <v>76</v>
      </c>
      <c r="AS24" s="72" t="s">
        <v>77</v>
      </c>
      <c r="AT24" s="257" t="s">
        <v>80</v>
      </c>
      <c r="AU24" s="98"/>
      <c r="AV24" s="98"/>
    </row>
    <row r="25" spans="1:48" s="252" customFormat="1" ht="17.100000000000001" customHeight="1">
      <c r="A25" s="13"/>
      <c r="B25" s="119"/>
      <c r="C25" s="573" t="s">
        <v>461</v>
      </c>
      <c r="D25" s="574"/>
      <c r="E25" s="574"/>
      <c r="F25" s="574"/>
      <c r="G25" s="574"/>
      <c r="H25" s="574"/>
      <c r="I25" s="574"/>
      <c r="J25" s="574"/>
      <c r="K25" s="574"/>
      <c r="L25" s="574"/>
      <c r="M25" s="574"/>
      <c r="N25" s="575"/>
      <c r="O25" s="23"/>
      <c r="P25" s="23"/>
      <c r="Q25" s="23"/>
      <c r="R25" s="23"/>
      <c r="S25" s="23"/>
      <c r="T25" s="23"/>
      <c r="U25" s="23"/>
      <c r="V25" s="23"/>
      <c r="W25" s="23"/>
      <c r="X25" s="23"/>
      <c r="Y25" s="23"/>
      <c r="Z25" s="23"/>
      <c r="AA25" s="23"/>
      <c r="AB25" s="120"/>
      <c r="AC25" s="13"/>
      <c r="AD25" s="210" t="s">
        <v>584</v>
      </c>
      <c r="AE25" s="403" t="s">
        <v>115</v>
      </c>
      <c r="AF25" s="199"/>
      <c r="AG25" s="45"/>
      <c r="AH25" s="961"/>
      <c r="AI25" s="183" t="b">
        <f>AND($AH$3=1)</f>
        <v>0</v>
      </c>
      <c r="AJ25" s="183" t="b">
        <f>AND($AK$3=1)</f>
        <v>0</v>
      </c>
      <c r="AK25" s="183" t="b">
        <f>AND(AI25=TRUE,AJ25=TRUE)</f>
        <v>0</v>
      </c>
      <c r="AL25" s="72">
        <v>-0.5</v>
      </c>
      <c r="AM25" s="72">
        <v>-0.6</v>
      </c>
      <c r="AN25" s="72">
        <v>-1.3</v>
      </c>
      <c r="AO25" s="72">
        <v>-1.4</v>
      </c>
      <c r="AP25" s="962" t="s">
        <v>175</v>
      </c>
      <c r="AQ25" s="258">
        <f t="shared" ref="AQ25:AQ45" si="3">1.35*$M$13*$M$14*AL25</f>
        <v>-2700</v>
      </c>
      <c r="AR25" s="72">
        <f t="shared" ref="AR25:AR45" si="4">1.35*AM25</f>
        <v>-0.81</v>
      </c>
      <c r="AS25" s="72">
        <f t="shared" ref="AS25:AS45" si="5">1.35*AN25</f>
        <v>-1.7550000000000001</v>
      </c>
      <c r="AT25" s="257">
        <f t="shared" ref="AT25:AT45" si="6">1.35*AO25</f>
        <v>-1.89</v>
      </c>
      <c r="AU25" s="98"/>
      <c r="AV25" s="98"/>
    </row>
    <row r="26" spans="1:48" s="252" customFormat="1" ht="17.100000000000001" customHeight="1">
      <c r="A26" s="13"/>
      <c r="B26" s="119"/>
      <c r="C26" s="870" t="s">
        <v>385</v>
      </c>
      <c r="D26" s="871"/>
      <c r="E26" s="871"/>
      <c r="F26" s="955" t="s">
        <v>76</v>
      </c>
      <c r="G26" s="955"/>
      <c r="H26" s="955" t="s">
        <v>77</v>
      </c>
      <c r="I26" s="955"/>
      <c r="J26" s="955" t="s">
        <v>80</v>
      </c>
      <c r="K26" s="955"/>
      <c r="L26" s="956" t="s">
        <v>462</v>
      </c>
      <c r="M26" s="955"/>
      <c r="N26" s="957"/>
      <c r="O26" s="23"/>
      <c r="P26" s="23"/>
      <c r="Q26" s="23"/>
      <c r="R26" s="23"/>
      <c r="S26" s="23"/>
      <c r="T26" s="23"/>
      <c r="U26" s="23"/>
      <c r="V26" s="23"/>
      <c r="W26" s="23"/>
      <c r="X26" s="23"/>
      <c r="Y26" s="23"/>
      <c r="Z26" s="23"/>
      <c r="AA26" s="23"/>
      <c r="AB26" s="120"/>
      <c r="AC26" s="13"/>
      <c r="AD26" s="210" t="s">
        <v>548</v>
      </c>
      <c r="AE26" s="403">
        <v>1</v>
      </c>
      <c r="AF26" s="199"/>
      <c r="AG26" s="45"/>
      <c r="AH26" s="961"/>
      <c r="AI26" s="183" t="b">
        <f>AND($AH$3=2)</f>
        <v>0</v>
      </c>
      <c r="AJ26" s="183" t="b">
        <f t="shared" ref="AJ26:AJ31" si="7">AND($AK$3=1)</f>
        <v>0</v>
      </c>
      <c r="AK26" s="183" t="b">
        <f t="shared" ref="AK26:AK31" si="8">AND(AI26=TRUE,AJ26=TRUE)</f>
        <v>0</v>
      </c>
      <c r="AL26" s="72">
        <v>-0.7</v>
      </c>
      <c r="AM26" s="72">
        <v>-1.1000000000000001</v>
      </c>
      <c r="AN26" s="72">
        <v>-1.7</v>
      </c>
      <c r="AO26" s="72">
        <v>-1.8</v>
      </c>
      <c r="AP26" s="962"/>
      <c r="AQ26" s="258">
        <f t="shared" si="3"/>
        <v>-3779.9999999999995</v>
      </c>
      <c r="AR26" s="72">
        <f t="shared" si="4"/>
        <v>-1.4850000000000003</v>
      </c>
      <c r="AS26" s="72">
        <f t="shared" si="5"/>
        <v>-2.2949999999999999</v>
      </c>
      <c r="AT26" s="257">
        <f t="shared" si="6"/>
        <v>-2.4300000000000002</v>
      </c>
      <c r="AU26" s="98"/>
      <c r="AV26" s="98"/>
    </row>
    <row r="27" spans="1:48" s="252" customFormat="1" ht="17.100000000000001" customHeight="1">
      <c r="A27" s="13"/>
      <c r="B27" s="119"/>
      <c r="C27" s="718" t="s">
        <v>437</v>
      </c>
      <c r="D27" s="719"/>
      <c r="E27" s="719"/>
      <c r="F27" s="711">
        <f>VLOOKUP(TRUE,AK14:AT20,3,FALSE)</f>
        <v>1.7</v>
      </c>
      <c r="G27" s="711"/>
      <c r="H27" s="711">
        <f>VLOOKUP(TRUE,AK14:AT20,4,FALSE)</f>
        <v>2.9</v>
      </c>
      <c r="I27" s="711"/>
      <c r="J27" s="711">
        <f>VLOOKUP(TRUE,AK14:AT20,5,FALSE)</f>
        <v>2.1</v>
      </c>
      <c r="K27" s="711"/>
      <c r="L27" s="189" t="s">
        <v>463</v>
      </c>
      <c r="M27" s="711">
        <f>VLOOKUP(TRUE,AK14:AT20,2,FALSE)</f>
        <v>0.8</v>
      </c>
      <c r="N27" s="712"/>
      <c r="O27" s="23"/>
      <c r="P27" s="23"/>
      <c r="Q27" s="23"/>
      <c r="R27" s="23"/>
      <c r="S27" s="23"/>
      <c r="T27" s="23"/>
      <c r="U27" s="23"/>
      <c r="V27" s="23"/>
      <c r="W27" s="23"/>
      <c r="X27" s="23"/>
      <c r="Y27" s="23"/>
      <c r="Z27" s="23"/>
      <c r="AA27" s="23"/>
      <c r="AB27" s="120"/>
      <c r="AC27" s="13"/>
      <c r="AD27" s="210" t="s">
        <v>549</v>
      </c>
      <c r="AE27" s="403">
        <v>2</v>
      </c>
      <c r="AF27" s="199"/>
      <c r="AG27" s="45"/>
      <c r="AH27" s="961"/>
      <c r="AI27" s="183" t="b">
        <f>AND($AH$3=3)</f>
        <v>0</v>
      </c>
      <c r="AJ27" s="183" t="b">
        <f t="shared" si="7"/>
        <v>0</v>
      </c>
      <c r="AK27" s="183" t="b">
        <f t="shared" si="8"/>
        <v>0</v>
      </c>
      <c r="AL27" s="72">
        <v>-0.9</v>
      </c>
      <c r="AM27" s="72">
        <v>-1.5</v>
      </c>
      <c r="AN27" s="72">
        <v>-2</v>
      </c>
      <c r="AO27" s="72">
        <v>-2.1</v>
      </c>
      <c r="AP27" s="962"/>
      <c r="AQ27" s="258">
        <f t="shared" si="3"/>
        <v>-4860</v>
      </c>
      <c r="AR27" s="72">
        <f t="shared" si="4"/>
        <v>-2.0250000000000004</v>
      </c>
      <c r="AS27" s="72">
        <f t="shared" si="5"/>
        <v>-2.7</v>
      </c>
      <c r="AT27" s="257">
        <f t="shared" si="6"/>
        <v>-2.8350000000000004</v>
      </c>
      <c r="AU27" s="98"/>
      <c r="AV27" s="98"/>
    </row>
    <row r="28" spans="1:48" s="252" customFormat="1" ht="17.100000000000001" customHeight="1">
      <c r="A28" s="13"/>
      <c r="B28" s="119"/>
      <c r="C28" s="739" t="s">
        <v>436</v>
      </c>
      <c r="D28" s="740"/>
      <c r="E28" s="740"/>
      <c r="F28" s="768">
        <f>VLOOKUP(TRUE,AK25:AT45,3,FALSE)</f>
        <v>-1.9000000000000001</v>
      </c>
      <c r="G28" s="768"/>
      <c r="H28" s="768">
        <f>VLOOKUP(TRUE,AK25:AT45,4,FALSE)</f>
        <v>-2.8499999999999996</v>
      </c>
      <c r="I28" s="768"/>
      <c r="J28" s="768">
        <f>VLOOKUP(TRUE,AK25:AT45,5,FALSE)</f>
        <v>-2.95</v>
      </c>
      <c r="K28" s="768"/>
      <c r="L28" s="188" t="s">
        <v>463</v>
      </c>
      <c r="M28" s="768">
        <f>VLOOKUP(TRUE,AK25:AT45,2,FALSE)</f>
        <v>-1.35</v>
      </c>
      <c r="N28" s="797"/>
      <c r="O28" s="23"/>
      <c r="P28" s="23"/>
      <c r="Q28" s="23"/>
      <c r="R28" s="23"/>
      <c r="S28" s="23"/>
      <c r="T28" s="23"/>
      <c r="U28" s="23"/>
      <c r="V28" s="23"/>
      <c r="W28" s="23"/>
      <c r="X28" s="23"/>
      <c r="Y28" s="23"/>
      <c r="Z28" s="23"/>
      <c r="AA28" s="23"/>
      <c r="AB28" s="120"/>
      <c r="AC28" s="13"/>
      <c r="AD28" s="210" t="s">
        <v>550</v>
      </c>
      <c r="AE28" s="404">
        <v>45</v>
      </c>
      <c r="AF28" s="199"/>
      <c r="AG28" s="45"/>
      <c r="AH28" s="961"/>
      <c r="AI28" s="183" t="b">
        <f>AND($AH$3=4)</f>
        <v>0</v>
      </c>
      <c r="AJ28" s="183" t="b">
        <f t="shared" si="7"/>
        <v>0</v>
      </c>
      <c r="AK28" s="183" t="b">
        <f t="shared" si="8"/>
        <v>0</v>
      </c>
      <c r="AL28" s="72">
        <v>-1.1000000000000001</v>
      </c>
      <c r="AM28" s="72">
        <v>-1.8</v>
      </c>
      <c r="AN28" s="72">
        <v>-2.4</v>
      </c>
      <c r="AO28" s="72">
        <v>-2.5</v>
      </c>
      <c r="AP28" s="962"/>
      <c r="AQ28" s="258">
        <f t="shared" si="3"/>
        <v>-5940.0000000000009</v>
      </c>
      <c r="AR28" s="72">
        <f t="shared" si="4"/>
        <v>-2.4300000000000002</v>
      </c>
      <c r="AS28" s="72">
        <f t="shared" si="5"/>
        <v>-3.24</v>
      </c>
      <c r="AT28" s="257">
        <f t="shared" si="6"/>
        <v>-3.375</v>
      </c>
      <c r="AU28" s="98"/>
      <c r="AV28" s="98"/>
    </row>
    <row r="29" spans="1:48" s="252" customFormat="1" ht="17.100000000000001" customHeight="1">
      <c r="A29" s="13"/>
      <c r="B29" s="119"/>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120"/>
      <c r="AC29" s="13"/>
      <c r="AD29" s="210" t="s">
        <v>586</v>
      </c>
      <c r="AE29" s="399">
        <f>M17</f>
        <v>20</v>
      </c>
      <c r="AF29" s="199" t="s">
        <v>569</v>
      </c>
      <c r="AG29" s="45"/>
      <c r="AH29" s="961"/>
      <c r="AI29" s="183" t="b">
        <f>AND($AH$3=5)</f>
        <v>1</v>
      </c>
      <c r="AJ29" s="183" t="b">
        <f t="shared" si="7"/>
        <v>0</v>
      </c>
      <c r="AK29" s="183" t="b">
        <f t="shared" si="8"/>
        <v>0</v>
      </c>
      <c r="AL29" s="72">
        <v>-1.3</v>
      </c>
      <c r="AM29" s="72">
        <v>-2.2000000000000002</v>
      </c>
      <c r="AN29" s="72">
        <v>-2.8</v>
      </c>
      <c r="AO29" s="72">
        <v>-2.9</v>
      </c>
      <c r="AP29" s="962"/>
      <c r="AQ29" s="258">
        <f t="shared" si="3"/>
        <v>-7020</v>
      </c>
      <c r="AR29" s="72">
        <f t="shared" si="4"/>
        <v>-2.9700000000000006</v>
      </c>
      <c r="AS29" s="72">
        <f t="shared" si="5"/>
        <v>-3.78</v>
      </c>
      <c r="AT29" s="257">
        <f t="shared" si="6"/>
        <v>-3.915</v>
      </c>
      <c r="AU29" s="98"/>
      <c r="AV29" s="98"/>
    </row>
    <row r="30" spans="1:48" s="252" customFormat="1" ht="17.100000000000001" customHeight="1">
      <c r="A30" s="13"/>
      <c r="B30" s="119"/>
      <c r="C30" s="573" t="s">
        <v>468</v>
      </c>
      <c r="D30" s="574"/>
      <c r="E30" s="574"/>
      <c r="F30" s="574"/>
      <c r="G30" s="574"/>
      <c r="H30" s="574"/>
      <c r="I30" s="574"/>
      <c r="J30" s="574"/>
      <c r="K30" s="574"/>
      <c r="L30" s="574"/>
      <c r="M30" s="574"/>
      <c r="N30" s="575"/>
      <c r="O30" s="23"/>
      <c r="P30" s="23"/>
      <c r="Q30" s="23"/>
      <c r="R30" s="23"/>
      <c r="S30" s="23"/>
      <c r="T30" s="23"/>
      <c r="U30" s="23"/>
      <c r="V30" s="23"/>
      <c r="W30" s="23"/>
      <c r="X30" s="23"/>
      <c r="Y30" s="23"/>
      <c r="Z30" s="23"/>
      <c r="AA30" s="23"/>
      <c r="AB30" s="120"/>
      <c r="AC30" s="13"/>
      <c r="AD30" s="210" t="s">
        <v>585</v>
      </c>
      <c r="AE30" s="404">
        <v>90</v>
      </c>
      <c r="AF30" s="199"/>
      <c r="AG30" s="45"/>
      <c r="AH30" s="961"/>
      <c r="AI30" s="183" t="b">
        <f>AND($AH$3=6)</f>
        <v>0</v>
      </c>
      <c r="AJ30" s="183" t="b">
        <f t="shared" si="7"/>
        <v>0</v>
      </c>
      <c r="AK30" s="183" t="b">
        <f t="shared" si="8"/>
        <v>0</v>
      </c>
      <c r="AL30" s="72">
        <v>-1.6</v>
      </c>
      <c r="AM30" s="72">
        <v>-2.6</v>
      </c>
      <c r="AN30" s="72">
        <v>-3.2</v>
      </c>
      <c r="AO30" s="72">
        <v>-3.2</v>
      </c>
      <c r="AP30" s="962"/>
      <c r="AQ30" s="258">
        <f t="shared" si="3"/>
        <v>-8640</v>
      </c>
      <c r="AR30" s="72">
        <f t="shared" si="4"/>
        <v>-3.5100000000000002</v>
      </c>
      <c r="AS30" s="72">
        <f t="shared" si="5"/>
        <v>-4.32</v>
      </c>
      <c r="AT30" s="257">
        <f t="shared" si="6"/>
        <v>-4.32</v>
      </c>
      <c r="AU30" s="98"/>
      <c r="AV30" s="98"/>
    </row>
    <row r="31" spans="1:48" s="252" customFormat="1" ht="17.100000000000001" customHeight="1">
      <c r="A31" s="13"/>
      <c r="B31" s="119"/>
      <c r="C31" s="870" t="s">
        <v>385</v>
      </c>
      <c r="D31" s="871"/>
      <c r="E31" s="871"/>
      <c r="F31" s="955" t="s">
        <v>76</v>
      </c>
      <c r="G31" s="955"/>
      <c r="H31" s="955" t="s">
        <v>77</v>
      </c>
      <c r="I31" s="955"/>
      <c r="J31" s="955" t="s">
        <v>80</v>
      </c>
      <c r="K31" s="955"/>
      <c r="L31" s="956" t="s">
        <v>462</v>
      </c>
      <c r="M31" s="955"/>
      <c r="N31" s="957"/>
      <c r="O31" s="23"/>
      <c r="P31" s="23"/>
      <c r="Q31" s="23"/>
      <c r="R31" s="23"/>
      <c r="S31" s="23"/>
      <c r="T31" s="23"/>
      <c r="U31" s="23"/>
      <c r="V31" s="23"/>
      <c r="W31" s="23"/>
      <c r="X31" s="23"/>
      <c r="Y31" s="23"/>
      <c r="Z31" s="23"/>
      <c r="AA31" s="23"/>
      <c r="AB31" s="120"/>
      <c r="AC31" s="13"/>
      <c r="AD31" s="210" t="s">
        <v>552</v>
      </c>
      <c r="AE31" s="398" t="str">
        <f>G11</f>
        <v>Partially blocked</v>
      </c>
      <c r="AF31" s="199" t="s">
        <v>557</v>
      </c>
      <c r="AG31" s="45"/>
      <c r="AH31" s="961"/>
      <c r="AI31" s="185" t="b">
        <f>AND($AH$3=7)</f>
        <v>0</v>
      </c>
      <c r="AJ31" s="185" t="b">
        <f t="shared" si="7"/>
        <v>0</v>
      </c>
      <c r="AK31" s="185" t="b">
        <f t="shared" si="8"/>
        <v>0</v>
      </c>
      <c r="AL31" s="260">
        <v>-1.8</v>
      </c>
      <c r="AM31" s="260">
        <v>-3</v>
      </c>
      <c r="AN31" s="260">
        <v>-3.8</v>
      </c>
      <c r="AO31" s="260">
        <v>-3.6</v>
      </c>
      <c r="AP31" s="963"/>
      <c r="AQ31" s="262">
        <f t="shared" si="3"/>
        <v>-9720</v>
      </c>
      <c r="AR31" s="260">
        <f t="shared" si="4"/>
        <v>-4.0500000000000007</v>
      </c>
      <c r="AS31" s="260">
        <f t="shared" si="5"/>
        <v>-5.13</v>
      </c>
      <c r="AT31" s="261">
        <f t="shared" si="6"/>
        <v>-4.8600000000000003</v>
      </c>
      <c r="AU31" s="98"/>
      <c r="AV31" s="98"/>
    </row>
    <row r="32" spans="1:48" s="252" customFormat="1" ht="17.100000000000001" customHeight="1">
      <c r="A32" s="13"/>
      <c r="B32" s="119"/>
      <c r="C32" s="718" t="s">
        <v>466</v>
      </c>
      <c r="D32" s="719"/>
      <c r="E32" s="719"/>
      <c r="F32" s="711">
        <f>VLOOKUP(TRUE,AK14:AT20,8,FALSE)</f>
        <v>2.2949999999999999</v>
      </c>
      <c r="G32" s="711"/>
      <c r="H32" s="711">
        <f>VLOOKUP(TRUE,AK14:AT20,9,FALSE)</f>
        <v>3.915</v>
      </c>
      <c r="I32" s="711"/>
      <c r="J32" s="711">
        <f>VLOOKUP(TRUE,AK14:AT20,10,FALSE)</f>
        <v>2.8350000000000004</v>
      </c>
      <c r="K32" s="711"/>
      <c r="L32" s="189" t="s">
        <v>471</v>
      </c>
      <c r="M32" s="968">
        <f>VLOOKUP(TRUE,AK14:AT20,7,FALSE)</f>
        <v>4320</v>
      </c>
      <c r="N32" s="969"/>
      <c r="O32" s="23"/>
      <c r="P32" s="23"/>
      <c r="Q32" s="23"/>
      <c r="R32" s="23"/>
      <c r="S32" s="23"/>
      <c r="T32" s="23"/>
      <c r="U32" s="23"/>
      <c r="V32" s="23"/>
      <c r="W32" s="23"/>
      <c r="X32" s="23"/>
      <c r="Y32" s="23"/>
      <c r="Z32" s="23"/>
      <c r="AA32" s="23"/>
      <c r="AB32" s="120"/>
      <c r="AC32" s="13"/>
      <c r="AD32" s="210" t="s">
        <v>553</v>
      </c>
      <c r="AE32" s="403" t="s">
        <v>476</v>
      </c>
      <c r="AF32" s="199"/>
      <c r="AG32" s="45"/>
      <c r="AH32" s="961"/>
      <c r="AI32" s="183" t="b">
        <f>AND($AH$3=1)</f>
        <v>0</v>
      </c>
      <c r="AJ32" s="183" t="b">
        <f>AND($AK$3=2)</f>
        <v>0</v>
      </c>
      <c r="AK32" s="183" t="b">
        <f>AND(AI32=TRUE,AJ32=TRUE)</f>
        <v>0</v>
      </c>
      <c r="AL32" s="72">
        <v>-1.3</v>
      </c>
      <c r="AM32" s="72">
        <v>-1.5</v>
      </c>
      <c r="AN32" s="72">
        <v>-1.8</v>
      </c>
      <c r="AO32" s="72">
        <v>-2.2000000000000002</v>
      </c>
      <c r="AP32" s="962" t="s">
        <v>176</v>
      </c>
      <c r="AQ32" s="258">
        <f t="shared" si="3"/>
        <v>-7020</v>
      </c>
      <c r="AR32" s="72">
        <f t="shared" si="4"/>
        <v>-2.0250000000000004</v>
      </c>
      <c r="AS32" s="72">
        <f t="shared" si="5"/>
        <v>-2.4300000000000002</v>
      </c>
      <c r="AT32" s="257">
        <f t="shared" si="6"/>
        <v>-2.9700000000000006</v>
      </c>
      <c r="AU32" s="98"/>
      <c r="AV32" s="98"/>
    </row>
    <row r="33" spans="1:48" s="252" customFormat="1" ht="17.100000000000001" customHeight="1">
      <c r="A33" s="13"/>
      <c r="B33" s="119"/>
      <c r="C33" s="739" t="s">
        <v>467</v>
      </c>
      <c r="D33" s="740"/>
      <c r="E33" s="740"/>
      <c r="F33" s="768">
        <f>VLOOKUP(TRUE,AK25:AT45,8,FALSE)</f>
        <v>-2.5650000000000004</v>
      </c>
      <c r="G33" s="768"/>
      <c r="H33" s="768">
        <f>VLOOKUP(TRUE,AK25:AT45,9,FALSE)</f>
        <v>-3.8474999999999997</v>
      </c>
      <c r="I33" s="768"/>
      <c r="J33" s="768">
        <f>VLOOKUP(TRUE,AK25:AT45,10,FALSE)</f>
        <v>-3.9825000000000004</v>
      </c>
      <c r="K33" s="768"/>
      <c r="L33" s="188" t="s">
        <v>471</v>
      </c>
      <c r="M33" s="970">
        <f>VLOOKUP(TRUE,AK25:AT45,7,FALSE)</f>
        <v>-7290.0000000000009</v>
      </c>
      <c r="N33" s="971"/>
      <c r="O33" s="23"/>
      <c r="P33" s="23"/>
      <c r="Q33" s="23"/>
      <c r="R33" s="23"/>
      <c r="S33" s="23"/>
      <c r="T33" s="23"/>
      <c r="U33" s="23"/>
      <c r="V33" s="23"/>
      <c r="W33" s="23"/>
      <c r="X33" s="23"/>
      <c r="Y33" s="23"/>
      <c r="Z33" s="23"/>
      <c r="AA33" s="23"/>
      <c r="AB33" s="120"/>
      <c r="AC33" s="13"/>
      <c r="AD33" s="210" t="s">
        <v>551</v>
      </c>
      <c r="AE33" s="399">
        <f>M16</f>
        <v>0.5</v>
      </c>
      <c r="AF33" s="199" t="s">
        <v>562</v>
      </c>
      <c r="AG33" s="45"/>
      <c r="AH33" s="961"/>
      <c r="AI33" s="183" t="b">
        <f>AND($AH$3=2)</f>
        <v>0</v>
      </c>
      <c r="AJ33" s="183" t="b">
        <f t="shared" ref="AJ33:AJ38" si="9">AND($AK$3=2)</f>
        <v>0</v>
      </c>
      <c r="AK33" s="183" t="b">
        <f t="shared" ref="AK33:AK38" si="10">AND(AI33=TRUE,AJ33=TRUE)</f>
        <v>0</v>
      </c>
      <c r="AL33" s="72">
        <v>-1.4</v>
      </c>
      <c r="AM33" s="72">
        <v>-1.6</v>
      </c>
      <c r="AN33" s="72">
        <v>-2.2000000000000002</v>
      </c>
      <c r="AO33" s="72">
        <v>-2.5</v>
      </c>
      <c r="AP33" s="962"/>
      <c r="AQ33" s="258">
        <f t="shared" si="3"/>
        <v>-7559.9999999999991</v>
      </c>
      <c r="AR33" s="72">
        <f t="shared" si="4"/>
        <v>-2.16</v>
      </c>
      <c r="AS33" s="72">
        <f t="shared" si="5"/>
        <v>-2.9700000000000006</v>
      </c>
      <c r="AT33" s="257">
        <f t="shared" si="6"/>
        <v>-3.375</v>
      </c>
      <c r="AU33" s="98"/>
      <c r="AV33" s="98"/>
    </row>
    <row r="34" spans="1:48" s="252" customFormat="1" ht="17.100000000000001" customHeight="1">
      <c r="A34" s="13"/>
      <c r="B34" s="119"/>
      <c r="C34" s="744" t="s">
        <v>472</v>
      </c>
      <c r="D34" s="745"/>
      <c r="E34" s="745"/>
      <c r="F34" s="745"/>
      <c r="G34" s="745"/>
      <c r="H34" s="745"/>
      <c r="I34" s="745"/>
      <c r="J34" s="745"/>
      <c r="K34" s="745"/>
      <c r="L34" s="745"/>
      <c r="M34" s="745"/>
      <c r="N34" s="745"/>
      <c r="O34" s="23"/>
      <c r="P34" s="23"/>
      <c r="Q34" s="23"/>
      <c r="R34" s="23"/>
      <c r="S34" s="23"/>
      <c r="T34" s="23"/>
      <c r="U34" s="23"/>
      <c r="V34" s="23"/>
      <c r="W34" s="23"/>
      <c r="X34" s="23"/>
      <c r="Y34" s="23"/>
      <c r="Z34" s="23"/>
      <c r="AA34" s="23"/>
      <c r="AB34" s="120"/>
      <c r="AC34" s="13"/>
      <c r="AD34" s="43" t="s">
        <v>587</v>
      </c>
      <c r="AE34" s="45"/>
      <c r="AF34" s="45"/>
      <c r="AG34" s="45"/>
      <c r="AH34" s="961"/>
      <c r="AI34" s="183" t="b">
        <f>AND($AH$3=3)</f>
        <v>0</v>
      </c>
      <c r="AJ34" s="183" t="b">
        <f t="shared" si="9"/>
        <v>0</v>
      </c>
      <c r="AK34" s="183" t="b">
        <f t="shared" si="10"/>
        <v>0</v>
      </c>
      <c r="AL34" s="72">
        <v>-1.4</v>
      </c>
      <c r="AM34" s="72">
        <v>-2.1</v>
      </c>
      <c r="AN34" s="72">
        <v>-2.6</v>
      </c>
      <c r="AO34" s="72">
        <v>-2.7</v>
      </c>
      <c r="AP34" s="962"/>
      <c r="AQ34" s="258">
        <f t="shared" si="3"/>
        <v>-7559.9999999999991</v>
      </c>
      <c r="AR34" s="72">
        <f t="shared" si="4"/>
        <v>-2.8350000000000004</v>
      </c>
      <c r="AS34" s="72">
        <f t="shared" si="5"/>
        <v>-3.5100000000000002</v>
      </c>
      <c r="AT34" s="257">
        <f t="shared" si="6"/>
        <v>-3.6450000000000005</v>
      </c>
      <c r="AU34" s="98"/>
      <c r="AV34" s="98"/>
    </row>
    <row r="35" spans="1:48" s="252" customFormat="1" ht="17.100000000000001" customHeight="1">
      <c r="A35" s="13"/>
      <c r="B35" s="119"/>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120"/>
      <c r="AC35" s="13"/>
      <c r="AD35" s="43" t="s">
        <v>588</v>
      </c>
      <c r="AE35" s="45"/>
      <c r="AF35" s="45"/>
      <c r="AG35" s="45"/>
      <c r="AH35" s="961"/>
      <c r="AI35" s="183" t="b">
        <f>AND($AH$3=4)</f>
        <v>0</v>
      </c>
      <c r="AJ35" s="183" t="b">
        <f t="shared" si="9"/>
        <v>0</v>
      </c>
      <c r="AK35" s="183" t="b">
        <f t="shared" si="10"/>
        <v>0</v>
      </c>
      <c r="AL35" s="72">
        <v>-1.4</v>
      </c>
      <c r="AM35" s="72">
        <v>-1.6</v>
      </c>
      <c r="AN35" s="72">
        <v>-2.9</v>
      </c>
      <c r="AO35" s="72">
        <v>-3</v>
      </c>
      <c r="AP35" s="962"/>
      <c r="AQ35" s="258">
        <f t="shared" si="3"/>
        <v>-7559.9999999999991</v>
      </c>
      <c r="AR35" s="72">
        <f t="shared" si="4"/>
        <v>-2.16</v>
      </c>
      <c r="AS35" s="72">
        <f t="shared" si="5"/>
        <v>-3.915</v>
      </c>
      <c r="AT35" s="257">
        <f t="shared" si="6"/>
        <v>-4.0500000000000007</v>
      </c>
      <c r="AU35" s="98"/>
      <c r="AV35" s="98"/>
    </row>
    <row r="36" spans="1:48" s="252" customFormat="1" ht="17.100000000000001" customHeight="1">
      <c r="A36" s="13"/>
      <c r="B36" s="119"/>
      <c r="C36" s="573" t="s">
        <v>460</v>
      </c>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5"/>
      <c r="AB36" s="120"/>
      <c r="AC36" s="13"/>
      <c r="AD36" s="45"/>
      <c r="AE36" s="45"/>
      <c r="AF36" s="45"/>
      <c r="AG36" s="45"/>
      <c r="AH36" s="961"/>
      <c r="AI36" s="183" t="b">
        <f>AND($AH$3=5)</f>
        <v>1</v>
      </c>
      <c r="AJ36" s="183" t="b">
        <f t="shared" si="9"/>
        <v>0</v>
      </c>
      <c r="AK36" s="183" t="b">
        <f t="shared" si="10"/>
        <v>0</v>
      </c>
      <c r="AL36" s="72">
        <v>-1.4</v>
      </c>
      <c r="AM36" s="72">
        <v>-1.6</v>
      </c>
      <c r="AN36" s="72">
        <v>-2.9</v>
      </c>
      <c r="AO36" s="72">
        <v>-3</v>
      </c>
      <c r="AP36" s="962"/>
      <c r="AQ36" s="258">
        <f t="shared" si="3"/>
        <v>-7559.9999999999991</v>
      </c>
      <c r="AR36" s="72">
        <f t="shared" si="4"/>
        <v>-2.16</v>
      </c>
      <c r="AS36" s="72">
        <f t="shared" si="5"/>
        <v>-3.915</v>
      </c>
      <c r="AT36" s="257">
        <f t="shared" si="6"/>
        <v>-4.0500000000000007</v>
      </c>
      <c r="AU36" s="98"/>
      <c r="AV36" s="98"/>
    </row>
    <row r="37" spans="1:48" s="252" customFormat="1" ht="17.100000000000001" customHeight="1">
      <c r="A37" s="13"/>
      <c r="B37" s="119"/>
      <c r="C37" s="35"/>
      <c r="D37" s="36"/>
      <c r="E37" s="36"/>
      <c r="F37" s="36"/>
      <c r="G37" s="36"/>
      <c r="H37" s="36"/>
      <c r="I37" s="36"/>
      <c r="J37" s="36"/>
      <c r="K37" s="36"/>
      <c r="L37" s="36"/>
      <c r="M37" s="36"/>
      <c r="N37" s="36"/>
      <c r="O37" s="36"/>
      <c r="P37" s="36"/>
      <c r="Q37" s="36"/>
      <c r="R37" s="36"/>
      <c r="S37" s="36"/>
      <c r="T37" s="36"/>
      <c r="U37" s="36"/>
      <c r="V37" s="36"/>
      <c r="W37" s="36"/>
      <c r="X37" s="36"/>
      <c r="Y37" s="36"/>
      <c r="Z37" s="36"/>
      <c r="AA37" s="37"/>
      <c r="AB37" s="120"/>
      <c r="AC37" s="13"/>
      <c r="AD37" s="45"/>
      <c r="AE37" s="45"/>
      <c r="AF37" s="45"/>
      <c r="AG37" s="45"/>
      <c r="AH37" s="961"/>
      <c r="AI37" s="183" t="b">
        <f>AND($AH$3=6)</f>
        <v>0</v>
      </c>
      <c r="AJ37" s="183" t="b">
        <f t="shared" si="9"/>
        <v>0</v>
      </c>
      <c r="AK37" s="183" t="b">
        <f t="shared" si="10"/>
        <v>0</v>
      </c>
      <c r="AL37" s="72">
        <v>-1.4</v>
      </c>
      <c r="AM37" s="72">
        <v>-1.5</v>
      </c>
      <c r="AN37" s="72">
        <v>-2.5</v>
      </c>
      <c r="AO37" s="72">
        <v>-2.8</v>
      </c>
      <c r="AP37" s="962"/>
      <c r="AQ37" s="258">
        <f t="shared" si="3"/>
        <v>-7559.9999999999991</v>
      </c>
      <c r="AR37" s="72">
        <f t="shared" si="4"/>
        <v>-2.0250000000000004</v>
      </c>
      <c r="AS37" s="72">
        <f t="shared" si="5"/>
        <v>-3.375</v>
      </c>
      <c r="AT37" s="257">
        <f t="shared" si="6"/>
        <v>-3.78</v>
      </c>
      <c r="AU37" s="98"/>
      <c r="AV37" s="98"/>
    </row>
    <row r="38" spans="1:48" s="252" customFormat="1" ht="17.100000000000001" customHeight="1">
      <c r="A38" s="13"/>
      <c r="B38" s="119"/>
      <c r="C38" s="25"/>
      <c r="D38" s="26"/>
      <c r="E38" s="26"/>
      <c r="F38" s="26"/>
      <c r="G38" s="26"/>
      <c r="H38" s="26"/>
      <c r="I38" s="26"/>
      <c r="J38" s="26"/>
      <c r="K38" s="26"/>
      <c r="L38" s="26"/>
      <c r="M38" s="26"/>
      <c r="N38" s="26"/>
      <c r="O38" s="26"/>
      <c r="P38" s="26"/>
      <c r="Q38" s="26"/>
      <c r="R38" s="26"/>
      <c r="S38" s="26"/>
      <c r="T38" s="26"/>
      <c r="U38" s="26"/>
      <c r="V38" s="26"/>
      <c r="W38" s="26"/>
      <c r="X38" s="26"/>
      <c r="Y38" s="26"/>
      <c r="Z38" s="26"/>
      <c r="AA38" s="38"/>
      <c r="AB38" s="120"/>
      <c r="AC38" s="13"/>
      <c r="AD38" s="45"/>
      <c r="AE38" s="45"/>
      <c r="AF38" s="45"/>
      <c r="AG38" s="45"/>
      <c r="AH38" s="961"/>
      <c r="AI38" s="185" t="b">
        <f>AND($AH$3=7)</f>
        <v>0</v>
      </c>
      <c r="AJ38" s="185" t="b">
        <f t="shared" si="9"/>
        <v>0</v>
      </c>
      <c r="AK38" s="185" t="b">
        <f t="shared" si="10"/>
        <v>0</v>
      </c>
      <c r="AL38" s="260">
        <v>-1.4</v>
      </c>
      <c r="AM38" s="260">
        <v>-1.5</v>
      </c>
      <c r="AN38" s="260">
        <v>-2.2000000000000002</v>
      </c>
      <c r="AO38" s="260">
        <v>-2.7</v>
      </c>
      <c r="AP38" s="963"/>
      <c r="AQ38" s="262">
        <f t="shared" si="3"/>
        <v>-7559.9999999999991</v>
      </c>
      <c r="AR38" s="260">
        <f t="shared" si="4"/>
        <v>-2.0250000000000004</v>
      </c>
      <c r="AS38" s="260">
        <f t="shared" si="5"/>
        <v>-2.9700000000000006</v>
      </c>
      <c r="AT38" s="261">
        <f t="shared" si="6"/>
        <v>-3.6450000000000005</v>
      </c>
      <c r="AU38" s="98"/>
      <c r="AV38" s="98"/>
    </row>
    <row r="39" spans="1:48" s="252" customFormat="1" ht="17.100000000000001" customHeight="1" thickBot="1">
      <c r="A39" s="13"/>
      <c r="B39" s="119"/>
      <c r="C39" s="25"/>
      <c r="D39" s="26"/>
      <c r="E39" s="26"/>
      <c r="F39" s="26"/>
      <c r="G39" s="26"/>
      <c r="H39" s="26"/>
      <c r="I39" s="26"/>
      <c r="J39" s="26"/>
      <c r="K39" s="976" t="str">
        <f>"d1 = "&amp;FIXED(M14/10,2)&amp;"m"</f>
        <v>d1 = 5.00m</v>
      </c>
      <c r="L39" s="976"/>
      <c r="M39" s="976"/>
      <c r="N39" s="737" t="str">
        <f>"d2 = "&amp;FIXED(M14-2*M14/10,2)&amp;"m"</f>
        <v>d2 = 40.00m</v>
      </c>
      <c r="O39" s="737"/>
      <c r="P39" s="737"/>
      <c r="Q39" s="737"/>
      <c r="R39" s="737"/>
      <c r="S39" s="737"/>
      <c r="T39" s="737"/>
      <c r="U39" s="977" t="str">
        <f>"d3 = "&amp;FIXED(M14/10,2)&amp;"m"</f>
        <v>d3 = 5.00m</v>
      </c>
      <c r="V39" s="977"/>
      <c r="W39" s="977"/>
      <c r="X39" s="26"/>
      <c r="Y39" s="26"/>
      <c r="Z39" s="26"/>
      <c r="AA39" s="38"/>
      <c r="AB39" s="120"/>
      <c r="AC39" s="13"/>
      <c r="AD39" s="45"/>
      <c r="AE39" s="45"/>
      <c r="AF39" s="45"/>
      <c r="AG39" s="45"/>
      <c r="AH39" s="961"/>
      <c r="AI39" s="183" t="b">
        <f>AND($AH$3=1)</f>
        <v>0</v>
      </c>
      <c r="AJ39" s="183" t="b">
        <f>AND($AK$3=3)</f>
        <v>1</v>
      </c>
      <c r="AK39" s="183" t="b">
        <f>AND(AI39=TRUE,AJ39=TRUE)</f>
        <v>0</v>
      </c>
      <c r="AL39" s="72">
        <f>AL25+$M$16*(AL32-AL25)</f>
        <v>-0.9</v>
      </c>
      <c r="AM39" s="72">
        <f t="shared" ref="AM39:AO39" si="11">AM25+$M$16*(AM32-AM25)</f>
        <v>-1.05</v>
      </c>
      <c r="AN39" s="72">
        <f t="shared" si="11"/>
        <v>-1.55</v>
      </c>
      <c r="AO39" s="72">
        <f t="shared" si="11"/>
        <v>-1.8</v>
      </c>
      <c r="AP39" s="972" t="s">
        <v>469</v>
      </c>
      <c r="AQ39" s="258">
        <f t="shared" si="3"/>
        <v>-4860</v>
      </c>
      <c r="AR39" s="72">
        <f t="shared" si="4"/>
        <v>-1.4175000000000002</v>
      </c>
      <c r="AS39" s="72">
        <f t="shared" si="5"/>
        <v>-2.0925000000000002</v>
      </c>
      <c r="AT39" s="257">
        <f t="shared" si="6"/>
        <v>-2.4300000000000002</v>
      </c>
      <c r="AU39" s="98"/>
      <c r="AV39" s="98"/>
    </row>
    <row r="40" spans="1:48" s="252" customFormat="1" ht="17.100000000000001" customHeight="1">
      <c r="A40" s="13"/>
      <c r="B40" s="119"/>
      <c r="C40" s="25"/>
      <c r="D40" s="26"/>
      <c r="E40" s="26"/>
      <c r="F40" s="981" t="str">
        <f>AK8</f>
        <v>Roof width b = 80.00m</v>
      </c>
      <c r="G40" s="26"/>
      <c r="H40" s="26"/>
      <c r="I40" s="26"/>
      <c r="J40" s="978" t="str">
        <f>"b3 = "&amp;FIXED(M13/10,2)&amp;"m"</f>
        <v>b3 = 8.00m</v>
      </c>
      <c r="K40" s="988"/>
      <c r="L40" s="989"/>
      <c r="M40" s="890" t="s">
        <v>473</v>
      </c>
      <c r="N40" s="891"/>
      <c r="O40" s="891"/>
      <c r="P40" s="891"/>
      <c r="Q40" s="891"/>
      <c r="R40" s="891"/>
      <c r="S40" s="891"/>
      <c r="T40" s="891"/>
      <c r="U40" s="892"/>
      <c r="V40" s="988"/>
      <c r="W40" s="989"/>
      <c r="X40" s="26"/>
      <c r="Y40" s="26"/>
      <c r="Z40" s="26"/>
      <c r="AA40" s="38"/>
      <c r="AB40" s="120"/>
      <c r="AC40" s="13"/>
      <c r="AD40" s="45"/>
      <c r="AE40" s="45"/>
      <c r="AF40" s="45"/>
      <c r="AG40" s="45"/>
      <c r="AH40" s="961"/>
      <c r="AI40" s="183" t="b">
        <f>AND($AH$3=2)</f>
        <v>0</v>
      </c>
      <c r="AJ40" s="183" t="b">
        <f>AND($AK$3=3)</f>
        <v>1</v>
      </c>
      <c r="AK40" s="183" t="b">
        <f t="shared" ref="AK40:AK45" si="12">AND(AI40=TRUE,AJ40=TRUE)</f>
        <v>0</v>
      </c>
      <c r="AL40" s="72">
        <f t="shared" ref="AL40:AO45" si="13">AL26+$M$16*(AL33-AL26)</f>
        <v>-1.0499999999999998</v>
      </c>
      <c r="AM40" s="72">
        <f t="shared" si="13"/>
        <v>-1.35</v>
      </c>
      <c r="AN40" s="72">
        <f t="shared" si="13"/>
        <v>-1.9500000000000002</v>
      </c>
      <c r="AO40" s="72">
        <f t="shared" si="13"/>
        <v>-2.15</v>
      </c>
      <c r="AP40" s="972"/>
      <c r="AQ40" s="258">
        <f t="shared" si="3"/>
        <v>-5669.9999999999991</v>
      </c>
      <c r="AR40" s="72">
        <f t="shared" si="4"/>
        <v>-1.8225000000000002</v>
      </c>
      <c r="AS40" s="72">
        <f t="shared" si="5"/>
        <v>-2.6325000000000003</v>
      </c>
      <c r="AT40" s="257">
        <f t="shared" si="6"/>
        <v>-2.9024999999999999</v>
      </c>
      <c r="AU40" s="98"/>
      <c r="AV40" s="98"/>
    </row>
    <row r="41" spans="1:48" s="252" customFormat="1" ht="17.100000000000001" customHeight="1">
      <c r="A41" s="13"/>
      <c r="B41" s="119"/>
      <c r="C41" s="25"/>
      <c r="D41" s="26"/>
      <c r="E41" s="26"/>
      <c r="F41" s="981"/>
      <c r="G41" s="26"/>
      <c r="H41" s="26"/>
      <c r="I41" s="26"/>
      <c r="J41" s="978"/>
      <c r="K41" s="927"/>
      <c r="L41" s="929"/>
      <c r="M41" s="927" t="str">
        <f>FIXED(H33,3)&amp;" kN/m2"</f>
        <v>-3.848 kN/m2</v>
      </c>
      <c r="N41" s="928"/>
      <c r="O41" s="928"/>
      <c r="P41" s="928"/>
      <c r="Q41" s="928"/>
      <c r="R41" s="928"/>
      <c r="S41" s="928"/>
      <c r="T41" s="928"/>
      <c r="U41" s="929"/>
      <c r="V41" s="927"/>
      <c r="W41" s="929"/>
      <c r="X41" s="26"/>
      <c r="Y41" s="26"/>
      <c r="Z41" s="26"/>
      <c r="AA41" s="38"/>
      <c r="AB41" s="120"/>
      <c r="AC41" s="13"/>
      <c r="AD41" s="45"/>
      <c r="AE41" s="45"/>
      <c r="AF41" s="45"/>
      <c r="AG41" s="45"/>
      <c r="AH41" s="961"/>
      <c r="AI41" s="183" t="b">
        <f>AND($AH$3=3)</f>
        <v>0</v>
      </c>
      <c r="AJ41" s="183" t="b">
        <f t="shared" ref="AJ41:AJ45" si="14">AND($AK$3=3)</f>
        <v>1</v>
      </c>
      <c r="AK41" s="183" t="b">
        <f t="shared" si="12"/>
        <v>0</v>
      </c>
      <c r="AL41" s="72">
        <f t="shared" si="13"/>
        <v>-1.1499999999999999</v>
      </c>
      <c r="AM41" s="72">
        <f t="shared" si="13"/>
        <v>-1.8</v>
      </c>
      <c r="AN41" s="72">
        <f t="shared" si="13"/>
        <v>-2.2999999999999998</v>
      </c>
      <c r="AO41" s="72">
        <f t="shared" si="13"/>
        <v>-2.4000000000000004</v>
      </c>
      <c r="AP41" s="972"/>
      <c r="AQ41" s="258">
        <f t="shared" si="3"/>
        <v>-6209.9999999999991</v>
      </c>
      <c r="AR41" s="72">
        <f t="shared" si="4"/>
        <v>-2.4300000000000002</v>
      </c>
      <c r="AS41" s="72">
        <f t="shared" si="5"/>
        <v>-3.105</v>
      </c>
      <c r="AT41" s="257">
        <f t="shared" si="6"/>
        <v>-3.2400000000000007</v>
      </c>
      <c r="AU41" s="98"/>
      <c r="AV41" s="98"/>
    </row>
    <row r="42" spans="1:48" s="252" customFormat="1" ht="17.100000000000001" customHeight="1" thickBot="1">
      <c r="A42" s="13"/>
      <c r="B42" s="119"/>
      <c r="C42" s="25"/>
      <c r="D42" s="26"/>
      <c r="E42" s="26"/>
      <c r="F42" s="981"/>
      <c r="G42" s="26"/>
      <c r="H42" s="26"/>
      <c r="I42" s="26"/>
      <c r="J42" s="978"/>
      <c r="K42" s="990"/>
      <c r="L42" s="991"/>
      <c r="M42" s="848" t="str">
        <f>FIXED(H32,3)&amp;" kN/m2"</f>
        <v>3.915 kN/m2</v>
      </c>
      <c r="N42" s="849"/>
      <c r="O42" s="849"/>
      <c r="P42" s="849"/>
      <c r="Q42" s="849"/>
      <c r="R42" s="849"/>
      <c r="S42" s="849"/>
      <c r="T42" s="849"/>
      <c r="U42" s="850"/>
      <c r="V42" s="990"/>
      <c r="W42" s="991"/>
      <c r="X42" s="26"/>
      <c r="Y42" s="26"/>
      <c r="Z42" s="26"/>
      <c r="AA42" s="38"/>
      <c r="AB42" s="120"/>
      <c r="AC42" s="13"/>
      <c r="AD42" s="45"/>
      <c r="AE42" s="45"/>
      <c r="AF42" s="45"/>
      <c r="AG42" s="45"/>
      <c r="AH42" s="961"/>
      <c r="AI42" s="183" t="b">
        <f>AND($AH$3=4)</f>
        <v>0</v>
      </c>
      <c r="AJ42" s="183" t="b">
        <f t="shared" si="14"/>
        <v>1</v>
      </c>
      <c r="AK42" s="183" t="b">
        <f t="shared" si="12"/>
        <v>0</v>
      </c>
      <c r="AL42" s="72">
        <f t="shared" si="13"/>
        <v>-1.25</v>
      </c>
      <c r="AM42" s="72">
        <f t="shared" si="13"/>
        <v>-1.7000000000000002</v>
      </c>
      <c r="AN42" s="72">
        <f t="shared" si="13"/>
        <v>-2.65</v>
      </c>
      <c r="AO42" s="72">
        <f t="shared" si="13"/>
        <v>-2.75</v>
      </c>
      <c r="AP42" s="972"/>
      <c r="AQ42" s="258">
        <f t="shared" si="3"/>
        <v>-6750</v>
      </c>
      <c r="AR42" s="72">
        <f t="shared" si="4"/>
        <v>-2.2950000000000004</v>
      </c>
      <c r="AS42" s="72">
        <f t="shared" si="5"/>
        <v>-3.5775000000000001</v>
      </c>
      <c r="AT42" s="257">
        <f t="shared" si="6"/>
        <v>-3.7125000000000004</v>
      </c>
      <c r="AU42" s="98"/>
      <c r="AV42" s="98"/>
    </row>
    <row r="43" spans="1:48" s="252" customFormat="1" ht="17.100000000000001" customHeight="1">
      <c r="A43" s="13"/>
      <c r="B43" s="119"/>
      <c r="C43" s="25"/>
      <c r="D43" s="26"/>
      <c r="E43" s="26"/>
      <c r="F43" s="981"/>
      <c r="G43" s="26"/>
      <c r="H43" s="26"/>
      <c r="I43" s="26"/>
      <c r="J43" s="978"/>
      <c r="K43" s="982" t="s">
        <v>474</v>
      </c>
      <c r="L43" s="985" t="str">
        <f>FIXED(J33,3)&amp;" / "&amp;FIXED(J32,3)&amp;" kN/m2"</f>
        <v>-3.983 / 2.835 kN/m2</v>
      </c>
      <c r="M43" s="890" t="s">
        <v>394</v>
      </c>
      <c r="N43" s="891"/>
      <c r="O43" s="891"/>
      <c r="P43" s="891"/>
      <c r="Q43" s="891"/>
      <c r="R43" s="891"/>
      <c r="S43" s="891"/>
      <c r="T43" s="891"/>
      <c r="U43" s="892"/>
      <c r="V43" s="982" t="s">
        <v>474</v>
      </c>
      <c r="W43" s="985" t="str">
        <f>FIXED(J33,3)&amp;" / "&amp;FIXED(J32,3)&amp;" kN/m2"</f>
        <v>-3.983 / 2.835 kN/m2</v>
      </c>
      <c r="X43" s="26"/>
      <c r="Y43" s="26"/>
      <c r="Z43" s="26"/>
      <c r="AA43" s="38"/>
      <c r="AB43" s="120"/>
      <c r="AC43" s="13"/>
      <c r="AD43" s="45"/>
      <c r="AE43" s="45"/>
      <c r="AF43" s="45"/>
      <c r="AG43" s="45"/>
      <c r="AH43" s="961"/>
      <c r="AI43" s="183" t="b">
        <f>AND($AH$3=5)</f>
        <v>1</v>
      </c>
      <c r="AJ43" s="183" t="b">
        <f t="shared" si="14"/>
        <v>1</v>
      </c>
      <c r="AK43" s="183" t="b">
        <f t="shared" si="12"/>
        <v>1</v>
      </c>
      <c r="AL43" s="72">
        <f t="shared" si="13"/>
        <v>-1.35</v>
      </c>
      <c r="AM43" s="72">
        <f t="shared" si="13"/>
        <v>-1.9000000000000001</v>
      </c>
      <c r="AN43" s="72">
        <f t="shared" si="13"/>
        <v>-2.8499999999999996</v>
      </c>
      <c r="AO43" s="72">
        <f t="shared" si="13"/>
        <v>-2.95</v>
      </c>
      <c r="AP43" s="972"/>
      <c r="AQ43" s="258">
        <f t="shared" si="3"/>
        <v>-7290.0000000000009</v>
      </c>
      <c r="AR43" s="72">
        <f t="shared" si="4"/>
        <v>-2.5650000000000004</v>
      </c>
      <c r="AS43" s="72">
        <f t="shared" si="5"/>
        <v>-3.8474999999999997</v>
      </c>
      <c r="AT43" s="257">
        <f t="shared" si="6"/>
        <v>-3.9825000000000004</v>
      </c>
      <c r="AU43" s="98"/>
      <c r="AV43" s="98"/>
    </row>
    <row r="44" spans="1:48" s="252" customFormat="1" ht="17.100000000000001" customHeight="1">
      <c r="A44" s="13"/>
      <c r="B44" s="119"/>
      <c r="C44" s="25"/>
      <c r="D44" s="26"/>
      <c r="E44" s="26"/>
      <c r="F44" s="981"/>
      <c r="G44" s="26"/>
      <c r="H44" s="26"/>
      <c r="I44" s="26"/>
      <c r="J44" s="980" t="str">
        <f>"b2 = "&amp;FIXED(M13-2*M13/10,2)&amp;"m"</f>
        <v>b2 = 64.00m</v>
      </c>
      <c r="K44" s="983"/>
      <c r="L44" s="986"/>
      <c r="M44" s="854"/>
      <c r="N44" s="855"/>
      <c r="O44" s="855"/>
      <c r="P44" s="855"/>
      <c r="Q44" s="855"/>
      <c r="R44" s="855"/>
      <c r="S44" s="855"/>
      <c r="T44" s="855"/>
      <c r="U44" s="893"/>
      <c r="V44" s="983"/>
      <c r="W44" s="986"/>
      <c r="X44" s="26"/>
      <c r="Y44" s="26"/>
      <c r="Z44" s="26"/>
      <c r="AA44" s="38"/>
      <c r="AB44" s="120"/>
      <c r="AC44" s="13"/>
      <c r="AD44" s="45"/>
      <c r="AE44" s="45"/>
      <c r="AF44" s="45"/>
      <c r="AG44" s="45"/>
      <c r="AH44" s="961"/>
      <c r="AI44" s="183" t="b">
        <f>AND($AH$3=6)</f>
        <v>0</v>
      </c>
      <c r="AJ44" s="183" t="b">
        <f t="shared" si="14"/>
        <v>1</v>
      </c>
      <c r="AK44" s="183" t="b">
        <f t="shared" si="12"/>
        <v>0</v>
      </c>
      <c r="AL44" s="72">
        <f t="shared" si="13"/>
        <v>-1.5</v>
      </c>
      <c r="AM44" s="72">
        <f t="shared" si="13"/>
        <v>-2.0499999999999998</v>
      </c>
      <c r="AN44" s="72">
        <f t="shared" si="13"/>
        <v>-2.85</v>
      </c>
      <c r="AO44" s="72">
        <f t="shared" si="13"/>
        <v>-3</v>
      </c>
      <c r="AP44" s="972"/>
      <c r="AQ44" s="258">
        <f t="shared" si="3"/>
        <v>-8100</v>
      </c>
      <c r="AR44" s="72">
        <f t="shared" si="4"/>
        <v>-2.7675000000000001</v>
      </c>
      <c r="AS44" s="72">
        <f t="shared" si="5"/>
        <v>-3.8475000000000006</v>
      </c>
      <c r="AT44" s="257">
        <f t="shared" si="6"/>
        <v>-4.0500000000000007</v>
      </c>
      <c r="AU44" s="98"/>
      <c r="AV44" s="98"/>
    </row>
    <row r="45" spans="1:48" s="252" customFormat="1" ht="17.100000000000001" customHeight="1">
      <c r="A45" s="13"/>
      <c r="B45" s="119"/>
      <c r="C45" s="25"/>
      <c r="D45" s="26"/>
      <c r="E45" s="26"/>
      <c r="F45" s="981"/>
      <c r="G45" s="26"/>
      <c r="H45" s="26"/>
      <c r="I45" s="26"/>
      <c r="J45" s="980"/>
      <c r="K45" s="983"/>
      <c r="L45" s="986"/>
      <c r="M45" s="854"/>
      <c r="N45" s="855"/>
      <c r="O45" s="855"/>
      <c r="P45" s="855"/>
      <c r="Q45" s="855"/>
      <c r="R45" s="855"/>
      <c r="S45" s="855"/>
      <c r="T45" s="855"/>
      <c r="U45" s="893"/>
      <c r="V45" s="983"/>
      <c r="W45" s="986"/>
      <c r="X45" s="26"/>
      <c r="Y45" s="26"/>
      <c r="Z45" s="26"/>
      <c r="AA45" s="38"/>
      <c r="AB45" s="120"/>
      <c r="AC45" s="13"/>
      <c r="AD45" s="45"/>
      <c r="AE45" s="45"/>
      <c r="AF45" s="45"/>
      <c r="AG45" s="45"/>
      <c r="AH45" s="790"/>
      <c r="AI45" s="185" t="b">
        <f>AND($AH$3=7)</f>
        <v>0</v>
      </c>
      <c r="AJ45" s="185" t="b">
        <f t="shared" si="14"/>
        <v>1</v>
      </c>
      <c r="AK45" s="185" t="b">
        <f t="shared" si="12"/>
        <v>0</v>
      </c>
      <c r="AL45" s="260">
        <f t="shared" si="13"/>
        <v>-1.6</v>
      </c>
      <c r="AM45" s="260">
        <f t="shared" si="13"/>
        <v>-2.25</v>
      </c>
      <c r="AN45" s="260">
        <f t="shared" si="13"/>
        <v>-3</v>
      </c>
      <c r="AO45" s="260">
        <f t="shared" si="13"/>
        <v>-3.1500000000000004</v>
      </c>
      <c r="AP45" s="973"/>
      <c r="AQ45" s="262">
        <f t="shared" si="3"/>
        <v>-8640</v>
      </c>
      <c r="AR45" s="260">
        <f t="shared" si="4"/>
        <v>-3.0375000000000001</v>
      </c>
      <c r="AS45" s="260">
        <f t="shared" si="5"/>
        <v>-4.0500000000000007</v>
      </c>
      <c r="AT45" s="261">
        <f t="shared" si="6"/>
        <v>-4.2525000000000004</v>
      </c>
      <c r="AU45" s="98"/>
      <c r="AV45" s="98"/>
    </row>
    <row r="46" spans="1:48" s="252" customFormat="1" ht="17.100000000000001" customHeight="1">
      <c r="A46" s="13"/>
      <c r="B46" s="119"/>
      <c r="C46" s="25"/>
      <c r="D46" s="26"/>
      <c r="E46" s="26"/>
      <c r="F46" s="981"/>
      <c r="G46" s="26"/>
      <c r="H46" s="26"/>
      <c r="I46" s="26"/>
      <c r="J46" s="980"/>
      <c r="K46" s="983"/>
      <c r="L46" s="986"/>
      <c r="M46" s="854"/>
      <c r="N46" s="855"/>
      <c r="O46" s="855"/>
      <c r="P46" s="855"/>
      <c r="Q46" s="855"/>
      <c r="R46" s="855"/>
      <c r="S46" s="855"/>
      <c r="T46" s="855"/>
      <c r="U46" s="893"/>
      <c r="V46" s="983"/>
      <c r="W46" s="986"/>
      <c r="X46" s="26"/>
      <c r="Y46" s="26"/>
      <c r="Z46" s="26"/>
      <c r="AA46" s="38"/>
      <c r="AB46" s="120"/>
      <c r="AC46" s="13"/>
      <c r="AD46" s="45"/>
      <c r="AE46" s="45"/>
      <c r="AF46" s="45"/>
      <c r="AG46" s="45"/>
      <c r="AH46" s="45"/>
      <c r="AI46" s="45"/>
      <c r="AJ46" s="45"/>
      <c r="AK46" s="45"/>
      <c r="AL46" s="98"/>
      <c r="AM46" s="98"/>
      <c r="AN46" s="98"/>
      <c r="AO46" s="98"/>
      <c r="AP46" s="98"/>
      <c r="AQ46" s="98"/>
      <c r="AR46" s="98"/>
      <c r="AS46" s="98"/>
      <c r="AT46" s="98"/>
      <c r="AU46" s="98"/>
      <c r="AV46" s="98"/>
    </row>
    <row r="47" spans="1:48" s="252" customFormat="1" ht="17.100000000000001" customHeight="1">
      <c r="A47" s="13"/>
      <c r="B47" s="119"/>
      <c r="C47" s="25"/>
      <c r="D47" s="26"/>
      <c r="E47" s="26"/>
      <c r="F47" s="981"/>
      <c r="G47" s="26"/>
      <c r="H47" s="26"/>
      <c r="I47" s="26"/>
      <c r="J47" s="980"/>
      <c r="K47" s="983"/>
      <c r="L47" s="986"/>
      <c r="M47" s="854"/>
      <c r="N47" s="855"/>
      <c r="O47" s="855"/>
      <c r="P47" s="855"/>
      <c r="Q47" s="855"/>
      <c r="R47" s="855"/>
      <c r="S47" s="855"/>
      <c r="T47" s="855"/>
      <c r="U47" s="893"/>
      <c r="V47" s="983"/>
      <c r="W47" s="986"/>
      <c r="X47" s="26"/>
      <c r="Y47" s="26"/>
      <c r="Z47" s="26"/>
      <c r="AA47" s="38"/>
      <c r="AB47" s="120"/>
      <c r="AC47" s="13"/>
      <c r="AD47" s="45"/>
      <c r="AE47" s="45"/>
      <c r="AF47" s="45"/>
      <c r="AG47" s="45"/>
      <c r="AH47" s="45"/>
      <c r="AI47" s="45"/>
      <c r="AJ47" s="45"/>
      <c r="AK47" s="45"/>
      <c r="AL47" s="98"/>
      <c r="AM47" s="98"/>
      <c r="AN47" s="98"/>
      <c r="AO47" s="98"/>
      <c r="AP47" s="98"/>
      <c r="AQ47" s="98"/>
      <c r="AR47" s="98"/>
      <c r="AS47" s="98"/>
      <c r="AT47" s="98"/>
      <c r="AU47" s="98"/>
      <c r="AV47" s="98"/>
    </row>
    <row r="48" spans="1:48" s="252" customFormat="1" ht="17.100000000000001" customHeight="1">
      <c r="A48" s="13"/>
      <c r="B48" s="119"/>
      <c r="C48" s="25"/>
      <c r="D48" s="26"/>
      <c r="E48" s="26"/>
      <c r="F48" s="981"/>
      <c r="G48" s="26"/>
      <c r="H48" s="26"/>
      <c r="I48" s="26"/>
      <c r="J48" s="980"/>
      <c r="K48" s="983"/>
      <c r="L48" s="986"/>
      <c r="M48" s="927" t="str">
        <f>FIXED(F33,3)&amp;" kN/m2"</f>
        <v>-2.565 kN/m2</v>
      </c>
      <c r="N48" s="928"/>
      <c r="O48" s="928"/>
      <c r="P48" s="928"/>
      <c r="Q48" s="928"/>
      <c r="R48" s="928"/>
      <c r="S48" s="928"/>
      <c r="T48" s="928"/>
      <c r="U48" s="929"/>
      <c r="V48" s="983"/>
      <c r="W48" s="986"/>
      <c r="X48" s="26"/>
      <c r="Y48" s="26"/>
      <c r="Z48" s="26"/>
      <c r="AA48" s="38"/>
      <c r="AB48" s="120"/>
      <c r="AC48" s="13"/>
      <c r="AD48" s="45"/>
      <c r="AE48" s="45"/>
      <c r="AF48" s="45"/>
      <c r="AG48" s="45"/>
      <c r="AH48" s="45"/>
      <c r="AI48" s="45"/>
      <c r="AJ48" s="45"/>
      <c r="AK48" s="45"/>
      <c r="AL48" s="98"/>
      <c r="AM48" s="98"/>
      <c r="AN48" s="98"/>
      <c r="AO48" s="98"/>
      <c r="AP48" s="98"/>
      <c r="AQ48" s="98"/>
      <c r="AR48" s="98"/>
      <c r="AS48" s="98"/>
      <c r="AT48" s="98"/>
      <c r="AU48" s="98"/>
      <c r="AV48" s="98"/>
    </row>
    <row r="49" spans="1:48" s="252" customFormat="1" ht="17.100000000000001" customHeight="1">
      <c r="A49" s="13"/>
      <c r="B49" s="119"/>
      <c r="C49" s="25"/>
      <c r="D49" s="26"/>
      <c r="E49" s="26"/>
      <c r="F49" s="981"/>
      <c r="G49" s="26"/>
      <c r="H49" s="26"/>
      <c r="I49" s="26"/>
      <c r="J49" s="980"/>
      <c r="K49" s="983"/>
      <c r="L49" s="986"/>
      <c r="M49" s="845" t="str">
        <f>FIXED(F32,3)&amp;" kN/m2"</f>
        <v>2.295 kN/m2</v>
      </c>
      <c r="N49" s="846"/>
      <c r="O49" s="846"/>
      <c r="P49" s="846"/>
      <c r="Q49" s="846"/>
      <c r="R49" s="846"/>
      <c r="S49" s="846"/>
      <c r="T49" s="846"/>
      <c r="U49" s="847"/>
      <c r="V49" s="983"/>
      <c r="W49" s="986"/>
      <c r="X49" s="26"/>
      <c r="Y49" s="26"/>
      <c r="Z49" s="26"/>
      <c r="AA49" s="38"/>
      <c r="AB49" s="120"/>
      <c r="AC49" s="13"/>
      <c r="AD49" s="45"/>
      <c r="AE49" s="45"/>
      <c r="AF49" s="45"/>
      <c r="AG49" s="45"/>
      <c r="AH49" s="45"/>
      <c r="AI49" s="45"/>
      <c r="AJ49" s="45"/>
      <c r="AK49" s="45"/>
      <c r="AL49" s="98"/>
      <c r="AM49" s="98"/>
      <c r="AN49" s="98"/>
      <c r="AO49" s="98"/>
      <c r="AP49" s="98"/>
      <c r="AQ49" s="98"/>
      <c r="AR49" s="98"/>
      <c r="AS49" s="98"/>
      <c r="AT49" s="98"/>
      <c r="AU49" s="98"/>
      <c r="AV49" s="98"/>
    </row>
    <row r="50" spans="1:48" s="252" customFormat="1" ht="17.100000000000001" customHeight="1">
      <c r="A50" s="13"/>
      <c r="B50" s="119"/>
      <c r="C50" s="25"/>
      <c r="D50" s="26"/>
      <c r="E50" s="26"/>
      <c r="F50" s="981"/>
      <c r="G50" s="26"/>
      <c r="H50" s="26"/>
      <c r="I50" s="26"/>
      <c r="J50" s="980"/>
      <c r="K50" s="983"/>
      <c r="L50" s="986"/>
      <c r="M50" s="845"/>
      <c r="N50" s="846"/>
      <c r="O50" s="846"/>
      <c r="P50" s="846"/>
      <c r="Q50" s="846"/>
      <c r="R50" s="846"/>
      <c r="S50" s="846"/>
      <c r="T50" s="846"/>
      <c r="U50" s="847"/>
      <c r="V50" s="983"/>
      <c r="W50" s="986"/>
      <c r="X50" s="26"/>
      <c r="Y50" s="26"/>
      <c r="Z50" s="26"/>
      <c r="AA50" s="38"/>
      <c r="AB50" s="120"/>
      <c r="AC50" s="13"/>
      <c r="AD50" s="45"/>
      <c r="AE50" s="45"/>
      <c r="AF50" s="45"/>
      <c r="AG50" s="45"/>
      <c r="AH50" s="45"/>
      <c r="AI50" s="45"/>
      <c r="AJ50" s="45"/>
      <c r="AK50" s="45"/>
      <c r="AL50" s="98"/>
      <c r="AM50" s="98"/>
      <c r="AN50" s="98"/>
      <c r="AO50" s="98"/>
      <c r="AP50" s="98"/>
      <c r="AQ50" s="98"/>
      <c r="AR50" s="98"/>
      <c r="AS50" s="98"/>
      <c r="AT50" s="98"/>
      <c r="AU50" s="98"/>
      <c r="AV50" s="98"/>
    </row>
    <row r="51" spans="1:48" s="252" customFormat="1" ht="17.100000000000001" customHeight="1">
      <c r="A51" s="13"/>
      <c r="B51" s="119"/>
      <c r="C51" s="25"/>
      <c r="D51" s="26"/>
      <c r="E51" s="26"/>
      <c r="F51" s="981"/>
      <c r="G51" s="26"/>
      <c r="H51" s="26"/>
      <c r="I51" s="26"/>
      <c r="J51" s="980"/>
      <c r="K51" s="983"/>
      <c r="L51" s="986"/>
      <c r="M51" s="845"/>
      <c r="N51" s="846"/>
      <c r="O51" s="846"/>
      <c r="P51" s="846"/>
      <c r="Q51" s="846"/>
      <c r="R51" s="846"/>
      <c r="S51" s="846"/>
      <c r="T51" s="846"/>
      <c r="U51" s="847"/>
      <c r="V51" s="983"/>
      <c r="W51" s="986"/>
      <c r="X51" s="26"/>
      <c r="Y51" s="26"/>
      <c r="Z51" s="26"/>
      <c r="AA51" s="38"/>
      <c r="AB51" s="120"/>
      <c r="AC51" s="13"/>
      <c r="AD51" s="45"/>
      <c r="AE51" s="45"/>
      <c r="AF51" s="45"/>
      <c r="AG51" s="45"/>
      <c r="AH51" s="45"/>
      <c r="AI51" s="45"/>
      <c r="AJ51" s="45"/>
      <c r="AK51" s="45"/>
      <c r="AL51" s="98"/>
      <c r="AM51" s="98"/>
      <c r="AN51" s="98"/>
      <c r="AO51" s="98"/>
      <c r="AP51" s="98"/>
      <c r="AQ51" s="98"/>
      <c r="AR51" s="98"/>
      <c r="AS51" s="98"/>
      <c r="AT51" s="98"/>
      <c r="AU51" s="98"/>
      <c r="AV51" s="98"/>
    </row>
    <row r="52" spans="1:48" s="252" customFormat="1" ht="17.100000000000001" customHeight="1">
      <c r="A52" s="13"/>
      <c r="B52" s="119"/>
      <c r="C52" s="25"/>
      <c r="D52" s="26"/>
      <c r="E52" s="26"/>
      <c r="F52" s="981"/>
      <c r="G52" s="26"/>
      <c r="H52" s="26"/>
      <c r="I52" s="26"/>
      <c r="J52" s="980"/>
      <c r="K52" s="983"/>
      <c r="L52" s="986"/>
      <c r="M52" s="845"/>
      <c r="N52" s="846"/>
      <c r="O52" s="846"/>
      <c r="P52" s="846"/>
      <c r="Q52" s="846"/>
      <c r="R52" s="846"/>
      <c r="S52" s="846"/>
      <c r="T52" s="846"/>
      <c r="U52" s="847"/>
      <c r="V52" s="983"/>
      <c r="W52" s="986"/>
      <c r="X52" s="26"/>
      <c r="Y52" s="26"/>
      <c r="Z52" s="26"/>
      <c r="AA52" s="38"/>
      <c r="AB52" s="120"/>
      <c r="AC52" s="13"/>
      <c r="AD52" s="45"/>
      <c r="AE52" s="45"/>
      <c r="AF52" s="45"/>
      <c r="AG52" s="45"/>
      <c r="AH52" s="45"/>
      <c r="AI52" s="45"/>
      <c r="AJ52" s="45"/>
      <c r="AK52" s="45"/>
      <c r="AL52" s="98"/>
      <c r="AM52" s="98"/>
      <c r="AN52" s="98"/>
      <c r="AO52" s="98"/>
      <c r="AP52" s="98"/>
      <c r="AQ52" s="98"/>
      <c r="AR52" s="98"/>
      <c r="AS52" s="98"/>
      <c r="AT52" s="98"/>
      <c r="AU52" s="98"/>
      <c r="AV52" s="98"/>
    </row>
    <row r="53" spans="1:48" s="252" customFormat="1" ht="17.100000000000001" customHeight="1">
      <c r="A53" s="13"/>
      <c r="B53" s="119"/>
      <c r="C53" s="25"/>
      <c r="D53" s="26"/>
      <c r="E53" s="26"/>
      <c r="F53" s="981"/>
      <c r="G53" s="26"/>
      <c r="H53" s="26"/>
      <c r="I53" s="26"/>
      <c r="J53" s="980"/>
      <c r="K53" s="983"/>
      <c r="L53" s="986"/>
      <c r="M53" s="845"/>
      <c r="N53" s="846"/>
      <c r="O53" s="846"/>
      <c r="P53" s="846"/>
      <c r="Q53" s="846"/>
      <c r="R53" s="846"/>
      <c r="S53" s="846"/>
      <c r="T53" s="846"/>
      <c r="U53" s="847"/>
      <c r="V53" s="983"/>
      <c r="W53" s="986"/>
      <c r="X53" s="26"/>
      <c r="Y53" s="26"/>
      <c r="Z53" s="26"/>
      <c r="AA53" s="38"/>
      <c r="AB53" s="120"/>
      <c r="AC53" s="13"/>
      <c r="AD53" s="45"/>
      <c r="AE53" s="45"/>
      <c r="AF53" s="45"/>
      <c r="AG53" s="45"/>
      <c r="AH53" s="45"/>
      <c r="AI53" s="45"/>
      <c r="AJ53" s="45"/>
      <c r="AK53" s="45"/>
      <c r="AL53" s="98"/>
      <c r="AM53" s="98"/>
      <c r="AN53" s="98"/>
      <c r="AO53" s="98"/>
      <c r="AP53" s="98"/>
      <c r="AQ53" s="98"/>
      <c r="AR53" s="98"/>
      <c r="AS53" s="98"/>
      <c r="AT53" s="98"/>
      <c r="AU53" s="98"/>
      <c r="AV53" s="98"/>
    </row>
    <row r="54" spans="1:48" s="252" customFormat="1" ht="17.100000000000001" customHeight="1" thickBot="1">
      <c r="A54" s="13"/>
      <c r="B54" s="119"/>
      <c r="C54" s="25"/>
      <c r="D54" s="26"/>
      <c r="E54" s="26"/>
      <c r="F54" s="981"/>
      <c r="G54" s="26"/>
      <c r="H54" s="26"/>
      <c r="I54" s="26"/>
      <c r="J54" s="979" t="str">
        <f>"b1 = "&amp;FIXED(M13/10,2)&amp;"m"</f>
        <v>b1 = 8.00m</v>
      </c>
      <c r="K54" s="984"/>
      <c r="L54" s="987"/>
      <c r="M54" s="848"/>
      <c r="N54" s="849"/>
      <c r="O54" s="849"/>
      <c r="P54" s="849"/>
      <c r="Q54" s="849"/>
      <c r="R54" s="849"/>
      <c r="S54" s="849"/>
      <c r="T54" s="849"/>
      <c r="U54" s="850"/>
      <c r="V54" s="984"/>
      <c r="W54" s="987"/>
      <c r="X54" s="26"/>
      <c r="Y54" s="26"/>
      <c r="Z54" s="26"/>
      <c r="AA54" s="38"/>
      <c r="AB54" s="120"/>
      <c r="AC54" s="13"/>
      <c r="AD54" s="45"/>
      <c r="AE54" s="45"/>
      <c r="AF54" s="45"/>
      <c r="AG54" s="45"/>
      <c r="AH54" s="45"/>
      <c r="AI54" s="45"/>
      <c r="AJ54" s="45"/>
      <c r="AK54" s="45"/>
      <c r="AL54" s="98"/>
      <c r="AM54" s="98"/>
      <c r="AN54" s="98"/>
      <c r="AO54" s="98"/>
      <c r="AP54" s="98"/>
      <c r="AQ54" s="98"/>
      <c r="AR54" s="98"/>
      <c r="AS54" s="98"/>
      <c r="AT54" s="98"/>
      <c r="AU54" s="98"/>
      <c r="AV54" s="98"/>
    </row>
    <row r="55" spans="1:48" s="252" customFormat="1" ht="17.100000000000001" customHeight="1">
      <c r="A55" s="13"/>
      <c r="B55" s="119"/>
      <c r="C55" s="25"/>
      <c r="D55" s="26"/>
      <c r="E55" s="26"/>
      <c r="F55" s="981"/>
      <c r="G55" s="26"/>
      <c r="H55" s="26"/>
      <c r="I55" s="26"/>
      <c r="J55" s="979"/>
      <c r="K55" s="988"/>
      <c r="L55" s="989"/>
      <c r="M55" s="992" t="s">
        <v>473</v>
      </c>
      <c r="N55" s="993"/>
      <c r="O55" s="993"/>
      <c r="P55" s="993"/>
      <c r="Q55" s="993"/>
      <c r="R55" s="993"/>
      <c r="S55" s="993"/>
      <c r="T55" s="993"/>
      <c r="U55" s="994"/>
      <c r="V55" s="988"/>
      <c r="W55" s="989"/>
      <c r="X55" s="26"/>
      <c r="Y55" s="26"/>
      <c r="Z55" s="26"/>
      <c r="AA55" s="38"/>
      <c r="AB55" s="120"/>
      <c r="AC55" s="13"/>
      <c r="AD55" s="45"/>
      <c r="AE55" s="45"/>
      <c r="AF55" s="45"/>
      <c r="AG55" s="45"/>
      <c r="AH55" s="45"/>
      <c r="AI55" s="45"/>
      <c r="AJ55" s="45"/>
      <c r="AK55" s="45"/>
      <c r="AL55" s="98"/>
      <c r="AM55" s="98"/>
      <c r="AN55" s="98"/>
      <c r="AO55" s="98"/>
      <c r="AP55" s="98"/>
      <c r="AQ55" s="98"/>
      <c r="AR55" s="98"/>
      <c r="AS55" s="98"/>
      <c r="AT55" s="98"/>
      <c r="AU55" s="98"/>
      <c r="AV55" s="98"/>
    </row>
    <row r="56" spans="1:48" s="252" customFormat="1" ht="17.100000000000001" customHeight="1">
      <c r="A56" s="13"/>
      <c r="B56" s="119"/>
      <c r="C56" s="25"/>
      <c r="D56" s="26"/>
      <c r="E56" s="26"/>
      <c r="F56" s="981"/>
      <c r="G56" s="26"/>
      <c r="H56" s="26"/>
      <c r="I56" s="26"/>
      <c r="J56" s="979"/>
      <c r="K56" s="927"/>
      <c r="L56" s="929"/>
      <c r="M56" s="927" t="str">
        <f>FIXED(H33,3)&amp;" kN/m2"</f>
        <v>-3.848 kN/m2</v>
      </c>
      <c r="N56" s="928"/>
      <c r="O56" s="928"/>
      <c r="P56" s="928"/>
      <c r="Q56" s="928"/>
      <c r="R56" s="928"/>
      <c r="S56" s="928"/>
      <c r="T56" s="928"/>
      <c r="U56" s="929"/>
      <c r="V56" s="927"/>
      <c r="W56" s="929"/>
      <c r="X56" s="26"/>
      <c r="Y56" s="26"/>
      <c r="Z56" s="26"/>
      <c r="AA56" s="38"/>
      <c r="AB56" s="120"/>
      <c r="AC56" s="13"/>
      <c r="AD56" s="45"/>
      <c r="AE56" s="45"/>
      <c r="AF56" s="45"/>
      <c r="AG56" s="45"/>
      <c r="AH56" s="45"/>
      <c r="AI56" s="45"/>
      <c r="AJ56" s="45"/>
      <c r="AK56" s="45"/>
      <c r="AL56" s="98"/>
      <c r="AM56" s="98"/>
      <c r="AN56" s="98"/>
      <c r="AO56" s="98"/>
      <c r="AP56" s="98"/>
      <c r="AQ56" s="98"/>
      <c r="AR56" s="98"/>
      <c r="AS56" s="98"/>
      <c r="AT56" s="98"/>
      <c r="AU56" s="98"/>
      <c r="AV56" s="98"/>
    </row>
    <row r="57" spans="1:48" s="252" customFormat="1" ht="17.100000000000001" customHeight="1" thickBot="1">
      <c r="A57" s="13"/>
      <c r="B57" s="119"/>
      <c r="C57" s="25"/>
      <c r="D57" s="26"/>
      <c r="E57" s="26"/>
      <c r="F57" s="981"/>
      <c r="G57" s="26"/>
      <c r="H57" s="26"/>
      <c r="I57" s="26"/>
      <c r="J57" s="979"/>
      <c r="K57" s="990"/>
      <c r="L57" s="991"/>
      <c r="M57" s="990" t="str">
        <f>FIXED(H32,3)&amp;" kN/m2"</f>
        <v>3.915 kN/m2</v>
      </c>
      <c r="N57" s="995"/>
      <c r="O57" s="995"/>
      <c r="P57" s="995"/>
      <c r="Q57" s="995"/>
      <c r="R57" s="995"/>
      <c r="S57" s="995"/>
      <c r="T57" s="995"/>
      <c r="U57" s="991"/>
      <c r="V57" s="990"/>
      <c r="W57" s="991"/>
      <c r="X57" s="26"/>
      <c r="Y57" s="26"/>
      <c r="Z57" s="26"/>
      <c r="AA57" s="38"/>
      <c r="AB57" s="120"/>
      <c r="AC57" s="13"/>
      <c r="AD57" s="45"/>
      <c r="AE57" s="45"/>
      <c r="AF57" s="45"/>
      <c r="AG57" s="45"/>
      <c r="AH57" s="45"/>
      <c r="AI57" s="45"/>
      <c r="AJ57" s="45"/>
      <c r="AK57" s="45"/>
      <c r="AL57" s="98"/>
      <c r="AM57" s="98"/>
      <c r="AN57" s="98"/>
      <c r="AO57" s="98"/>
      <c r="AP57" s="98"/>
      <c r="AQ57" s="98"/>
      <c r="AR57" s="98"/>
      <c r="AS57" s="98"/>
      <c r="AT57" s="98"/>
      <c r="AU57" s="98"/>
      <c r="AV57" s="98"/>
    </row>
    <row r="58" spans="1:48" s="252" customFormat="1" ht="17.100000000000001" customHeight="1">
      <c r="A58" s="13"/>
      <c r="B58" s="119"/>
      <c r="C58" s="25"/>
      <c r="D58" s="26"/>
      <c r="E58" s="26"/>
      <c r="F58" s="26"/>
      <c r="G58" s="26"/>
      <c r="H58" s="26"/>
      <c r="I58" s="26"/>
      <c r="J58" s="26"/>
      <c r="K58" s="26"/>
      <c r="L58" s="26"/>
      <c r="M58" s="26"/>
      <c r="N58" s="26"/>
      <c r="O58" s="26"/>
      <c r="P58" s="26"/>
      <c r="Q58" s="26"/>
      <c r="R58" s="26"/>
      <c r="S58" s="26"/>
      <c r="T58" s="26"/>
      <c r="U58" s="26"/>
      <c r="V58" s="26"/>
      <c r="W58" s="26"/>
      <c r="X58" s="26"/>
      <c r="Y58" s="26"/>
      <c r="Z58" s="26"/>
      <c r="AA58" s="38"/>
      <c r="AB58" s="120"/>
      <c r="AC58" s="13"/>
      <c r="AD58" s="45"/>
      <c r="AE58" s="45"/>
      <c r="AF58" s="45"/>
      <c r="AG58" s="45"/>
      <c r="AH58" s="45"/>
      <c r="AI58" s="45"/>
      <c r="AJ58" s="45"/>
      <c r="AK58" s="45"/>
      <c r="AL58" s="98"/>
      <c r="AM58" s="98"/>
      <c r="AN58" s="98"/>
      <c r="AO58" s="98"/>
      <c r="AP58" s="98"/>
      <c r="AQ58" s="98"/>
      <c r="AR58" s="98"/>
      <c r="AS58" s="98"/>
      <c r="AT58" s="98"/>
      <c r="AU58" s="98"/>
      <c r="AV58" s="98"/>
    </row>
    <row r="59" spans="1:48" s="252" customFormat="1" ht="17.100000000000001" customHeight="1">
      <c r="A59" s="13"/>
      <c r="B59" s="119"/>
      <c r="C59" s="29"/>
      <c r="D59" s="30"/>
      <c r="E59" s="30"/>
      <c r="F59" s="30"/>
      <c r="G59" s="30"/>
      <c r="H59" s="30"/>
      <c r="I59" s="30"/>
      <c r="J59" s="30"/>
      <c r="K59" s="30"/>
      <c r="L59" s="30"/>
      <c r="M59" s="30"/>
      <c r="N59" s="30"/>
      <c r="O59" s="30"/>
      <c r="P59" s="30"/>
      <c r="Q59" s="30"/>
      <c r="R59" s="30"/>
      <c r="S59" s="30"/>
      <c r="T59" s="30"/>
      <c r="U59" s="30"/>
      <c r="V59" s="30"/>
      <c r="W59" s="30"/>
      <c r="X59" s="30"/>
      <c r="Y59" s="30"/>
      <c r="Z59" s="30"/>
      <c r="AA59" s="39"/>
      <c r="AB59" s="120"/>
      <c r="AC59" s="13"/>
      <c r="AD59" s="45"/>
      <c r="AE59" s="45"/>
      <c r="AF59" s="45"/>
      <c r="AG59" s="45"/>
      <c r="AH59" s="45"/>
      <c r="AI59" s="45"/>
      <c r="AJ59" s="45"/>
      <c r="AK59" s="45"/>
      <c r="AL59" s="98"/>
      <c r="AM59" s="98"/>
      <c r="AN59" s="98"/>
      <c r="AO59" s="98"/>
      <c r="AP59" s="98"/>
      <c r="AQ59" s="98"/>
      <c r="AR59" s="98"/>
      <c r="AS59" s="98"/>
      <c r="AT59" s="98"/>
      <c r="AU59" s="98"/>
      <c r="AV59" s="98"/>
    </row>
    <row r="60" spans="1:48" s="252" customFormat="1" ht="17.100000000000001" customHeight="1">
      <c r="A60" s="13"/>
      <c r="B60" s="119"/>
      <c r="C60" s="23"/>
      <c r="D60" s="23"/>
      <c r="E60" s="23"/>
      <c r="F60" s="23"/>
      <c r="G60" s="23"/>
      <c r="H60" s="23"/>
      <c r="I60" s="23"/>
      <c r="J60" s="23"/>
      <c r="K60" s="23"/>
      <c r="L60" s="23"/>
      <c r="M60" s="23"/>
      <c r="N60" s="23"/>
      <c r="O60" s="23"/>
      <c r="P60" s="23"/>
      <c r="Q60" s="23"/>
      <c r="R60" s="23"/>
      <c r="S60" s="23"/>
      <c r="T60" s="23"/>
      <c r="U60" s="23"/>
      <c r="V60" s="23"/>
      <c r="W60" s="23"/>
      <c r="X60" s="23"/>
      <c r="Y60" s="23"/>
      <c r="Z60" s="23"/>
      <c r="AA60" s="408" t="s">
        <v>500</v>
      </c>
      <c r="AB60" s="120"/>
      <c r="AC60" s="13"/>
      <c r="AD60" s="45"/>
      <c r="AE60" s="45"/>
      <c r="AF60" s="45"/>
      <c r="AG60" s="45"/>
      <c r="AH60" s="45"/>
      <c r="AI60" s="45"/>
      <c r="AJ60" s="45"/>
      <c r="AK60" s="45"/>
      <c r="AL60" s="98"/>
      <c r="AM60" s="98"/>
      <c r="AN60" s="98"/>
      <c r="AO60" s="98"/>
      <c r="AP60" s="98"/>
      <c r="AQ60" s="98"/>
      <c r="AR60" s="98"/>
      <c r="AS60" s="98"/>
      <c r="AT60" s="98"/>
      <c r="AU60" s="98"/>
      <c r="AV60" s="98"/>
    </row>
    <row r="61" spans="1:48" s="252" customFormat="1" ht="17.100000000000001" customHeight="1" thickBot="1">
      <c r="A61" s="13"/>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409" t="s">
        <v>395</v>
      </c>
      <c r="AB61" s="126"/>
      <c r="AC61" s="13"/>
      <c r="AD61" s="45"/>
      <c r="AE61" s="45"/>
      <c r="AF61" s="45"/>
      <c r="AG61" s="45"/>
      <c r="AH61" s="45"/>
      <c r="AI61" s="45"/>
      <c r="AJ61" s="45"/>
      <c r="AK61" s="45"/>
      <c r="AL61" s="98"/>
      <c r="AM61" s="98"/>
      <c r="AN61" s="98"/>
      <c r="AO61" s="98"/>
      <c r="AP61" s="98"/>
      <c r="AQ61" s="98"/>
      <c r="AR61" s="98"/>
      <c r="AS61" s="98"/>
      <c r="AT61" s="98"/>
      <c r="AU61" s="98"/>
      <c r="AV61" s="98"/>
    </row>
    <row r="62" spans="1:48" s="252" customFormat="1" ht="1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45"/>
      <c r="AE62" s="45"/>
      <c r="AF62" s="45"/>
      <c r="AG62" s="45"/>
      <c r="AH62" s="45"/>
      <c r="AI62" s="45"/>
      <c r="AJ62" s="45"/>
      <c r="AK62" s="45"/>
      <c r="AL62" s="98"/>
      <c r="AM62" s="98"/>
      <c r="AN62" s="98"/>
      <c r="AO62" s="98"/>
      <c r="AP62" s="98"/>
      <c r="AQ62" s="98"/>
      <c r="AR62" s="98"/>
      <c r="AS62" s="98"/>
      <c r="AT62" s="98"/>
      <c r="AU62" s="98"/>
      <c r="AV62" s="98"/>
    </row>
    <row r="63" spans="1:48" s="252" customFormat="1" ht="1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45"/>
      <c r="AE63" s="45"/>
      <c r="AF63" s="45"/>
      <c r="AG63" s="45"/>
      <c r="AH63" s="45"/>
      <c r="AI63" s="45"/>
      <c r="AJ63" s="45"/>
      <c r="AK63" s="45"/>
      <c r="AL63" s="98"/>
      <c r="AM63" s="98"/>
      <c r="AN63" s="98"/>
      <c r="AO63" s="98"/>
      <c r="AP63" s="98"/>
      <c r="AQ63" s="98"/>
      <c r="AR63" s="98"/>
      <c r="AS63" s="98"/>
      <c r="AT63" s="98"/>
      <c r="AU63" s="98"/>
      <c r="AV63" s="98"/>
    </row>
    <row r="64" spans="1:48" s="252" customFormat="1" ht="1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45"/>
      <c r="AE64" s="45"/>
      <c r="AF64" s="45"/>
      <c r="AG64" s="45"/>
      <c r="AH64" s="45"/>
      <c r="AI64" s="45"/>
      <c r="AJ64" s="45"/>
      <c r="AK64" s="45"/>
      <c r="AL64" s="98"/>
      <c r="AM64" s="98"/>
      <c r="AN64" s="98"/>
      <c r="AO64" s="98"/>
      <c r="AP64" s="98"/>
      <c r="AQ64" s="98"/>
      <c r="AR64" s="98"/>
      <c r="AS64" s="98"/>
      <c r="AT64" s="98"/>
      <c r="AU64" s="98"/>
      <c r="AV64" s="98"/>
    </row>
    <row r="65" spans="1:48" s="252" customFormat="1" ht="1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45"/>
      <c r="AE65" s="45"/>
      <c r="AF65" s="45"/>
      <c r="AG65" s="45"/>
      <c r="AH65" s="45"/>
      <c r="AI65" s="45"/>
      <c r="AJ65" s="45"/>
      <c r="AK65" s="45"/>
      <c r="AL65" s="98"/>
      <c r="AM65" s="98"/>
      <c r="AN65" s="98"/>
      <c r="AO65" s="98"/>
      <c r="AP65" s="98"/>
      <c r="AQ65" s="98"/>
      <c r="AR65" s="98"/>
      <c r="AS65" s="98"/>
      <c r="AT65" s="98"/>
      <c r="AU65" s="98"/>
      <c r="AV65" s="98"/>
    </row>
    <row r="66" spans="1:48" s="252" customFormat="1" ht="1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45"/>
      <c r="AE66" s="45"/>
      <c r="AF66" s="45"/>
      <c r="AG66" s="45"/>
      <c r="AH66" s="45"/>
      <c r="AI66" s="45"/>
      <c r="AJ66" s="45"/>
      <c r="AK66" s="45"/>
      <c r="AL66" s="98"/>
      <c r="AM66" s="98"/>
      <c r="AN66" s="98"/>
      <c r="AO66" s="98"/>
      <c r="AP66" s="98"/>
      <c r="AQ66" s="98"/>
      <c r="AR66" s="98"/>
      <c r="AS66" s="98"/>
      <c r="AT66" s="98"/>
      <c r="AU66" s="98"/>
      <c r="AV66" s="98"/>
    </row>
    <row r="67" spans="1:48" s="252" customFormat="1" ht="1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45"/>
      <c r="AE67" s="45"/>
      <c r="AF67" s="45"/>
      <c r="AG67" s="45"/>
      <c r="AH67" s="45"/>
      <c r="AI67" s="45"/>
      <c r="AJ67" s="45"/>
      <c r="AK67" s="45"/>
      <c r="AL67" s="98"/>
      <c r="AM67" s="98"/>
      <c r="AN67" s="98"/>
      <c r="AO67" s="98"/>
      <c r="AP67" s="98"/>
      <c r="AQ67" s="98"/>
      <c r="AR67" s="98"/>
      <c r="AS67" s="98"/>
      <c r="AT67" s="98"/>
      <c r="AU67" s="98"/>
      <c r="AV67" s="98"/>
    </row>
    <row r="68" spans="1:48" s="252" customFormat="1" ht="1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45"/>
      <c r="AE68" s="45"/>
      <c r="AF68" s="45"/>
      <c r="AG68" s="45"/>
      <c r="AH68" s="45"/>
      <c r="AI68" s="45"/>
      <c r="AJ68" s="45"/>
      <c r="AK68" s="45"/>
      <c r="AL68" s="98"/>
      <c r="AM68" s="98"/>
      <c r="AN68" s="98"/>
      <c r="AO68" s="98"/>
      <c r="AP68" s="98"/>
      <c r="AQ68" s="98"/>
      <c r="AR68" s="98"/>
      <c r="AS68" s="98"/>
      <c r="AT68" s="98"/>
      <c r="AU68" s="98"/>
      <c r="AV68" s="98"/>
    </row>
    <row r="69" spans="1:48" s="252" customFormat="1" ht="1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45"/>
      <c r="AE69" s="45"/>
      <c r="AF69" s="45"/>
      <c r="AG69" s="45"/>
      <c r="AH69" s="45"/>
      <c r="AI69" s="45"/>
      <c r="AJ69" s="45"/>
      <c r="AK69" s="45"/>
      <c r="AL69" s="98"/>
      <c r="AM69" s="98"/>
      <c r="AN69" s="98"/>
      <c r="AO69" s="98"/>
      <c r="AP69" s="98"/>
      <c r="AQ69" s="98"/>
      <c r="AR69" s="98"/>
      <c r="AS69" s="98"/>
      <c r="AT69" s="98"/>
      <c r="AU69" s="98"/>
      <c r="AV69" s="98"/>
    </row>
  </sheetData>
  <sheetProtection password="CD8C" sheet="1" objects="1" scenarios="1"/>
  <mergeCells count="113">
    <mergeCell ref="U39:W39"/>
    <mergeCell ref="N39:T39"/>
    <mergeCell ref="J40:J43"/>
    <mergeCell ref="J54:J57"/>
    <mergeCell ref="J44:J53"/>
    <mergeCell ref="F40:F57"/>
    <mergeCell ref="M43:U47"/>
    <mergeCell ref="M48:U48"/>
    <mergeCell ref="M49:U54"/>
    <mergeCell ref="K43:K54"/>
    <mergeCell ref="L43:L54"/>
    <mergeCell ref="V43:V54"/>
    <mergeCell ref="W43:W54"/>
    <mergeCell ref="M40:U40"/>
    <mergeCell ref="M41:U41"/>
    <mergeCell ref="M42:U42"/>
    <mergeCell ref="K40:L42"/>
    <mergeCell ref="V40:W42"/>
    <mergeCell ref="K55:L57"/>
    <mergeCell ref="M55:U55"/>
    <mergeCell ref="M56:U56"/>
    <mergeCell ref="M57:U57"/>
    <mergeCell ref="V55:W57"/>
    <mergeCell ref="AP39:AP45"/>
    <mergeCell ref="AH23:AH45"/>
    <mergeCell ref="R9:S9"/>
    <mergeCell ref="T9:U9"/>
    <mergeCell ref="V9:W9"/>
    <mergeCell ref="R10:S10"/>
    <mergeCell ref="T10:U10"/>
    <mergeCell ref="V10:W10"/>
    <mergeCell ref="R11:S11"/>
    <mergeCell ref="T11:U11"/>
    <mergeCell ref="V11:W11"/>
    <mergeCell ref="Z11:AA11"/>
    <mergeCell ref="P12:AA12"/>
    <mergeCell ref="P10:Q10"/>
    <mergeCell ref="P11:Q11"/>
    <mergeCell ref="P9:Q9"/>
    <mergeCell ref="X10:Y10"/>
    <mergeCell ref="Z10:AA10"/>
    <mergeCell ref="C36:AA36"/>
    <mergeCell ref="M22:N22"/>
    <mergeCell ref="C21:L21"/>
    <mergeCell ref="M21:N21"/>
    <mergeCell ref="M27:N27"/>
    <mergeCell ref="K39:M39"/>
    <mergeCell ref="C34:N34"/>
    <mergeCell ref="C16:L16"/>
    <mergeCell ref="M16:N16"/>
    <mergeCell ref="C32:E32"/>
    <mergeCell ref="F32:G32"/>
    <mergeCell ref="H32:I32"/>
    <mergeCell ref="J32:K32"/>
    <mergeCell ref="C20:L20"/>
    <mergeCell ref="C30:N30"/>
    <mergeCell ref="C27:E27"/>
    <mergeCell ref="C28:E28"/>
    <mergeCell ref="C26:E26"/>
    <mergeCell ref="F28:G28"/>
    <mergeCell ref="H28:I28"/>
    <mergeCell ref="M32:N32"/>
    <mergeCell ref="C22:L22"/>
    <mergeCell ref="D19:M19"/>
    <mergeCell ref="C33:E33"/>
    <mergeCell ref="F33:G33"/>
    <mergeCell ref="H33:I33"/>
    <mergeCell ref="J33:K33"/>
    <mergeCell ref="M33:N33"/>
    <mergeCell ref="J28:K28"/>
    <mergeCell ref="L26:N26"/>
    <mergeCell ref="AQ12:AT12"/>
    <mergeCell ref="AQ23:AT23"/>
    <mergeCell ref="AH12:AH20"/>
    <mergeCell ref="AP25:AP31"/>
    <mergeCell ref="AP32:AP38"/>
    <mergeCell ref="AL12:AO12"/>
    <mergeCell ref="B1:R1"/>
    <mergeCell ref="S1:AB1"/>
    <mergeCell ref="C8:N8"/>
    <mergeCell ref="C9:F9"/>
    <mergeCell ref="G9:N9"/>
    <mergeCell ref="P8:AA8"/>
    <mergeCell ref="M20:N20"/>
    <mergeCell ref="C15:L15"/>
    <mergeCell ref="M15:N15"/>
    <mergeCell ref="C13:L13"/>
    <mergeCell ref="M13:N13"/>
    <mergeCell ref="C14:L14"/>
    <mergeCell ref="M14:N14"/>
    <mergeCell ref="C12:L12"/>
    <mergeCell ref="M12:N12"/>
    <mergeCell ref="C10:F10"/>
    <mergeCell ref="G10:N10"/>
    <mergeCell ref="X11:Y11"/>
    <mergeCell ref="M28:N28"/>
    <mergeCell ref="C31:E31"/>
    <mergeCell ref="F31:G31"/>
    <mergeCell ref="H31:I31"/>
    <mergeCell ref="J31:K31"/>
    <mergeCell ref="L31:N31"/>
    <mergeCell ref="F27:G27"/>
    <mergeCell ref="H27:I27"/>
    <mergeCell ref="J27:K27"/>
    <mergeCell ref="X9:Z9"/>
    <mergeCell ref="C11:F11"/>
    <mergeCell ref="G11:N11"/>
    <mergeCell ref="C17:L17"/>
    <mergeCell ref="M17:N17"/>
    <mergeCell ref="C25:N25"/>
    <mergeCell ref="F26:G26"/>
    <mergeCell ref="H26:I26"/>
    <mergeCell ref="J26:K26"/>
  </mergeCells>
  <conditionalFormatting sqref="M16:N16">
    <cfRule type="expression" dxfId="3" priority="1">
      <formula>$AK$3&lt;&gt;3</formula>
    </cfRule>
  </conditionalFormatting>
  <dataValidations count="5">
    <dataValidation type="list" allowBlank="1" showInputMessage="1" showErrorMessage="1" sqref="G11:N11" xr:uid="{00000000-0002-0000-0900-000000000000}">
      <formula1>$AL$4:$AL$6</formula1>
    </dataValidation>
    <dataValidation type="custom" allowBlank="1" showInputMessage="1" showErrorMessage="1" error="Canopy roof angle must be between 5 and 30 degrees." sqref="M17:N17" xr:uid="{00000000-0002-0000-0900-000001000000}">
      <formula1>AJ2</formula1>
    </dataValidation>
    <dataValidation type="custom" allowBlank="1" showInputMessage="1" showErrorMessage="1" sqref="M16:N16" xr:uid="{00000000-0002-0000-0900-000002000000}">
      <formula1>NOT(OR($M$16&lt;=0,$M$16&gt;=1))</formula1>
    </dataValidation>
    <dataValidation type="list" allowBlank="1" showInputMessage="1" showErrorMessage="1" sqref="G9:N9" xr:uid="{00000000-0002-0000-0900-000003000000}">
      <formula1>Structure</formula1>
    </dataValidation>
    <dataValidation type="list" allowBlank="1" showInputMessage="1" showErrorMessage="1" sqref="G10:N10" xr:uid="{00000000-0002-0000-0900-000004000000}">
      <formula1>Type_of_surface</formula1>
    </dataValidation>
  </dataValidations>
  <hyperlinks>
    <hyperlink ref="C61" r:id="rId1" xr:uid="{00000000-0004-0000-0900-000000000000}"/>
  </hyperlinks>
  <printOptions horizontalCentered="1"/>
  <pageMargins left="0.74803149606299213" right="0.31496062992125984" top="0.74803149606299202" bottom="0.43307086614173229" header="0" footer="0"/>
  <pageSetup paperSize="9" scale="74"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Z71"/>
  <sheetViews>
    <sheetView showGridLines="0" zoomScaleNormal="100" zoomScaleSheetLayoutView="55" workbookViewId="0">
      <selection activeCell="R6" sqref="R6"/>
    </sheetView>
  </sheetViews>
  <sheetFormatPr defaultRowHeight="15" customHeight="1"/>
  <cols>
    <col min="1" max="1" width="2.5703125" style="13" customWidth="1"/>
    <col min="2" max="2" width="2" style="13" customWidth="1"/>
    <col min="3" max="3" width="6.140625" style="13" customWidth="1"/>
    <col min="4" max="27" width="4.7109375" style="13" customWidth="1"/>
    <col min="28" max="28" width="2" style="13" customWidth="1"/>
    <col min="29" max="29" width="2.5703125" style="13" customWidth="1"/>
    <col min="30" max="35" width="9.140625" style="136" hidden="1" customWidth="1"/>
    <col min="36" max="36" width="9.140625" style="252" hidden="1" customWidth="1"/>
    <col min="37" max="37" width="9.140625" style="136" hidden="1" customWidth="1"/>
    <col min="38" max="50" width="9.140625" style="247" hidden="1" customWidth="1"/>
    <col min="51" max="51" width="9.140625" style="247" customWidth="1"/>
    <col min="52" max="52" width="9.140625" style="247"/>
    <col min="53" max="16384" width="9.140625" style="136"/>
  </cols>
  <sheetData>
    <row r="1" spans="1:52" ht="15" customHeight="1">
      <c r="A1" s="133"/>
      <c r="B1" s="769" t="s">
        <v>486</v>
      </c>
      <c r="C1" s="769"/>
      <c r="D1" s="769"/>
      <c r="E1" s="769"/>
      <c r="F1" s="769"/>
      <c r="G1" s="769"/>
      <c r="H1" s="769"/>
      <c r="I1" s="769"/>
      <c r="J1" s="769"/>
      <c r="K1" s="769"/>
      <c r="L1" s="769"/>
      <c r="M1" s="769"/>
      <c r="N1" s="769"/>
      <c r="O1" s="769"/>
      <c r="P1" s="769"/>
      <c r="Q1" s="769"/>
      <c r="R1" s="769"/>
      <c r="S1" s="770" t="s">
        <v>487</v>
      </c>
      <c r="T1" s="770"/>
      <c r="U1" s="770"/>
      <c r="V1" s="770"/>
      <c r="W1" s="770"/>
      <c r="X1" s="770"/>
      <c r="Y1" s="770"/>
      <c r="Z1" s="770"/>
      <c r="AA1" s="770"/>
      <c r="AB1" s="770"/>
      <c r="AD1" s="43"/>
      <c r="AE1" s="43"/>
      <c r="AF1" s="43"/>
      <c r="AG1" s="43"/>
      <c r="AH1" s="43"/>
      <c r="AI1" s="43"/>
      <c r="AJ1" s="45"/>
      <c r="AK1" s="43"/>
      <c r="AL1" s="154"/>
      <c r="AM1" s="154"/>
      <c r="AN1" s="154"/>
      <c r="AO1" s="154"/>
      <c r="AP1" s="154"/>
      <c r="AQ1" s="154"/>
      <c r="AR1" s="154"/>
      <c r="AS1" s="154"/>
      <c r="AT1" s="154"/>
      <c r="AU1" s="154"/>
      <c r="AV1" s="154"/>
      <c r="AW1" s="154"/>
      <c r="AX1" s="154"/>
      <c r="AY1" s="154"/>
      <c r="AZ1" s="154"/>
    </row>
    <row r="2" spans="1:52" ht="29.25" customHeight="1" thickBot="1">
      <c r="A2" s="133"/>
      <c r="AD2" s="43"/>
      <c r="AE2" s="43"/>
      <c r="AF2" s="43"/>
      <c r="AG2" s="43"/>
      <c r="AH2" s="43"/>
      <c r="AI2" s="43"/>
      <c r="AJ2" s="45" t="b">
        <f>OR(AND(-20&lt;=M18,M18&lt;=-5),AND(5&lt;=M18,M18&lt;=30))</f>
        <v>1</v>
      </c>
      <c r="AK2" s="43"/>
      <c r="AL2" s="154"/>
      <c r="AM2" s="154"/>
      <c r="AN2" s="154"/>
      <c r="AO2" s="154"/>
      <c r="AP2" s="154"/>
      <c r="AQ2" s="154"/>
      <c r="AR2" s="154"/>
      <c r="AS2" s="154"/>
      <c r="AT2" s="154"/>
      <c r="AU2" s="154"/>
      <c r="AV2" s="154"/>
      <c r="AW2" s="154"/>
      <c r="AX2" s="154"/>
      <c r="AY2" s="154"/>
      <c r="AZ2" s="154"/>
    </row>
    <row r="3" spans="1:52" ht="19.5" customHeight="1" thickBot="1">
      <c r="A3" s="133"/>
      <c r="AD3" s="43"/>
      <c r="AE3" s="43"/>
      <c r="AF3" s="43"/>
      <c r="AG3" s="43"/>
      <c r="AH3" s="137">
        <f>MATCH(AJ3,AJ4:AJ13,0)</f>
        <v>8</v>
      </c>
      <c r="AI3" s="235" t="s">
        <v>127</v>
      </c>
      <c r="AJ3" s="137">
        <f>CEILING(MIN(30,MAX(5,M18)),5)</f>
        <v>20</v>
      </c>
      <c r="AK3" s="236">
        <f>MATCH(G11,AL4:AL6,0)</f>
        <v>3</v>
      </c>
      <c r="AL3" s="237" t="s">
        <v>170</v>
      </c>
      <c r="AM3" s="238"/>
      <c r="AN3" s="154"/>
      <c r="AO3" s="186">
        <f>MATCH(G12,AP4:AP5,0)</f>
        <v>1</v>
      </c>
      <c r="AP3" s="237" t="s">
        <v>170</v>
      </c>
      <c r="AQ3" s="238"/>
      <c r="AR3" s="154"/>
      <c r="AS3" s="239"/>
      <c r="AT3" s="239"/>
      <c r="AU3" s="154"/>
      <c r="AV3" s="154"/>
      <c r="AW3" s="154"/>
      <c r="AX3" s="154"/>
      <c r="AY3" s="154"/>
      <c r="AZ3" s="154"/>
    </row>
    <row r="4" spans="1:52" ht="19.5" customHeight="1">
      <c r="A4" s="133"/>
      <c r="AD4" s="43"/>
      <c r="AE4" s="43"/>
      <c r="AF4" s="43"/>
      <c r="AG4" s="43"/>
      <c r="AH4" s="204">
        <v>1</v>
      </c>
      <c r="AI4" s="186" t="s">
        <v>179</v>
      </c>
      <c r="AJ4" s="45">
        <v>-20</v>
      </c>
      <c r="AK4" s="186">
        <v>1</v>
      </c>
      <c r="AL4" s="237" t="s">
        <v>171</v>
      </c>
      <c r="AM4" s="238"/>
      <c r="AN4" s="154"/>
      <c r="AO4" s="186">
        <v>1</v>
      </c>
      <c r="AP4" s="237" t="s">
        <v>476</v>
      </c>
      <c r="AQ4" s="238"/>
      <c r="AR4" s="154"/>
      <c r="AS4" s="239"/>
      <c r="AT4" s="239"/>
      <c r="AU4" s="154"/>
      <c r="AV4" s="154"/>
      <c r="AW4" s="154"/>
      <c r="AX4" s="154"/>
      <c r="AY4" s="154"/>
      <c r="AZ4" s="154"/>
    </row>
    <row r="5" spans="1:52" ht="19.5" customHeight="1">
      <c r="A5" s="133"/>
      <c r="AD5" s="43"/>
      <c r="AE5" s="43"/>
      <c r="AF5" s="43"/>
      <c r="AG5" s="43"/>
      <c r="AH5" s="186">
        <v>2</v>
      </c>
      <c r="AI5" s="186" t="s">
        <v>180</v>
      </c>
      <c r="AJ5" s="45">
        <v>-15</v>
      </c>
      <c r="AK5" s="186">
        <v>2</v>
      </c>
      <c r="AL5" s="237" t="s">
        <v>464</v>
      </c>
      <c r="AM5" s="238"/>
      <c r="AN5" s="154"/>
      <c r="AO5" s="186">
        <v>2</v>
      </c>
      <c r="AP5" s="237" t="s">
        <v>477</v>
      </c>
      <c r="AQ5" s="238"/>
      <c r="AR5" s="154"/>
      <c r="AS5" s="239"/>
      <c r="AT5" s="239"/>
      <c r="AU5" s="154"/>
      <c r="AV5" s="154"/>
      <c r="AW5" s="154"/>
      <c r="AX5" s="154"/>
      <c r="AY5" s="154"/>
      <c r="AZ5" s="154"/>
    </row>
    <row r="6" spans="1:52" ht="17.100000000000001" customHeight="1">
      <c r="A6" s="133"/>
      <c r="B6" s="119"/>
      <c r="C6" s="23"/>
      <c r="D6" s="23"/>
      <c r="E6" s="23"/>
      <c r="F6" s="23"/>
      <c r="G6" s="23"/>
      <c r="H6" s="23"/>
      <c r="I6" s="23"/>
      <c r="J6" s="23"/>
      <c r="K6" s="23"/>
      <c r="L6" s="23"/>
      <c r="M6" s="23"/>
      <c r="N6" s="23"/>
      <c r="O6" s="23"/>
      <c r="P6" s="23"/>
      <c r="Q6" s="23"/>
      <c r="R6" s="23"/>
      <c r="S6" s="23"/>
      <c r="T6" s="23"/>
      <c r="U6" s="23"/>
      <c r="V6" s="23"/>
      <c r="W6" s="23"/>
      <c r="X6" s="23"/>
      <c r="Y6" s="23"/>
      <c r="Z6" s="23"/>
      <c r="AA6" s="23"/>
      <c r="AB6" s="120"/>
      <c r="AD6" s="43"/>
      <c r="AE6" s="43"/>
      <c r="AF6" s="43"/>
      <c r="AG6" s="43"/>
      <c r="AH6" s="186">
        <v>3</v>
      </c>
      <c r="AI6" s="186" t="s">
        <v>181</v>
      </c>
      <c r="AJ6" s="45">
        <v>-10</v>
      </c>
      <c r="AK6" s="186">
        <v>3</v>
      </c>
      <c r="AL6" s="237" t="s">
        <v>465</v>
      </c>
      <c r="AM6" s="238"/>
      <c r="AN6" s="154"/>
      <c r="AO6" s="154"/>
      <c r="AP6" s="154"/>
      <c r="AQ6" s="154"/>
      <c r="AR6" s="154"/>
      <c r="AS6" s="154"/>
      <c r="AT6" s="154"/>
      <c r="AU6" s="154"/>
      <c r="AV6" s="154"/>
      <c r="AW6" s="154"/>
      <c r="AX6" s="154"/>
      <c r="AY6" s="154"/>
      <c r="AZ6" s="154"/>
    </row>
    <row r="7" spans="1:52" ht="17.100000000000001" customHeight="1" thickBot="1">
      <c r="B7" s="119"/>
      <c r="C7" s="23"/>
      <c r="D7" s="23"/>
      <c r="E7" s="23"/>
      <c r="F7" s="23"/>
      <c r="G7" s="23"/>
      <c r="H7" s="23"/>
      <c r="I7" s="23"/>
      <c r="J7" s="23"/>
      <c r="K7" s="23"/>
      <c r="L7" s="23"/>
      <c r="M7" s="23"/>
      <c r="N7" s="23"/>
      <c r="O7" s="23"/>
      <c r="P7" s="23"/>
      <c r="Q7" s="23"/>
      <c r="R7" s="23"/>
      <c r="S7" s="23"/>
      <c r="T7" s="23"/>
      <c r="U7" s="23"/>
      <c r="V7" s="23"/>
      <c r="W7" s="23"/>
      <c r="X7" s="23"/>
      <c r="Y7" s="23"/>
      <c r="Z7" s="23"/>
      <c r="AA7" s="23"/>
      <c r="AB7" s="120"/>
      <c r="AD7" s="43"/>
      <c r="AE7" s="43"/>
      <c r="AF7" s="43"/>
      <c r="AG7" s="43"/>
      <c r="AH7" s="186">
        <v>4</v>
      </c>
      <c r="AI7" s="186" t="s">
        <v>182</v>
      </c>
      <c r="AJ7" s="45">
        <v>-5</v>
      </c>
      <c r="AK7" s="43"/>
      <c r="AL7" s="154"/>
      <c r="AM7" s="154"/>
      <c r="AN7" s="154"/>
      <c r="AO7" s="154" t="str">
        <f>"Roof width b = "&amp;FIXED(M14,2)&amp;"m"</f>
        <v>Roof width b = 15.00m</v>
      </c>
      <c r="AP7" s="154"/>
      <c r="AQ7" s="154"/>
      <c r="AR7" s="154"/>
      <c r="AS7" s="154"/>
      <c r="AT7" s="154"/>
      <c r="AU7" s="154"/>
      <c r="AV7" s="154"/>
      <c r="AW7" s="154"/>
      <c r="AX7" s="154"/>
      <c r="AY7" s="154"/>
      <c r="AZ7" s="154"/>
    </row>
    <row r="8" spans="1:52" ht="17.100000000000001" customHeight="1" thickBot="1">
      <c r="B8" s="119"/>
      <c r="C8" s="573" t="s">
        <v>348</v>
      </c>
      <c r="D8" s="574"/>
      <c r="E8" s="574"/>
      <c r="F8" s="574"/>
      <c r="G8" s="574"/>
      <c r="H8" s="574"/>
      <c r="I8" s="574"/>
      <c r="J8" s="574"/>
      <c r="K8" s="574"/>
      <c r="L8" s="574"/>
      <c r="M8" s="574"/>
      <c r="N8" s="575"/>
      <c r="O8" s="23"/>
      <c r="P8" s="573" t="s">
        <v>380</v>
      </c>
      <c r="Q8" s="574"/>
      <c r="R8" s="574"/>
      <c r="S8" s="574"/>
      <c r="T8" s="574"/>
      <c r="U8" s="574"/>
      <c r="V8" s="574"/>
      <c r="W8" s="574"/>
      <c r="X8" s="574"/>
      <c r="Y8" s="574"/>
      <c r="Z8" s="574"/>
      <c r="AA8" s="575"/>
      <c r="AB8" s="120"/>
      <c r="AD8" s="13" t="s">
        <v>579</v>
      </c>
      <c r="AE8" s="398" t="str">
        <f>G9</f>
        <v>Free-standing walls</v>
      </c>
      <c r="AF8" s="199" t="s">
        <v>554</v>
      </c>
      <c r="AG8" s="43"/>
      <c r="AH8" s="186">
        <v>5</v>
      </c>
      <c r="AI8" s="186" t="s">
        <v>162</v>
      </c>
      <c r="AJ8" s="45">
        <v>5</v>
      </c>
      <c r="AK8" s="67" t="b">
        <f>AO3=2</f>
        <v>0</v>
      </c>
      <c r="AL8" s="243" t="s">
        <v>183</v>
      </c>
      <c r="AM8" s="238"/>
      <c r="AN8" s="154"/>
      <c r="AO8" s="154" t="str">
        <f>"d4 = "&amp;FIXED(($M$15-2*$M$15/5)/2,2)&amp;"m"</f>
        <v>d4 = 7.50m</v>
      </c>
      <c r="AP8" s="154" t="str">
        <f>"d5 = "&amp;FIXED($M$15/5,2)&amp;"m"</f>
        <v>d5 = 5.00m</v>
      </c>
      <c r="AQ8" s="154" t="str">
        <f>"d6 = "&amp;FIXED(($M$15-2*$M$15/5)/2,2)&amp;"m"</f>
        <v>d6 = 7.50m</v>
      </c>
      <c r="AR8" s="154"/>
      <c r="AS8" s="154"/>
      <c r="AT8" s="154"/>
      <c r="AU8" s="154"/>
      <c r="AV8" s="154"/>
      <c r="AW8" s="154"/>
      <c r="AX8" s="154"/>
      <c r="AY8" s="154"/>
      <c r="AZ8" s="154"/>
    </row>
    <row r="9" spans="1:52" ht="17.100000000000001" customHeight="1">
      <c r="B9" s="119"/>
      <c r="C9" s="690" t="s">
        <v>370</v>
      </c>
      <c r="D9" s="691"/>
      <c r="E9" s="691"/>
      <c r="F9" s="691"/>
      <c r="G9" s="637" t="s">
        <v>373</v>
      </c>
      <c r="H9" s="637"/>
      <c r="I9" s="637"/>
      <c r="J9" s="637"/>
      <c r="K9" s="637"/>
      <c r="L9" s="637"/>
      <c r="M9" s="637"/>
      <c r="N9" s="638"/>
      <c r="O9" s="23"/>
      <c r="P9" s="809" t="s">
        <v>385</v>
      </c>
      <c r="Q9" s="810"/>
      <c r="R9" s="955" t="s">
        <v>76</v>
      </c>
      <c r="S9" s="955"/>
      <c r="T9" s="955" t="s">
        <v>77</v>
      </c>
      <c r="U9" s="955"/>
      <c r="V9" s="955" t="s">
        <v>80</v>
      </c>
      <c r="W9" s="955"/>
      <c r="X9" s="738" t="s">
        <v>98</v>
      </c>
      <c r="Y9" s="1035"/>
      <c r="Z9" s="1033" t="s">
        <v>481</v>
      </c>
      <c r="AA9" s="1034"/>
      <c r="AB9" s="120"/>
      <c r="AD9" s="13" t="s">
        <v>580</v>
      </c>
      <c r="AE9" s="400" t="s">
        <v>353</v>
      </c>
      <c r="AF9" s="199"/>
      <c r="AG9" s="43"/>
      <c r="AH9" s="186">
        <v>6</v>
      </c>
      <c r="AI9" s="186" t="s">
        <v>163</v>
      </c>
      <c r="AJ9" s="45">
        <v>10</v>
      </c>
      <c r="AK9" s="43"/>
      <c r="AL9" s="154"/>
      <c r="AM9" s="154"/>
      <c r="AN9" s="154"/>
      <c r="AO9" s="154" t="s">
        <v>169</v>
      </c>
      <c r="AP9" s="154"/>
      <c r="AQ9" s="154"/>
      <c r="AR9" s="154"/>
      <c r="AS9" s="154"/>
      <c r="AT9" s="154"/>
      <c r="AU9" s="154"/>
      <c r="AV9" s="154"/>
      <c r="AW9" s="154"/>
      <c r="AX9" s="154"/>
      <c r="AY9" s="154"/>
      <c r="AZ9" s="154"/>
    </row>
    <row r="10" spans="1:52" ht="17.100000000000001" customHeight="1">
      <c r="B10" s="119"/>
      <c r="C10" s="696" t="s">
        <v>356</v>
      </c>
      <c r="D10" s="697"/>
      <c r="E10" s="697"/>
      <c r="F10" s="697"/>
      <c r="G10" s="639" t="s">
        <v>357</v>
      </c>
      <c r="H10" s="639"/>
      <c r="I10" s="639"/>
      <c r="J10" s="639"/>
      <c r="K10" s="639"/>
      <c r="L10" s="639"/>
      <c r="M10" s="639"/>
      <c r="N10" s="640"/>
      <c r="O10" s="23"/>
      <c r="P10" s="752" t="s">
        <v>444</v>
      </c>
      <c r="Q10" s="753"/>
      <c r="R10" s="711">
        <f>IF($AK$8=TRUE,MAX(F28:G30),F28)</f>
        <v>1.4850000000000003</v>
      </c>
      <c r="S10" s="711"/>
      <c r="T10" s="711">
        <f>IF($AK$8=TRUE,MAX(H28:I30),H28)</f>
        <v>2.5649999999999999</v>
      </c>
      <c r="U10" s="711"/>
      <c r="V10" s="711">
        <f>IF($AK$8=TRUE,MAX(J28:K30),J28)</f>
        <v>2.0250000000000004</v>
      </c>
      <c r="W10" s="711"/>
      <c r="X10" s="1036">
        <f>IF($AK$8=TRUE,MAX(L28:M30),L28)</f>
        <v>0.54</v>
      </c>
      <c r="Y10" s="1037"/>
      <c r="Z10" s="1038">
        <f>IF($AK$8=TRUE,MAX(O28:P30),O28)</f>
        <v>303.75</v>
      </c>
      <c r="AA10" s="969"/>
      <c r="AB10" s="120"/>
      <c r="AD10" s="13" t="s">
        <v>581</v>
      </c>
      <c r="AE10" s="398" t="str">
        <f>G10</f>
        <v>Smooth (e.g. smooth concrete, steel)</v>
      </c>
      <c r="AF10" s="199" t="s">
        <v>556</v>
      </c>
      <c r="AG10" s="43"/>
      <c r="AH10" s="186">
        <v>7</v>
      </c>
      <c r="AI10" s="186" t="s">
        <v>164</v>
      </c>
      <c r="AJ10" s="45">
        <v>15</v>
      </c>
      <c r="AK10" s="244" t="s">
        <v>139</v>
      </c>
      <c r="AL10" s="145" t="s">
        <v>237</v>
      </c>
      <c r="AM10" s="145" t="s">
        <v>238</v>
      </c>
      <c r="AN10" s="154"/>
      <c r="AO10" s="245" t="s">
        <v>101</v>
      </c>
      <c r="AP10" s="246" t="s">
        <v>168</v>
      </c>
      <c r="AQ10" s="246" t="s">
        <v>76</v>
      </c>
      <c r="AR10" s="246" t="s">
        <v>77</v>
      </c>
      <c r="AS10" s="245" t="s">
        <v>80</v>
      </c>
      <c r="AT10" s="246" t="s">
        <v>98</v>
      </c>
      <c r="AV10" s="154"/>
      <c r="AW10" s="154"/>
      <c r="AX10" s="154"/>
      <c r="AY10" s="154"/>
      <c r="AZ10" s="154"/>
    </row>
    <row r="11" spans="1:52" ht="17.100000000000001" customHeight="1">
      <c r="B11" s="119"/>
      <c r="C11" s="696" t="s">
        <v>478</v>
      </c>
      <c r="D11" s="697"/>
      <c r="E11" s="697"/>
      <c r="F11" s="697"/>
      <c r="G11" s="639" t="s">
        <v>465</v>
      </c>
      <c r="H11" s="639"/>
      <c r="I11" s="639"/>
      <c r="J11" s="639"/>
      <c r="K11" s="639"/>
      <c r="L11" s="639"/>
      <c r="M11" s="639"/>
      <c r="N11" s="640"/>
      <c r="O11" s="23"/>
      <c r="P11" s="754" t="s">
        <v>443</v>
      </c>
      <c r="Q11" s="755"/>
      <c r="R11" s="768">
        <f>IF($AK$8=TRUE,MAX(F31:G33),F31)</f>
        <v>-1.7549999999999999</v>
      </c>
      <c r="S11" s="768"/>
      <c r="T11" s="768">
        <f>IF($AK$8=TRUE,MAX(H31:I33),H31)</f>
        <v>-2.7</v>
      </c>
      <c r="U11" s="768"/>
      <c r="V11" s="768">
        <f>IF($AK$8=TRUE,MAX(J31:K33),J31)</f>
        <v>-2.0250000000000004</v>
      </c>
      <c r="W11" s="768"/>
      <c r="X11" s="1030">
        <f>IF($AK$8=TRUE,MAX(L31:M33),L31)</f>
        <v>-2.7675000000000001</v>
      </c>
      <c r="Y11" s="1031"/>
      <c r="Z11" s="1032">
        <f>IF($AK$8=TRUE,MAX(O31:P33),O31)</f>
        <v>-556.875</v>
      </c>
      <c r="AA11" s="971"/>
      <c r="AB11" s="120"/>
      <c r="AD11" s="13" t="s">
        <v>537</v>
      </c>
      <c r="AE11" s="399">
        <f>1.35</f>
        <v>1.35</v>
      </c>
      <c r="AF11" s="199">
        <v>1.35</v>
      </c>
      <c r="AG11" s="43"/>
      <c r="AH11" s="204">
        <v>8</v>
      </c>
      <c r="AI11" s="186" t="s">
        <v>165</v>
      </c>
      <c r="AJ11" s="45">
        <v>20</v>
      </c>
      <c r="AK11" s="248" t="s">
        <v>187</v>
      </c>
      <c r="AL11" s="145">
        <v>1</v>
      </c>
      <c r="AM11" s="145">
        <v>0.8</v>
      </c>
      <c r="AN11" s="154"/>
      <c r="AO11" s="245" t="s">
        <v>237</v>
      </c>
      <c r="AP11" s="249">
        <f>VLOOKUP(TRUE,AK28:AW37,9,FALSE)</f>
        <v>303.75</v>
      </c>
      <c r="AQ11" s="249">
        <f>VLOOKUP(TRUE,AK28:AW37,10,FALSE)</f>
        <v>1.4850000000000003</v>
      </c>
      <c r="AR11" s="249">
        <f>VLOOKUP(TRUE,AK28:AW37,11,FALSE)</f>
        <v>2.5649999999999999</v>
      </c>
      <c r="AS11" s="245">
        <f>VLOOKUP(TRUE,AK28:AW37,12,FALSE)</f>
        <v>2.0250000000000004</v>
      </c>
      <c r="AT11" s="249">
        <f>VLOOKUP(TRUE,AK28:AW37,13,FALSE)</f>
        <v>0.54</v>
      </c>
      <c r="AV11" s="154"/>
      <c r="AW11" s="154"/>
      <c r="AX11" s="154"/>
      <c r="AY11" s="154"/>
      <c r="AZ11" s="154"/>
    </row>
    <row r="12" spans="1:52" ht="17.100000000000001" customHeight="1">
      <c r="B12" s="119"/>
      <c r="C12" s="696" t="s">
        <v>470</v>
      </c>
      <c r="D12" s="697"/>
      <c r="E12" s="697"/>
      <c r="F12" s="697"/>
      <c r="G12" s="639" t="s">
        <v>476</v>
      </c>
      <c r="H12" s="639"/>
      <c r="I12" s="639"/>
      <c r="J12" s="639"/>
      <c r="K12" s="639"/>
      <c r="L12" s="639"/>
      <c r="M12" s="639"/>
      <c r="N12" s="640"/>
      <c r="O12" s="23"/>
      <c r="P12" s="1044" t="s">
        <v>482</v>
      </c>
      <c r="Q12" s="1044"/>
      <c r="R12" s="1044"/>
      <c r="S12" s="1044"/>
      <c r="T12" s="1044"/>
      <c r="U12" s="1044"/>
      <c r="V12" s="1044"/>
      <c r="W12" s="1044"/>
      <c r="X12" s="1044"/>
      <c r="Y12" s="1044"/>
      <c r="Z12" s="1044"/>
      <c r="AA12" s="1044"/>
      <c r="AB12" s="120"/>
      <c r="AD12" s="13" t="s">
        <v>555</v>
      </c>
      <c r="AE12" s="399">
        <f>M14</f>
        <v>15</v>
      </c>
      <c r="AF12" s="199" t="s">
        <v>560</v>
      </c>
      <c r="AG12" s="43"/>
      <c r="AH12" s="186">
        <v>9</v>
      </c>
      <c r="AI12" s="186" t="s">
        <v>166</v>
      </c>
      <c r="AJ12" s="45">
        <v>25</v>
      </c>
      <c r="AK12" s="248" t="s">
        <v>188</v>
      </c>
      <c r="AL12" s="145">
        <v>0.9</v>
      </c>
      <c r="AM12" s="145">
        <v>0.7</v>
      </c>
      <c r="AN12" s="154"/>
      <c r="AO12" s="250" t="s">
        <v>238</v>
      </c>
      <c r="AP12" s="251">
        <f>VLOOKUP(TRUE,$AK$42:$AW$71,9,FALSE)</f>
        <v>-556.875</v>
      </c>
      <c r="AQ12" s="251">
        <f>VLOOKUP(TRUE,$AK$42:$AW$71,10,FALSE)</f>
        <v>-1.7549999999999999</v>
      </c>
      <c r="AR12" s="251">
        <f>VLOOKUP(TRUE,$AK$42:$AW$71,11,FALSE)</f>
        <v>-2.7</v>
      </c>
      <c r="AS12" s="250">
        <f>VLOOKUP(TRUE,$AK$42:$AW$71,12,FALSE)</f>
        <v>-2.0250000000000004</v>
      </c>
      <c r="AT12" s="251">
        <f>VLOOKUP(TRUE,$AK$42:$AW$71,13,FALSE)</f>
        <v>-2.7675000000000001</v>
      </c>
      <c r="AV12" s="154"/>
      <c r="AW12" s="154"/>
      <c r="AX12" s="154"/>
      <c r="AY12" s="154"/>
      <c r="AZ12" s="154"/>
    </row>
    <row r="13" spans="1:52" ht="17.100000000000001" customHeight="1">
      <c r="B13" s="119"/>
      <c r="C13" s="714" t="s">
        <v>347</v>
      </c>
      <c r="D13" s="715"/>
      <c r="E13" s="715"/>
      <c r="F13" s="715"/>
      <c r="G13" s="715"/>
      <c r="H13" s="715"/>
      <c r="I13" s="715"/>
      <c r="J13" s="715"/>
      <c r="K13" s="715"/>
      <c r="L13" s="715"/>
      <c r="M13" s="688">
        <v>1.35</v>
      </c>
      <c r="N13" s="689"/>
      <c r="O13" s="23"/>
      <c r="P13" s="1045"/>
      <c r="Q13" s="1045"/>
      <c r="R13" s="1045"/>
      <c r="S13" s="1045"/>
      <c r="T13" s="1045"/>
      <c r="U13" s="1045"/>
      <c r="V13" s="1045"/>
      <c r="W13" s="1045"/>
      <c r="X13" s="1045"/>
      <c r="Y13" s="1045"/>
      <c r="Z13" s="1045"/>
      <c r="AA13" s="1045"/>
      <c r="AB13" s="120"/>
      <c r="AD13" s="13" t="s">
        <v>540</v>
      </c>
      <c r="AE13" s="399">
        <f>M15</f>
        <v>25</v>
      </c>
      <c r="AF13" s="199" t="s">
        <v>561</v>
      </c>
      <c r="AG13" s="43"/>
      <c r="AH13" s="186">
        <v>10</v>
      </c>
      <c r="AI13" s="186" t="s">
        <v>167</v>
      </c>
      <c r="AJ13" s="45">
        <v>30</v>
      </c>
      <c r="AK13" s="248" t="s">
        <v>189</v>
      </c>
      <c r="AL13" s="145">
        <v>0.7</v>
      </c>
      <c r="AM13" s="145">
        <v>0.7</v>
      </c>
      <c r="AN13" s="154"/>
      <c r="AV13" s="154"/>
      <c r="AW13" s="154"/>
      <c r="AX13" s="154"/>
      <c r="AY13" s="98"/>
      <c r="AZ13" s="98"/>
    </row>
    <row r="14" spans="1:52" ht="17.100000000000001" customHeight="1">
      <c r="B14" s="119"/>
      <c r="C14" s="714" t="s">
        <v>448</v>
      </c>
      <c r="D14" s="715"/>
      <c r="E14" s="715"/>
      <c r="F14" s="715"/>
      <c r="G14" s="715"/>
      <c r="H14" s="715"/>
      <c r="I14" s="715"/>
      <c r="J14" s="715"/>
      <c r="K14" s="715"/>
      <c r="L14" s="715"/>
      <c r="M14" s="653">
        <v>15</v>
      </c>
      <c r="N14" s="654"/>
      <c r="O14" s="23"/>
      <c r="P14" s="23"/>
      <c r="Q14" s="23"/>
      <c r="R14" s="23"/>
      <c r="S14" s="23"/>
      <c r="T14" s="23"/>
      <c r="U14" s="23"/>
      <c r="V14" s="23"/>
      <c r="W14" s="23"/>
      <c r="X14" s="23"/>
      <c r="Y14" s="23"/>
      <c r="Z14" s="23"/>
      <c r="AA14" s="23"/>
      <c r="AB14" s="120"/>
      <c r="AD14" s="13" t="s">
        <v>539</v>
      </c>
      <c r="AE14" s="399">
        <f>82</f>
        <v>82</v>
      </c>
      <c r="AF14" s="199">
        <v>82</v>
      </c>
      <c r="AG14" s="43"/>
      <c r="AH14" s="43"/>
      <c r="AI14" s="183"/>
      <c r="AJ14" s="45"/>
      <c r="AK14" s="43"/>
      <c r="AL14" s="154"/>
      <c r="AM14" s="154"/>
      <c r="AN14" s="154"/>
      <c r="AO14" s="154"/>
      <c r="AP14" s="154"/>
      <c r="AQ14" s="154"/>
      <c r="AR14" s="154"/>
      <c r="AS14" s="154"/>
      <c r="AT14" s="154"/>
      <c r="AU14" s="154"/>
      <c r="AV14" s="154"/>
      <c r="AW14" s="154"/>
      <c r="AX14" s="154"/>
      <c r="AY14" s="98"/>
      <c r="AZ14" s="98"/>
    </row>
    <row r="15" spans="1:52" ht="17.100000000000001" customHeight="1">
      <c r="B15" s="119"/>
      <c r="C15" s="714" t="s">
        <v>447</v>
      </c>
      <c r="D15" s="715"/>
      <c r="E15" s="715"/>
      <c r="F15" s="715"/>
      <c r="G15" s="715"/>
      <c r="H15" s="715"/>
      <c r="I15" s="715"/>
      <c r="J15" s="715"/>
      <c r="K15" s="715"/>
      <c r="L15" s="715"/>
      <c r="M15" s="653">
        <v>25</v>
      </c>
      <c r="N15" s="654"/>
      <c r="O15" s="23"/>
      <c r="P15" s="1028" t="s">
        <v>475</v>
      </c>
      <c r="Q15" s="1029"/>
      <c r="R15" s="1029"/>
      <c r="S15" s="1029"/>
      <c r="T15" s="1029"/>
      <c r="U15" s="1029"/>
      <c r="V15" s="1029"/>
      <c r="W15" s="1029"/>
      <c r="X15" s="1029"/>
      <c r="Y15" s="1029"/>
      <c r="Z15" s="1029"/>
      <c r="AA15" s="195" t="s">
        <v>288</v>
      </c>
      <c r="AB15" s="120"/>
      <c r="AD15" s="13" t="s">
        <v>538</v>
      </c>
      <c r="AE15" s="403">
        <v>50</v>
      </c>
      <c r="AF15" s="199"/>
      <c r="AG15" s="43"/>
      <c r="AH15" s="43"/>
      <c r="AI15" s="183"/>
      <c r="AJ15" s="45"/>
      <c r="AK15" s="43"/>
      <c r="AL15" s="154"/>
      <c r="AM15" s="154"/>
      <c r="AN15" s="154"/>
      <c r="AO15" s="154"/>
      <c r="AP15" s="154"/>
      <c r="AQ15" s="154"/>
      <c r="AR15" s="98"/>
      <c r="AS15" s="154"/>
      <c r="AT15" s="154"/>
      <c r="AU15" s="154"/>
      <c r="AV15" s="154"/>
      <c r="AW15" s="154"/>
      <c r="AX15" s="154"/>
      <c r="AY15" s="98"/>
      <c r="AZ15" s="98"/>
    </row>
    <row r="16" spans="1:52" ht="17.100000000000001" customHeight="1">
      <c r="B16" s="119"/>
      <c r="C16" s="714" t="s">
        <v>449</v>
      </c>
      <c r="D16" s="715"/>
      <c r="E16" s="715"/>
      <c r="F16" s="715"/>
      <c r="G16" s="715"/>
      <c r="H16" s="715"/>
      <c r="I16" s="715"/>
      <c r="J16" s="715"/>
      <c r="K16" s="715"/>
      <c r="L16" s="715"/>
      <c r="M16" s="688">
        <v>81.8</v>
      </c>
      <c r="N16" s="689"/>
      <c r="O16" s="23"/>
      <c r="P16" s="714" t="s">
        <v>445</v>
      </c>
      <c r="Q16" s="715"/>
      <c r="R16" s="715"/>
      <c r="S16" s="715"/>
      <c r="T16" s="715"/>
      <c r="U16" s="715"/>
      <c r="V16" s="715"/>
      <c r="W16" s="715"/>
      <c r="X16" s="715"/>
      <c r="Y16" s="715"/>
      <c r="Z16" s="964">
        <f>+input!$Z$26</f>
        <v>0.01</v>
      </c>
      <c r="AA16" s="965"/>
      <c r="AB16" s="120"/>
      <c r="AD16" s="13" t="s">
        <v>582</v>
      </c>
      <c r="AE16" s="400" t="s">
        <v>299</v>
      </c>
      <c r="AF16" s="199"/>
      <c r="AG16" s="43"/>
      <c r="AH16" s="43"/>
      <c r="AI16" s="70"/>
      <c r="AJ16" s="45"/>
      <c r="AK16" s="43"/>
      <c r="AL16" s="154"/>
      <c r="AM16" s="154"/>
      <c r="AN16" s="154"/>
      <c r="AO16" s="154"/>
      <c r="AP16" s="154"/>
      <c r="AQ16" s="154"/>
      <c r="AR16" s="98"/>
      <c r="AS16" s="154"/>
      <c r="AT16" s="154"/>
      <c r="AU16" s="154"/>
      <c r="AV16" s="154"/>
      <c r="AW16" s="154"/>
      <c r="AX16" s="154"/>
      <c r="AY16" s="98"/>
      <c r="AZ16" s="98"/>
    </row>
    <row r="17" spans="1:52" ht="17.100000000000001" customHeight="1">
      <c r="B17" s="119"/>
      <c r="C17" s="714" t="s">
        <v>483</v>
      </c>
      <c r="D17" s="715"/>
      <c r="E17" s="715"/>
      <c r="F17" s="715"/>
      <c r="G17" s="715"/>
      <c r="H17" s="715"/>
      <c r="I17" s="715"/>
      <c r="J17" s="715"/>
      <c r="K17" s="715"/>
      <c r="L17" s="715"/>
      <c r="M17" s="653">
        <v>0.5</v>
      </c>
      <c r="N17" s="654"/>
      <c r="O17" s="23"/>
      <c r="P17" s="714" t="s">
        <v>389</v>
      </c>
      <c r="Q17" s="715"/>
      <c r="R17" s="715"/>
      <c r="S17" s="715"/>
      <c r="T17" s="715"/>
      <c r="U17" s="715"/>
      <c r="V17" s="715"/>
      <c r="W17" s="715"/>
      <c r="X17" s="715"/>
      <c r="Y17" s="715"/>
      <c r="Z17" s="550">
        <f>2*M14*M15/COS(AJ3*3.14/180)</f>
        <v>798.08193841542231</v>
      </c>
      <c r="AA17" s="551"/>
      <c r="AB17" s="120"/>
      <c r="AD17" s="13" t="s">
        <v>541</v>
      </c>
      <c r="AE17" s="403">
        <v>0.5</v>
      </c>
      <c r="AF17" s="199"/>
      <c r="AG17" s="43"/>
      <c r="AH17" s="43"/>
      <c r="AI17" s="43"/>
      <c r="AJ17" s="45"/>
      <c r="AK17" s="43"/>
      <c r="AL17" s="154"/>
      <c r="AM17" s="154"/>
      <c r="AN17" s="154"/>
      <c r="AO17" s="154"/>
      <c r="AP17" s="154"/>
      <c r="AQ17" s="154"/>
      <c r="AR17" s="98"/>
      <c r="AS17" s="154"/>
      <c r="AT17" s="154"/>
      <c r="AU17" s="154"/>
      <c r="AV17" s="154"/>
      <c r="AW17" s="154"/>
      <c r="AX17" s="154"/>
      <c r="AY17" s="98"/>
      <c r="AZ17" s="98"/>
    </row>
    <row r="18" spans="1:52" ht="17.100000000000001" customHeight="1">
      <c r="B18" s="119"/>
      <c r="C18" s="739" t="s">
        <v>484</v>
      </c>
      <c r="D18" s="740"/>
      <c r="E18" s="740"/>
      <c r="F18" s="740"/>
      <c r="G18" s="740"/>
      <c r="H18" s="740"/>
      <c r="I18" s="740"/>
      <c r="J18" s="740"/>
      <c r="K18" s="740"/>
      <c r="L18" s="740"/>
      <c r="M18" s="832">
        <v>20</v>
      </c>
      <c r="N18" s="833"/>
      <c r="O18" s="23"/>
      <c r="P18" s="739" t="s">
        <v>390</v>
      </c>
      <c r="Q18" s="740"/>
      <c r="R18" s="740"/>
      <c r="S18" s="740"/>
      <c r="T18" s="740"/>
      <c r="U18" s="740"/>
      <c r="V18" s="740"/>
      <c r="W18" s="740"/>
      <c r="X18" s="740"/>
      <c r="Y18" s="740"/>
      <c r="Z18" s="587">
        <f>+Z17*Z16*1.35</f>
        <v>10.774106168608203</v>
      </c>
      <c r="AA18" s="588"/>
      <c r="AB18" s="120"/>
      <c r="AD18" s="13" t="s">
        <v>542</v>
      </c>
      <c r="AE18" s="403">
        <v>6</v>
      </c>
      <c r="AF18" s="199"/>
      <c r="AG18" s="43"/>
      <c r="AH18" s="43"/>
      <c r="AI18" s="43"/>
      <c r="AJ18" s="45"/>
      <c r="AK18" s="43"/>
      <c r="AL18" s="154"/>
      <c r="AM18" s="154"/>
      <c r="AN18" s="154"/>
      <c r="AO18" s="154"/>
      <c r="AP18" s="154"/>
      <c r="AQ18" s="154"/>
      <c r="AR18" s="98"/>
      <c r="AS18" s="154"/>
      <c r="AT18" s="154"/>
      <c r="AU18" s="154"/>
      <c r="AV18" s="154"/>
      <c r="AW18" s="154"/>
      <c r="AX18" s="154"/>
      <c r="AY18" s="98"/>
      <c r="AZ18" s="98"/>
    </row>
    <row r="19" spans="1:52" s="252" customFormat="1" ht="17.100000000000001" customHeight="1">
      <c r="A19" s="13"/>
      <c r="B19" s="119"/>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120"/>
      <c r="AC19" s="13"/>
      <c r="AD19" s="13" t="s">
        <v>543</v>
      </c>
      <c r="AE19" s="403">
        <v>0.2</v>
      </c>
      <c r="AF19" s="199"/>
      <c r="AG19" s="45"/>
      <c r="AH19" s="45"/>
      <c r="AI19" s="45"/>
      <c r="AJ19" s="45"/>
      <c r="AK19" s="45"/>
      <c r="AL19" s="45"/>
      <c r="AM19" s="45"/>
      <c r="AN19" s="45"/>
      <c r="AO19" s="45"/>
      <c r="AP19" s="45"/>
      <c r="AQ19" s="45"/>
      <c r="AR19" s="98"/>
      <c r="AS19" s="98"/>
      <c r="AT19" s="98"/>
      <c r="AU19" s="98"/>
      <c r="AV19" s="98"/>
      <c r="AW19" s="98"/>
      <c r="AX19" s="45"/>
      <c r="AY19" s="98"/>
      <c r="AZ19" s="98"/>
    </row>
    <row r="20" spans="1:52" s="252" customFormat="1" ht="17.100000000000001" customHeight="1">
      <c r="A20" s="13"/>
      <c r="B20" s="119"/>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120"/>
      <c r="AC20" s="13"/>
      <c r="AD20" s="13" t="s">
        <v>544</v>
      </c>
      <c r="AE20" s="403">
        <v>-0.3</v>
      </c>
      <c r="AF20" s="199"/>
      <c r="AG20" s="45"/>
      <c r="AH20" s="45"/>
      <c r="AI20" s="45"/>
      <c r="AJ20" s="45"/>
      <c r="AK20" s="45"/>
      <c r="AL20" s="45"/>
      <c r="AM20" s="45"/>
      <c r="AN20" s="45"/>
      <c r="AO20" s="45"/>
      <c r="AP20" s="45"/>
      <c r="AQ20" s="45"/>
      <c r="AR20" s="98"/>
      <c r="AS20" s="98"/>
      <c r="AT20" s="98"/>
      <c r="AU20" s="98"/>
      <c r="AV20" s="98"/>
      <c r="AW20" s="98"/>
      <c r="AX20" s="45"/>
      <c r="AY20" s="98"/>
      <c r="AZ20" s="98"/>
    </row>
    <row r="21" spans="1:52" s="252" customFormat="1" ht="17.100000000000001" customHeight="1">
      <c r="A21" s="13"/>
      <c r="B21" s="119"/>
      <c r="C21" s="573" t="s">
        <v>461</v>
      </c>
      <c r="D21" s="574"/>
      <c r="E21" s="574"/>
      <c r="F21" s="574"/>
      <c r="G21" s="574"/>
      <c r="H21" s="574"/>
      <c r="I21" s="574"/>
      <c r="J21" s="574"/>
      <c r="K21" s="574"/>
      <c r="L21" s="574"/>
      <c r="M21" s="574"/>
      <c r="N21" s="574"/>
      <c r="O21" s="574"/>
      <c r="P21" s="575"/>
      <c r="Q21" s="23"/>
      <c r="R21" s="23"/>
      <c r="S21" s="23"/>
      <c r="T21" s="23"/>
      <c r="U21" s="23"/>
      <c r="V21" s="23"/>
      <c r="W21" s="23"/>
      <c r="X21" s="23"/>
      <c r="Y21" s="23"/>
      <c r="Z21" s="23"/>
      <c r="AA21" s="23"/>
      <c r="AB21" s="120"/>
      <c r="AC21" s="13"/>
      <c r="AD21" s="13" t="s">
        <v>583</v>
      </c>
      <c r="AE21" s="403" t="s">
        <v>95</v>
      </c>
      <c r="AF21" s="199"/>
      <c r="AG21" s="45"/>
      <c r="AH21" s="45"/>
      <c r="AI21" s="45"/>
      <c r="AJ21" s="45"/>
      <c r="AK21" s="45"/>
      <c r="AL21" s="45"/>
      <c r="AM21" s="45"/>
      <c r="AN21" s="45"/>
      <c r="AO21" s="45"/>
      <c r="AP21" s="45"/>
      <c r="AQ21" s="45"/>
      <c r="AR21" s="98"/>
      <c r="AS21" s="98"/>
      <c r="AT21" s="98"/>
      <c r="AU21" s="98"/>
      <c r="AV21" s="98"/>
      <c r="AW21" s="98"/>
      <c r="AX21" s="45"/>
      <c r="AY21" s="98"/>
      <c r="AZ21" s="98"/>
    </row>
    <row r="22" spans="1:52" s="252" customFormat="1" ht="17.100000000000001" customHeight="1">
      <c r="A22" s="13"/>
      <c r="B22" s="119"/>
      <c r="C22" s="870" t="s">
        <v>385</v>
      </c>
      <c r="D22" s="871"/>
      <c r="E22" s="871"/>
      <c r="F22" s="955" t="s">
        <v>76</v>
      </c>
      <c r="G22" s="955"/>
      <c r="H22" s="955" t="s">
        <v>77</v>
      </c>
      <c r="I22" s="955"/>
      <c r="J22" s="955" t="s">
        <v>80</v>
      </c>
      <c r="K22" s="955"/>
      <c r="L22" s="955" t="s">
        <v>98</v>
      </c>
      <c r="M22" s="955"/>
      <c r="N22" s="956" t="s">
        <v>462</v>
      </c>
      <c r="O22" s="955"/>
      <c r="P22" s="957"/>
      <c r="Q22" s="23"/>
      <c r="R22" s="23"/>
      <c r="S22" s="23"/>
      <c r="T22" s="23"/>
      <c r="U22" s="23"/>
      <c r="V22" s="23"/>
      <c r="W22" s="23"/>
      <c r="X22" s="23"/>
      <c r="Y22" s="23"/>
      <c r="Z22" s="23"/>
      <c r="AA22" s="23"/>
      <c r="AB22" s="120"/>
      <c r="AC22" s="13"/>
      <c r="AD22" s="13" t="s">
        <v>545</v>
      </c>
      <c r="AE22" s="403">
        <v>5</v>
      </c>
      <c r="AF22" s="199"/>
      <c r="AG22" s="45"/>
      <c r="AH22" s="45"/>
      <c r="AI22" s="45"/>
      <c r="AJ22" s="45"/>
      <c r="AK22" s="45"/>
      <c r="AL22" s="45"/>
      <c r="AM22" s="45"/>
      <c r="AN22" s="45"/>
      <c r="AO22" s="45"/>
      <c r="AP22" s="45"/>
      <c r="AQ22" s="45"/>
      <c r="AR22" s="98"/>
      <c r="AS22" s="98"/>
      <c r="AT22" s="98"/>
      <c r="AU22" s="98"/>
      <c r="AV22" s="98"/>
      <c r="AW22" s="98"/>
      <c r="AX22" s="45"/>
      <c r="AY22" s="98"/>
      <c r="AZ22" s="98"/>
    </row>
    <row r="23" spans="1:52" s="252" customFormat="1" ht="17.100000000000001" customHeight="1">
      <c r="A23" s="13"/>
      <c r="B23" s="119"/>
      <c r="C23" s="718" t="s">
        <v>437</v>
      </c>
      <c r="D23" s="719"/>
      <c r="E23" s="719"/>
      <c r="F23" s="711">
        <f>VLOOKUP(TRUE,$AK$28:$AW$37,3,FALSE)</f>
        <v>1.1000000000000001</v>
      </c>
      <c r="G23" s="711"/>
      <c r="H23" s="711">
        <f>VLOOKUP(TRUE,$AK$28:$AW$37,4,FALSE)</f>
        <v>1.9</v>
      </c>
      <c r="I23" s="711"/>
      <c r="J23" s="711">
        <f>VLOOKUP(TRUE,$AK$28:$AW$37,5,FALSE)</f>
        <v>1.5</v>
      </c>
      <c r="K23" s="711"/>
      <c r="L23" s="711">
        <f>VLOOKUP(TRUE,$AK$28:$AW$37,6,FALSE)</f>
        <v>0.4</v>
      </c>
      <c r="M23" s="711"/>
      <c r="N23" s="189" t="s">
        <v>463</v>
      </c>
      <c r="O23" s="711">
        <f>VLOOKUP(TRUE,$AK$28:$AW$37,2,FALSE)</f>
        <v>0.6</v>
      </c>
      <c r="P23" s="712"/>
      <c r="Q23" s="23"/>
      <c r="R23" s="23"/>
      <c r="S23" s="23"/>
      <c r="T23" s="23"/>
      <c r="U23" s="23"/>
      <c r="V23" s="23"/>
      <c r="W23" s="23"/>
      <c r="X23" s="23"/>
      <c r="Y23" s="23"/>
      <c r="Z23" s="23"/>
      <c r="AA23" s="23"/>
      <c r="AB23" s="120"/>
      <c r="AC23" s="13"/>
      <c r="AD23" s="13" t="s">
        <v>546</v>
      </c>
      <c r="AE23" s="403">
        <v>0</v>
      </c>
      <c r="AF23" s="199"/>
      <c r="AG23" s="45"/>
      <c r="AH23" s="45"/>
      <c r="AI23" s="45"/>
      <c r="AJ23" s="45"/>
      <c r="AK23" s="45"/>
      <c r="AL23" s="45"/>
      <c r="AM23" s="45"/>
      <c r="AN23" s="45"/>
      <c r="AO23" s="45"/>
      <c r="AP23" s="45"/>
      <c r="AQ23" s="45"/>
      <c r="AR23" s="98"/>
      <c r="AS23" s="98"/>
      <c r="AT23" s="98"/>
      <c r="AU23" s="98"/>
      <c r="AV23" s="98"/>
      <c r="AW23" s="98"/>
      <c r="AX23" s="45"/>
      <c r="AY23" s="98"/>
      <c r="AZ23" s="98"/>
    </row>
    <row r="24" spans="1:52" s="252" customFormat="1" ht="17.100000000000001" customHeight="1">
      <c r="A24" s="13"/>
      <c r="B24" s="119"/>
      <c r="C24" s="739" t="s">
        <v>436</v>
      </c>
      <c r="D24" s="740"/>
      <c r="E24" s="740"/>
      <c r="F24" s="768">
        <f>VLOOKUP(TRUE,$AK$42:$AW$71,3,FALSE)</f>
        <v>-1.2999999999999998</v>
      </c>
      <c r="G24" s="768"/>
      <c r="H24" s="768">
        <f>VLOOKUP(TRUE,$AK$42:$AW$71,4,FALSE)</f>
        <v>-2</v>
      </c>
      <c r="I24" s="768"/>
      <c r="J24" s="768">
        <f>VLOOKUP(TRUE,$AK$42:$AW$71,5,FALSE)</f>
        <v>-1.5</v>
      </c>
      <c r="K24" s="768"/>
      <c r="L24" s="768">
        <f>VLOOKUP(TRUE,$AK$42:$AW$71,6,FALSE)</f>
        <v>-2.0499999999999998</v>
      </c>
      <c r="M24" s="768"/>
      <c r="N24" s="188" t="s">
        <v>463</v>
      </c>
      <c r="O24" s="768">
        <f>VLOOKUP(TRUE,$AK$42:$AW$71,2,FALSE)</f>
        <v>-1.1000000000000001</v>
      </c>
      <c r="P24" s="797"/>
      <c r="Q24" s="23"/>
      <c r="R24" s="23"/>
      <c r="S24" s="23"/>
      <c r="T24" s="23"/>
      <c r="U24" s="23"/>
      <c r="V24" s="23"/>
      <c r="W24" s="23"/>
      <c r="X24" s="23"/>
      <c r="Y24" s="23"/>
      <c r="Z24" s="23"/>
      <c r="AA24" s="23"/>
      <c r="AB24" s="120"/>
      <c r="AC24" s="13"/>
      <c r="AD24" s="13" t="s">
        <v>547</v>
      </c>
      <c r="AE24" s="403">
        <v>1</v>
      </c>
      <c r="AF24" s="199"/>
      <c r="AG24" s="45"/>
      <c r="AH24" s="45"/>
      <c r="AI24" s="45"/>
      <c r="AJ24" s="45"/>
      <c r="AK24" s="45"/>
      <c r="AL24" s="45"/>
      <c r="AM24" s="45"/>
      <c r="AN24" s="45"/>
      <c r="AO24" s="45"/>
      <c r="AP24" s="45"/>
      <c r="AQ24" s="45"/>
      <c r="AR24" s="98"/>
      <c r="AS24" s="98">
        <v>9</v>
      </c>
      <c r="AT24" s="98">
        <v>10</v>
      </c>
      <c r="AU24" s="98">
        <v>11</v>
      </c>
      <c r="AV24" s="98">
        <v>12</v>
      </c>
      <c r="AW24" s="98">
        <v>13</v>
      </c>
      <c r="AX24" s="45"/>
      <c r="AY24" s="98"/>
      <c r="AZ24" s="98"/>
    </row>
    <row r="25" spans="1:52" s="252" customFormat="1" ht="17.100000000000001" customHeight="1">
      <c r="A25" s="13"/>
      <c r="B25" s="119"/>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120"/>
      <c r="AC25" s="13"/>
      <c r="AD25" s="210" t="s">
        <v>584</v>
      </c>
      <c r="AE25" s="403" t="s">
        <v>116</v>
      </c>
      <c r="AF25" s="199"/>
      <c r="AG25" s="45"/>
      <c r="AH25" s="45"/>
      <c r="AI25" s="45"/>
      <c r="AJ25" s="45"/>
      <c r="AK25" s="45"/>
      <c r="AL25" s="45"/>
      <c r="AM25" s="45"/>
      <c r="AN25" s="45"/>
      <c r="AO25" s="45"/>
      <c r="AP25" s="45"/>
      <c r="AQ25" s="45"/>
      <c r="AR25" s="98"/>
      <c r="AS25" s="98"/>
      <c r="AT25" s="98"/>
      <c r="AU25" s="98"/>
      <c r="AV25" s="98"/>
      <c r="AW25" s="98"/>
      <c r="AX25" s="45"/>
      <c r="AY25" s="98"/>
      <c r="AZ25" s="98"/>
    </row>
    <row r="26" spans="1:52" s="252" customFormat="1" ht="17.100000000000001" customHeight="1">
      <c r="A26" s="13"/>
      <c r="B26" s="119"/>
      <c r="C26" s="573" t="s">
        <v>468</v>
      </c>
      <c r="D26" s="574"/>
      <c r="E26" s="574"/>
      <c r="F26" s="574"/>
      <c r="G26" s="574"/>
      <c r="H26" s="574"/>
      <c r="I26" s="574"/>
      <c r="J26" s="574"/>
      <c r="K26" s="574"/>
      <c r="L26" s="574"/>
      <c r="M26" s="574"/>
      <c r="N26" s="574"/>
      <c r="O26" s="574"/>
      <c r="P26" s="574"/>
      <c r="Q26" s="574"/>
      <c r="R26" s="574"/>
      <c r="S26" s="574"/>
      <c r="T26" s="574"/>
      <c r="U26" s="574"/>
      <c r="V26" s="575"/>
      <c r="W26" s="23"/>
      <c r="X26" s="23"/>
      <c r="Y26" s="23"/>
      <c r="Z26" s="23"/>
      <c r="AA26" s="23"/>
      <c r="AB26" s="120"/>
      <c r="AC26" s="13"/>
      <c r="AD26" s="210" t="s">
        <v>548</v>
      </c>
      <c r="AE26" s="403">
        <v>1</v>
      </c>
      <c r="AF26" s="199"/>
      <c r="AG26" s="45"/>
      <c r="AH26" s="788" t="s">
        <v>237</v>
      </c>
      <c r="AI26" s="253"/>
      <c r="AJ26" s="254"/>
      <c r="AK26" s="255"/>
      <c r="AL26" s="959" t="s">
        <v>177</v>
      </c>
      <c r="AM26" s="959"/>
      <c r="AN26" s="959"/>
      <c r="AO26" s="959"/>
      <c r="AP26" s="960"/>
      <c r="AQ26" s="154"/>
      <c r="AR26" s="98"/>
      <c r="AS26" s="958" t="s">
        <v>178</v>
      </c>
      <c r="AT26" s="959"/>
      <c r="AU26" s="959"/>
      <c r="AV26" s="959"/>
      <c r="AW26" s="960"/>
      <c r="AX26" s="154"/>
      <c r="AY26" s="98"/>
      <c r="AZ26" s="98"/>
    </row>
    <row r="27" spans="1:52" s="252" customFormat="1" ht="17.100000000000001" customHeight="1">
      <c r="A27" s="13"/>
      <c r="B27" s="119"/>
      <c r="C27" s="996" t="s">
        <v>385</v>
      </c>
      <c r="D27" s="997"/>
      <c r="E27" s="997"/>
      <c r="F27" s="1017" t="s">
        <v>76</v>
      </c>
      <c r="G27" s="1017"/>
      <c r="H27" s="1017" t="s">
        <v>77</v>
      </c>
      <c r="I27" s="1017"/>
      <c r="J27" s="1017" t="s">
        <v>80</v>
      </c>
      <c r="K27" s="1017"/>
      <c r="L27" s="1017" t="s">
        <v>98</v>
      </c>
      <c r="M27" s="1017"/>
      <c r="N27" s="1025" t="s">
        <v>462</v>
      </c>
      <c r="O27" s="1026"/>
      <c r="P27" s="1026"/>
      <c r="Q27" s="1019" t="s">
        <v>186</v>
      </c>
      <c r="R27" s="1020"/>
      <c r="S27" s="1020"/>
      <c r="T27" s="1020"/>
      <c r="U27" s="1020"/>
      <c r="V27" s="1021"/>
      <c r="W27" s="23"/>
      <c r="X27" s="23"/>
      <c r="Y27" s="23"/>
      <c r="Z27" s="23"/>
      <c r="AA27" s="23"/>
      <c r="AB27" s="120"/>
      <c r="AC27" s="13"/>
      <c r="AD27" s="210" t="s">
        <v>549</v>
      </c>
      <c r="AE27" s="403">
        <v>2</v>
      </c>
      <c r="AF27" s="199"/>
      <c r="AG27" s="45"/>
      <c r="AH27" s="713"/>
      <c r="AI27" s="256" t="s">
        <v>160</v>
      </c>
      <c r="AJ27" s="183" t="s">
        <v>172</v>
      </c>
      <c r="AK27" s="183" t="s">
        <v>174</v>
      </c>
      <c r="AL27" s="72" t="s">
        <v>173</v>
      </c>
      <c r="AM27" s="72" t="s">
        <v>76</v>
      </c>
      <c r="AN27" s="72" t="s">
        <v>77</v>
      </c>
      <c r="AO27" s="72" t="s">
        <v>80</v>
      </c>
      <c r="AP27" s="257" t="s">
        <v>98</v>
      </c>
      <c r="AQ27" s="98"/>
      <c r="AR27" s="98"/>
      <c r="AS27" s="258" t="s">
        <v>173</v>
      </c>
      <c r="AT27" s="72" t="s">
        <v>76</v>
      </c>
      <c r="AU27" s="72" t="s">
        <v>77</v>
      </c>
      <c r="AV27" s="72" t="s">
        <v>80</v>
      </c>
      <c r="AW27" s="257" t="s">
        <v>98</v>
      </c>
      <c r="AX27" s="98"/>
      <c r="AY27" s="98"/>
      <c r="AZ27" s="98"/>
    </row>
    <row r="28" spans="1:52" s="252" customFormat="1" ht="17.100000000000001" customHeight="1">
      <c r="A28" s="13"/>
      <c r="B28" s="119"/>
      <c r="C28" s="1042"/>
      <c r="D28" s="1043"/>
      <c r="E28" s="414" t="s">
        <v>480</v>
      </c>
      <c r="F28" s="1005">
        <f>IF($AK$8=TRUE,$AL11*$AQ$11,$AQ$11)</f>
        <v>1.4850000000000003</v>
      </c>
      <c r="G28" s="1005"/>
      <c r="H28" s="1005">
        <f>IF($AK$8=TRUE,$AL11*$AR$11,$AR$11)</f>
        <v>2.5649999999999999</v>
      </c>
      <c r="I28" s="1005"/>
      <c r="J28" s="1005">
        <f>IF($AK$8=TRUE,$AL11*$AS$11,$AS$11)</f>
        <v>2.0250000000000004</v>
      </c>
      <c r="K28" s="1005"/>
      <c r="L28" s="1005">
        <f>IF($AK$8=TRUE,$AL11*$AT$11,$AT$11)</f>
        <v>0.54</v>
      </c>
      <c r="M28" s="1005"/>
      <c r="N28" s="189" t="s">
        <v>471</v>
      </c>
      <c r="O28" s="1006">
        <f>IF($AK$8=TRUE,$AL$11*AP11,AP11)</f>
        <v>303.75</v>
      </c>
      <c r="P28" s="1006"/>
      <c r="Q28" s="998" t="str">
        <f>IF($AK$8=TRUE,"End bay","Whole canopy")</f>
        <v>Whole canopy</v>
      </c>
      <c r="R28" s="999"/>
      <c r="S28" s="999"/>
      <c r="T28" s="999"/>
      <c r="U28" s="999"/>
      <c r="V28" s="1000"/>
      <c r="W28" s="23"/>
      <c r="X28" s="23"/>
      <c r="Y28" s="23"/>
      <c r="Z28" s="23"/>
      <c r="AA28" s="23"/>
      <c r="AB28" s="120"/>
      <c r="AC28" s="13"/>
      <c r="AD28" s="210" t="s">
        <v>550</v>
      </c>
      <c r="AE28" s="404">
        <v>45</v>
      </c>
      <c r="AF28" s="199"/>
      <c r="AG28" s="183"/>
      <c r="AH28" s="713"/>
      <c r="AI28" s="256" t="b">
        <f>AND($AH$3=1)</f>
        <v>0</v>
      </c>
      <c r="AJ28" s="183" t="b">
        <v>1</v>
      </c>
      <c r="AK28" s="183" t="b">
        <f>AND(AI28=TRUE,AJ28=TRUE)</f>
        <v>0</v>
      </c>
      <c r="AL28" s="183">
        <v>0.7</v>
      </c>
      <c r="AM28" s="183">
        <v>0.8</v>
      </c>
      <c r="AN28" s="183">
        <v>1.6</v>
      </c>
      <c r="AO28" s="183">
        <v>0.6</v>
      </c>
      <c r="AP28" s="259">
        <v>1.7</v>
      </c>
      <c r="AQ28" s="45"/>
      <c r="AR28" s="98"/>
      <c r="AS28" s="258">
        <f t="shared" ref="AS28:AS37" si="0">1.35*$M$14*$M$15*AL28</f>
        <v>354.375</v>
      </c>
      <c r="AT28" s="72">
        <f t="shared" ref="AT28:AT37" si="1">1.35*AM28</f>
        <v>1.08</v>
      </c>
      <c r="AU28" s="72">
        <f t="shared" ref="AU28:AU37" si="2">1.35*AN28</f>
        <v>2.16</v>
      </c>
      <c r="AV28" s="72">
        <f t="shared" ref="AV28:AV37" si="3">1.35*AO28</f>
        <v>0.81</v>
      </c>
      <c r="AW28" s="257">
        <f t="shared" ref="AW28:AW37" si="4">1.35*AP28</f>
        <v>2.2949999999999999</v>
      </c>
      <c r="AX28" s="45"/>
      <c r="AY28" s="98"/>
      <c r="AZ28" s="98"/>
    </row>
    <row r="29" spans="1:52" s="252" customFormat="1" ht="17.100000000000001" customHeight="1">
      <c r="A29" s="13"/>
      <c r="B29" s="119"/>
      <c r="C29" s="1007" t="s">
        <v>434</v>
      </c>
      <c r="D29" s="1008"/>
      <c r="E29" s="415" t="s">
        <v>480</v>
      </c>
      <c r="F29" s="1018" t="str">
        <f>IF($AK$8=TRUE,$AL12*$AQ$11,"-")</f>
        <v>-</v>
      </c>
      <c r="G29" s="1018"/>
      <c r="H29" s="1018" t="str">
        <f>IF($AK$8=TRUE,$AL12*$AR$11,"-")</f>
        <v>-</v>
      </c>
      <c r="I29" s="1018"/>
      <c r="J29" s="1018" t="str">
        <f>IF($AK$8=TRUE,$AL12*$AS$11,"-")</f>
        <v>-</v>
      </c>
      <c r="K29" s="1018"/>
      <c r="L29" s="1018" t="str">
        <f>IF($AK$8=TRUE,$AL12*$AT$11,"-")</f>
        <v>-</v>
      </c>
      <c r="M29" s="1018"/>
      <c r="N29" s="177" t="s">
        <v>471</v>
      </c>
      <c r="O29" s="1027" t="str">
        <f>IF($AK$8=TRUE,$AL$12*VLOOKUP(TRUE,AK28:AW37,9,FALSE),"-")</f>
        <v>-</v>
      </c>
      <c r="P29" s="1027"/>
      <c r="Q29" s="1014" t="s">
        <v>184</v>
      </c>
      <c r="R29" s="1015"/>
      <c r="S29" s="1015"/>
      <c r="T29" s="1015"/>
      <c r="U29" s="1015"/>
      <c r="V29" s="1016"/>
      <c r="W29" s="23"/>
      <c r="X29" s="23"/>
      <c r="Y29" s="23"/>
      <c r="Z29" s="23"/>
      <c r="AA29" s="23"/>
      <c r="AB29" s="120"/>
      <c r="AC29" s="13"/>
      <c r="AD29" s="210" t="s">
        <v>586</v>
      </c>
      <c r="AE29" s="399">
        <f>M18</f>
        <v>20</v>
      </c>
      <c r="AF29" s="199" t="s">
        <v>570</v>
      </c>
      <c r="AG29" s="183"/>
      <c r="AH29" s="713"/>
      <c r="AI29" s="256" t="b">
        <f>AND($AH$3=2)</f>
        <v>0</v>
      </c>
      <c r="AJ29" s="183" t="b">
        <v>1</v>
      </c>
      <c r="AK29" s="183" t="b">
        <f t="shared" ref="AK29:AK37" si="5">AND(AI29=TRUE,AJ29=TRUE)</f>
        <v>0</v>
      </c>
      <c r="AL29" s="183">
        <v>0.5</v>
      </c>
      <c r="AM29" s="183">
        <v>0.6</v>
      </c>
      <c r="AN29" s="183">
        <v>1.5</v>
      </c>
      <c r="AO29" s="183">
        <v>0.7</v>
      </c>
      <c r="AP29" s="259">
        <v>1.4</v>
      </c>
      <c r="AQ29" s="45"/>
      <c r="AR29" s="98"/>
      <c r="AS29" s="258">
        <f t="shared" si="0"/>
        <v>253.125</v>
      </c>
      <c r="AT29" s="72">
        <f t="shared" si="1"/>
        <v>0.81</v>
      </c>
      <c r="AU29" s="72">
        <f t="shared" si="2"/>
        <v>2.0250000000000004</v>
      </c>
      <c r="AV29" s="72">
        <f t="shared" si="3"/>
        <v>0.94499999999999995</v>
      </c>
      <c r="AW29" s="257">
        <f t="shared" si="4"/>
        <v>1.89</v>
      </c>
      <c r="AX29" s="45"/>
      <c r="AY29" s="98"/>
      <c r="AZ29" s="98"/>
    </row>
    <row r="30" spans="1:52" s="252" customFormat="1" ht="17.100000000000001" customHeight="1">
      <c r="A30" s="13"/>
      <c r="B30" s="119"/>
      <c r="C30" s="1009"/>
      <c r="D30" s="1010"/>
      <c r="E30" s="416" t="s">
        <v>480</v>
      </c>
      <c r="F30" s="1003" t="str">
        <f>IF($AK$8=TRUE,$AL13*$AQ$11,"-")</f>
        <v>-</v>
      </c>
      <c r="G30" s="1003"/>
      <c r="H30" s="1003" t="str">
        <f>IF($AK$8=TRUE,$AL13*$AR$11,"-")</f>
        <v>-</v>
      </c>
      <c r="I30" s="1003"/>
      <c r="J30" s="1003" t="str">
        <f>IF($AK$8=TRUE,$AL13*$AS$11,"-")</f>
        <v>-</v>
      </c>
      <c r="K30" s="1003"/>
      <c r="L30" s="1003" t="str">
        <f>IF($AK$8=TRUE,$AL13*$AT$11,"-")</f>
        <v>-</v>
      </c>
      <c r="M30" s="1003"/>
      <c r="N30" s="178" t="s">
        <v>471</v>
      </c>
      <c r="O30" s="1004" t="str">
        <f>IF($AK$8=TRUE,$AL$13*VLOOKUP(TRUE,AK28:AW37,9,FALSE),"-")</f>
        <v>-</v>
      </c>
      <c r="P30" s="1004"/>
      <c r="Q30" s="1014" t="s">
        <v>185</v>
      </c>
      <c r="R30" s="1015"/>
      <c r="S30" s="1015"/>
      <c r="T30" s="1015"/>
      <c r="U30" s="1015"/>
      <c r="V30" s="1016"/>
      <c r="W30" s="23"/>
      <c r="X30" s="23"/>
      <c r="Y30" s="23"/>
      <c r="Z30" s="23"/>
      <c r="AA30" s="23"/>
      <c r="AB30" s="120"/>
      <c r="AC30" s="13"/>
      <c r="AD30" s="210" t="s">
        <v>585</v>
      </c>
      <c r="AE30" s="404">
        <v>90</v>
      </c>
      <c r="AF30" s="199"/>
      <c r="AG30" s="183"/>
      <c r="AH30" s="713"/>
      <c r="AI30" s="256" t="b">
        <f>AND($AH$3=3)</f>
        <v>0</v>
      </c>
      <c r="AJ30" s="183" t="b">
        <v>1</v>
      </c>
      <c r="AK30" s="183" t="b">
        <f t="shared" si="5"/>
        <v>0</v>
      </c>
      <c r="AL30" s="183">
        <v>0.4</v>
      </c>
      <c r="AM30" s="183">
        <v>0.6</v>
      </c>
      <c r="AN30" s="183">
        <v>1.4</v>
      </c>
      <c r="AO30" s="183">
        <v>0.8</v>
      </c>
      <c r="AP30" s="259">
        <v>1.1000000000000001</v>
      </c>
      <c r="AQ30" s="45"/>
      <c r="AR30" s="98"/>
      <c r="AS30" s="258">
        <f t="shared" si="0"/>
        <v>202.5</v>
      </c>
      <c r="AT30" s="72">
        <f t="shared" si="1"/>
        <v>0.81</v>
      </c>
      <c r="AU30" s="72">
        <f t="shared" si="2"/>
        <v>1.89</v>
      </c>
      <c r="AV30" s="72">
        <f t="shared" si="3"/>
        <v>1.08</v>
      </c>
      <c r="AW30" s="257">
        <f t="shared" si="4"/>
        <v>1.4850000000000003</v>
      </c>
      <c r="AX30" s="45"/>
      <c r="AY30" s="98"/>
      <c r="AZ30" s="98"/>
    </row>
    <row r="31" spans="1:52" s="252" customFormat="1" ht="17.100000000000001" customHeight="1">
      <c r="A31" s="13"/>
      <c r="B31" s="119"/>
      <c r="C31" s="1042"/>
      <c r="D31" s="1043"/>
      <c r="E31" s="414" t="s">
        <v>480</v>
      </c>
      <c r="F31" s="1005">
        <f>IF($AK$8=TRUE,$AM11*$AQ$12,$AQ$12)</f>
        <v>-1.7549999999999999</v>
      </c>
      <c r="G31" s="1005"/>
      <c r="H31" s="1005">
        <f>IF($AK$8=TRUE,$AM11*$AR$12,$AR$12)</f>
        <v>-2.7</v>
      </c>
      <c r="I31" s="1005"/>
      <c r="J31" s="1005">
        <f>IF($AK$8=TRUE,$AM11*$AS$12,$AS$12)</f>
        <v>-2.0250000000000004</v>
      </c>
      <c r="K31" s="1005"/>
      <c r="L31" s="1005">
        <f>IF($AK$8=TRUE,$AM11*$AT$12,$AT$12)</f>
        <v>-2.7675000000000001</v>
      </c>
      <c r="M31" s="1005"/>
      <c r="N31" s="189" t="s">
        <v>471</v>
      </c>
      <c r="O31" s="1006">
        <f>IF($AK$8=TRUE,$AM$11*AP12,AP12)</f>
        <v>-556.875</v>
      </c>
      <c r="P31" s="1006"/>
      <c r="Q31" s="1022" t="str">
        <f>IF($AK$8=TRUE,"End bay","Whole canopy")</f>
        <v>Whole canopy</v>
      </c>
      <c r="R31" s="1023"/>
      <c r="S31" s="1023"/>
      <c r="T31" s="1023"/>
      <c r="U31" s="1023"/>
      <c r="V31" s="1024"/>
      <c r="W31" s="23"/>
      <c r="X31" s="23"/>
      <c r="Y31" s="23"/>
      <c r="Z31" s="23"/>
      <c r="AA31" s="23"/>
      <c r="AB31" s="120"/>
      <c r="AC31" s="13"/>
      <c r="AD31" s="210" t="s">
        <v>552</v>
      </c>
      <c r="AE31" s="398" t="str">
        <f>G11</f>
        <v>Partially blocked</v>
      </c>
      <c r="AF31" s="199" t="s">
        <v>557</v>
      </c>
      <c r="AG31" s="183"/>
      <c r="AH31" s="713"/>
      <c r="AI31" s="256" t="b">
        <f>AND($AH$3=4)</f>
        <v>0</v>
      </c>
      <c r="AJ31" s="183" t="b">
        <v>1</v>
      </c>
      <c r="AK31" s="183" t="b">
        <f t="shared" si="5"/>
        <v>0</v>
      </c>
      <c r="AL31" s="72">
        <v>0.3</v>
      </c>
      <c r="AM31" s="72">
        <v>0.5</v>
      </c>
      <c r="AN31" s="72">
        <v>1.5</v>
      </c>
      <c r="AO31" s="72">
        <v>0.8</v>
      </c>
      <c r="AP31" s="257">
        <v>0.8</v>
      </c>
      <c r="AQ31" s="98"/>
      <c r="AR31" s="98"/>
      <c r="AS31" s="258">
        <f t="shared" si="0"/>
        <v>151.875</v>
      </c>
      <c r="AT31" s="72">
        <f t="shared" si="1"/>
        <v>0.67500000000000004</v>
      </c>
      <c r="AU31" s="72">
        <f t="shared" si="2"/>
        <v>2.0250000000000004</v>
      </c>
      <c r="AV31" s="72">
        <f t="shared" si="3"/>
        <v>1.08</v>
      </c>
      <c r="AW31" s="257">
        <f t="shared" si="4"/>
        <v>1.08</v>
      </c>
      <c r="AX31" s="98"/>
      <c r="AY31" s="98"/>
      <c r="AZ31" s="98"/>
    </row>
    <row r="32" spans="1:52" s="252" customFormat="1" ht="17.100000000000001" customHeight="1">
      <c r="A32" s="13"/>
      <c r="B32" s="119"/>
      <c r="C32" s="1007" t="s">
        <v>435</v>
      </c>
      <c r="D32" s="1008"/>
      <c r="E32" s="415" t="s">
        <v>480</v>
      </c>
      <c r="F32" s="1018" t="str">
        <f>IF($AK$8=TRUE,$AM12*$AQ$12,"-")</f>
        <v>-</v>
      </c>
      <c r="G32" s="1018"/>
      <c r="H32" s="1018" t="str">
        <f>IF($AK$8=TRUE,$AM12*$AR$12,"-")</f>
        <v>-</v>
      </c>
      <c r="I32" s="1018"/>
      <c r="J32" s="1018" t="str">
        <f>IF($AK$8=TRUE,$AM12*$AS$12,"-")</f>
        <v>-</v>
      </c>
      <c r="K32" s="1018"/>
      <c r="L32" s="1018" t="str">
        <f>IF($AK$8=TRUE,$AM12*$AT$12,"-")</f>
        <v>-</v>
      </c>
      <c r="M32" s="1018"/>
      <c r="N32" s="177" t="s">
        <v>471</v>
      </c>
      <c r="O32" s="1027" t="str">
        <f>IF($AK$8=TRUE,$AM$12*AP12,"-")</f>
        <v>-</v>
      </c>
      <c r="P32" s="1027"/>
      <c r="Q32" s="1014" t="s">
        <v>184</v>
      </c>
      <c r="R32" s="1015"/>
      <c r="S32" s="1015"/>
      <c r="T32" s="1015"/>
      <c r="U32" s="1015"/>
      <c r="V32" s="1016"/>
      <c r="W32" s="23"/>
      <c r="X32" s="23"/>
      <c r="Y32" s="23"/>
      <c r="Z32" s="23"/>
      <c r="AA32" s="23"/>
      <c r="AB32" s="120"/>
      <c r="AC32" s="13"/>
      <c r="AD32" s="210" t="s">
        <v>553</v>
      </c>
      <c r="AE32" s="399" t="str">
        <f>G12</f>
        <v>Single bay canopy</v>
      </c>
      <c r="AF32" s="199" t="s">
        <v>578</v>
      </c>
      <c r="AG32" s="183"/>
      <c r="AH32" s="713"/>
      <c r="AI32" s="256" t="b">
        <f>AND($AH$3=5)</f>
        <v>0</v>
      </c>
      <c r="AJ32" s="183" t="b">
        <v>1</v>
      </c>
      <c r="AK32" s="183" t="b">
        <f t="shared" si="5"/>
        <v>0</v>
      </c>
      <c r="AL32" s="72">
        <v>0.3</v>
      </c>
      <c r="AM32" s="72">
        <v>0.6</v>
      </c>
      <c r="AN32" s="72">
        <v>1.8</v>
      </c>
      <c r="AO32" s="72">
        <v>1.3</v>
      </c>
      <c r="AP32" s="257">
        <v>0.4</v>
      </c>
      <c r="AQ32" s="98"/>
      <c r="AR32" s="98"/>
      <c r="AS32" s="258">
        <f t="shared" si="0"/>
        <v>151.875</v>
      </c>
      <c r="AT32" s="72">
        <f t="shared" si="1"/>
        <v>0.81</v>
      </c>
      <c r="AU32" s="72">
        <f t="shared" si="2"/>
        <v>2.4300000000000002</v>
      </c>
      <c r="AV32" s="72">
        <f t="shared" si="3"/>
        <v>1.7550000000000001</v>
      </c>
      <c r="AW32" s="257">
        <f t="shared" si="4"/>
        <v>0.54</v>
      </c>
      <c r="AX32" s="98"/>
      <c r="AY32" s="98"/>
      <c r="AZ32" s="98"/>
    </row>
    <row r="33" spans="1:52" s="252" customFormat="1" ht="17.100000000000001" customHeight="1">
      <c r="A33" s="13"/>
      <c r="B33" s="119"/>
      <c r="C33" s="1040"/>
      <c r="D33" s="1041"/>
      <c r="E33" s="417" t="s">
        <v>480</v>
      </c>
      <c r="F33" s="1001" t="str">
        <f>IF($AK$8=TRUE,$AM13*$AQ$12,"-")</f>
        <v>-</v>
      </c>
      <c r="G33" s="1001"/>
      <c r="H33" s="1001" t="str">
        <f>IF($AK$8=TRUE,$AM13*$AR$12,"-")</f>
        <v>-</v>
      </c>
      <c r="I33" s="1001"/>
      <c r="J33" s="1001" t="str">
        <f>IF($AK$8=TRUE,$AM13*$AS$12,"-")</f>
        <v>-</v>
      </c>
      <c r="K33" s="1001"/>
      <c r="L33" s="1001" t="str">
        <f>IF($AK$8=TRUE,$AM13*$AT$12,"-")</f>
        <v>-</v>
      </c>
      <c r="M33" s="1001"/>
      <c r="N33" s="188" t="s">
        <v>471</v>
      </c>
      <c r="O33" s="1002" t="str">
        <f>IF($AK$8=TRUE,$AM$13*AP12,"-")</f>
        <v>-</v>
      </c>
      <c r="P33" s="1002"/>
      <c r="Q33" s="1011" t="s">
        <v>185</v>
      </c>
      <c r="R33" s="1012"/>
      <c r="S33" s="1012"/>
      <c r="T33" s="1012"/>
      <c r="U33" s="1012"/>
      <c r="V33" s="1013"/>
      <c r="W33" s="23"/>
      <c r="X33" s="23"/>
      <c r="Y33" s="23"/>
      <c r="Z33" s="23"/>
      <c r="AA33" s="23"/>
      <c r="AB33" s="120"/>
      <c r="AC33" s="13"/>
      <c r="AD33" s="210" t="s">
        <v>551</v>
      </c>
      <c r="AE33" s="399">
        <f>M17</f>
        <v>0.5</v>
      </c>
      <c r="AF33" s="199" t="s">
        <v>569</v>
      </c>
      <c r="AG33" s="183"/>
      <c r="AH33" s="713"/>
      <c r="AI33" s="256" t="b">
        <f>AND($AH$3=6)</f>
        <v>0</v>
      </c>
      <c r="AJ33" s="183" t="b">
        <v>1</v>
      </c>
      <c r="AK33" s="183" t="b">
        <f t="shared" si="5"/>
        <v>0</v>
      </c>
      <c r="AL33" s="72">
        <v>0.4</v>
      </c>
      <c r="AM33" s="72">
        <v>0.7</v>
      </c>
      <c r="AN33" s="72">
        <v>1.8</v>
      </c>
      <c r="AO33" s="72">
        <v>1.4</v>
      </c>
      <c r="AP33" s="257">
        <v>0.4</v>
      </c>
      <c r="AQ33" s="98"/>
      <c r="AR33" s="98"/>
      <c r="AS33" s="258">
        <f t="shared" si="0"/>
        <v>202.5</v>
      </c>
      <c r="AT33" s="72">
        <f t="shared" si="1"/>
        <v>0.94499999999999995</v>
      </c>
      <c r="AU33" s="72">
        <f t="shared" si="2"/>
        <v>2.4300000000000002</v>
      </c>
      <c r="AV33" s="72">
        <f t="shared" si="3"/>
        <v>1.89</v>
      </c>
      <c r="AW33" s="257">
        <f t="shared" si="4"/>
        <v>0.54</v>
      </c>
      <c r="AX33" s="98"/>
      <c r="AY33" s="98"/>
      <c r="AZ33" s="98"/>
    </row>
    <row r="34" spans="1:52" s="252" customFormat="1" ht="17.100000000000001" customHeight="1">
      <c r="A34" s="13"/>
      <c r="B34" s="119"/>
      <c r="C34" s="1046" t="s">
        <v>472</v>
      </c>
      <c r="D34" s="1046"/>
      <c r="E34" s="1046"/>
      <c r="F34" s="1046"/>
      <c r="G34" s="1046"/>
      <c r="H34" s="1046"/>
      <c r="I34" s="1046"/>
      <c r="J34" s="1046"/>
      <c r="K34" s="1046"/>
      <c r="L34" s="1046"/>
      <c r="M34" s="1046"/>
      <c r="N34" s="1046"/>
      <c r="O34" s="1046"/>
      <c r="P34" s="1046"/>
      <c r="Q34" s="23"/>
      <c r="R34" s="23"/>
      <c r="S34" s="23"/>
      <c r="T34" s="23"/>
      <c r="U34" s="23"/>
      <c r="V34" s="23"/>
      <c r="W34" s="23"/>
      <c r="X34" s="23"/>
      <c r="Y34" s="23"/>
      <c r="Z34" s="23"/>
      <c r="AA34" s="23"/>
      <c r="AB34" s="120"/>
      <c r="AC34" s="13"/>
      <c r="AD34" s="43" t="s">
        <v>587</v>
      </c>
      <c r="AE34" s="183"/>
      <c r="AF34" s="183"/>
      <c r="AG34" s="183"/>
      <c r="AH34" s="713"/>
      <c r="AI34" s="256" t="b">
        <f>AND($AH$3=7)</f>
        <v>0</v>
      </c>
      <c r="AJ34" s="183" t="b">
        <v>1</v>
      </c>
      <c r="AK34" s="183" t="b">
        <f t="shared" si="5"/>
        <v>0</v>
      </c>
      <c r="AL34" s="72">
        <v>0.4</v>
      </c>
      <c r="AM34" s="72">
        <v>0.9</v>
      </c>
      <c r="AN34" s="72">
        <v>1.9</v>
      </c>
      <c r="AO34" s="72">
        <v>1.4</v>
      </c>
      <c r="AP34" s="257">
        <v>0.4</v>
      </c>
      <c r="AQ34" s="98"/>
      <c r="AR34" s="98"/>
      <c r="AS34" s="258">
        <f t="shared" si="0"/>
        <v>202.5</v>
      </c>
      <c r="AT34" s="72">
        <f t="shared" si="1"/>
        <v>1.2150000000000001</v>
      </c>
      <c r="AU34" s="72">
        <f t="shared" si="2"/>
        <v>2.5649999999999999</v>
      </c>
      <c r="AV34" s="72">
        <f t="shared" si="3"/>
        <v>1.89</v>
      </c>
      <c r="AW34" s="257">
        <f t="shared" si="4"/>
        <v>0.54</v>
      </c>
      <c r="AX34" s="98"/>
      <c r="AY34" s="98"/>
      <c r="AZ34" s="98"/>
    </row>
    <row r="35" spans="1:52" s="252" customFormat="1" ht="17.100000000000001" customHeight="1">
      <c r="A35" s="13"/>
      <c r="B35" s="119"/>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120"/>
      <c r="AC35" s="13"/>
      <c r="AD35" s="43" t="s">
        <v>588</v>
      </c>
      <c r="AE35" s="183"/>
      <c r="AF35" s="183"/>
      <c r="AG35" s="183"/>
      <c r="AH35" s="713"/>
      <c r="AI35" s="256" t="b">
        <f>AND($AH$3=8)</f>
        <v>1</v>
      </c>
      <c r="AJ35" s="183" t="b">
        <v>1</v>
      </c>
      <c r="AK35" s="183" t="b">
        <f t="shared" si="5"/>
        <v>1</v>
      </c>
      <c r="AL35" s="72">
        <v>0.6</v>
      </c>
      <c r="AM35" s="72">
        <v>1.1000000000000001</v>
      </c>
      <c r="AN35" s="72">
        <v>1.9</v>
      </c>
      <c r="AO35" s="72">
        <v>1.5</v>
      </c>
      <c r="AP35" s="257">
        <v>0.4</v>
      </c>
      <c r="AQ35" s="98"/>
      <c r="AR35" s="98"/>
      <c r="AS35" s="258">
        <f t="shared" si="0"/>
        <v>303.75</v>
      </c>
      <c r="AT35" s="72">
        <f t="shared" si="1"/>
        <v>1.4850000000000003</v>
      </c>
      <c r="AU35" s="72">
        <f t="shared" si="2"/>
        <v>2.5649999999999999</v>
      </c>
      <c r="AV35" s="72">
        <f t="shared" si="3"/>
        <v>2.0250000000000004</v>
      </c>
      <c r="AW35" s="257">
        <f t="shared" si="4"/>
        <v>0.54</v>
      </c>
      <c r="AX35" s="98"/>
      <c r="AY35" s="98"/>
      <c r="AZ35" s="98"/>
    </row>
    <row r="36" spans="1:52" s="252" customFormat="1" ht="17.100000000000001" customHeight="1">
      <c r="A36" s="13"/>
      <c r="B36" s="119"/>
      <c r="C36" s="573" t="s">
        <v>479</v>
      </c>
      <c r="D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5"/>
      <c r="AB36" s="120"/>
      <c r="AC36" s="13"/>
      <c r="AD36" s="183"/>
      <c r="AE36" s="183"/>
      <c r="AF36" s="183"/>
      <c r="AG36" s="183"/>
      <c r="AH36" s="713"/>
      <c r="AI36" s="256" t="b">
        <f>AND($AH$3=9)</f>
        <v>0</v>
      </c>
      <c r="AJ36" s="183" t="b">
        <v>1</v>
      </c>
      <c r="AK36" s="183" t="b">
        <f t="shared" si="5"/>
        <v>0</v>
      </c>
      <c r="AL36" s="72">
        <v>0.7</v>
      </c>
      <c r="AM36" s="72">
        <v>1.2</v>
      </c>
      <c r="AN36" s="72">
        <v>1.9</v>
      </c>
      <c r="AO36" s="72">
        <v>1.6</v>
      </c>
      <c r="AP36" s="257">
        <v>0.5</v>
      </c>
      <c r="AQ36" s="98"/>
      <c r="AR36" s="98"/>
      <c r="AS36" s="258">
        <f t="shared" si="0"/>
        <v>354.375</v>
      </c>
      <c r="AT36" s="72">
        <f t="shared" si="1"/>
        <v>1.62</v>
      </c>
      <c r="AU36" s="72">
        <f t="shared" si="2"/>
        <v>2.5649999999999999</v>
      </c>
      <c r="AV36" s="72">
        <f t="shared" si="3"/>
        <v>2.16</v>
      </c>
      <c r="AW36" s="257">
        <f t="shared" si="4"/>
        <v>0.67500000000000004</v>
      </c>
      <c r="AX36" s="98"/>
      <c r="AY36" s="98"/>
      <c r="AZ36" s="98"/>
    </row>
    <row r="37" spans="1:52" s="252" customFormat="1" ht="17.100000000000001" customHeight="1">
      <c r="A37" s="13"/>
      <c r="B37" s="119"/>
      <c r="C37" s="35"/>
      <c r="D37" s="36"/>
      <c r="E37" s="36"/>
      <c r="F37" s="36"/>
      <c r="G37" s="36"/>
      <c r="H37" s="36"/>
      <c r="I37" s="36"/>
      <c r="J37" s="36"/>
      <c r="K37" s="36"/>
      <c r="L37" s="36"/>
      <c r="M37" s="36"/>
      <c r="N37" s="36"/>
      <c r="O37" s="36"/>
      <c r="P37" s="36"/>
      <c r="Q37" s="36"/>
      <c r="R37" s="36"/>
      <c r="S37" s="36"/>
      <c r="T37" s="36"/>
      <c r="U37" s="36"/>
      <c r="V37" s="36"/>
      <c r="W37" s="36"/>
      <c r="X37" s="36"/>
      <c r="Y37" s="36"/>
      <c r="Z37" s="36"/>
      <c r="AA37" s="37"/>
      <c r="AB37" s="120"/>
      <c r="AC37" s="13"/>
      <c r="AD37" s="183"/>
      <c r="AE37" s="183"/>
      <c r="AF37" s="183"/>
      <c r="AG37" s="183"/>
      <c r="AH37" s="789"/>
      <c r="AI37" s="206" t="b">
        <f>AND($AH$3=10)</f>
        <v>0</v>
      </c>
      <c r="AJ37" s="185" t="b">
        <v>1</v>
      </c>
      <c r="AK37" s="185" t="b">
        <f t="shared" si="5"/>
        <v>0</v>
      </c>
      <c r="AL37" s="260">
        <v>0.9</v>
      </c>
      <c r="AM37" s="260">
        <v>1.3</v>
      </c>
      <c r="AN37" s="260">
        <v>1.9</v>
      </c>
      <c r="AO37" s="260">
        <v>1.6</v>
      </c>
      <c r="AP37" s="261">
        <v>0.7</v>
      </c>
      <c r="AQ37" s="98"/>
      <c r="AR37" s="98"/>
      <c r="AS37" s="262">
        <f t="shared" si="0"/>
        <v>455.625</v>
      </c>
      <c r="AT37" s="260">
        <f t="shared" si="1"/>
        <v>1.7550000000000001</v>
      </c>
      <c r="AU37" s="260">
        <f t="shared" si="2"/>
        <v>2.5649999999999999</v>
      </c>
      <c r="AV37" s="260">
        <f t="shared" si="3"/>
        <v>2.16</v>
      </c>
      <c r="AW37" s="261">
        <f t="shared" si="4"/>
        <v>0.94499999999999995</v>
      </c>
      <c r="AX37" s="98"/>
      <c r="AY37" s="98"/>
      <c r="AZ37" s="98"/>
    </row>
    <row r="38" spans="1:52" s="252" customFormat="1" ht="17.100000000000001" customHeight="1">
      <c r="A38" s="13"/>
      <c r="B38" s="119"/>
      <c r="C38" s="25"/>
      <c r="D38" s="26"/>
      <c r="E38" s="26"/>
      <c r="F38" s="26"/>
      <c r="G38" s="26"/>
      <c r="H38" s="26"/>
      <c r="I38" s="26"/>
      <c r="J38" s="26"/>
      <c r="K38" s="26"/>
      <c r="L38" s="26"/>
      <c r="M38" s="26"/>
      <c r="N38" s="26"/>
      <c r="O38" s="26"/>
      <c r="P38" s="26"/>
      <c r="Q38" s="26"/>
      <c r="R38" s="26"/>
      <c r="S38" s="26"/>
      <c r="T38" s="26"/>
      <c r="U38" s="26"/>
      <c r="V38" s="26"/>
      <c r="W38" s="26"/>
      <c r="X38" s="26"/>
      <c r="Y38" s="26"/>
      <c r="Z38" s="26"/>
      <c r="AA38" s="38"/>
      <c r="AB38" s="120"/>
      <c r="AC38" s="13"/>
      <c r="AD38" s="45"/>
      <c r="AE38" s="45"/>
      <c r="AF38" s="45"/>
      <c r="AG38" s="45"/>
      <c r="AH38" s="45"/>
      <c r="AI38" s="45"/>
      <c r="AJ38" s="45"/>
      <c r="AK38" s="45"/>
      <c r="AL38" s="98"/>
      <c r="AM38" s="98"/>
      <c r="AN38" s="98"/>
      <c r="AO38" s="98"/>
      <c r="AP38" s="98"/>
      <c r="AQ38" s="98"/>
      <c r="AR38" s="98"/>
      <c r="AS38" s="98"/>
      <c r="AT38" s="98"/>
      <c r="AU38" s="98"/>
      <c r="AV38" s="98"/>
      <c r="AW38" s="98"/>
      <c r="AX38" s="98"/>
      <c r="AY38" s="98"/>
      <c r="AZ38" s="98"/>
    </row>
    <row r="39" spans="1:52" s="252" customFormat="1" ht="17.100000000000001" customHeight="1" thickBot="1">
      <c r="A39" s="13"/>
      <c r="B39" s="119"/>
      <c r="C39" s="25"/>
      <c r="D39" s="26"/>
      <c r="E39" s="26"/>
      <c r="F39" s="26"/>
      <c r="G39" s="26"/>
      <c r="H39" s="26"/>
      <c r="I39" s="26"/>
      <c r="J39" s="26"/>
      <c r="K39" s="976" t="str">
        <f>"d1 = "&amp;FIXED($M$15/10,2)&amp;"m"</f>
        <v>d1 = 2.50m</v>
      </c>
      <c r="L39" s="976"/>
      <c r="M39" s="976"/>
      <c r="N39" s="737" t="str">
        <f>"d2 = "&amp;FIXED($M$15-2*$M$15/10,2)&amp;"m"</f>
        <v>d2 = 20.00m</v>
      </c>
      <c r="O39" s="737"/>
      <c r="P39" s="737"/>
      <c r="Q39" s="737"/>
      <c r="R39" s="737"/>
      <c r="S39" s="737"/>
      <c r="T39" s="737"/>
      <c r="U39" s="977" t="str">
        <f>"d3 = "&amp;FIXED($M$15/10,2)&amp;"m"</f>
        <v>d3 = 2.50m</v>
      </c>
      <c r="V39" s="977"/>
      <c r="W39" s="977"/>
      <c r="X39" s="26"/>
      <c r="Y39" s="26"/>
      <c r="Z39" s="26"/>
      <c r="AA39" s="38"/>
      <c r="AB39" s="120"/>
      <c r="AC39" s="13"/>
      <c r="AD39" s="45"/>
      <c r="AE39" s="45"/>
      <c r="AF39" s="45"/>
      <c r="AG39" s="45"/>
      <c r="AH39" s="45"/>
      <c r="AI39" s="45"/>
      <c r="AJ39" s="45"/>
      <c r="AK39" s="45"/>
      <c r="AL39" s="98"/>
      <c r="AM39" s="98"/>
      <c r="AN39" s="98"/>
      <c r="AO39" s="98"/>
      <c r="AP39" s="98"/>
      <c r="AQ39" s="98"/>
      <c r="AR39" s="98"/>
      <c r="AS39" s="98"/>
      <c r="AT39" s="98"/>
      <c r="AU39" s="98"/>
      <c r="AV39" s="98"/>
      <c r="AW39" s="98"/>
      <c r="AX39" s="98"/>
      <c r="AY39" s="98"/>
      <c r="AZ39" s="98"/>
    </row>
    <row r="40" spans="1:52" s="252" customFormat="1" ht="17.100000000000001" customHeight="1">
      <c r="A40" s="13"/>
      <c r="B40" s="119"/>
      <c r="C40" s="25"/>
      <c r="D40" s="26"/>
      <c r="E40" s="26"/>
      <c r="F40" s="824" t="str">
        <f>AO7</f>
        <v>Roof width b = 15.00m</v>
      </c>
      <c r="G40" s="26"/>
      <c r="H40" s="26"/>
      <c r="I40" s="26"/>
      <c r="J40" s="978" t="str">
        <f>"b3 = "&amp;FIXED($M$14/10,2)&amp;"m"</f>
        <v>b3 = 1.50m</v>
      </c>
      <c r="K40" s="988"/>
      <c r="L40" s="989"/>
      <c r="M40" s="890" t="s">
        <v>473</v>
      </c>
      <c r="N40" s="891"/>
      <c r="O40" s="891"/>
      <c r="P40" s="891"/>
      <c r="Q40" s="891"/>
      <c r="R40" s="891"/>
      <c r="S40" s="891"/>
      <c r="T40" s="891"/>
      <c r="U40" s="892"/>
      <c r="V40" s="988"/>
      <c r="W40" s="989"/>
      <c r="X40" s="26"/>
      <c r="Y40" s="26"/>
      <c r="Z40" s="26"/>
      <c r="AA40" s="38"/>
      <c r="AB40" s="120"/>
      <c r="AC40" s="13"/>
      <c r="AD40" s="45"/>
      <c r="AE40" s="45"/>
      <c r="AF40" s="45"/>
      <c r="AG40" s="45"/>
      <c r="AH40" s="834" t="s">
        <v>238</v>
      </c>
      <c r="AI40" s="253"/>
      <c r="AJ40" s="254"/>
      <c r="AK40" s="255"/>
      <c r="AL40" s="959" t="s">
        <v>177</v>
      </c>
      <c r="AM40" s="959"/>
      <c r="AN40" s="959"/>
      <c r="AO40" s="959"/>
      <c r="AP40" s="959"/>
      <c r="AQ40" s="263"/>
      <c r="AR40" s="98"/>
      <c r="AS40" s="958" t="s">
        <v>178</v>
      </c>
      <c r="AT40" s="959"/>
      <c r="AU40" s="959"/>
      <c r="AV40" s="959"/>
      <c r="AW40" s="959"/>
      <c r="AX40" s="263"/>
      <c r="AY40" s="98"/>
      <c r="AZ40" s="98"/>
    </row>
    <row r="41" spans="1:52" s="252" customFormat="1" ht="17.100000000000001" customHeight="1">
      <c r="A41" s="13"/>
      <c r="B41" s="119"/>
      <c r="C41" s="25"/>
      <c r="D41" s="26"/>
      <c r="E41" s="26"/>
      <c r="F41" s="981"/>
      <c r="G41" s="26"/>
      <c r="H41" s="26"/>
      <c r="I41" s="26"/>
      <c r="J41" s="978"/>
      <c r="K41" s="927"/>
      <c r="L41" s="929"/>
      <c r="M41" s="927" t="str">
        <f>FIXED(H31,3)&amp;" kN/m2"</f>
        <v>-2.700 kN/m2</v>
      </c>
      <c r="N41" s="928"/>
      <c r="O41" s="928"/>
      <c r="P41" s="928"/>
      <c r="Q41" s="928"/>
      <c r="R41" s="928"/>
      <c r="S41" s="928"/>
      <c r="T41" s="928"/>
      <c r="U41" s="929"/>
      <c r="V41" s="927"/>
      <c r="W41" s="929"/>
      <c r="X41" s="26"/>
      <c r="Y41" s="26"/>
      <c r="Z41" s="26"/>
      <c r="AA41" s="38"/>
      <c r="AB41" s="120"/>
      <c r="AC41" s="13"/>
      <c r="AD41" s="45"/>
      <c r="AE41" s="45"/>
      <c r="AF41" s="45"/>
      <c r="AG41" s="45"/>
      <c r="AH41" s="961"/>
      <c r="AI41" s="256" t="s">
        <v>160</v>
      </c>
      <c r="AJ41" s="183" t="s">
        <v>172</v>
      </c>
      <c r="AK41" s="183" t="s">
        <v>174</v>
      </c>
      <c r="AL41" s="72" t="s">
        <v>173</v>
      </c>
      <c r="AM41" s="72" t="s">
        <v>76</v>
      </c>
      <c r="AN41" s="72" t="s">
        <v>77</v>
      </c>
      <c r="AO41" s="72" t="s">
        <v>80</v>
      </c>
      <c r="AP41" s="72" t="s">
        <v>98</v>
      </c>
      <c r="AQ41" s="257"/>
      <c r="AR41" s="98"/>
      <c r="AS41" s="258" t="s">
        <v>173</v>
      </c>
      <c r="AT41" s="72" t="s">
        <v>76</v>
      </c>
      <c r="AU41" s="72" t="s">
        <v>77</v>
      </c>
      <c r="AV41" s="72" t="s">
        <v>80</v>
      </c>
      <c r="AW41" s="72" t="s">
        <v>98</v>
      </c>
      <c r="AX41" s="257"/>
      <c r="AY41" s="98"/>
      <c r="AZ41" s="98"/>
    </row>
    <row r="42" spans="1:52" s="252" customFormat="1" ht="17.100000000000001" customHeight="1" thickBot="1">
      <c r="A42" s="13"/>
      <c r="B42" s="119"/>
      <c r="C42" s="25"/>
      <c r="D42" s="26"/>
      <c r="E42" s="26"/>
      <c r="F42" s="981"/>
      <c r="G42" s="26"/>
      <c r="H42" s="26"/>
      <c r="I42" s="26"/>
      <c r="J42" s="978"/>
      <c r="K42" s="990"/>
      <c r="L42" s="991"/>
      <c r="M42" s="848" t="str">
        <f>FIXED(H28,3)&amp;" kN/m2"</f>
        <v>2.565 kN/m2</v>
      </c>
      <c r="N42" s="849"/>
      <c r="O42" s="849"/>
      <c r="P42" s="849"/>
      <c r="Q42" s="849"/>
      <c r="R42" s="849"/>
      <c r="S42" s="849"/>
      <c r="T42" s="849"/>
      <c r="U42" s="850"/>
      <c r="V42" s="990"/>
      <c r="W42" s="991"/>
      <c r="X42" s="26"/>
      <c r="Y42" s="26"/>
      <c r="Z42" s="26"/>
      <c r="AA42" s="38"/>
      <c r="AB42" s="120"/>
      <c r="AC42" s="13"/>
      <c r="AD42" s="45"/>
      <c r="AE42" s="45"/>
      <c r="AF42" s="45"/>
      <c r="AG42" s="45"/>
      <c r="AH42" s="961"/>
      <c r="AI42" s="256" t="b">
        <f>AND($AH$3=1)</f>
        <v>0</v>
      </c>
      <c r="AJ42" s="183" t="b">
        <f>AND($AK$3=1)</f>
        <v>0</v>
      </c>
      <c r="AK42" s="183" t="b">
        <f>AND(AI42=TRUE,AJ42=TRUE)</f>
        <v>0</v>
      </c>
      <c r="AL42" s="72">
        <v>-0.7</v>
      </c>
      <c r="AM42" s="72">
        <v>-0.9</v>
      </c>
      <c r="AN42" s="72">
        <v>-1.3</v>
      </c>
      <c r="AO42" s="72">
        <v>-1.6</v>
      </c>
      <c r="AP42" s="72">
        <v>-0.6</v>
      </c>
      <c r="AQ42" s="264" t="s">
        <v>175</v>
      </c>
      <c r="AR42" s="98"/>
      <c r="AS42" s="258">
        <f t="shared" ref="AS42:AS71" si="6">1.35*$M$14*$M$15*AL42</f>
        <v>-354.375</v>
      </c>
      <c r="AT42" s="72">
        <f t="shared" ref="AT42:AT71" si="7">1.35*AM42</f>
        <v>-1.2150000000000001</v>
      </c>
      <c r="AU42" s="72">
        <f t="shared" ref="AU42:AU71" si="8">1.35*AN42</f>
        <v>-1.7550000000000001</v>
      </c>
      <c r="AV42" s="72">
        <f t="shared" ref="AV42:AV71" si="9">1.35*AO42</f>
        <v>-2.16</v>
      </c>
      <c r="AW42" s="72">
        <f t="shared" ref="AW42:AW71" si="10">1.35*AP42</f>
        <v>-0.81</v>
      </c>
      <c r="AX42" s="264" t="s">
        <v>175</v>
      </c>
      <c r="AY42" s="98"/>
      <c r="AZ42" s="98"/>
    </row>
    <row r="43" spans="1:52" s="252" customFormat="1" ht="17.100000000000001" customHeight="1">
      <c r="A43" s="13"/>
      <c r="B43" s="119"/>
      <c r="C43" s="25"/>
      <c r="D43" s="26"/>
      <c r="E43" s="26"/>
      <c r="F43" s="981"/>
      <c r="G43" s="26"/>
      <c r="H43" s="26"/>
      <c r="I43" s="26"/>
      <c r="J43" s="978"/>
      <c r="K43" s="982" t="s">
        <v>474</v>
      </c>
      <c r="L43" s="985" t="str">
        <f>FIXED(J31,3)&amp;" / "&amp;FIXED(J28,3)&amp;" kN/m2"</f>
        <v>-2.025 / 2.025 kN/m2</v>
      </c>
      <c r="M43" s="890" t="s">
        <v>394</v>
      </c>
      <c r="N43" s="891"/>
      <c r="O43" s="892"/>
      <c r="P43" s="891" t="s">
        <v>485</v>
      </c>
      <c r="Q43" s="891"/>
      <c r="R43" s="891"/>
      <c r="S43" s="890" t="str">
        <f>M43</f>
        <v>Zone A</v>
      </c>
      <c r="T43" s="891"/>
      <c r="U43" s="892"/>
      <c r="V43" s="982" t="s">
        <v>474</v>
      </c>
      <c r="W43" s="985" t="str">
        <f>FIXED(J31,3)&amp;" / "&amp;FIXED(J28,3)&amp;" kN/m2"</f>
        <v>-2.025 / 2.025 kN/m2</v>
      </c>
      <c r="X43" s="26"/>
      <c r="Y43" s="26"/>
      <c r="Z43" s="26"/>
      <c r="AA43" s="38"/>
      <c r="AB43" s="120"/>
      <c r="AC43" s="13"/>
      <c r="AD43" s="45"/>
      <c r="AE43" s="45"/>
      <c r="AF43" s="45"/>
      <c r="AG43" s="45"/>
      <c r="AH43" s="961"/>
      <c r="AI43" s="256" t="b">
        <f>AND($AH$3=2)</f>
        <v>0</v>
      </c>
      <c r="AJ43" s="183" t="b">
        <f t="shared" ref="AJ43:AJ51" si="11">AND($AK$3=1)</f>
        <v>0</v>
      </c>
      <c r="AK43" s="183" t="b">
        <f t="shared" ref="AK43:AK61" si="12">AND(AI43=TRUE,AJ43=TRUE)</f>
        <v>0</v>
      </c>
      <c r="AL43" s="72">
        <v>-0.6</v>
      </c>
      <c r="AM43" s="72">
        <v>-0.8</v>
      </c>
      <c r="AN43" s="72">
        <v>-1.3</v>
      </c>
      <c r="AO43" s="72">
        <v>-1.6</v>
      </c>
      <c r="AP43" s="72">
        <v>-0.6</v>
      </c>
      <c r="AQ43" s="264"/>
      <c r="AR43" s="98"/>
      <c r="AS43" s="258">
        <f t="shared" si="6"/>
        <v>-303.75</v>
      </c>
      <c r="AT43" s="72">
        <f t="shared" si="7"/>
        <v>-1.08</v>
      </c>
      <c r="AU43" s="72">
        <f t="shared" si="8"/>
        <v>-1.7550000000000001</v>
      </c>
      <c r="AV43" s="72">
        <f t="shared" si="9"/>
        <v>-2.16</v>
      </c>
      <c r="AW43" s="72">
        <f t="shared" si="10"/>
        <v>-0.81</v>
      </c>
      <c r="AX43" s="264"/>
      <c r="AY43" s="98"/>
      <c r="AZ43" s="98"/>
    </row>
    <row r="44" spans="1:52" s="252" customFormat="1" ht="17.100000000000001" customHeight="1">
      <c r="A44" s="13"/>
      <c r="B44" s="119"/>
      <c r="C44" s="25"/>
      <c r="D44" s="26"/>
      <c r="E44" s="26"/>
      <c r="F44" s="981"/>
      <c r="G44" s="26"/>
      <c r="H44" s="26"/>
      <c r="I44" s="26"/>
      <c r="J44" s="980" t="str">
        <f>"b2 = "&amp;FIXED($M$14-2*$M$14/10,2)&amp;"m"</f>
        <v>b2 = 12.00m</v>
      </c>
      <c r="K44" s="983"/>
      <c r="L44" s="986"/>
      <c r="M44" s="854"/>
      <c r="N44" s="855"/>
      <c r="O44" s="893"/>
      <c r="P44" s="855"/>
      <c r="Q44" s="855"/>
      <c r="R44" s="855"/>
      <c r="S44" s="854"/>
      <c r="T44" s="855"/>
      <c r="U44" s="893"/>
      <c r="V44" s="983"/>
      <c r="W44" s="986"/>
      <c r="X44" s="26"/>
      <c r="Y44" s="26"/>
      <c r="Z44" s="26"/>
      <c r="AA44" s="38"/>
      <c r="AB44" s="120"/>
      <c r="AC44" s="13"/>
      <c r="AD44" s="45"/>
      <c r="AE44" s="45"/>
      <c r="AF44" s="45"/>
      <c r="AG44" s="45"/>
      <c r="AH44" s="961"/>
      <c r="AI44" s="256" t="b">
        <f>AND($AH$3=3)</f>
        <v>0</v>
      </c>
      <c r="AJ44" s="183" t="b">
        <f t="shared" si="11"/>
        <v>0</v>
      </c>
      <c r="AK44" s="183" t="b">
        <f t="shared" si="12"/>
        <v>0</v>
      </c>
      <c r="AL44" s="72">
        <v>-0.6</v>
      </c>
      <c r="AM44" s="72">
        <v>-0.8</v>
      </c>
      <c r="AN44" s="72">
        <v>-1.3</v>
      </c>
      <c r="AO44" s="72">
        <v>-1.5</v>
      </c>
      <c r="AP44" s="72">
        <v>-0.6</v>
      </c>
      <c r="AQ44" s="264"/>
      <c r="AR44" s="98"/>
      <c r="AS44" s="258">
        <f t="shared" si="6"/>
        <v>-303.75</v>
      </c>
      <c r="AT44" s="72">
        <f t="shared" si="7"/>
        <v>-1.08</v>
      </c>
      <c r="AU44" s="72">
        <f t="shared" si="8"/>
        <v>-1.7550000000000001</v>
      </c>
      <c r="AV44" s="72">
        <f t="shared" si="9"/>
        <v>-2.0250000000000004</v>
      </c>
      <c r="AW44" s="72">
        <f t="shared" si="10"/>
        <v>-0.81</v>
      </c>
      <c r="AX44" s="264"/>
      <c r="AY44" s="98"/>
      <c r="AZ44" s="98"/>
    </row>
    <row r="45" spans="1:52" s="252" customFormat="1" ht="17.100000000000001" customHeight="1">
      <c r="A45" s="13"/>
      <c r="B45" s="119"/>
      <c r="C45" s="25"/>
      <c r="D45" s="26"/>
      <c r="E45" s="26"/>
      <c r="F45" s="981"/>
      <c r="G45" s="26"/>
      <c r="H45" s="26"/>
      <c r="I45" s="26"/>
      <c r="J45" s="980"/>
      <c r="K45" s="983"/>
      <c r="L45" s="986"/>
      <c r="M45" s="854"/>
      <c r="N45" s="855"/>
      <c r="O45" s="893"/>
      <c r="P45" s="855"/>
      <c r="Q45" s="855"/>
      <c r="R45" s="855"/>
      <c r="S45" s="854"/>
      <c r="T45" s="855"/>
      <c r="U45" s="893"/>
      <c r="V45" s="983"/>
      <c r="W45" s="986"/>
      <c r="X45" s="26"/>
      <c r="Y45" s="26"/>
      <c r="Z45" s="26"/>
      <c r="AA45" s="38"/>
      <c r="AB45" s="120"/>
      <c r="AC45" s="13"/>
      <c r="AD45" s="45"/>
      <c r="AE45" s="45"/>
      <c r="AF45" s="45"/>
      <c r="AG45" s="45"/>
      <c r="AH45" s="961"/>
      <c r="AI45" s="256" t="b">
        <f>AND($AH$3=4)</f>
        <v>0</v>
      </c>
      <c r="AJ45" s="183" t="b">
        <f t="shared" si="11"/>
        <v>0</v>
      </c>
      <c r="AK45" s="183" t="b">
        <f t="shared" si="12"/>
        <v>0</v>
      </c>
      <c r="AL45" s="72">
        <v>-0.5</v>
      </c>
      <c r="AM45" s="72">
        <v>-0.7</v>
      </c>
      <c r="AN45" s="72">
        <v>-1.3</v>
      </c>
      <c r="AO45" s="72">
        <v>-1.6</v>
      </c>
      <c r="AP45" s="72">
        <v>-0.6</v>
      </c>
      <c r="AQ45" s="264"/>
      <c r="AR45" s="98"/>
      <c r="AS45" s="258">
        <f t="shared" si="6"/>
        <v>-253.125</v>
      </c>
      <c r="AT45" s="72">
        <f t="shared" si="7"/>
        <v>-0.94499999999999995</v>
      </c>
      <c r="AU45" s="72">
        <f t="shared" si="8"/>
        <v>-1.7550000000000001</v>
      </c>
      <c r="AV45" s="72">
        <f t="shared" si="9"/>
        <v>-2.16</v>
      </c>
      <c r="AW45" s="72">
        <f t="shared" si="10"/>
        <v>-0.81</v>
      </c>
      <c r="AX45" s="264"/>
      <c r="AY45" s="98"/>
      <c r="AZ45" s="98"/>
    </row>
    <row r="46" spans="1:52" s="252" customFormat="1" ht="17.100000000000001" customHeight="1">
      <c r="A46" s="13"/>
      <c r="B46" s="119"/>
      <c r="C46" s="25"/>
      <c r="D46" s="26"/>
      <c r="E46" s="26"/>
      <c r="F46" s="981"/>
      <c r="G46" s="26"/>
      <c r="H46" s="26"/>
      <c r="I46" s="26"/>
      <c r="J46" s="980"/>
      <c r="K46" s="983"/>
      <c r="L46" s="986"/>
      <c r="M46" s="854"/>
      <c r="N46" s="855"/>
      <c r="O46" s="893"/>
      <c r="P46" s="855"/>
      <c r="Q46" s="855"/>
      <c r="R46" s="855"/>
      <c r="S46" s="854"/>
      <c r="T46" s="855"/>
      <c r="U46" s="893"/>
      <c r="V46" s="983"/>
      <c r="W46" s="986"/>
      <c r="X46" s="26"/>
      <c r="Y46" s="26"/>
      <c r="Z46" s="26"/>
      <c r="AA46" s="38"/>
      <c r="AB46" s="120"/>
      <c r="AC46" s="13"/>
      <c r="AD46" s="45"/>
      <c r="AE46" s="45"/>
      <c r="AF46" s="45"/>
      <c r="AG46" s="45"/>
      <c r="AH46" s="961"/>
      <c r="AI46" s="256" t="b">
        <f>AND($AH$3=5)</f>
        <v>0</v>
      </c>
      <c r="AJ46" s="183" t="b">
        <f t="shared" si="11"/>
        <v>0</v>
      </c>
      <c r="AK46" s="183" t="b">
        <f t="shared" si="12"/>
        <v>0</v>
      </c>
      <c r="AL46" s="72">
        <v>-0.6</v>
      </c>
      <c r="AM46" s="72">
        <v>-0.6</v>
      </c>
      <c r="AN46" s="72">
        <v>-1.4</v>
      </c>
      <c r="AO46" s="72">
        <v>-1.4</v>
      </c>
      <c r="AP46" s="72">
        <v>-1.1000000000000001</v>
      </c>
      <c r="AQ46" s="264"/>
      <c r="AR46" s="98"/>
      <c r="AS46" s="258">
        <f t="shared" si="6"/>
        <v>-303.75</v>
      </c>
      <c r="AT46" s="72">
        <f t="shared" si="7"/>
        <v>-0.81</v>
      </c>
      <c r="AU46" s="72">
        <f t="shared" si="8"/>
        <v>-1.89</v>
      </c>
      <c r="AV46" s="72">
        <f t="shared" si="9"/>
        <v>-1.89</v>
      </c>
      <c r="AW46" s="72">
        <f t="shared" si="10"/>
        <v>-1.4850000000000003</v>
      </c>
      <c r="AX46" s="264"/>
      <c r="AY46" s="98"/>
      <c r="AZ46" s="98"/>
    </row>
    <row r="47" spans="1:52" s="252" customFormat="1" ht="17.100000000000001" customHeight="1">
      <c r="A47" s="13"/>
      <c r="B47" s="119"/>
      <c r="C47" s="25"/>
      <c r="D47" s="26"/>
      <c r="E47" s="26"/>
      <c r="F47" s="981"/>
      <c r="G47" s="26"/>
      <c r="H47" s="26"/>
      <c r="I47" s="26"/>
      <c r="J47" s="980"/>
      <c r="K47" s="983"/>
      <c r="L47" s="986"/>
      <c r="M47" s="854"/>
      <c r="N47" s="855"/>
      <c r="O47" s="893"/>
      <c r="P47" s="855"/>
      <c r="Q47" s="855"/>
      <c r="R47" s="855"/>
      <c r="S47" s="854"/>
      <c r="T47" s="855"/>
      <c r="U47" s="893"/>
      <c r="V47" s="983"/>
      <c r="W47" s="986"/>
      <c r="X47" s="26"/>
      <c r="Y47" s="26"/>
      <c r="Z47" s="26"/>
      <c r="AA47" s="38"/>
      <c r="AB47" s="120"/>
      <c r="AC47" s="13"/>
      <c r="AD47" s="45"/>
      <c r="AE47" s="45"/>
      <c r="AF47" s="45"/>
      <c r="AG47" s="45"/>
      <c r="AH47" s="961"/>
      <c r="AI47" s="256" t="b">
        <f>AND($AH$3=6)</f>
        <v>0</v>
      </c>
      <c r="AJ47" s="183" t="b">
        <f t="shared" si="11"/>
        <v>0</v>
      </c>
      <c r="AK47" s="183" t="b">
        <f t="shared" si="12"/>
        <v>0</v>
      </c>
      <c r="AL47" s="72">
        <v>-0.7</v>
      </c>
      <c r="AM47" s="72">
        <v>-0.7</v>
      </c>
      <c r="AN47" s="72">
        <v>-1.5</v>
      </c>
      <c r="AO47" s="72">
        <v>-1.4</v>
      </c>
      <c r="AP47" s="72">
        <v>-1.4</v>
      </c>
      <c r="AQ47" s="264"/>
      <c r="AR47" s="98"/>
      <c r="AS47" s="258">
        <f t="shared" si="6"/>
        <v>-354.375</v>
      </c>
      <c r="AT47" s="72">
        <f t="shared" si="7"/>
        <v>-0.94499999999999995</v>
      </c>
      <c r="AU47" s="72">
        <f t="shared" si="8"/>
        <v>-2.0250000000000004</v>
      </c>
      <c r="AV47" s="72">
        <f t="shared" si="9"/>
        <v>-1.89</v>
      </c>
      <c r="AW47" s="72">
        <f t="shared" si="10"/>
        <v>-1.89</v>
      </c>
      <c r="AX47" s="264"/>
      <c r="AY47" s="98"/>
      <c r="AZ47" s="98"/>
    </row>
    <row r="48" spans="1:52" s="252" customFormat="1" ht="17.100000000000001" customHeight="1">
      <c r="A48" s="13"/>
      <c r="B48" s="119"/>
      <c r="C48" s="25"/>
      <c r="D48" s="26"/>
      <c r="E48" s="26"/>
      <c r="F48" s="981"/>
      <c r="G48" s="26"/>
      <c r="H48" s="26"/>
      <c r="I48" s="26"/>
      <c r="J48" s="980"/>
      <c r="K48" s="983"/>
      <c r="L48" s="986"/>
      <c r="M48" s="1047" t="str">
        <f>FIXED(F31,3)&amp;" kN/m2"</f>
        <v>-1.755 kN/m2</v>
      </c>
      <c r="N48" s="1048"/>
      <c r="O48" s="1049"/>
      <c r="P48" s="1048" t="str">
        <f>FIXED(L31,3)&amp;" kN/m2"</f>
        <v>-2.768 kN/m2</v>
      </c>
      <c r="Q48" s="1048"/>
      <c r="R48" s="1048"/>
      <c r="S48" s="1047" t="str">
        <f>M48</f>
        <v>-1.755 kN/m2</v>
      </c>
      <c r="T48" s="1048"/>
      <c r="U48" s="1049"/>
      <c r="V48" s="983"/>
      <c r="W48" s="986"/>
      <c r="X48" s="26"/>
      <c r="Y48" s="26"/>
      <c r="Z48" s="26"/>
      <c r="AA48" s="38"/>
      <c r="AB48" s="120"/>
      <c r="AC48" s="13"/>
      <c r="AD48" s="45"/>
      <c r="AE48" s="45"/>
      <c r="AF48" s="45"/>
      <c r="AG48" s="45"/>
      <c r="AH48" s="961"/>
      <c r="AI48" s="256" t="b">
        <f>AND($AH$3=7)</f>
        <v>0</v>
      </c>
      <c r="AJ48" s="183" t="b">
        <f t="shared" si="11"/>
        <v>0</v>
      </c>
      <c r="AK48" s="183" t="b">
        <f t="shared" si="12"/>
        <v>0</v>
      </c>
      <c r="AL48" s="183">
        <v>-0.8</v>
      </c>
      <c r="AM48" s="183">
        <v>-0.9</v>
      </c>
      <c r="AN48" s="183">
        <v>-1.7</v>
      </c>
      <c r="AO48" s="183">
        <v>-1.4</v>
      </c>
      <c r="AP48" s="183">
        <v>-1.8</v>
      </c>
      <c r="AQ48" s="259"/>
      <c r="AR48" s="98"/>
      <c r="AS48" s="258">
        <f t="shared" si="6"/>
        <v>-405</v>
      </c>
      <c r="AT48" s="72">
        <f t="shared" si="7"/>
        <v>-1.2150000000000001</v>
      </c>
      <c r="AU48" s="72">
        <f t="shared" si="8"/>
        <v>-2.2949999999999999</v>
      </c>
      <c r="AV48" s="72">
        <f t="shared" si="9"/>
        <v>-1.89</v>
      </c>
      <c r="AW48" s="72">
        <f t="shared" si="10"/>
        <v>-2.4300000000000002</v>
      </c>
      <c r="AX48" s="259"/>
      <c r="AY48" s="98"/>
      <c r="AZ48" s="98"/>
    </row>
    <row r="49" spans="1:52" s="252" customFormat="1" ht="17.100000000000001" customHeight="1">
      <c r="A49" s="13"/>
      <c r="B49" s="119"/>
      <c r="C49" s="25"/>
      <c r="D49" s="26"/>
      <c r="E49" s="26"/>
      <c r="F49" s="981"/>
      <c r="G49" s="26"/>
      <c r="H49" s="26"/>
      <c r="I49" s="26"/>
      <c r="J49" s="980"/>
      <c r="K49" s="983"/>
      <c r="L49" s="986"/>
      <c r="M49" s="1050" t="str">
        <f>FIXED(F28,3)&amp;" kN/m2"</f>
        <v>1.485 kN/m2</v>
      </c>
      <c r="N49" s="1051"/>
      <c r="O49" s="1052"/>
      <c r="P49" s="1051" t="str">
        <f>FIXED(L28,3)&amp;" kN/m2"</f>
        <v>0.540 kN/m2</v>
      </c>
      <c r="Q49" s="1051"/>
      <c r="R49" s="1051"/>
      <c r="S49" s="1050" t="str">
        <f>M49</f>
        <v>1.485 kN/m2</v>
      </c>
      <c r="T49" s="1051"/>
      <c r="U49" s="1052"/>
      <c r="V49" s="983"/>
      <c r="W49" s="986"/>
      <c r="X49" s="26"/>
      <c r="Y49" s="26"/>
      <c r="Z49" s="26"/>
      <c r="AA49" s="38"/>
      <c r="AB49" s="120"/>
      <c r="AC49" s="13"/>
      <c r="AD49" s="45"/>
      <c r="AE49" s="45"/>
      <c r="AF49" s="45"/>
      <c r="AG49" s="45"/>
      <c r="AH49" s="961"/>
      <c r="AI49" s="256" t="b">
        <f>AND($AH$3=8)</f>
        <v>1</v>
      </c>
      <c r="AJ49" s="183" t="b">
        <f t="shared" si="11"/>
        <v>0</v>
      </c>
      <c r="AK49" s="183" t="b">
        <f t="shared" si="12"/>
        <v>0</v>
      </c>
      <c r="AL49" s="183">
        <v>-0.9</v>
      </c>
      <c r="AM49" s="183">
        <v>-1.2</v>
      </c>
      <c r="AN49" s="183">
        <v>-1.8</v>
      </c>
      <c r="AO49" s="183">
        <v>-1.4</v>
      </c>
      <c r="AP49" s="183">
        <v>-2</v>
      </c>
      <c r="AQ49" s="259"/>
      <c r="AR49" s="98"/>
      <c r="AS49" s="258">
        <f t="shared" si="6"/>
        <v>-455.625</v>
      </c>
      <c r="AT49" s="72">
        <f t="shared" si="7"/>
        <v>-1.62</v>
      </c>
      <c r="AU49" s="72">
        <f t="shared" si="8"/>
        <v>-2.4300000000000002</v>
      </c>
      <c r="AV49" s="72">
        <f t="shared" si="9"/>
        <v>-1.89</v>
      </c>
      <c r="AW49" s="72">
        <f t="shared" si="10"/>
        <v>-2.7</v>
      </c>
      <c r="AX49" s="259"/>
      <c r="AY49" s="98"/>
      <c r="AZ49" s="98"/>
    </row>
    <row r="50" spans="1:52" s="252" customFormat="1" ht="17.100000000000001" customHeight="1">
      <c r="A50" s="13"/>
      <c r="B50" s="119"/>
      <c r="C50" s="25"/>
      <c r="D50" s="26"/>
      <c r="E50" s="26"/>
      <c r="F50" s="981"/>
      <c r="G50" s="26"/>
      <c r="H50" s="26"/>
      <c r="I50" s="26"/>
      <c r="J50" s="980"/>
      <c r="K50" s="983"/>
      <c r="L50" s="986"/>
      <c r="M50" s="1050"/>
      <c r="N50" s="1051"/>
      <c r="O50" s="1052"/>
      <c r="P50" s="1051"/>
      <c r="Q50" s="1051"/>
      <c r="R50" s="1051"/>
      <c r="S50" s="1050"/>
      <c r="T50" s="1051"/>
      <c r="U50" s="1052"/>
      <c r="V50" s="983"/>
      <c r="W50" s="986"/>
      <c r="X50" s="26"/>
      <c r="Y50" s="26"/>
      <c r="Z50" s="26"/>
      <c r="AA50" s="38"/>
      <c r="AB50" s="120"/>
      <c r="AC50" s="13"/>
      <c r="AD50" s="45"/>
      <c r="AE50" s="45"/>
      <c r="AF50" s="45"/>
      <c r="AG50" s="45"/>
      <c r="AH50" s="961"/>
      <c r="AI50" s="256" t="b">
        <f>AND($AH$3=9)</f>
        <v>0</v>
      </c>
      <c r="AJ50" s="183" t="b">
        <f t="shared" si="11"/>
        <v>0</v>
      </c>
      <c r="AK50" s="183" t="b">
        <f t="shared" si="12"/>
        <v>0</v>
      </c>
      <c r="AL50" s="183">
        <v>-1</v>
      </c>
      <c r="AM50" s="183">
        <v>-1.4</v>
      </c>
      <c r="AN50" s="183">
        <v>-1.9</v>
      </c>
      <c r="AO50" s="183">
        <v>-1.4</v>
      </c>
      <c r="AP50" s="183">
        <v>-2</v>
      </c>
      <c r="AQ50" s="259"/>
      <c r="AR50" s="98"/>
      <c r="AS50" s="258">
        <f t="shared" si="6"/>
        <v>-506.25</v>
      </c>
      <c r="AT50" s="72">
        <f t="shared" si="7"/>
        <v>-1.89</v>
      </c>
      <c r="AU50" s="72">
        <f t="shared" si="8"/>
        <v>-2.5649999999999999</v>
      </c>
      <c r="AV50" s="72">
        <f t="shared" si="9"/>
        <v>-1.89</v>
      </c>
      <c r="AW50" s="72">
        <f t="shared" si="10"/>
        <v>-2.7</v>
      </c>
      <c r="AX50" s="259"/>
      <c r="AY50" s="98"/>
      <c r="AZ50" s="98"/>
    </row>
    <row r="51" spans="1:52" s="252" customFormat="1" ht="17.100000000000001" customHeight="1">
      <c r="A51" s="13"/>
      <c r="B51" s="119"/>
      <c r="C51" s="25"/>
      <c r="D51" s="26"/>
      <c r="E51" s="26"/>
      <c r="F51" s="981"/>
      <c r="G51" s="26"/>
      <c r="H51" s="26"/>
      <c r="I51" s="26"/>
      <c r="J51" s="980"/>
      <c r="K51" s="983"/>
      <c r="L51" s="986"/>
      <c r="M51" s="1050"/>
      <c r="N51" s="1051"/>
      <c r="O51" s="1052"/>
      <c r="P51" s="1051"/>
      <c r="Q51" s="1051"/>
      <c r="R51" s="1051"/>
      <c r="S51" s="1050"/>
      <c r="T51" s="1051"/>
      <c r="U51" s="1052"/>
      <c r="V51" s="983"/>
      <c r="W51" s="986"/>
      <c r="X51" s="26"/>
      <c r="Y51" s="26"/>
      <c r="Z51" s="26"/>
      <c r="AA51" s="38"/>
      <c r="AB51" s="120"/>
      <c r="AC51" s="13"/>
      <c r="AD51" s="45"/>
      <c r="AE51" s="45"/>
      <c r="AF51" s="45"/>
      <c r="AG51" s="45"/>
      <c r="AH51" s="961"/>
      <c r="AI51" s="206" t="b">
        <f>AND($AH$3=10)</f>
        <v>0</v>
      </c>
      <c r="AJ51" s="185" t="b">
        <f t="shared" si="11"/>
        <v>0</v>
      </c>
      <c r="AK51" s="185" t="b">
        <f t="shared" si="12"/>
        <v>0</v>
      </c>
      <c r="AL51" s="260">
        <v>-1</v>
      </c>
      <c r="AM51" s="260">
        <v>-1.4</v>
      </c>
      <c r="AN51" s="260">
        <v>-1.9</v>
      </c>
      <c r="AO51" s="260">
        <v>-1.4</v>
      </c>
      <c r="AP51" s="260">
        <v>-2</v>
      </c>
      <c r="AQ51" s="265"/>
      <c r="AR51" s="98"/>
      <c r="AS51" s="262">
        <f t="shared" si="6"/>
        <v>-506.25</v>
      </c>
      <c r="AT51" s="260">
        <f t="shared" si="7"/>
        <v>-1.89</v>
      </c>
      <c r="AU51" s="260">
        <f t="shared" si="8"/>
        <v>-2.5649999999999999</v>
      </c>
      <c r="AV51" s="260">
        <f t="shared" si="9"/>
        <v>-1.89</v>
      </c>
      <c r="AW51" s="260">
        <f t="shared" si="10"/>
        <v>-2.7</v>
      </c>
      <c r="AX51" s="265"/>
      <c r="AY51" s="98"/>
      <c r="AZ51" s="98"/>
    </row>
    <row r="52" spans="1:52" s="252" customFormat="1" ht="17.100000000000001" customHeight="1">
      <c r="A52" s="13"/>
      <c r="B52" s="119"/>
      <c r="C52" s="25"/>
      <c r="D52" s="26"/>
      <c r="E52" s="26"/>
      <c r="F52" s="981"/>
      <c r="G52" s="26"/>
      <c r="H52" s="26"/>
      <c r="I52" s="26"/>
      <c r="J52" s="980"/>
      <c r="K52" s="983"/>
      <c r="L52" s="986"/>
      <c r="M52" s="1050"/>
      <c r="N52" s="1051"/>
      <c r="O52" s="1052"/>
      <c r="P52" s="1051"/>
      <c r="Q52" s="1051"/>
      <c r="R52" s="1051"/>
      <c r="S52" s="1050"/>
      <c r="T52" s="1051"/>
      <c r="U52" s="1052"/>
      <c r="V52" s="983"/>
      <c r="W52" s="986"/>
      <c r="X52" s="26"/>
      <c r="Y52" s="26"/>
      <c r="Z52" s="26"/>
      <c r="AA52" s="38"/>
      <c r="AB52" s="120"/>
      <c r="AC52" s="13"/>
      <c r="AD52" s="45"/>
      <c r="AE52" s="45"/>
      <c r="AF52" s="45"/>
      <c r="AG52" s="45"/>
      <c r="AH52" s="961"/>
      <c r="AI52" s="266" t="b">
        <f>AND($AH$3=1)</f>
        <v>0</v>
      </c>
      <c r="AJ52" s="255" t="b">
        <f>AND($AK$3=2)</f>
        <v>0</v>
      </c>
      <c r="AK52" s="255" t="b">
        <f t="shared" si="12"/>
        <v>0</v>
      </c>
      <c r="AL52" s="267">
        <v>-1.3</v>
      </c>
      <c r="AM52" s="267">
        <v>-1.5</v>
      </c>
      <c r="AN52" s="267">
        <v>-2.4</v>
      </c>
      <c r="AO52" s="267">
        <v>-2.4</v>
      </c>
      <c r="AP52" s="267">
        <v>-0.6</v>
      </c>
      <c r="AQ52" s="268" t="s">
        <v>176</v>
      </c>
      <c r="AR52" s="98"/>
      <c r="AS52" s="269">
        <f t="shared" si="6"/>
        <v>-658.125</v>
      </c>
      <c r="AT52" s="267">
        <f t="shared" si="7"/>
        <v>-2.0250000000000004</v>
      </c>
      <c r="AU52" s="267">
        <f t="shared" si="8"/>
        <v>-3.24</v>
      </c>
      <c r="AV52" s="267">
        <f t="shared" si="9"/>
        <v>-3.24</v>
      </c>
      <c r="AW52" s="267">
        <f t="shared" si="10"/>
        <v>-0.81</v>
      </c>
      <c r="AX52" s="268" t="s">
        <v>176</v>
      </c>
      <c r="AY52" s="98"/>
      <c r="AZ52" s="98"/>
    </row>
    <row r="53" spans="1:52" s="252" customFormat="1" ht="17.100000000000001" customHeight="1">
      <c r="A53" s="13"/>
      <c r="B53" s="119"/>
      <c r="C53" s="25"/>
      <c r="D53" s="26"/>
      <c r="E53" s="26"/>
      <c r="F53" s="981"/>
      <c r="G53" s="26"/>
      <c r="H53" s="26"/>
      <c r="I53" s="26"/>
      <c r="J53" s="980"/>
      <c r="K53" s="983"/>
      <c r="L53" s="986"/>
      <c r="M53" s="1050"/>
      <c r="N53" s="1051"/>
      <c r="O53" s="1052"/>
      <c r="P53" s="1051"/>
      <c r="Q53" s="1051"/>
      <c r="R53" s="1051"/>
      <c r="S53" s="1050"/>
      <c r="T53" s="1051"/>
      <c r="U53" s="1052"/>
      <c r="V53" s="983"/>
      <c r="W53" s="986"/>
      <c r="X53" s="26"/>
      <c r="Y53" s="26"/>
      <c r="Z53" s="26"/>
      <c r="AA53" s="38"/>
      <c r="AB53" s="120"/>
      <c r="AC53" s="13"/>
      <c r="AD53" s="45"/>
      <c r="AE53" s="45"/>
      <c r="AF53" s="45"/>
      <c r="AG53" s="45"/>
      <c r="AH53" s="961"/>
      <c r="AI53" s="256" t="b">
        <f>AND($AH$3=2)</f>
        <v>0</v>
      </c>
      <c r="AJ53" s="183" t="b">
        <f t="shared" ref="AJ53:AJ61" si="13">AND($AK$3=2)</f>
        <v>0</v>
      </c>
      <c r="AK53" s="183" t="b">
        <f t="shared" si="12"/>
        <v>0</v>
      </c>
      <c r="AL53" s="72">
        <v>-1.4</v>
      </c>
      <c r="AM53" s="72">
        <v>-1.6</v>
      </c>
      <c r="AN53" s="72">
        <v>-2.7</v>
      </c>
      <c r="AO53" s="72">
        <v>-2.6</v>
      </c>
      <c r="AP53" s="72">
        <v>-0.6</v>
      </c>
      <c r="AQ53" s="264"/>
      <c r="AR53" s="98"/>
      <c r="AS53" s="258">
        <f t="shared" si="6"/>
        <v>-708.75</v>
      </c>
      <c r="AT53" s="72">
        <f t="shared" si="7"/>
        <v>-2.16</v>
      </c>
      <c r="AU53" s="72">
        <f t="shared" si="8"/>
        <v>-3.6450000000000005</v>
      </c>
      <c r="AV53" s="72">
        <f t="shared" si="9"/>
        <v>-3.5100000000000002</v>
      </c>
      <c r="AW53" s="72">
        <f t="shared" si="10"/>
        <v>-0.81</v>
      </c>
      <c r="AX53" s="264"/>
      <c r="AY53" s="98"/>
      <c r="AZ53" s="98"/>
    </row>
    <row r="54" spans="1:52" s="252" customFormat="1" ht="17.100000000000001" customHeight="1" thickBot="1">
      <c r="A54" s="13"/>
      <c r="B54" s="119"/>
      <c r="C54" s="25"/>
      <c r="D54" s="26"/>
      <c r="E54" s="26"/>
      <c r="F54" s="981"/>
      <c r="G54" s="26"/>
      <c r="H54" s="26"/>
      <c r="I54" s="26"/>
      <c r="J54" s="979" t="str">
        <f>"b1 = "&amp;FIXED($M$14/10,2)&amp;"m"</f>
        <v>b1 = 1.50m</v>
      </c>
      <c r="K54" s="984"/>
      <c r="L54" s="987"/>
      <c r="M54" s="1053"/>
      <c r="N54" s="1054"/>
      <c r="O54" s="1055"/>
      <c r="P54" s="1054"/>
      <c r="Q54" s="1054"/>
      <c r="R54" s="1054"/>
      <c r="S54" s="1053"/>
      <c r="T54" s="1054"/>
      <c r="U54" s="1055"/>
      <c r="V54" s="984"/>
      <c r="W54" s="987"/>
      <c r="X54" s="26"/>
      <c r="Y54" s="26"/>
      <c r="Z54" s="26"/>
      <c r="AA54" s="38"/>
      <c r="AB54" s="120"/>
      <c r="AC54" s="13"/>
      <c r="AD54" s="45"/>
      <c r="AE54" s="45"/>
      <c r="AF54" s="45"/>
      <c r="AG54" s="45"/>
      <c r="AH54" s="961"/>
      <c r="AI54" s="256" t="b">
        <f>AND($AH$3=3)</f>
        <v>0</v>
      </c>
      <c r="AJ54" s="183" t="b">
        <f t="shared" si="13"/>
        <v>0</v>
      </c>
      <c r="AK54" s="183" t="b">
        <f t="shared" si="12"/>
        <v>0</v>
      </c>
      <c r="AL54" s="72">
        <v>-1.4</v>
      </c>
      <c r="AM54" s="72">
        <v>-1.6</v>
      </c>
      <c r="AN54" s="72">
        <v>-2.7</v>
      </c>
      <c r="AO54" s="72">
        <v>-2.6</v>
      </c>
      <c r="AP54" s="72">
        <v>-0.6</v>
      </c>
      <c r="AQ54" s="264"/>
      <c r="AR54" s="98"/>
      <c r="AS54" s="258">
        <f t="shared" si="6"/>
        <v>-708.75</v>
      </c>
      <c r="AT54" s="72">
        <f t="shared" si="7"/>
        <v>-2.16</v>
      </c>
      <c r="AU54" s="72">
        <f t="shared" si="8"/>
        <v>-3.6450000000000005</v>
      </c>
      <c r="AV54" s="72">
        <f t="shared" si="9"/>
        <v>-3.5100000000000002</v>
      </c>
      <c r="AW54" s="72">
        <f t="shared" si="10"/>
        <v>-0.81</v>
      </c>
      <c r="AX54" s="264"/>
      <c r="AY54" s="98"/>
      <c r="AZ54" s="98"/>
    </row>
    <row r="55" spans="1:52" s="252" customFormat="1" ht="17.100000000000001" customHeight="1">
      <c r="A55" s="13"/>
      <c r="B55" s="119"/>
      <c r="C55" s="25"/>
      <c r="D55" s="26"/>
      <c r="E55" s="26"/>
      <c r="F55" s="981"/>
      <c r="G55" s="26"/>
      <c r="H55" s="26"/>
      <c r="I55" s="26"/>
      <c r="J55" s="979"/>
      <c r="K55" s="988"/>
      <c r="L55" s="989"/>
      <c r="M55" s="992" t="s">
        <v>473</v>
      </c>
      <c r="N55" s="993"/>
      <c r="O55" s="993"/>
      <c r="P55" s="993"/>
      <c r="Q55" s="993"/>
      <c r="R55" s="993"/>
      <c r="S55" s="993"/>
      <c r="T55" s="993"/>
      <c r="U55" s="994"/>
      <c r="V55" s="988"/>
      <c r="W55" s="989"/>
      <c r="X55" s="26"/>
      <c r="Y55" s="26"/>
      <c r="Z55" s="26"/>
      <c r="AA55" s="38"/>
      <c r="AB55" s="120"/>
      <c r="AC55" s="13"/>
      <c r="AD55" s="45"/>
      <c r="AE55" s="45"/>
      <c r="AF55" s="45"/>
      <c r="AG55" s="45"/>
      <c r="AH55" s="961"/>
      <c r="AI55" s="256" t="b">
        <f>AND($AH$3=4)</f>
        <v>0</v>
      </c>
      <c r="AJ55" s="183" t="b">
        <f t="shared" si="13"/>
        <v>0</v>
      </c>
      <c r="AK55" s="183" t="b">
        <f t="shared" si="12"/>
        <v>0</v>
      </c>
      <c r="AL55" s="72">
        <v>-1.3</v>
      </c>
      <c r="AM55" s="72">
        <v>-1.5</v>
      </c>
      <c r="AN55" s="72">
        <v>-2.4</v>
      </c>
      <c r="AO55" s="72">
        <v>-2.4</v>
      </c>
      <c r="AP55" s="72">
        <v>-0.6</v>
      </c>
      <c r="AQ55" s="264"/>
      <c r="AR55" s="98"/>
      <c r="AS55" s="258">
        <f t="shared" si="6"/>
        <v>-658.125</v>
      </c>
      <c r="AT55" s="72">
        <f t="shared" si="7"/>
        <v>-2.0250000000000004</v>
      </c>
      <c r="AU55" s="72">
        <f t="shared" si="8"/>
        <v>-3.24</v>
      </c>
      <c r="AV55" s="72">
        <f t="shared" si="9"/>
        <v>-3.24</v>
      </c>
      <c r="AW55" s="72">
        <f t="shared" si="10"/>
        <v>-0.81</v>
      </c>
      <c r="AX55" s="264"/>
      <c r="AY55" s="98"/>
      <c r="AZ55" s="98"/>
    </row>
    <row r="56" spans="1:52" s="252" customFormat="1" ht="17.100000000000001" customHeight="1">
      <c r="A56" s="13"/>
      <c r="B56" s="119"/>
      <c r="C56" s="25"/>
      <c r="D56" s="26"/>
      <c r="E56" s="26"/>
      <c r="F56" s="981"/>
      <c r="G56" s="26"/>
      <c r="H56" s="26"/>
      <c r="I56" s="26"/>
      <c r="J56" s="979"/>
      <c r="K56" s="927"/>
      <c r="L56" s="929"/>
      <c r="M56" s="927" t="str">
        <f>FIXED(H31,3)&amp;" kN/m2"</f>
        <v>-2.700 kN/m2</v>
      </c>
      <c r="N56" s="928"/>
      <c r="O56" s="928"/>
      <c r="P56" s="928"/>
      <c r="Q56" s="928"/>
      <c r="R56" s="928"/>
      <c r="S56" s="928"/>
      <c r="T56" s="928"/>
      <c r="U56" s="929"/>
      <c r="V56" s="927"/>
      <c r="W56" s="929"/>
      <c r="X56" s="26"/>
      <c r="Y56" s="26"/>
      <c r="Z56" s="26"/>
      <c r="AA56" s="38"/>
      <c r="AB56" s="120"/>
      <c r="AC56" s="13"/>
      <c r="AD56" s="45"/>
      <c r="AE56" s="45"/>
      <c r="AF56" s="45"/>
      <c r="AG56" s="45"/>
      <c r="AH56" s="961"/>
      <c r="AI56" s="256" t="b">
        <f>AND($AH$3=5)</f>
        <v>0</v>
      </c>
      <c r="AJ56" s="183" t="b">
        <f t="shared" si="13"/>
        <v>0</v>
      </c>
      <c r="AK56" s="183" t="b">
        <f t="shared" si="12"/>
        <v>0</v>
      </c>
      <c r="AL56" s="72">
        <v>-1.3</v>
      </c>
      <c r="AM56" s="72">
        <v>-1.3</v>
      </c>
      <c r="AN56" s="72">
        <v>-2</v>
      </c>
      <c r="AO56" s="72">
        <v>-1.8</v>
      </c>
      <c r="AP56" s="72">
        <v>-1.5</v>
      </c>
      <c r="AQ56" s="264"/>
      <c r="AR56" s="98"/>
      <c r="AS56" s="258">
        <f t="shared" si="6"/>
        <v>-658.125</v>
      </c>
      <c r="AT56" s="72">
        <f t="shared" si="7"/>
        <v>-1.7550000000000001</v>
      </c>
      <c r="AU56" s="72">
        <f t="shared" si="8"/>
        <v>-2.7</v>
      </c>
      <c r="AV56" s="72">
        <f t="shared" si="9"/>
        <v>-2.4300000000000002</v>
      </c>
      <c r="AW56" s="72">
        <f t="shared" si="10"/>
        <v>-2.0250000000000004</v>
      </c>
      <c r="AX56" s="264"/>
      <c r="AY56" s="98"/>
      <c r="AZ56" s="98"/>
    </row>
    <row r="57" spans="1:52" s="252" customFormat="1" ht="17.100000000000001" customHeight="1" thickBot="1">
      <c r="A57" s="13"/>
      <c r="B57" s="119"/>
      <c r="C57" s="25"/>
      <c r="D57" s="26"/>
      <c r="E57" s="26"/>
      <c r="F57" s="981"/>
      <c r="G57" s="26"/>
      <c r="H57" s="26"/>
      <c r="I57" s="26"/>
      <c r="J57" s="979"/>
      <c r="K57" s="990"/>
      <c r="L57" s="991"/>
      <c r="M57" s="990" t="str">
        <f>FIXED(H28,3)&amp;" kN/m2"</f>
        <v>2.565 kN/m2</v>
      </c>
      <c r="N57" s="995"/>
      <c r="O57" s="995"/>
      <c r="P57" s="995"/>
      <c r="Q57" s="995"/>
      <c r="R57" s="995"/>
      <c r="S57" s="995"/>
      <c r="T57" s="995"/>
      <c r="U57" s="991"/>
      <c r="V57" s="990"/>
      <c r="W57" s="991"/>
      <c r="X57" s="26"/>
      <c r="Y57" s="26"/>
      <c r="Z57" s="26"/>
      <c r="AA57" s="38"/>
      <c r="AB57" s="120"/>
      <c r="AC57" s="13"/>
      <c r="AD57" s="45"/>
      <c r="AE57" s="45"/>
      <c r="AF57" s="45"/>
      <c r="AG57" s="45"/>
      <c r="AH57" s="961"/>
      <c r="AI57" s="256" t="b">
        <f>AND($AH$3=6)</f>
        <v>0</v>
      </c>
      <c r="AJ57" s="183" t="b">
        <f t="shared" si="13"/>
        <v>0</v>
      </c>
      <c r="AK57" s="183" t="b">
        <f t="shared" si="12"/>
        <v>0</v>
      </c>
      <c r="AL57" s="72">
        <v>-1.3</v>
      </c>
      <c r="AM57" s="72">
        <v>-1.3</v>
      </c>
      <c r="AN57" s="72">
        <v>-2</v>
      </c>
      <c r="AO57" s="72">
        <v>-1.8</v>
      </c>
      <c r="AP57" s="72">
        <v>-1.8</v>
      </c>
      <c r="AQ57" s="264"/>
      <c r="AR57" s="98"/>
      <c r="AS57" s="258">
        <f t="shared" si="6"/>
        <v>-658.125</v>
      </c>
      <c r="AT57" s="72">
        <f t="shared" si="7"/>
        <v>-1.7550000000000001</v>
      </c>
      <c r="AU57" s="72">
        <f t="shared" si="8"/>
        <v>-2.7</v>
      </c>
      <c r="AV57" s="72">
        <f t="shared" si="9"/>
        <v>-2.4300000000000002</v>
      </c>
      <c r="AW57" s="72">
        <f t="shared" si="10"/>
        <v>-2.4300000000000002</v>
      </c>
      <c r="AX57" s="264"/>
      <c r="AY57" s="98"/>
      <c r="AZ57" s="98"/>
    </row>
    <row r="58" spans="1:52" s="252" customFormat="1" ht="17.100000000000001" customHeight="1">
      <c r="A58" s="13"/>
      <c r="B58" s="119"/>
      <c r="C58" s="25"/>
      <c r="D58" s="26"/>
      <c r="E58" s="26"/>
      <c r="F58" s="26"/>
      <c r="G58" s="26"/>
      <c r="H58" s="26"/>
      <c r="I58" s="26"/>
      <c r="J58" s="26"/>
      <c r="K58" s="1039" t="str">
        <f>IF(AK8,"Note: showing the end bay only.","")</f>
        <v/>
      </c>
      <c r="L58" s="1039"/>
      <c r="M58" s="1039"/>
      <c r="N58" s="1039"/>
      <c r="O58" s="1039"/>
      <c r="P58" s="1039"/>
      <c r="Q58" s="1039"/>
      <c r="R58" s="1039"/>
      <c r="S58" s="1039"/>
      <c r="T58" s="1039"/>
      <c r="U58" s="1039"/>
      <c r="V58" s="1039"/>
      <c r="W58" s="1039"/>
      <c r="X58" s="26"/>
      <c r="Y58" s="26"/>
      <c r="Z58" s="26"/>
      <c r="AA58" s="38"/>
      <c r="AB58" s="120"/>
      <c r="AC58" s="13"/>
      <c r="AD58" s="45"/>
      <c r="AE58" s="45"/>
      <c r="AF58" s="45"/>
      <c r="AG58" s="45"/>
      <c r="AH58" s="961"/>
      <c r="AI58" s="256" t="b">
        <f>AND($AH$3=7)</f>
        <v>0</v>
      </c>
      <c r="AJ58" s="183" t="b">
        <f t="shared" si="13"/>
        <v>0</v>
      </c>
      <c r="AK58" s="183" t="b">
        <f t="shared" si="12"/>
        <v>0</v>
      </c>
      <c r="AL58" s="183">
        <v>-1.3</v>
      </c>
      <c r="AM58" s="183">
        <v>-1.3</v>
      </c>
      <c r="AN58" s="183">
        <v>-2.2000000000000002</v>
      </c>
      <c r="AO58" s="183">
        <v>-1.6</v>
      </c>
      <c r="AP58" s="183">
        <v>-2.1</v>
      </c>
      <c r="AQ58" s="259"/>
      <c r="AR58" s="98"/>
      <c r="AS58" s="258">
        <f t="shared" si="6"/>
        <v>-658.125</v>
      </c>
      <c r="AT58" s="72">
        <f t="shared" si="7"/>
        <v>-1.7550000000000001</v>
      </c>
      <c r="AU58" s="72">
        <f t="shared" si="8"/>
        <v>-2.9700000000000006</v>
      </c>
      <c r="AV58" s="72">
        <f t="shared" si="9"/>
        <v>-2.16</v>
      </c>
      <c r="AW58" s="72">
        <f t="shared" si="10"/>
        <v>-2.8350000000000004</v>
      </c>
      <c r="AX58" s="259"/>
      <c r="AY58" s="98"/>
      <c r="AZ58" s="98"/>
    </row>
    <row r="59" spans="1:52" s="252" customFormat="1" ht="17.100000000000001" customHeight="1">
      <c r="A59" s="13"/>
      <c r="B59" s="119"/>
      <c r="C59" s="29"/>
      <c r="D59" s="30"/>
      <c r="E59" s="30"/>
      <c r="F59" s="30"/>
      <c r="G59" s="30"/>
      <c r="H59" s="30"/>
      <c r="I59" s="30"/>
      <c r="J59" s="30"/>
      <c r="K59" s="30"/>
      <c r="L59" s="30"/>
      <c r="M59" s="30"/>
      <c r="N59" s="30"/>
      <c r="O59" s="30"/>
      <c r="P59" s="30"/>
      <c r="Q59" s="30"/>
      <c r="R59" s="30"/>
      <c r="S59" s="30"/>
      <c r="T59" s="30"/>
      <c r="U59" s="30"/>
      <c r="V59" s="30"/>
      <c r="W59" s="30"/>
      <c r="X59" s="30"/>
      <c r="Y59" s="30"/>
      <c r="Z59" s="30"/>
      <c r="AA59" s="39"/>
      <c r="AB59" s="120"/>
      <c r="AC59" s="13"/>
      <c r="AD59" s="45"/>
      <c r="AE59" s="45"/>
      <c r="AF59" s="45"/>
      <c r="AG59" s="45"/>
      <c r="AH59" s="961"/>
      <c r="AI59" s="256" t="b">
        <f>AND($AH$3=8)</f>
        <v>1</v>
      </c>
      <c r="AJ59" s="183" t="b">
        <f t="shared" si="13"/>
        <v>0</v>
      </c>
      <c r="AK59" s="183" t="b">
        <f t="shared" si="12"/>
        <v>0</v>
      </c>
      <c r="AL59" s="72">
        <v>-1.3</v>
      </c>
      <c r="AM59" s="72">
        <v>-1.4</v>
      </c>
      <c r="AN59" s="72">
        <v>-2.2000000000000002</v>
      </c>
      <c r="AO59" s="72">
        <v>-1.6</v>
      </c>
      <c r="AP59" s="72">
        <v>-2.1</v>
      </c>
      <c r="AQ59" s="257"/>
      <c r="AR59" s="98"/>
      <c r="AS59" s="258">
        <f t="shared" si="6"/>
        <v>-658.125</v>
      </c>
      <c r="AT59" s="72">
        <f t="shared" si="7"/>
        <v>-1.89</v>
      </c>
      <c r="AU59" s="72">
        <f t="shared" si="8"/>
        <v>-2.9700000000000006</v>
      </c>
      <c r="AV59" s="72">
        <f t="shared" si="9"/>
        <v>-2.16</v>
      </c>
      <c r="AW59" s="72">
        <f t="shared" si="10"/>
        <v>-2.8350000000000004</v>
      </c>
      <c r="AX59" s="257"/>
      <c r="AY59" s="98"/>
      <c r="AZ59" s="98"/>
    </row>
    <row r="60" spans="1:52" s="252" customFormat="1" ht="17.100000000000001" customHeight="1">
      <c r="A60" s="13"/>
      <c r="B60" s="119"/>
      <c r="C60" s="23"/>
      <c r="D60" s="23"/>
      <c r="E60" s="23"/>
      <c r="F60" s="23"/>
      <c r="G60" s="23"/>
      <c r="H60" s="23"/>
      <c r="I60" s="23"/>
      <c r="J60" s="23"/>
      <c r="K60" s="23"/>
      <c r="L60" s="23"/>
      <c r="M60" s="23"/>
      <c r="N60" s="23"/>
      <c r="O60" s="23"/>
      <c r="P60" s="23"/>
      <c r="Q60" s="23"/>
      <c r="R60" s="23"/>
      <c r="S60" s="23"/>
      <c r="T60" s="23"/>
      <c r="U60" s="23"/>
      <c r="V60" s="23"/>
      <c r="W60" s="23"/>
      <c r="X60" s="23"/>
      <c r="Y60" s="23"/>
      <c r="Z60" s="23"/>
      <c r="AA60" s="408" t="s">
        <v>500</v>
      </c>
      <c r="AB60" s="120"/>
      <c r="AC60" s="13"/>
      <c r="AD60" s="45"/>
      <c r="AE60" s="45"/>
      <c r="AF60" s="45"/>
      <c r="AG60" s="45"/>
      <c r="AH60" s="961"/>
      <c r="AI60" s="256" t="b">
        <f>AND($AH$3=9)</f>
        <v>0</v>
      </c>
      <c r="AJ60" s="183" t="b">
        <f t="shared" si="13"/>
        <v>0</v>
      </c>
      <c r="AK60" s="183" t="b">
        <f t="shared" si="12"/>
        <v>0</v>
      </c>
      <c r="AL60" s="72">
        <v>-1.3</v>
      </c>
      <c r="AM60" s="72">
        <v>-1.4</v>
      </c>
      <c r="AN60" s="72">
        <v>-2</v>
      </c>
      <c r="AO60" s="72">
        <v>-1.5</v>
      </c>
      <c r="AP60" s="72">
        <v>-2</v>
      </c>
      <c r="AQ60" s="257"/>
      <c r="AR60" s="98"/>
      <c r="AS60" s="258">
        <f t="shared" si="6"/>
        <v>-658.125</v>
      </c>
      <c r="AT60" s="72">
        <f t="shared" si="7"/>
        <v>-1.89</v>
      </c>
      <c r="AU60" s="72">
        <f t="shared" si="8"/>
        <v>-2.7</v>
      </c>
      <c r="AV60" s="72">
        <f t="shared" si="9"/>
        <v>-2.0250000000000004</v>
      </c>
      <c r="AW60" s="72">
        <f t="shared" si="10"/>
        <v>-2.7</v>
      </c>
      <c r="AX60" s="257"/>
      <c r="AY60" s="98"/>
      <c r="AZ60" s="98"/>
    </row>
    <row r="61" spans="1:52" s="252" customFormat="1" ht="17.100000000000001" customHeight="1" thickBot="1">
      <c r="A61" s="13"/>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409" t="s">
        <v>395</v>
      </c>
      <c r="AB61" s="126"/>
      <c r="AC61" s="13"/>
      <c r="AD61" s="45"/>
      <c r="AE61" s="45"/>
      <c r="AF61" s="45"/>
      <c r="AG61" s="45"/>
      <c r="AH61" s="961"/>
      <c r="AI61" s="206" t="b">
        <f>AND($AH$3=10)</f>
        <v>0</v>
      </c>
      <c r="AJ61" s="185" t="b">
        <f t="shared" si="13"/>
        <v>0</v>
      </c>
      <c r="AK61" s="185" t="b">
        <f t="shared" si="12"/>
        <v>0</v>
      </c>
      <c r="AL61" s="260">
        <v>-1.3</v>
      </c>
      <c r="AM61" s="260">
        <v>-1.4</v>
      </c>
      <c r="AN61" s="260">
        <v>-1.8</v>
      </c>
      <c r="AO61" s="260">
        <v>-1.4</v>
      </c>
      <c r="AP61" s="260">
        <v>-2</v>
      </c>
      <c r="AQ61" s="265"/>
      <c r="AR61" s="98"/>
      <c r="AS61" s="262">
        <f t="shared" si="6"/>
        <v>-658.125</v>
      </c>
      <c r="AT61" s="260">
        <f t="shared" si="7"/>
        <v>-1.89</v>
      </c>
      <c r="AU61" s="260">
        <f t="shared" si="8"/>
        <v>-2.4300000000000002</v>
      </c>
      <c r="AV61" s="260">
        <f t="shared" si="9"/>
        <v>-1.89</v>
      </c>
      <c r="AW61" s="260">
        <f t="shared" si="10"/>
        <v>-2.7</v>
      </c>
      <c r="AX61" s="265"/>
      <c r="AY61" s="98"/>
      <c r="AZ61" s="98"/>
    </row>
    <row r="62" spans="1:52" s="252" customFormat="1" ht="1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45"/>
      <c r="AE62" s="45"/>
      <c r="AF62" s="45"/>
      <c r="AG62" s="45"/>
      <c r="AH62" s="961"/>
      <c r="AI62" s="266" t="b">
        <f>AND($AH$3=1)</f>
        <v>0</v>
      </c>
      <c r="AJ62" s="255" t="b">
        <f>AND($AK$3=3)</f>
        <v>1</v>
      </c>
      <c r="AK62" s="255" t="b">
        <f t="shared" ref="AK62:AK71" si="14">AND(AI62=TRUE,AJ62=TRUE)</f>
        <v>0</v>
      </c>
      <c r="AL62" s="72">
        <f t="shared" ref="AL62:AP71" si="15">AL42+$M$17*(AL52-AL42)</f>
        <v>-1</v>
      </c>
      <c r="AM62" s="72">
        <f t="shared" si="15"/>
        <v>-1.2</v>
      </c>
      <c r="AN62" s="72">
        <f t="shared" si="15"/>
        <v>-1.85</v>
      </c>
      <c r="AO62" s="72">
        <f t="shared" si="15"/>
        <v>-2</v>
      </c>
      <c r="AP62" s="72">
        <f t="shared" si="15"/>
        <v>-0.6</v>
      </c>
      <c r="AQ62" s="268" t="s">
        <v>469</v>
      </c>
      <c r="AR62" s="98"/>
      <c r="AS62" s="269">
        <f t="shared" si="6"/>
        <v>-506.25</v>
      </c>
      <c r="AT62" s="267">
        <f t="shared" si="7"/>
        <v>-1.62</v>
      </c>
      <c r="AU62" s="267">
        <f t="shared" si="8"/>
        <v>-2.4975000000000005</v>
      </c>
      <c r="AV62" s="267">
        <f t="shared" si="9"/>
        <v>-2.7</v>
      </c>
      <c r="AW62" s="267">
        <f t="shared" si="10"/>
        <v>-0.81</v>
      </c>
      <c r="AX62" s="268" t="s">
        <v>469</v>
      </c>
      <c r="AY62" s="98"/>
      <c r="AZ62" s="98"/>
    </row>
    <row r="63" spans="1:52" s="252" customFormat="1" ht="1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45"/>
      <c r="AE63" s="45"/>
      <c r="AF63" s="45"/>
      <c r="AG63" s="45"/>
      <c r="AH63" s="961"/>
      <c r="AI63" s="256" t="b">
        <f>AND($AH$3=2)</f>
        <v>0</v>
      </c>
      <c r="AJ63" s="183" t="b">
        <f t="shared" ref="AJ63:AJ71" si="16">AND($AK$3=3)</f>
        <v>1</v>
      </c>
      <c r="AK63" s="183" t="b">
        <f t="shared" si="14"/>
        <v>0</v>
      </c>
      <c r="AL63" s="72">
        <f t="shared" si="15"/>
        <v>-1</v>
      </c>
      <c r="AM63" s="72">
        <f t="shared" si="15"/>
        <v>-1.2000000000000002</v>
      </c>
      <c r="AN63" s="72">
        <f t="shared" si="15"/>
        <v>-2</v>
      </c>
      <c r="AO63" s="72">
        <f t="shared" si="15"/>
        <v>-2.1</v>
      </c>
      <c r="AP63" s="72">
        <f t="shared" si="15"/>
        <v>-0.6</v>
      </c>
      <c r="AQ63" s="264"/>
      <c r="AR63" s="98"/>
      <c r="AS63" s="258">
        <f t="shared" si="6"/>
        <v>-506.25</v>
      </c>
      <c r="AT63" s="72">
        <f t="shared" si="7"/>
        <v>-1.6200000000000003</v>
      </c>
      <c r="AU63" s="72">
        <f t="shared" si="8"/>
        <v>-2.7</v>
      </c>
      <c r="AV63" s="72">
        <f t="shared" si="9"/>
        <v>-2.8350000000000004</v>
      </c>
      <c r="AW63" s="72">
        <f t="shared" si="10"/>
        <v>-0.81</v>
      </c>
      <c r="AX63" s="264"/>
      <c r="AY63" s="98"/>
      <c r="AZ63" s="98"/>
    </row>
    <row r="64" spans="1:52" s="252" customFormat="1" ht="15" customHeight="1">
      <c r="A64" s="13"/>
      <c r="B64" s="13"/>
      <c r="C64" s="13"/>
      <c r="AA64" s="13"/>
      <c r="AB64" s="13"/>
      <c r="AC64" s="13"/>
      <c r="AD64" s="45"/>
      <c r="AE64" s="45"/>
      <c r="AF64" s="45"/>
      <c r="AG64" s="45"/>
      <c r="AH64" s="961"/>
      <c r="AI64" s="256" t="b">
        <f>AND($AH$3=3)</f>
        <v>0</v>
      </c>
      <c r="AJ64" s="183" t="b">
        <f t="shared" si="16"/>
        <v>1</v>
      </c>
      <c r="AK64" s="183" t="b">
        <f t="shared" si="14"/>
        <v>0</v>
      </c>
      <c r="AL64" s="72">
        <f t="shared" si="15"/>
        <v>-1</v>
      </c>
      <c r="AM64" s="72">
        <f t="shared" si="15"/>
        <v>-1.2000000000000002</v>
      </c>
      <c r="AN64" s="72">
        <f t="shared" si="15"/>
        <v>-2</v>
      </c>
      <c r="AO64" s="72">
        <f t="shared" si="15"/>
        <v>-2.0499999999999998</v>
      </c>
      <c r="AP64" s="72">
        <f t="shared" si="15"/>
        <v>-0.6</v>
      </c>
      <c r="AQ64" s="264"/>
      <c r="AR64" s="98"/>
      <c r="AS64" s="258">
        <f t="shared" si="6"/>
        <v>-506.25</v>
      </c>
      <c r="AT64" s="72">
        <f t="shared" si="7"/>
        <v>-1.6200000000000003</v>
      </c>
      <c r="AU64" s="72">
        <f t="shared" si="8"/>
        <v>-2.7</v>
      </c>
      <c r="AV64" s="72">
        <f t="shared" si="9"/>
        <v>-2.7675000000000001</v>
      </c>
      <c r="AW64" s="72">
        <f t="shared" si="10"/>
        <v>-0.81</v>
      </c>
      <c r="AX64" s="264"/>
      <c r="AY64" s="98"/>
      <c r="AZ64" s="98"/>
    </row>
    <row r="65" spans="1:52" s="252" customFormat="1" ht="15" customHeight="1">
      <c r="A65" s="13"/>
      <c r="B65" s="13"/>
      <c r="C65" s="13"/>
      <c r="AA65" s="13"/>
      <c r="AB65" s="13"/>
      <c r="AC65" s="13"/>
      <c r="AD65" s="45"/>
      <c r="AE65" s="45"/>
      <c r="AF65" s="45"/>
      <c r="AG65" s="45"/>
      <c r="AH65" s="961"/>
      <c r="AI65" s="256" t="b">
        <f>AND($AH$3=4)</f>
        <v>0</v>
      </c>
      <c r="AJ65" s="183" t="b">
        <f t="shared" si="16"/>
        <v>1</v>
      </c>
      <c r="AK65" s="183" t="b">
        <f t="shared" si="14"/>
        <v>0</v>
      </c>
      <c r="AL65" s="72">
        <f t="shared" si="15"/>
        <v>-0.9</v>
      </c>
      <c r="AM65" s="72">
        <f t="shared" si="15"/>
        <v>-1.1000000000000001</v>
      </c>
      <c r="AN65" s="72">
        <f t="shared" si="15"/>
        <v>-1.85</v>
      </c>
      <c r="AO65" s="72">
        <f t="shared" si="15"/>
        <v>-2</v>
      </c>
      <c r="AP65" s="72">
        <f t="shared" si="15"/>
        <v>-0.6</v>
      </c>
      <c r="AQ65" s="264"/>
      <c r="AR65" s="98"/>
      <c r="AS65" s="258">
        <f t="shared" si="6"/>
        <v>-455.625</v>
      </c>
      <c r="AT65" s="72">
        <f t="shared" si="7"/>
        <v>-1.4850000000000003</v>
      </c>
      <c r="AU65" s="72">
        <f t="shared" si="8"/>
        <v>-2.4975000000000005</v>
      </c>
      <c r="AV65" s="72">
        <f t="shared" si="9"/>
        <v>-2.7</v>
      </c>
      <c r="AW65" s="72">
        <f t="shared" si="10"/>
        <v>-0.81</v>
      </c>
      <c r="AX65" s="264"/>
      <c r="AY65" s="98"/>
      <c r="AZ65" s="98"/>
    </row>
    <row r="66" spans="1:52" s="252" customFormat="1" ht="15" customHeight="1">
      <c r="A66" s="13"/>
      <c r="B66" s="13"/>
      <c r="C66" s="13"/>
      <c r="AA66" s="13"/>
      <c r="AB66" s="13"/>
      <c r="AC66" s="13"/>
      <c r="AD66" s="45"/>
      <c r="AE66" s="45"/>
      <c r="AF66" s="45"/>
      <c r="AG66" s="45"/>
      <c r="AH66" s="961"/>
      <c r="AI66" s="256" t="b">
        <f>AND($AH$3=5)</f>
        <v>0</v>
      </c>
      <c r="AJ66" s="183" t="b">
        <f t="shared" si="16"/>
        <v>1</v>
      </c>
      <c r="AK66" s="183" t="b">
        <f t="shared" si="14"/>
        <v>0</v>
      </c>
      <c r="AL66" s="72">
        <f t="shared" si="15"/>
        <v>-0.95</v>
      </c>
      <c r="AM66" s="72">
        <f t="shared" si="15"/>
        <v>-0.95</v>
      </c>
      <c r="AN66" s="72">
        <f t="shared" si="15"/>
        <v>-1.7</v>
      </c>
      <c r="AO66" s="72">
        <f t="shared" si="15"/>
        <v>-1.6</v>
      </c>
      <c r="AP66" s="72">
        <f t="shared" si="15"/>
        <v>-1.3</v>
      </c>
      <c r="AQ66" s="264"/>
      <c r="AR66" s="98"/>
      <c r="AS66" s="258">
        <f t="shared" si="6"/>
        <v>-480.9375</v>
      </c>
      <c r="AT66" s="72">
        <f t="shared" si="7"/>
        <v>-1.2825</v>
      </c>
      <c r="AU66" s="72">
        <f t="shared" si="8"/>
        <v>-2.2949999999999999</v>
      </c>
      <c r="AV66" s="72">
        <f t="shared" si="9"/>
        <v>-2.16</v>
      </c>
      <c r="AW66" s="72">
        <f t="shared" si="10"/>
        <v>-1.7550000000000001</v>
      </c>
      <c r="AX66" s="264"/>
      <c r="AY66" s="98"/>
      <c r="AZ66" s="98"/>
    </row>
    <row r="67" spans="1:52" ht="15" customHeight="1">
      <c r="AH67" s="961"/>
      <c r="AI67" s="256" t="b">
        <f>AND($AH$3=6)</f>
        <v>0</v>
      </c>
      <c r="AJ67" s="183" t="b">
        <f t="shared" si="16"/>
        <v>1</v>
      </c>
      <c r="AK67" s="183" t="b">
        <f t="shared" si="14"/>
        <v>0</v>
      </c>
      <c r="AL67" s="72">
        <f t="shared" si="15"/>
        <v>-1</v>
      </c>
      <c r="AM67" s="72">
        <f t="shared" si="15"/>
        <v>-1</v>
      </c>
      <c r="AN67" s="72">
        <f t="shared" si="15"/>
        <v>-1.75</v>
      </c>
      <c r="AO67" s="72">
        <f t="shared" si="15"/>
        <v>-1.6</v>
      </c>
      <c r="AP67" s="72">
        <f t="shared" si="15"/>
        <v>-1.6</v>
      </c>
      <c r="AQ67" s="264"/>
      <c r="AS67" s="258">
        <f t="shared" si="6"/>
        <v>-506.25</v>
      </c>
      <c r="AT67" s="72">
        <f t="shared" si="7"/>
        <v>-1.35</v>
      </c>
      <c r="AU67" s="72">
        <f t="shared" si="8"/>
        <v>-2.3625000000000003</v>
      </c>
      <c r="AV67" s="72">
        <f t="shared" si="9"/>
        <v>-2.16</v>
      </c>
      <c r="AW67" s="72">
        <f t="shared" si="10"/>
        <v>-2.16</v>
      </c>
      <c r="AX67" s="264"/>
    </row>
    <row r="68" spans="1:52" ht="15" customHeight="1">
      <c r="AH68" s="961"/>
      <c r="AI68" s="256" t="b">
        <f>AND($AH$3=7)</f>
        <v>0</v>
      </c>
      <c r="AJ68" s="183" t="b">
        <f t="shared" si="16"/>
        <v>1</v>
      </c>
      <c r="AK68" s="183" t="b">
        <f t="shared" si="14"/>
        <v>0</v>
      </c>
      <c r="AL68" s="72">
        <f t="shared" si="15"/>
        <v>-1.05</v>
      </c>
      <c r="AM68" s="72">
        <f t="shared" si="15"/>
        <v>-1.1000000000000001</v>
      </c>
      <c r="AN68" s="72">
        <f t="shared" si="15"/>
        <v>-1.9500000000000002</v>
      </c>
      <c r="AO68" s="72">
        <f t="shared" si="15"/>
        <v>-1.5</v>
      </c>
      <c r="AP68" s="72">
        <f t="shared" si="15"/>
        <v>-1.9500000000000002</v>
      </c>
      <c r="AQ68" s="259"/>
      <c r="AS68" s="258">
        <f t="shared" si="6"/>
        <v>-531.5625</v>
      </c>
      <c r="AT68" s="72">
        <f t="shared" si="7"/>
        <v>-1.4850000000000003</v>
      </c>
      <c r="AU68" s="72">
        <f t="shared" si="8"/>
        <v>-2.6325000000000003</v>
      </c>
      <c r="AV68" s="72">
        <f t="shared" si="9"/>
        <v>-2.0250000000000004</v>
      </c>
      <c r="AW68" s="72">
        <f t="shared" si="10"/>
        <v>-2.6325000000000003</v>
      </c>
      <c r="AX68" s="259"/>
    </row>
    <row r="69" spans="1:52" ht="15" customHeight="1">
      <c r="AH69" s="961"/>
      <c r="AI69" s="256" t="b">
        <f>AND($AH$3=8)</f>
        <v>1</v>
      </c>
      <c r="AJ69" s="183" t="b">
        <f t="shared" si="16"/>
        <v>1</v>
      </c>
      <c r="AK69" s="183" t="b">
        <f t="shared" si="14"/>
        <v>1</v>
      </c>
      <c r="AL69" s="72">
        <f t="shared" si="15"/>
        <v>-1.1000000000000001</v>
      </c>
      <c r="AM69" s="72">
        <f t="shared" si="15"/>
        <v>-1.2999999999999998</v>
      </c>
      <c r="AN69" s="72">
        <f t="shared" si="15"/>
        <v>-2</v>
      </c>
      <c r="AO69" s="72">
        <f t="shared" si="15"/>
        <v>-1.5</v>
      </c>
      <c r="AP69" s="72">
        <f t="shared" si="15"/>
        <v>-2.0499999999999998</v>
      </c>
      <c r="AQ69" s="257"/>
      <c r="AS69" s="258">
        <f t="shared" si="6"/>
        <v>-556.875</v>
      </c>
      <c r="AT69" s="72">
        <f t="shared" si="7"/>
        <v>-1.7549999999999999</v>
      </c>
      <c r="AU69" s="72">
        <f t="shared" si="8"/>
        <v>-2.7</v>
      </c>
      <c r="AV69" s="72">
        <f t="shared" si="9"/>
        <v>-2.0250000000000004</v>
      </c>
      <c r="AW69" s="72">
        <f t="shared" si="10"/>
        <v>-2.7675000000000001</v>
      </c>
      <c r="AX69" s="257"/>
    </row>
    <row r="70" spans="1:52" ht="15" customHeight="1">
      <c r="AH70" s="961"/>
      <c r="AI70" s="256" t="b">
        <f>AND($AH$3=9)</f>
        <v>0</v>
      </c>
      <c r="AJ70" s="183" t="b">
        <f t="shared" si="16"/>
        <v>1</v>
      </c>
      <c r="AK70" s="183" t="b">
        <f t="shared" si="14"/>
        <v>0</v>
      </c>
      <c r="AL70" s="72">
        <f t="shared" si="15"/>
        <v>-1.1499999999999999</v>
      </c>
      <c r="AM70" s="72">
        <f t="shared" si="15"/>
        <v>-1.4</v>
      </c>
      <c r="AN70" s="72">
        <f t="shared" si="15"/>
        <v>-1.95</v>
      </c>
      <c r="AO70" s="72">
        <f t="shared" si="15"/>
        <v>-1.45</v>
      </c>
      <c r="AP70" s="72">
        <f t="shared" si="15"/>
        <v>-2</v>
      </c>
      <c r="AQ70" s="257"/>
      <c r="AS70" s="258">
        <f t="shared" si="6"/>
        <v>-582.1875</v>
      </c>
      <c r="AT70" s="72">
        <f t="shared" si="7"/>
        <v>-1.89</v>
      </c>
      <c r="AU70" s="72">
        <f t="shared" si="8"/>
        <v>-2.6325000000000003</v>
      </c>
      <c r="AV70" s="72">
        <f t="shared" si="9"/>
        <v>-1.9575</v>
      </c>
      <c r="AW70" s="72">
        <f t="shared" si="10"/>
        <v>-2.7</v>
      </c>
      <c r="AX70" s="257"/>
    </row>
    <row r="71" spans="1:52" ht="15" customHeight="1">
      <c r="AH71" s="790"/>
      <c r="AI71" s="206" t="b">
        <f>AND($AH$3=10)</f>
        <v>0</v>
      </c>
      <c r="AJ71" s="185" t="b">
        <f t="shared" si="16"/>
        <v>1</v>
      </c>
      <c r="AK71" s="185" t="b">
        <f t="shared" si="14"/>
        <v>0</v>
      </c>
      <c r="AL71" s="260">
        <f t="shared" si="15"/>
        <v>-1.1499999999999999</v>
      </c>
      <c r="AM71" s="260">
        <f t="shared" si="15"/>
        <v>-1.4</v>
      </c>
      <c r="AN71" s="260">
        <f t="shared" si="15"/>
        <v>-1.85</v>
      </c>
      <c r="AO71" s="260">
        <f t="shared" si="15"/>
        <v>-1.4</v>
      </c>
      <c r="AP71" s="260">
        <f t="shared" si="15"/>
        <v>-2</v>
      </c>
      <c r="AQ71" s="265"/>
      <c r="AS71" s="262">
        <f t="shared" si="6"/>
        <v>-582.1875</v>
      </c>
      <c r="AT71" s="260">
        <f t="shared" si="7"/>
        <v>-1.89</v>
      </c>
      <c r="AU71" s="260">
        <f t="shared" si="8"/>
        <v>-2.4975000000000005</v>
      </c>
      <c r="AV71" s="260">
        <f t="shared" si="9"/>
        <v>-1.89</v>
      </c>
      <c r="AW71" s="260">
        <f t="shared" si="10"/>
        <v>-2.7</v>
      </c>
      <c r="AX71" s="265"/>
    </row>
  </sheetData>
  <sheetProtection password="CD8C" sheet="1" objects="1" scenarios="1"/>
  <mergeCells count="158">
    <mergeCell ref="K58:W58"/>
    <mergeCell ref="C33:D33"/>
    <mergeCell ref="C28:D28"/>
    <mergeCell ref="C31:D31"/>
    <mergeCell ref="P12:AA13"/>
    <mergeCell ref="C34:P34"/>
    <mergeCell ref="M43:O47"/>
    <mergeCell ref="M48:O48"/>
    <mergeCell ref="M49:O54"/>
    <mergeCell ref="P43:R47"/>
    <mergeCell ref="S43:U47"/>
    <mergeCell ref="S48:U48"/>
    <mergeCell ref="P48:R48"/>
    <mergeCell ref="P49:R54"/>
    <mergeCell ref="S49:U54"/>
    <mergeCell ref="C14:L14"/>
    <mergeCell ref="M14:N14"/>
    <mergeCell ref="C17:L17"/>
    <mergeCell ref="M17:N17"/>
    <mergeCell ref="C22:E22"/>
    <mergeCell ref="F22:G22"/>
    <mergeCell ref="H22:I22"/>
    <mergeCell ref="J22:K22"/>
    <mergeCell ref="N22:P22"/>
    <mergeCell ref="AS26:AW26"/>
    <mergeCell ref="AS40:AW40"/>
    <mergeCell ref="AH26:AH37"/>
    <mergeCell ref="AL26:AP26"/>
    <mergeCell ref="AL40:AP40"/>
    <mergeCell ref="B1:R1"/>
    <mergeCell ref="S1:AB1"/>
    <mergeCell ref="C8:N8"/>
    <mergeCell ref="P8:AA8"/>
    <mergeCell ref="C9:F9"/>
    <mergeCell ref="G9:N9"/>
    <mergeCell ref="P9:Q9"/>
    <mergeCell ref="R9:S9"/>
    <mergeCell ref="T9:U9"/>
    <mergeCell ref="V9:W9"/>
    <mergeCell ref="Z9:AA9"/>
    <mergeCell ref="X9:Y9"/>
    <mergeCell ref="C13:L13"/>
    <mergeCell ref="M13:N13"/>
    <mergeCell ref="C12:F12"/>
    <mergeCell ref="G12:N12"/>
    <mergeCell ref="V10:W10"/>
    <mergeCell ref="X10:Y10"/>
    <mergeCell ref="Z10:AA10"/>
    <mergeCell ref="C11:F11"/>
    <mergeCell ref="G11:N11"/>
    <mergeCell ref="P11:Q11"/>
    <mergeCell ref="R11:S11"/>
    <mergeCell ref="T11:U11"/>
    <mergeCell ref="V11:W11"/>
    <mergeCell ref="X11:Y11"/>
    <mergeCell ref="Z11:AA11"/>
    <mergeCell ref="C10:F10"/>
    <mergeCell ref="G10:N10"/>
    <mergeCell ref="P10:Q10"/>
    <mergeCell ref="R10:S10"/>
    <mergeCell ref="T10:U10"/>
    <mergeCell ref="P15:Z15"/>
    <mergeCell ref="P16:Y16"/>
    <mergeCell ref="Z16:AA16"/>
    <mergeCell ref="C15:L15"/>
    <mergeCell ref="M15:N15"/>
    <mergeCell ref="C16:L16"/>
    <mergeCell ref="M16:N16"/>
    <mergeCell ref="Z17:AA17"/>
    <mergeCell ref="P18:Y18"/>
    <mergeCell ref="Z18:AA18"/>
    <mergeCell ref="C18:L18"/>
    <mergeCell ref="M18:N18"/>
    <mergeCell ref="C24:E24"/>
    <mergeCell ref="F24:G24"/>
    <mergeCell ref="H24:I24"/>
    <mergeCell ref="J24:K24"/>
    <mergeCell ref="O24:P24"/>
    <mergeCell ref="C23:E23"/>
    <mergeCell ref="F23:G23"/>
    <mergeCell ref="H23:I23"/>
    <mergeCell ref="J23:K23"/>
    <mergeCell ref="O23:P23"/>
    <mergeCell ref="N27:P27"/>
    <mergeCell ref="L29:M29"/>
    <mergeCell ref="O29:P29"/>
    <mergeCell ref="F32:G32"/>
    <mergeCell ref="H32:I32"/>
    <mergeCell ref="J32:K32"/>
    <mergeCell ref="L32:M32"/>
    <mergeCell ref="O32:P32"/>
    <mergeCell ref="P17:Y17"/>
    <mergeCell ref="K55:L57"/>
    <mergeCell ref="M55:U55"/>
    <mergeCell ref="V55:W57"/>
    <mergeCell ref="M56:U56"/>
    <mergeCell ref="M57:U57"/>
    <mergeCell ref="F40:F57"/>
    <mergeCell ref="J40:J43"/>
    <mergeCell ref="K40:L42"/>
    <mergeCell ref="M40:U40"/>
    <mergeCell ref="V40:W42"/>
    <mergeCell ref="M41:U41"/>
    <mergeCell ref="M42:U42"/>
    <mergeCell ref="K43:K54"/>
    <mergeCell ref="L43:L54"/>
    <mergeCell ref="V43:V54"/>
    <mergeCell ref="W43:W54"/>
    <mergeCell ref="J44:J53"/>
    <mergeCell ref="J54:J57"/>
    <mergeCell ref="AH40:AH71"/>
    <mergeCell ref="C21:P21"/>
    <mergeCell ref="L22:M22"/>
    <mergeCell ref="L23:M23"/>
    <mergeCell ref="L24:M24"/>
    <mergeCell ref="L27:M27"/>
    <mergeCell ref="L28:M28"/>
    <mergeCell ref="L31:M31"/>
    <mergeCell ref="F29:G29"/>
    <mergeCell ref="H29:I29"/>
    <mergeCell ref="J29:K29"/>
    <mergeCell ref="C36:AA36"/>
    <mergeCell ref="K39:M39"/>
    <mergeCell ref="N39:T39"/>
    <mergeCell ref="U39:W39"/>
    <mergeCell ref="F31:G31"/>
    <mergeCell ref="H31:I31"/>
    <mergeCell ref="J31:K31"/>
    <mergeCell ref="O31:P31"/>
    <mergeCell ref="F28:G28"/>
    <mergeCell ref="Q27:V27"/>
    <mergeCell ref="C26:V26"/>
    <mergeCell ref="Q31:V31"/>
    <mergeCell ref="Q32:V32"/>
    <mergeCell ref="C27:E27"/>
    <mergeCell ref="Q28:V28"/>
    <mergeCell ref="F33:G33"/>
    <mergeCell ref="H33:I33"/>
    <mergeCell ref="J33:K33"/>
    <mergeCell ref="L33:M33"/>
    <mergeCell ref="O33:P33"/>
    <mergeCell ref="F30:G30"/>
    <mergeCell ref="H30:I30"/>
    <mergeCell ref="J30:K30"/>
    <mergeCell ref="L30:M30"/>
    <mergeCell ref="O30:P30"/>
    <mergeCell ref="H28:I28"/>
    <mergeCell ref="J28:K28"/>
    <mergeCell ref="O28:P28"/>
    <mergeCell ref="C29:D29"/>
    <mergeCell ref="C30:D30"/>
    <mergeCell ref="C32:D32"/>
    <mergeCell ref="Q33:V33"/>
    <mergeCell ref="Q30:V30"/>
    <mergeCell ref="Q29:V29"/>
    <mergeCell ref="F27:G27"/>
    <mergeCell ref="H27:I27"/>
    <mergeCell ref="J27:K27"/>
  </mergeCells>
  <conditionalFormatting sqref="E29:V30 E32:V33">
    <cfRule type="expression" dxfId="2" priority="2">
      <formula>NOT($AK$8)</formula>
    </cfRule>
  </conditionalFormatting>
  <conditionalFormatting sqref="M17:N17">
    <cfRule type="expression" dxfId="1" priority="1">
      <formula>$AK$3&lt;&gt;3</formula>
    </cfRule>
  </conditionalFormatting>
  <dataValidations count="6">
    <dataValidation type="custom" allowBlank="1" showInputMessage="1" showErrorMessage="1" sqref="M17:N17" xr:uid="{00000000-0002-0000-0A00-000000000000}">
      <formula1>NOT(OR($M$17&lt;=0,$M$17&gt;=1))</formula1>
    </dataValidation>
    <dataValidation type="custom" allowBlank="1" showInputMessage="1" showErrorMessage="1" error="Canopy roof angle must be either between -20 and -5 or between 5 and 30 degrees." sqref="M18:N18" xr:uid="{00000000-0002-0000-0A00-000001000000}">
      <formula1>AJ2</formula1>
    </dataValidation>
    <dataValidation type="list" allowBlank="1" showInputMessage="1" showErrorMessage="1" sqref="G11:N11" xr:uid="{00000000-0002-0000-0A00-000002000000}">
      <formula1>$AL$4:$AL$6</formula1>
    </dataValidation>
    <dataValidation type="list" allowBlank="1" showInputMessage="1" showErrorMessage="1" sqref="G12:N12" xr:uid="{00000000-0002-0000-0A00-000003000000}">
      <formula1>$AP$4:$AP$5</formula1>
    </dataValidation>
    <dataValidation type="list" allowBlank="1" showInputMessage="1" showErrorMessage="1" sqref="G9:N9" xr:uid="{00000000-0002-0000-0A00-000004000000}">
      <formula1>Structure</formula1>
    </dataValidation>
    <dataValidation type="list" allowBlank="1" showInputMessage="1" showErrorMessage="1" sqref="G10:N10" xr:uid="{00000000-0002-0000-0A00-000005000000}">
      <formula1>Type_of_surface</formula1>
    </dataValidation>
  </dataValidations>
  <hyperlinks>
    <hyperlink ref="C61" r:id="rId1" xr:uid="{00000000-0004-0000-0A00-000000000000}"/>
  </hyperlinks>
  <printOptions horizontalCentered="1"/>
  <pageMargins left="0.74803149606299213" right="0.31496062992125984" top="0.74803149606299202" bottom="0.43307086614173229" header="0" footer="0"/>
  <pageSetup paperSize="9" scale="74"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3" id="{8EE00660-7E2D-436D-A1D9-D28883CECF4E}">
            <xm:f>'Monopitch canopies'!$AK$3&lt;&gt;3</xm:f>
            <x14:dxf>
              <font>
                <b val="0"/>
                <i val="0"/>
                <color rgb="FFC0C0C0"/>
              </font>
              <numFmt numFmtId="169" formatCode="&quot;N/A&quot;"/>
            </x14:dxf>
          </x14:cfRule>
          <xm:sqref>M17:N17</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S51"/>
  <sheetViews>
    <sheetView showGridLines="0" tabSelected="1" zoomScale="90" zoomScaleNormal="90" workbookViewId="0"/>
  </sheetViews>
  <sheetFormatPr defaultRowHeight="12.75"/>
  <cols>
    <col min="1" max="1" width="2.85546875" style="218" customWidth="1"/>
    <col min="2" max="3" width="9.140625" style="218"/>
    <col min="4" max="4" width="10.28515625" style="218" customWidth="1"/>
    <col min="5" max="9" width="9.140625" style="218"/>
    <col min="10" max="10" width="9.140625" style="218" customWidth="1"/>
    <col min="11" max="11" width="9.140625" style="218"/>
    <col min="12" max="12" width="2.85546875" style="218" customWidth="1"/>
    <col min="13" max="13" width="6.85546875" style="218" customWidth="1"/>
    <col min="14" max="14" width="7.5703125" style="218" customWidth="1"/>
    <col min="15" max="19" width="9.140625" style="218" hidden="1" customWidth="1"/>
    <col min="20" max="20" width="0" style="218" hidden="1" customWidth="1"/>
    <col min="21" max="16384" width="9.140625" style="218"/>
  </cols>
  <sheetData>
    <row r="1" spans="1:19" s="487" customFormat="1" ht="15">
      <c r="A1" s="484"/>
      <c r="B1" s="485" t="s">
        <v>673</v>
      </c>
      <c r="C1" s="485"/>
      <c r="D1" s="485"/>
      <c r="E1" s="485"/>
      <c r="F1" s="485"/>
      <c r="G1" s="485"/>
      <c r="H1" s="485"/>
      <c r="I1" s="485"/>
      <c r="J1" s="485"/>
      <c r="K1" s="486" t="s">
        <v>267</v>
      </c>
      <c r="P1" s="488"/>
      <c r="Q1" s="488"/>
      <c r="R1" s="488"/>
      <c r="S1" s="488"/>
    </row>
    <row r="2" spans="1:19" s="489" customFormat="1" ht="12.75" customHeight="1">
      <c r="B2" s="490"/>
      <c r="C2" s="491"/>
      <c r="D2" s="491"/>
      <c r="E2" s="491"/>
      <c r="F2" s="491"/>
      <c r="G2" s="491"/>
      <c r="H2" s="491"/>
      <c r="I2" s="491"/>
      <c r="J2" s="491"/>
      <c r="K2" s="492"/>
    </row>
    <row r="3" spans="1:19" s="489" customFormat="1" ht="12.75" customHeight="1">
      <c r="B3" s="493"/>
      <c r="C3" s="1062" t="s">
        <v>263</v>
      </c>
      <c r="D3" s="1062"/>
      <c r="E3" s="1062"/>
      <c r="F3" s="1062"/>
      <c r="G3" s="1063" t="s">
        <v>264</v>
      </c>
      <c r="H3" s="1063"/>
      <c r="I3" s="1063"/>
      <c r="J3" s="1063"/>
      <c r="K3" s="494"/>
    </row>
    <row r="4" spans="1:19" s="489" customFormat="1" ht="12.75" customHeight="1">
      <c r="B4" s="493"/>
      <c r="C4" s="1064" t="s">
        <v>265</v>
      </c>
      <c r="D4" s="1064"/>
      <c r="E4" s="1064"/>
      <c r="F4" s="1064"/>
      <c r="G4" s="1065" t="s">
        <v>266</v>
      </c>
      <c r="H4" s="1065"/>
      <c r="I4" s="1065"/>
      <c r="J4" s="1065"/>
      <c r="K4" s="494"/>
    </row>
    <row r="5" spans="1:19" s="489" customFormat="1" ht="15">
      <c r="B5" s="495"/>
      <c r="C5" s="496"/>
      <c r="D5" s="496"/>
      <c r="E5" s="496"/>
      <c r="F5" s="496"/>
      <c r="G5" s="496"/>
      <c r="H5" s="496"/>
      <c r="I5" s="496"/>
      <c r="J5" s="496"/>
      <c r="K5" s="497"/>
      <c r="M5" s="498"/>
    </row>
    <row r="6" spans="1:19" s="489" customFormat="1" ht="15"/>
    <row r="7" spans="1:19" s="501" customFormat="1" ht="15" customHeight="1">
      <c r="A7" s="487"/>
      <c r="B7" s="499"/>
      <c r="C7" s="1066" t="s">
        <v>674</v>
      </c>
      <c r="D7" s="1066"/>
      <c r="E7" s="1066"/>
      <c r="F7" s="1066"/>
      <c r="G7" s="1066"/>
      <c r="H7" s="1066"/>
      <c r="I7" s="1066"/>
      <c r="J7" s="1066"/>
      <c r="K7" s="500"/>
      <c r="L7" s="487"/>
    </row>
    <row r="8" spans="1:19" s="501" customFormat="1" ht="15" customHeight="1">
      <c r="A8" s="487"/>
      <c r="B8" s="502"/>
      <c r="C8" s="1067"/>
      <c r="D8" s="1067"/>
      <c r="E8" s="1067"/>
      <c r="F8" s="1067"/>
      <c r="G8" s="1067"/>
      <c r="H8" s="1067"/>
      <c r="I8" s="1067"/>
      <c r="J8" s="1067"/>
      <c r="K8" s="503"/>
      <c r="L8" s="487"/>
    </row>
    <row r="9" spans="1:19" s="501" customFormat="1" ht="15" customHeight="1">
      <c r="A9" s="487"/>
      <c r="B9" s="502"/>
      <c r="C9" s="1067"/>
      <c r="D9" s="1067"/>
      <c r="E9" s="1067"/>
      <c r="F9" s="1067"/>
      <c r="G9" s="1067"/>
      <c r="H9" s="1067"/>
      <c r="I9" s="1067"/>
      <c r="J9" s="1067"/>
      <c r="K9" s="503"/>
      <c r="L9" s="487"/>
    </row>
    <row r="10" spans="1:19" s="501" customFormat="1" ht="14.1" customHeight="1">
      <c r="A10" s="487"/>
      <c r="B10" s="504"/>
      <c r="C10" s="1068"/>
      <c r="D10" s="1068"/>
      <c r="E10" s="1068"/>
      <c r="F10" s="1068"/>
      <c r="G10" s="1068"/>
      <c r="H10" s="1068"/>
      <c r="I10" s="1068"/>
      <c r="J10" s="1068"/>
      <c r="K10" s="505"/>
      <c r="L10" s="487"/>
    </row>
    <row r="11" spans="1:19" s="489" customFormat="1" ht="9.9499999999999993" customHeight="1">
      <c r="A11" s="487"/>
      <c r="B11" s="487"/>
      <c r="C11" s="487"/>
      <c r="D11" s="487"/>
      <c r="E11" s="487"/>
      <c r="F11" s="487"/>
      <c r="G11" s="487"/>
      <c r="H11" s="487"/>
      <c r="I11" s="487"/>
      <c r="J11" s="487"/>
      <c r="K11" s="487"/>
      <c r="L11" s="487"/>
    </row>
    <row r="12" spans="1:19" s="489" customFormat="1" ht="17.100000000000001" customHeight="1">
      <c r="B12" s="490"/>
      <c r="C12" s="491"/>
      <c r="D12" s="491"/>
      <c r="E12" s="491"/>
      <c r="F12" s="491"/>
      <c r="G12" s="491"/>
      <c r="H12" s="491"/>
      <c r="I12" s="491"/>
      <c r="J12" s="491"/>
      <c r="K12" s="492"/>
    </row>
    <row r="13" spans="1:19" s="489" customFormat="1" ht="17.100000000000001" customHeight="1">
      <c r="B13" s="493"/>
      <c r="C13" s="1059" t="s">
        <v>675</v>
      </c>
      <c r="D13" s="1059"/>
      <c r="E13" s="1059"/>
      <c r="F13" s="1059"/>
      <c r="G13" s="1059"/>
      <c r="H13" s="1059"/>
      <c r="I13" s="1059"/>
      <c r="J13" s="1059"/>
      <c r="K13" s="494"/>
    </row>
    <row r="14" spans="1:19" s="489" customFormat="1" ht="17.100000000000001" customHeight="1">
      <c r="B14" s="493"/>
      <c r="C14" s="1059"/>
      <c r="D14" s="1059"/>
      <c r="E14" s="1059"/>
      <c r="F14" s="1059"/>
      <c r="G14" s="1059"/>
      <c r="H14" s="1059"/>
      <c r="I14" s="1059"/>
      <c r="J14" s="1059"/>
      <c r="K14" s="494"/>
    </row>
    <row r="15" spans="1:19" s="489" customFormat="1" ht="17.100000000000001" customHeight="1">
      <c r="B15" s="493"/>
      <c r="C15" s="1059"/>
      <c r="D15" s="1059"/>
      <c r="E15" s="1059"/>
      <c r="F15" s="1059"/>
      <c r="G15" s="1059"/>
      <c r="H15" s="1059"/>
      <c r="I15" s="1059"/>
      <c r="J15" s="1059"/>
      <c r="K15" s="494"/>
    </row>
    <row r="16" spans="1:19" s="489" customFormat="1" ht="17.100000000000001" customHeight="1">
      <c r="B16" s="493"/>
      <c r="C16" s="1059"/>
      <c r="D16" s="1059"/>
      <c r="E16" s="1059"/>
      <c r="F16" s="1059"/>
      <c r="G16" s="1059"/>
      <c r="H16" s="1059"/>
      <c r="I16" s="1059"/>
      <c r="J16" s="1059"/>
      <c r="K16" s="494"/>
    </row>
    <row r="17" spans="2:11" s="489" customFormat="1" ht="17.100000000000001" customHeight="1">
      <c r="B17" s="493"/>
      <c r="C17" s="1059"/>
      <c r="D17" s="1059"/>
      <c r="E17" s="1059"/>
      <c r="F17" s="1059"/>
      <c r="G17" s="1059"/>
      <c r="H17" s="1059"/>
      <c r="I17" s="1059"/>
      <c r="J17" s="1059"/>
      <c r="K17" s="494"/>
    </row>
    <row r="18" spans="2:11" s="489" customFormat="1" ht="17.100000000000001" customHeight="1">
      <c r="B18" s="493"/>
      <c r="C18" s="1059"/>
      <c r="D18" s="1059"/>
      <c r="E18" s="1059"/>
      <c r="F18" s="1059"/>
      <c r="G18" s="1059"/>
      <c r="H18" s="1059"/>
      <c r="I18" s="1059"/>
      <c r="J18" s="1059"/>
      <c r="K18" s="494"/>
    </row>
    <row r="19" spans="2:11" s="489" customFormat="1" ht="17.100000000000001" customHeight="1">
      <c r="B19" s="493"/>
      <c r="C19" s="1059"/>
      <c r="D19" s="1059"/>
      <c r="E19" s="1059"/>
      <c r="F19" s="1059"/>
      <c r="G19" s="1059"/>
      <c r="H19" s="1059"/>
      <c r="I19" s="1059"/>
      <c r="J19" s="1059"/>
      <c r="K19" s="494"/>
    </row>
    <row r="20" spans="2:11" s="489" customFormat="1" ht="17.100000000000001" customHeight="1">
      <c r="B20" s="493"/>
      <c r="C20" s="1059"/>
      <c r="D20" s="1059"/>
      <c r="E20" s="1059"/>
      <c r="F20" s="1059"/>
      <c r="G20" s="1059"/>
      <c r="H20" s="1059"/>
      <c r="I20" s="1059"/>
      <c r="J20" s="1059"/>
      <c r="K20" s="494"/>
    </row>
    <row r="21" spans="2:11" s="489" customFormat="1" ht="17.100000000000001" customHeight="1">
      <c r="B21" s="493"/>
      <c r="C21" s="1059"/>
      <c r="D21" s="1059"/>
      <c r="E21" s="1059"/>
      <c r="F21" s="1059"/>
      <c r="G21" s="1059"/>
      <c r="H21" s="1059"/>
      <c r="I21" s="1059"/>
      <c r="J21" s="1059"/>
      <c r="K21" s="494"/>
    </row>
    <row r="22" spans="2:11" s="489" customFormat="1" ht="17.100000000000001" customHeight="1">
      <c r="B22" s="493"/>
      <c r="C22" s="1059"/>
      <c r="D22" s="1059"/>
      <c r="E22" s="1059"/>
      <c r="F22" s="1059"/>
      <c r="G22" s="1059"/>
      <c r="H22" s="1059"/>
      <c r="I22" s="1059"/>
      <c r="J22" s="1059"/>
      <c r="K22" s="494"/>
    </row>
    <row r="23" spans="2:11" s="489" customFormat="1" ht="17.100000000000001" customHeight="1">
      <c r="B23" s="493"/>
      <c r="C23" s="1059"/>
      <c r="D23" s="1059"/>
      <c r="E23" s="1059"/>
      <c r="F23" s="1059"/>
      <c r="G23" s="1059"/>
      <c r="H23" s="1059"/>
      <c r="I23" s="1059"/>
      <c r="J23" s="1059"/>
      <c r="K23" s="494"/>
    </row>
    <row r="24" spans="2:11" s="489" customFormat="1" ht="17.100000000000001" customHeight="1">
      <c r="B24" s="493"/>
      <c r="C24" s="1060" t="s">
        <v>268</v>
      </c>
      <c r="D24" s="1060"/>
      <c r="E24" s="1060"/>
      <c r="F24" s="1060"/>
      <c r="G24" s="1060"/>
      <c r="H24" s="1060"/>
      <c r="I24" s="506"/>
      <c r="J24" s="506"/>
      <c r="K24" s="494"/>
    </row>
    <row r="25" spans="2:11" s="489" customFormat="1" ht="17.100000000000001" customHeight="1">
      <c r="B25" s="493"/>
      <c r="C25" s="1056" t="s">
        <v>269</v>
      </c>
      <c r="D25" s="1057"/>
      <c r="E25" s="1057"/>
      <c r="F25" s="1057"/>
      <c r="G25" s="1057"/>
      <c r="H25" s="1057"/>
      <c r="I25" s="1057"/>
      <c r="J25" s="1057"/>
      <c r="K25" s="494"/>
    </row>
    <row r="26" spans="2:11" s="489" customFormat="1" ht="17.100000000000001" customHeight="1">
      <c r="B26" s="493"/>
      <c r="C26" s="1057"/>
      <c r="D26" s="1057"/>
      <c r="E26" s="1057"/>
      <c r="F26" s="1057"/>
      <c r="G26" s="1057"/>
      <c r="H26" s="1057"/>
      <c r="I26" s="1057"/>
      <c r="J26" s="1057"/>
      <c r="K26" s="494"/>
    </row>
    <row r="27" spans="2:11" s="489" customFormat="1" ht="17.100000000000001" customHeight="1">
      <c r="B27" s="493"/>
      <c r="C27" s="1057"/>
      <c r="D27" s="1057"/>
      <c r="E27" s="1057"/>
      <c r="F27" s="1057"/>
      <c r="G27" s="1057"/>
      <c r="H27" s="1057"/>
      <c r="I27" s="1057"/>
      <c r="J27" s="1057"/>
      <c r="K27" s="494"/>
    </row>
    <row r="28" spans="2:11" s="489" customFormat="1" ht="17.100000000000001" customHeight="1">
      <c r="B28" s="493"/>
      <c r="C28" s="1057"/>
      <c r="D28" s="1057"/>
      <c r="E28" s="1057"/>
      <c r="F28" s="1057"/>
      <c r="G28" s="1057"/>
      <c r="H28" s="1057"/>
      <c r="I28" s="1057"/>
      <c r="J28" s="1057"/>
      <c r="K28" s="494"/>
    </row>
    <row r="29" spans="2:11" ht="17.100000000000001" customHeight="1">
      <c r="B29" s="222"/>
      <c r="C29" s="1057"/>
      <c r="D29" s="1057"/>
      <c r="E29" s="1057"/>
      <c r="F29" s="1057"/>
      <c r="G29" s="1057"/>
      <c r="H29" s="1057"/>
      <c r="I29" s="1057"/>
      <c r="J29" s="1057"/>
      <c r="K29" s="223"/>
    </row>
    <row r="30" spans="2:11" ht="17.100000000000001" customHeight="1">
      <c r="B30" s="224"/>
      <c r="C30" s="225"/>
      <c r="D30" s="225"/>
      <c r="E30" s="225"/>
      <c r="F30" s="225"/>
      <c r="G30" s="225"/>
      <c r="H30" s="225"/>
      <c r="I30" s="225"/>
      <c r="J30" s="225"/>
      <c r="K30" s="226"/>
    </row>
    <row r="32" spans="2:11" s="487" customFormat="1" ht="17.25" customHeight="1">
      <c r="B32" s="499"/>
      <c r="C32" s="507"/>
      <c r="D32" s="507"/>
      <c r="E32" s="507"/>
      <c r="F32" s="507"/>
      <c r="G32" s="507"/>
      <c r="H32" s="507"/>
      <c r="I32" s="507"/>
      <c r="J32" s="507"/>
      <c r="K32" s="508"/>
    </row>
    <row r="33" spans="2:11" s="487" customFormat="1" ht="17.25" customHeight="1">
      <c r="B33" s="502"/>
      <c r="C33" s="1061" t="s">
        <v>676</v>
      </c>
      <c r="D33" s="1061"/>
      <c r="E33" s="1061"/>
      <c r="F33" s="1061"/>
      <c r="G33" s="1061"/>
      <c r="H33" s="1061"/>
      <c r="I33" s="1061"/>
      <c r="J33" s="1061"/>
      <c r="K33" s="509"/>
    </row>
    <row r="34" spans="2:11" s="487" customFormat="1" ht="17.25" customHeight="1">
      <c r="B34" s="502"/>
      <c r="C34" s="1061"/>
      <c r="D34" s="1061"/>
      <c r="E34" s="1061"/>
      <c r="F34" s="1061"/>
      <c r="G34" s="1061"/>
      <c r="H34" s="1061"/>
      <c r="I34" s="1061"/>
      <c r="J34" s="1061"/>
      <c r="K34" s="509"/>
    </row>
    <row r="35" spans="2:11" s="487" customFormat="1" ht="17.25" customHeight="1">
      <c r="B35" s="502"/>
      <c r="C35" s="1061"/>
      <c r="D35" s="1061"/>
      <c r="E35" s="1061"/>
      <c r="F35" s="1061"/>
      <c r="G35" s="1061"/>
      <c r="H35" s="1061"/>
      <c r="I35" s="1061"/>
      <c r="J35" s="1061"/>
      <c r="K35" s="509"/>
    </row>
    <row r="36" spans="2:11" s="487" customFormat="1" ht="17.25" customHeight="1">
      <c r="B36" s="502"/>
      <c r="C36" s="1061"/>
      <c r="D36" s="1061"/>
      <c r="E36" s="1061"/>
      <c r="F36" s="1061"/>
      <c r="G36" s="1061"/>
      <c r="H36" s="1061"/>
      <c r="I36" s="1061"/>
      <c r="J36" s="1061"/>
      <c r="K36" s="509"/>
    </row>
    <row r="37" spans="2:11" s="487" customFormat="1" ht="17.25" customHeight="1">
      <c r="B37" s="510"/>
      <c r="C37" s="511"/>
      <c r="D37" s="511"/>
      <c r="E37" s="511"/>
      <c r="F37" s="511"/>
      <c r="G37" s="511"/>
      <c r="H37" s="511"/>
      <c r="I37" s="511"/>
      <c r="J37" s="511"/>
      <c r="K37" s="512"/>
    </row>
    <row r="38" spans="2:11" s="487" customFormat="1" ht="15"/>
    <row r="39" spans="2:11">
      <c r="B39" s="219"/>
      <c r="C39" s="220"/>
      <c r="D39" s="220"/>
      <c r="E39" s="220"/>
      <c r="F39" s="220"/>
      <c r="G39" s="220"/>
      <c r="H39" s="220"/>
      <c r="I39" s="220"/>
      <c r="J39" s="220"/>
      <c r="K39" s="221"/>
    </row>
    <row r="40" spans="2:11">
      <c r="B40" s="222"/>
      <c r="C40" s="1058" t="s">
        <v>672</v>
      </c>
      <c r="D40" s="1058"/>
      <c r="E40" s="1058"/>
      <c r="F40" s="1058"/>
      <c r="G40" s="1058"/>
      <c r="H40" s="1058"/>
      <c r="I40" s="1058"/>
      <c r="J40" s="1058"/>
      <c r="K40" s="223"/>
    </row>
    <row r="41" spans="2:11">
      <c r="B41" s="222"/>
      <c r="C41" s="1058"/>
      <c r="D41" s="1058"/>
      <c r="E41" s="1058"/>
      <c r="F41" s="1058"/>
      <c r="G41" s="1058"/>
      <c r="H41" s="1058"/>
      <c r="I41" s="1058"/>
      <c r="J41" s="1058"/>
      <c r="K41" s="223"/>
    </row>
    <row r="42" spans="2:11">
      <c r="B42" s="222"/>
      <c r="C42" s="1058"/>
      <c r="D42" s="1058"/>
      <c r="E42" s="1058"/>
      <c r="F42" s="1058"/>
      <c r="G42" s="1058"/>
      <c r="H42" s="1058"/>
      <c r="I42" s="1058"/>
      <c r="J42" s="1058"/>
      <c r="K42" s="223"/>
    </row>
    <row r="43" spans="2:11">
      <c r="B43" s="222"/>
      <c r="C43" s="1058"/>
      <c r="D43" s="1058"/>
      <c r="E43" s="1058"/>
      <c r="F43" s="1058"/>
      <c r="G43" s="1058"/>
      <c r="H43" s="1058"/>
      <c r="I43" s="1058"/>
      <c r="J43" s="1058"/>
      <c r="K43" s="223"/>
    </row>
    <row r="44" spans="2:11">
      <c r="B44" s="222"/>
      <c r="C44" s="1058"/>
      <c r="D44" s="1058"/>
      <c r="E44" s="1058"/>
      <c r="F44" s="1058"/>
      <c r="G44" s="1058"/>
      <c r="H44" s="1058"/>
      <c r="I44" s="1058"/>
      <c r="J44" s="1058"/>
      <c r="K44" s="223"/>
    </row>
    <row r="45" spans="2:11">
      <c r="B45" s="224"/>
      <c r="C45" s="225"/>
      <c r="D45" s="225"/>
      <c r="E45" s="225"/>
      <c r="F45" s="225"/>
      <c r="G45" s="225"/>
      <c r="H45" s="225"/>
      <c r="I45" s="225"/>
      <c r="J45" s="225"/>
      <c r="K45" s="226"/>
    </row>
    <row r="51" spans="4:4">
      <c r="D51" s="227"/>
    </row>
  </sheetData>
  <sheetProtection password="CD8C" sheet="1" objects="1" scenarios="1" selectLockedCells="1"/>
  <mergeCells count="10">
    <mergeCell ref="C3:F3"/>
    <mergeCell ref="G3:J3"/>
    <mergeCell ref="C4:F4"/>
    <mergeCell ref="G4:J4"/>
    <mergeCell ref="C7:J10"/>
    <mergeCell ref="C25:J29"/>
    <mergeCell ref="C40:J44"/>
    <mergeCell ref="C13:J23"/>
    <mergeCell ref="C24:H24"/>
    <mergeCell ref="C33:J36"/>
  </mergeCells>
  <hyperlinks>
    <hyperlink ref="C4" r:id="rId1" xr:uid="{00000000-0004-0000-0B00-000000000000}"/>
    <hyperlink ref="G4" r:id="rId2" xr:uid="{00000000-0004-0000-0B00-000001000000}"/>
    <hyperlink ref="C24:H24" r:id="rId3" display="www.yourspreadsheets.co.uk/checkout.html" xr:uid="{00000000-0004-0000-0B00-000002000000}"/>
  </hyperlinks>
  <pageMargins left="0.75" right="0.75" top="0.74803149606299202" bottom="1" header="0.5" footer="0.5"/>
  <pageSetup paperSize="9" scale="74"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4"/>
  <dimension ref="A1:FV628"/>
  <sheetViews>
    <sheetView showGridLines="0" zoomScaleNormal="100" workbookViewId="0">
      <selection activeCell="C31" sqref="C31:Q31"/>
    </sheetView>
  </sheetViews>
  <sheetFormatPr defaultRowHeight="15"/>
  <cols>
    <col min="1" max="1" width="2.5703125" style="9" customWidth="1"/>
    <col min="2" max="2" width="2" style="9" customWidth="1"/>
    <col min="3" max="3" width="6.140625" style="9" customWidth="1"/>
    <col min="4" max="25" width="4.7109375" style="9" customWidth="1"/>
    <col min="26" max="27" width="4.7109375" style="32" customWidth="1"/>
    <col min="28" max="28" width="2" style="32" customWidth="1"/>
    <col min="29" max="29" width="3.140625" style="34" customWidth="1"/>
    <col min="30" max="30" width="9.140625" style="11" hidden="1" customWidth="1"/>
    <col min="31" max="31" width="9.140625" style="12" hidden="1" customWidth="1"/>
    <col min="32" max="32" width="9.140625" style="40" hidden="1" customWidth="1"/>
    <col min="33" max="48" width="9.140625" style="43" hidden="1" customWidth="1"/>
    <col min="49" max="49" width="9.140625" style="44" hidden="1" customWidth="1"/>
    <col min="50" max="171" width="9.140625" style="43" hidden="1" customWidth="1"/>
    <col min="172" max="172" width="3.7109375" style="43" hidden="1" customWidth="1"/>
    <col min="173" max="176" width="7.140625" style="43" customWidth="1"/>
    <col min="177" max="177" width="15.5703125" style="43" customWidth="1"/>
    <col min="178" max="178" width="9.140625" style="43"/>
    <col min="179" max="16384" width="9.140625" style="40"/>
  </cols>
  <sheetData>
    <row r="1" spans="2:177">
      <c r="B1" s="608" t="s">
        <v>486</v>
      </c>
      <c r="C1" s="608"/>
      <c r="D1" s="608"/>
      <c r="E1" s="608"/>
      <c r="F1" s="608"/>
      <c r="G1" s="608"/>
      <c r="H1" s="608"/>
      <c r="I1" s="608"/>
      <c r="J1" s="608"/>
      <c r="K1" s="608"/>
      <c r="L1" s="608"/>
      <c r="M1" s="608"/>
      <c r="N1" s="608"/>
      <c r="O1" s="608"/>
      <c r="P1" s="608"/>
      <c r="Q1" s="608"/>
      <c r="R1" s="608"/>
      <c r="S1" s="609" t="s">
        <v>487</v>
      </c>
      <c r="T1" s="609"/>
      <c r="U1" s="609"/>
      <c r="V1" s="609"/>
      <c r="W1" s="609"/>
      <c r="X1" s="609"/>
      <c r="Y1" s="609"/>
      <c r="Z1" s="609"/>
      <c r="AA1" s="609"/>
      <c r="AB1" s="609"/>
      <c r="AC1" s="10"/>
      <c r="AW1" s="44" t="s">
        <v>197</v>
      </c>
      <c r="AX1" s="43" t="s">
        <v>198</v>
      </c>
      <c r="FD1" s="43" t="s">
        <v>309</v>
      </c>
      <c r="FE1" s="45">
        <v>113</v>
      </c>
      <c r="FF1" s="45">
        <v>114</v>
      </c>
      <c r="FG1" s="45">
        <v>115</v>
      </c>
      <c r="FH1" s="45">
        <v>116</v>
      </c>
      <c r="FK1" s="45">
        <v>119</v>
      </c>
      <c r="FL1" s="45"/>
      <c r="FM1" s="45"/>
      <c r="FN1" s="45"/>
    </row>
    <row r="2" spans="2:177" ht="29.25" customHeight="1" thickBot="1">
      <c r="B2" s="478"/>
      <c r="C2" s="479"/>
      <c r="D2" s="479"/>
      <c r="E2" s="610" t="s">
        <v>625</v>
      </c>
      <c r="F2" s="610"/>
      <c r="G2" s="610"/>
      <c r="H2" s="610"/>
      <c r="I2" s="610"/>
      <c r="J2" s="610"/>
      <c r="K2" s="610"/>
      <c r="L2" s="610"/>
      <c r="M2" s="610"/>
      <c r="N2" s="610"/>
      <c r="O2" s="610"/>
      <c r="P2" s="611"/>
      <c r="Q2" s="616" t="s">
        <v>670</v>
      </c>
      <c r="R2" s="617"/>
      <c r="S2" s="617"/>
      <c r="T2" s="617"/>
      <c r="U2" s="617"/>
      <c r="V2" s="617"/>
      <c r="W2" s="395"/>
      <c r="X2" s="395"/>
      <c r="Y2" s="396"/>
      <c r="Z2" s="396"/>
      <c r="AA2" s="396"/>
      <c r="AB2" s="397"/>
      <c r="AC2" s="14"/>
      <c r="AW2" s="46"/>
      <c r="AX2" s="46">
        <v>2</v>
      </c>
      <c r="AY2" s="46">
        <v>2.0939999999999999</v>
      </c>
      <c r="AZ2" s="46">
        <v>2.1930000000000001</v>
      </c>
      <c r="BA2" s="46">
        <v>2.2959999999999998</v>
      </c>
      <c r="BB2" s="46">
        <v>2.4049999999999998</v>
      </c>
      <c r="BC2" s="46">
        <v>2.5179999999999998</v>
      </c>
      <c r="BD2" s="46">
        <v>2.637</v>
      </c>
      <c r="BE2" s="46">
        <v>2.7610000000000001</v>
      </c>
      <c r="BF2" s="46">
        <v>2.891</v>
      </c>
      <c r="BG2" s="46">
        <v>3.0270000000000001</v>
      </c>
      <c r="BH2" s="46">
        <v>3.17</v>
      </c>
      <c r="BI2" s="46">
        <v>3.319</v>
      </c>
      <c r="BJ2" s="46">
        <v>3.476</v>
      </c>
      <c r="BK2" s="46">
        <v>3.6389999999999998</v>
      </c>
      <c r="BL2" s="46">
        <v>3.8109999999999999</v>
      </c>
      <c r="BM2" s="46">
        <v>3.9910000000000001</v>
      </c>
      <c r="BN2" s="46">
        <v>4.1790000000000003</v>
      </c>
      <c r="BO2" s="46">
        <v>4.3760000000000003</v>
      </c>
      <c r="BP2" s="46">
        <v>4.5819999999999999</v>
      </c>
      <c r="BQ2" s="46">
        <v>4.798</v>
      </c>
      <c r="BR2" s="46">
        <v>5.024</v>
      </c>
      <c r="BS2" s="46">
        <v>5.2610000000000001</v>
      </c>
      <c r="BT2" s="46">
        <v>5.508</v>
      </c>
      <c r="BU2" s="46">
        <v>5.7679999999999998</v>
      </c>
      <c r="BV2" s="46">
        <v>6.04</v>
      </c>
      <c r="BW2" s="46">
        <v>6.3250000000000002</v>
      </c>
      <c r="BX2" s="46">
        <v>6.6230000000000002</v>
      </c>
      <c r="BY2" s="46">
        <v>6.9349999999999996</v>
      </c>
      <c r="BZ2" s="46">
        <v>7.2619999999999996</v>
      </c>
      <c r="CA2" s="46">
        <v>7.6040000000000001</v>
      </c>
      <c r="CB2" s="46">
        <v>7.9619999999999997</v>
      </c>
      <c r="CC2" s="46">
        <v>8.3369999999999997</v>
      </c>
      <c r="CD2" s="46">
        <v>8.73</v>
      </c>
      <c r="CE2" s="46">
        <v>9.1419999999999995</v>
      </c>
      <c r="CF2" s="46">
        <v>9.5730000000000004</v>
      </c>
      <c r="CG2" s="46">
        <v>10.023999999999999</v>
      </c>
      <c r="CH2" s="46">
        <v>10.496</v>
      </c>
      <c r="CI2" s="46">
        <v>10.991</v>
      </c>
      <c r="CJ2" s="46">
        <v>11.509</v>
      </c>
      <c r="CK2" s="46">
        <v>12.051</v>
      </c>
      <c r="CL2" s="46">
        <v>12.619</v>
      </c>
      <c r="CM2" s="46">
        <v>13.214</v>
      </c>
      <c r="CN2" s="46">
        <v>13.837</v>
      </c>
      <c r="CO2" s="46">
        <v>14.489000000000001</v>
      </c>
      <c r="CP2" s="46">
        <v>15.172000000000001</v>
      </c>
      <c r="CQ2" s="46">
        <v>15.887</v>
      </c>
      <c r="CR2" s="46">
        <v>16.635000000000002</v>
      </c>
      <c r="CS2" s="46">
        <v>17.419</v>
      </c>
      <c r="CT2" s="46">
        <v>18.239999999999998</v>
      </c>
      <c r="CU2" s="46">
        <v>19.100000000000001</v>
      </c>
      <c r="CV2" s="46">
        <v>20</v>
      </c>
      <c r="CW2" s="46">
        <v>20.943000000000001</v>
      </c>
      <c r="CX2" s="46">
        <v>21.93</v>
      </c>
      <c r="CY2" s="46">
        <v>22.963000000000001</v>
      </c>
      <c r="CZ2" s="46">
        <v>24.045000000000002</v>
      </c>
      <c r="DA2" s="46">
        <v>25.178999999999998</v>
      </c>
      <c r="DB2" s="46">
        <v>26.364999999999998</v>
      </c>
      <c r="DC2" s="46">
        <v>27.608000000000001</v>
      </c>
      <c r="DD2" s="46">
        <v>28.908999999999999</v>
      </c>
      <c r="DE2" s="46">
        <v>30.271000000000001</v>
      </c>
      <c r="DF2" s="46">
        <v>31.698</v>
      </c>
      <c r="DG2" s="46">
        <v>33.192</v>
      </c>
      <c r="DH2" s="46">
        <v>34.756</v>
      </c>
      <c r="DI2" s="46">
        <v>36.393999999999998</v>
      </c>
      <c r="DJ2" s="46">
        <v>38.109000000000002</v>
      </c>
      <c r="DK2" s="46">
        <v>39.905000000000001</v>
      </c>
      <c r="DL2" s="46">
        <v>41.786000000000001</v>
      </c>
      <c r="DM2" s="46">
        <v>43.755000000000003</v>
      </c>
      <c r="DN2" s="46">
        <v>45.817</v>
      </c>
      <c r="DO2" s="46">
        <v>47.976999999999997</v>
      </c>
      <c r="DP2" s="46">
        <v>50.238</v>
      </c>
      <c r="DQ2" s="46">
        <v>52.604999999999997</v>
      </c>
      <c r="DR2" s="46">
        <v>55.085000000000001</v>
      </c>
      <c r="DS2" s="46">
        <v>57.680999999999997</v>
      </c>
      <c r="DT2" s="46">
        <v>60.399000000000001</v>
      </c>
      <c r="DU2" s="46">
        <v>63.246000000000002</v>
      </c>
      <c r="DV2" s="46">
        <v>66.225999999999999</v>
      </c>
      <c r="DW2" s="46">
        <v>69.346999999999994</v>
      </c>
      <c r="DX2" s="46">
        <v>72.616</v>
      </c>
      <c r="DY2" s="46">
        <v>76.037999999999997</v>
      </c>
      <c r="DZ2" s="46">
        <v>79.620999999999995</v>
      </c>
      <c r="EA2" s="46">
        <v>83.373999999999995</v>
      </c>
      <c r="EB2" s="46">
        <v>87.302999999999997</v>
      </c>
      <c r="EC2" s="46">
        <v>91.418000000000006</v>
      </c>
      <c r="ED2" s="46">
        <v>95.725999999999999</v>
      </c>
      <c r="EE2" s="46">
        <v>100.23699999999999</v>
      </c>
      <c r="EF2" s="46">
        <v>104.961</v>
      </c>
      <c r="EG2" s="46">
        <v>109.908</v>
      </c>
      <c r="EH2" s="46">
        <v>115.08799999999999</v>
      </c>
      <c r="EI2" s="46">
        <v>120.512</v>
      </c>
      <c r="EJ2" s="46">
        <v>126.191</v>
      </c>
      <c r="EK2" s="46">
        <v>132.13900000000001</v>
      </c>
      <c r="EL2" s="46">
        <v>138.36600000000001</v>
      </c>
      <c r="EM2" s="46">
        <v>144.887</v>
      </c>
      <c r="EN2" s="46">
        <v>151.71600000000001</v>
      </c>
      <c r="EO2" s="46">
        <v>158.86600000000001</v>
      </c>
      <c r="EP2" s="46">
        <v>166.35300000000001</v>
      </c>
      <c r="EQ2" s="46">
        <v>174.19300000000001</v>
      </c>
      <c r="ER2" s="46">
        <v>182.40199999999999</v>
      </c>
      <c r="ES2" s="46">
        <v>190.999</v>
      </c>
      <c r="ET2" s="46">
        <v>200</v>
      </c>
      <c r="EU2" s="46">
        <v>209.42599999999999</v>
      </c>
      <c r="EV2" s="46">
        <v>219.29599999999999</v>
      </c>
      <c r="EW2" s="46">
        <v>229.631</v>
      </c>
      <c r="EX2" s="46">
        <v>240.453</v>
      </c>
      <c r="EY2" s="46">
        <v>251.785</v>
      </c>
      <c r="EZ2" s="46">
        <v>263.65100000000001</v>
      </c>
      <c r="FA2" s="46">
        <v>276.077</v>
      </c>
      <c r="FB2" s="46">
        <v>289.08800000000002</v>
      </c>
      <c r="FC2" s="46">
        <v>302.71199999999999</v>
      </c>
    </row>
    <row r="3" spans="2:177" ht="19.5" customHeight="1" thickBot="1">
      <c r="B3" s="480"/>
      <c r="C3" s="481"/>
      <c r="D3" s="481"/>
      <c r="E3" s="612"/>
      <c r="F3" s="612"/>
      <c r="G3" s="612"/>
      <c r="H3" s="612"/>
      <c r="I3" s="612"/>
      <c r="J3" s="612"/>
      <c r="K3" s="612"/>
      <c r="L3" s="612"/>
      <c r="M3" s="612"/>
      <c r="N3" s="612"/>
      <c r="O3" s="612"/>
      <c r="P3" s="613"/>
      <c r="Q3" s="618"/>
      <c r="R3" s="619"/>
      <c r="S3" s="619"/>
      <c r="T3" s="619"/>
      <c r="U3" s="619"/>
      <c r="V3" s="619"/>
      <c r="W3" s="620" t="s">
        <v>254</v>
      </c>
      <c r="X3" s="621"/>
      <c r="Y3" s="622"/>
      <c r="Z3" s="623"/>
      <c r="AA3" s="623"/>
      <c r="AB3" s="624"/>
      <c r="AC3" s="14"/>
      <c r="AD3" s="15"/>
      <c r="AH3" s="47"/>
      <c r="AI3" s="47"/>
      <c r="AJ3" s="444"/>
      <c r="AK3" s="445" t="s">
        <v>47</v>
      </c>
      <c r="AL3" s="47"/>
      <c r="AM3" s="4" t="s">
        <v>207</v>
      </c>
      <c r="AN3" s="48">
        <v>1</v>
      </c>
      <c r="AO3" s="48">
        <v>1</v>
      </c>
      <c r="AP3" s="186">
        <v>1</v>
      </c>
      <c r="AQ3" s="186">
        <v>1</v>
      </c>
      <c r="AR3" s="186">
        <v>1</v>
      </c>
      <c r="AW3" s="46">
        <v>0.1</v>
      </c>
      <c r="AX3" s="49">
        <v>0.84379999999999999</v>
      </c>
      <c r="AY3" s="49">
        <v>0.85309999999999997</v>
      </c>
      <c r="AZ3" s="49">
        <v>0.86240000000000006</v>
      </c>
      <c r="BA3" s="49">
        <v>0.87170000000000003</v>
      </c>
      <c r="BB3" s="49">
        <v>0.88100000000000001</v>
      </c>
      <c r="BC3" s="49">
        <v>0.89029999999999998</v>
      </c>
      <c r="BD3" s="49">
        <v>0.89959999999999996</v>
      </c>
      <c r="BE3" s="49">
        <v>0.90890000000000004</v>
      </c>
      <c r="BF3" s="49">
        <v>0.91820000000000002</v>
      </c>
      <c r="BG3" s="49">
        <v>0.92749999999999999</v>
      </c>
      <c r="BH3" s="49">
        <v>0.93679999999999997</v>
      </c>
      <c r="BI3" s="49">
        <v>0.94610000000000005</v>
      </c>
      <c r="BJ3" s="49">
        <v>0.95540000000000003</v>
      </c>
      <c r="BK3" s="49">
        <v>0.9647</v>
      </c>
      <c r="BL3" s="49">
        <v>0.97399999999999998</v>
      </c>
      <c r="BM3" s="49">
        <v>0.98340000000000005</v>
      </c>
      <c r="BN3" s="49">
        <v>0.99270000000000003</v>
      </c>
      <c r="BO3" s="49">
        <v>1.002</v>
      </c>
      <c r="BP3" s="49">
        <v>1.0114000000000001</v>
      </c>
      <c r="BQ3" s="49">
        <v>1.0206999999999999</v>
      </c>
      <c r="BR3" s="49">
        <v>1.03</v>
      </c>
      <c r="BS3" s="49">
        <v>1.0394000000000001</v>
      </c>
      <c r="BT3" s="49">
        <v>1.0487</v>
      </c>
      <c r="BU3" s="49">
        <v>1.0581</v>
      </c>
      <c r="BV3" s="49">
        <v>1.0674999999999999</v>
      </c>
      <c r="BW3" s="49">
        <v>1.0768</v>
      </c>
      <c r="BX3" s="49">
        <v>1.0862000000000001</v>
      </c>
      <c r="BY3" s="49">
        <v>1.0955999999999999</v>
      </c>
      <c r="BZ3" s="49">
        <v>1.105</v>
      </c>
      <c r="CA3" s="49">
        <v>1.1144000000000001</v>
      </c>
      <c r="CB3" s="49">
        <v>1.1237999999999999</v>
      </c>
      <c r="CC3" s="49">
        <v>1.1332</v>
      </c>
      <c r="CD3" s="49">
        <v>1.1426000000000001</v>
      </c>
      <c r="CE3" s="49">
        <v>1.1520999999999999</v>
      </c>
      <c r="CF3" s="49">
        <v>1.1615</v>
      </c>
      <c r="CG3" s="49">
        <v>1.1709000000000001</v>
      </c>
      <c r="CH3" s="49">
        <v>1.1803999999999999</v>
      </c>
      <c r="CI3" s="49">
        <v>1.1899</v>
      </c>
      <c r="CJ3" s="49">
        <v>1.1993</v>
      </c>
      <c r="CK3" s="49">
        <v>1.2088000000000001</v>
      </c>
      <c r="CL3" s="49">
        <v>1.2182999999999999</v>
      </c>
      <c r="CM3" s="49">
        <v>1.2278</v>
      </c>
      <c r="CN3" s="49">
        <v>1.2374000000000001</v>
      </c>
      <c r="CO3" s="49">
        <v>1.2468999999999999</v>
      </c>
      <c r="CP3" s="49">
        <v>1.2565</v>
      </c>
      <c r="CQ3" s="49">
        <v>1.266</v>
      </c>
      <c r="CR3" s="49">
        <v>1.2756000000000001</v>
      </c>
      <c r="CS3" s="49">
        <v>1.2851999999999999</v>
      </c>
      <c r="CT3" s="49">
        <v>1.2948</v>
      </c>
      <c r="CU3" s="49">
        <v>1.3044</v>
      </c>
      <c r="CV3" s="49">
        <v>1.3141</v>
      </c>
      <c r="CW3" s="49">
        <v>1.3238000000000001</v>
      </c>
      <c r="CX3" s="49">
        <v>1.3333999999999999</v>
      </c>
      <c r="CY3" s="49">
        <v>1.3431</v>
      </c>
      <c r="CZ3" s="49">
        <v>1.3512999999999999</v>
      </c>
      <c r="DA3" s="49">
        <v>1.3586</v>
      </c>
      <c r="DB3" s="49">
        <v>1.3658999999999999</v>
      </c>
      <c r="DC3" s="49">
        <v>1.3733</v>
      </c>
      <c r="DD3" s="49">
        <v>1.3807</v>
      </c>
      <c r="DE3" s="49">
        <v>1.3880999999999999</v>
      </c>
      <c r="DF3" s="49">
        <v>1.3955</v>
      </c>
      <c r="DG3" s="49">
        <v>1.4029</v>
      </c>
      <c r="DH3" s="49">
        <v>1.4104000000000001</v>
      </c>
      <c r="DI3" s="49">
        <v>1.4178999999999999</v>
      </c>
      <c r="DJ3" s="49">
        <v>1.4254</v>
      </c>
      <c r="DK3" s="49">
        <v>1.4330000000000001</v>
      </c>
      <c r="DL3" s="49">
        <v>1.4406000000000001</v>
      </c>
      <c r="DM3" s="49">
        <v>1.4481999999999999</v>
      </c>
      <c r="DN3" s="49">
        <v>1.4559</v>
      </c>
      <c r="DO3" s="49">
        <v>1.4636</v>
      </c>
      <c r="DP3" s="49">
        <v>1.4713000000000001</v>
      </c>
      <c r="DQ3" s="49">
        <v>1.4791000000000001</v>
      </c>
      <c r="DR3" s="49">
        <v>1.4870000000000001</v>
      </c>
      <c r="DS3" s="49">
        <v>1.4947999999999999</v>
      </c>
      <c r="DT3" s="49">
        <v>1.5026999999999999</v>
      </c>
      <c r="DU3" s="49">
        <v>1.5106999999999999</v>
      </c>
      <c r="DV3" s="49">
        <v>1.5186999999999999</v>
      </c>
      <c r="DW3" s="49">
        <v>1.5267999999999999</v>
      </c>
      <c r="DX3" s="49">
        <v>1.5348999999999999</v>
      </c>
      <c r="DY3" s="49">
        <v>1.5430999999999999</v>
      </c>
      <c r="DZ3" s="49">
        <v>1.5512999999999999</v>
      </c>
      <c r="EA3" s="49">
        <v>1.5596000000000001</v>
      </c>
      <c r="EB3" s="49">
        <v>1.5679000000000001</v>
      </c>
      <c r="EC3" s="49">
        <v>1.5764</v>
      </c>
      <c r="ED3" s="49">
        <v>1.5849</v>
      </c>
      <c r="EE3" s="49">
        <v>1.5933999999999999</v>
      </c>
      <c r="EF3" s="49">
        <v>1.6021000000000001</v>
      </c>
      <c r="EG3" s="49">
        <v>1.6108</v>
      </c>
      <c r="EH3" s="49">
        <v>1.6195999999999999</v>
      </c>
      <c r="EI3" s="49">
        <v>1.6286</v>
      </c>
      <c r="EJ3" s="49">
        <v>1.6375</v>
      </c>
      <c r="EK3" s="49">
        <v>1.6466000000000001</v>
      </c>
      <c r="EL3" s="49">
        <v>1.6557999999999999</v>
      </c>
      <c r="EM3" s="49">
        <v>1.6651</v>
      </c>
      <c r="EN3" s="49">
        <v>1.6745000000000001</v>
      </c>
      <c r="EO3" s="49">
        <v>1.6839999999999999</v>
      </c>
      <c r="EP3" s="49">
        <v>1.6937</v>
      </c>
      <c r="EQ3" s="49">
        <v>1.7034</v>
      </c>
      <c r="ER3" s="49">
        <v>1.7133</v>
      </c>
      <c r="ES3" s="49">
        <v>1.7233000000000001</v>
      </c>
      <c r="ET3" s="49">
        <v>1.7335</v>
      </c>
      <c r="EU3" s="49">
        <v>1.7438</v>
      </c>
      <c r="EV3" s="49">
        <v>1.7542</v>
      </c>
      <c r="EW3" s="49">
        <v>1.7647999999999999</v>
      </c>
      <c r="EX3" s="49">
        <v>1.7756000000000001</v>
      </c>
      <c r="EY3" s="49">
        <v>1.7865</v>
      </c>
      <c r="EZ3" s="49">
        <v>1.7976000000000001</v>
      </c>
      <c r="FA3" s="49">
        <v>1.8088</v>
      </c>
      <c r="FB3" s="49">
        <v>1.8203</v>
      </c>
      <c r="FC3" s="49">
        <v>1.8319000000000001</v>
      </c>
      <c r="FE3" s="50">
        <f ca="1">FORECAST(J$39,OFFSET($AX3,0,MATCH(J$39,$AX$2:$FC$2,1)-1,1,2),OFFSET($AX$2,0,MATCH(J$39,$AX$2:$FC$2,1)-1,1,2))</f>
        <v>1.5284180177424289</v>
      </c>
      <c r="FF3" s="50">
        <f t="shared" ref="FF3:FF34" ca="1" si="0">FORECAST(L$39,OFFSET($AX3,0,MATCH(L$39,$AX$2:$FC$2,1)-1,1,2),OFFSET($AX$2,0,MATCH(L$39,$AX$2:$FC$2,1)-1,1,2))</f>
        <v>1.5233041012495994</v>
      </c>
      <c r="FG3" s="50">
        <f t="shared" ref="FG3:FG34" ca="1" si="1">FORECAST(N$39,OFFSET($AX3,0,MATCH(N$39,$AX$2:$FC$2,1)-1,1,2),OFFSET($AX$2,0,MATCH(N$39,$AX$2:$FC$2,1)-1,1,2))</f>
        <v>1.518093288590604</v>
      </c>
      <c r="FH3" s="50">
        <f t="shared" ref="FH3:FH34" ca="1" si="2">FORECAST(P$39,OFFSET($AX3,0,MATCH(P$39,$AX$2:$FC$2,1)-1,1,2),OFFSET($AX$2,0,MATCH(P$39,$AX$2:$FC$2,1)-1,1,2))</f>
        <v>1.5127241610738253</v>
      </c>
      <c r="FK3" s="50">
        <f t="shared" ref="FK3:FK34" ca="1" si="3">FORECAST(AN$22,OFFSET($AX3,0,MATCH(AN$22,$AX$2:$FC$2,1)-1,1,2),OFFSET($AX$2,0,MATCH(AN$22,$AX$2:$FC$2,1)-1,1,2))</f>
        <v>1.5233041012495994</v>
      </c>
      <c r="FL3" s="50"/>
      <c r="FM3" s="50"/>
      <c r="FN3" s="50"/>
    </row>
    <row r="4" spans="2:177" ht="20.100000000000001" customHeight="1">
      <c r="B4" s="480"/>
      <c r="C4" s="482"/>
      <c r="D4" s="482"/>
      <c r="E4" s="614"/>
      <c r="F4" s="614"/>
      <c r="G4" s="614"/>
      <c r="H4" s="614"/>
      <c r="I4" s="614"/>
      <c r="J4" s="614"/>
      <c r="K4" s="614"/>
      <c r="L4" s="614"/>
      <c r="M4" s="614"/>
      <c r="N4" s="614"/>
      <c r="O4" s="614"/>
      <c r="P4" s="615"/>
      <c r="Q4" s="620" t="s">
        <v>255</v>
      </c>
      <c r="R4" s="625"/>
      <c r="S4" s="625"/>
      <c r="T4" s="626">
        <v>22668</v>
      </c>
      <c r="U4" s="627"/>
      <c r="V4" s="628"/>
      <c r="W4" s="629" t="s">
        <v>256</v>
      </c>
      <c r="X4" s="621"/>
      <c r="Y4" s="622" t="s">
        <v>257</v>
      </c>
      <c r="Z4" s="623"/>
      <c r="AA4" s="623"/>
      <c r="AB4" s="624"/>
      <c r="AC4" s="14"/>
      <c r="AE4" s="16"/>
      <c r="AI4" s="51"/>
      <c r="AJ4" s="52">
        <v>1</v>
      </c>
      <c r="AK4" s="52" t="str">
        <f>AD19</f>
        <v>country</v>
      </c>
      <c r="AL4" s="51"/>
      <c r="AN4" s="186">
        <v>2</v>
      </c>
      <c r="AO4" s="3">
        <f ca="1">FORECAST(AD$39,OFFSET(FE$317,MATCH(AD$39,$AW$317:$AW$417,1)-1,0,2),OFFSET($AW$317,MATCH(AD$39,$AW$317:$AW$417,1)-1,0,2))</f>
        <v>0.88410825230261592</v>
      </c>
      <c r="AP4" s="3">
        <f ca="1">FORECAST(AE$39,OFFSET(FF$317,MATCH(AE$39,$AW$317:$AW$417,1)-1,0,2),OFFSET($AW$317,MATCH(AE$39,$AW$317:$AW$417,1)-1,0,2))</f>
        <v>0.88265615255773844</v>
      </c>
      <c r="AQ4" s="3">
        <f ca="1">FORECAST(AF$39,OFFSET(FG$317,MATCH(AF$39,$AW$317:$AW$417,1)-1,0,2),OFFSET($AW$317,MATCH(AF$39,$AW$317:$AW$417,1)-1,0,2))</f>
        <v>0.88116881452972429</v>
      </c>
      <c r="AR4" s="3">
        <f ca="1">FORECAST(AG$39,OFFSET(FH$317,MATCH(AG$39,$AW$317:$AW$417,1)-1,0,2),OFFSET($AW$317,MATCH(AG$39,$AW$317:$AW$417,1)-1,0,2))</f>
        <v>0.87957588854607338</v>
      </c>
      <c r="AW4" s="46">
        <v>0.107</v>
      </c>
      <c r="AX4" s="49">
        <v>0.84160000000000001</v>
      </c>
      <c r="AY4" s="49">
        <v>0.8508</v>
      </c>
      <c r="AZ4" s="49">
        <v>0.86009999999999998</v>
      </c>
      <c r="BA4" s="49">
        <v>0.86939999999999995</v>
      </c>
      <c r="BB4" s="49">
        <v>0.87860000000000005</v>
      </c>
      <c r="BC4" s="49">
        <v>0.88790000000000002</v>
      </c>
      <c r="BD4" s="49">
        <v>0.8972</v>
      </c>
      <c r="BE4" s="49">
        <v>0.90639999999999998</v>
      </c>
      <c r="BF4" s="49">
        <v>0.91569999999999996</v>
      </c>
      <c r="BG4" s="49">
        <v>0.92500000000000004</v>
      </c>
      <c r="BH4" s="49">
        <v>0.93430000000000002</v>
      </c>
      <c r="BI4" s="49">
        <v>0.94359999999999999</v>
      </c>
      <c r="BJ4" s="49">
        <v>0.95279999999999998</v>
      </c>
      <c r="BK4" s="49">
        <v>0.96209999999999996</v>
      </c>
      <c r="BL4" s="49">
        <v>0.97140000000000004</v>
      </c>
      <c r="BM4" s="49">
        <v>0.98070000000000002</v>
      </c>
      <c r="BN4" s="49">
        <v>0.99</v>
      </c>
      <c r="BO4" s="49">
        <v>0.99929999999999997</v>
      </c>
      <c r="BP4" s="49">
        <v>1.0086999999999999</v>
      </c>
      <c r="BQ4" s="49">
        <v>1.018</v>
      </c>
      <c r="BR4" s="49">
        <v>1.0273000000000001</v>
      </c>
      <c r="BS4" s="49">
        <v>1.0366</v>
      </c>
      <c r="BT4" s="49">
        <v>1.0459000000000001</v>
      </c>
      <c r="BU4" s="49">
        <v>1.0552999999999999</v>
      </c>
      <c r="BV4" s="49">
        <v>1.0646</v>
      </c>
      <c r="BW4" s="49">
        <v>1.0740000000000001</v>
      </c>
      <c r="BX4" s="49">
        <v>1.0832999999999999</v>
      </c>
      <c r="BY4" s="49">
        <v>1.0927</v>
      </c>
      <c r="BZ4" s="49">
        <v>1.1020000000000001</v>
      </c>
      <c r="CA4" s="49">
        <v>1.1113999999999999</v>
      </c>
      <c r="CB4" s="49">
        <v>1.1208</v>
      </c>
      <c r="CC4" s="49">
        <v>1.1302000000000001</v>
      </c>
      <c r="CD4" s="49">
        <v>1.1395999999999999</v>
      </c>
      <c r="CE4" s="49">
        <v>1.149</v>
      </c>
      <c r="CF4" s="49">
        <v>1.1584000000000001</v>
      </c>
      <c r="CG4" s="49">
        <v>1.1677999999999999</v>
      </c>
      <c r="CH4" s="49">
        <v>1.1772</v>
      </c>
      <c r="CI4" s="49">
        <v>1.1867000000000001</v>
      </c>
      <c r="CJ4" s="49">
        <v>1.1960999999999999</v>
      </c>
      <c r="CK4" s="49">
        <v>1.2056</v>
      </c>
      <c r="CL4" s="49">
        <v>1.2151000000000001</v>
      </c>
      <c r="CM4" s="49">
        <v>1.2245999999999999</v>
      </c>
      <c r="CN4" s="49">
        <v>1.2341</v>
      </c>
      <c r="CO4" s="49">
        <v>1.2436</v>
      </c>
      <c r="CP4" s="49">
        <v>1.2531000000000001</v>
      </c>
      <c r="CQ4" s="49">
        <v>1.2625999999999999</v>
      </c>
      <c r="CR4" s="49">
        <v>1.2722</v>
      </c>
      <c r="CS4" s="49">
        <v>1.2818000000000001</v>
      </c>
      <c r="CT4" s="49">
        <v>1.2912999999999999</v>
      </c>
      <c r="CU4" s="49">
        <v>1.3009999999999999</v>
      </c>
      <c r="CV4" s="49">
        <v>1.3106</v>
      </c>
      <c r="CW4" s="49">
        <v>1.3202</v>
      </c>
      <c r="CX4" s="49">
        <v>1.3299000000000001</v>
      </c>
      <c r="CY4" s="49">
        <v>1.3395999999999999</v>
      </c>
      <c r="CZ4" s="49">
        <v>1.3492999999999999</v>
      </c>
      <c r="DA4" s="49">
        <v>1.3586</v>
      </c>
      <c r="DB4" s="49">
        <v>1.3658999999999999</v>
      </c>
      <c r="DC4" s="49">
        <v>1.3733</v>
      </c>
      <c r="DD4" s="49">
        <v>1.3807</v>
      </c>
      <c r="DE4" s="49">
        <v>1.3880999999999999</v>
      </c>
      <c r="DF4" s="49">
        <v>1.3955</v>
      </c>
      <c r="DG4" s="49">
        <v>1.4029</v>
      </c>
      <c r="DH4" s="49">
        <v>1.4104000000000001</v>
      </c>
      <c r="DI4" s="49">
        <v>1.4178999999999999</v>
      </c>
      <c r="DJ4" s="49">
        <v>1.4254</v>
      </c>
      <c r="DK4" s="49">
        <v>1.4330000000000001</v>
      </c>
      <c r="DL4" s="49">
        <v>1.4406000000000001</v>
      </c>
      <c r="DM4" s="49">
        <v>1.4481999999999999</v>
      </c>
      <c r="DN4" s="49">
        <v>1.4559</v>
      </c>
      <c r="DO4" s="49">
        <v>1.4636</v>
      </c>
      <c r="DP4" s="49">
        <v>1.4713000000000001</v>
      </c>
      <c r="DQ4" s="49">
        <v>1.4791000000000001</v>
      </c>
      <c r="DR4" s="49">
        <v>1.4870000000000001</v>
      </c>
      <c r="DS4" s="49">
        <v>1.4947999999999999</v>
      </c>
      <c r="DT4" s="49">
        <v>1.5026999999999999</v>
      </c>
      <c r="DU4" s="49">
        <v>1.5106999999999999</v>
      </c>
      <c r="DV4" s="49">
        <v>1.5186999999999999</v>
      </c>
      <c r="DW4" s="49">
        <v>1.5267999999999999</v>
      </c>
      <c r="DX4" s="49">
        <v>1.5348999999999999</v>
      </c>
      <c r="DY4" s="49">
        <v>1.5430999999999999</v>
      </c>
      <c r="DZ4" s="49">
        <v>1.5512999999999999</v>
      </c>
      <c r="EA4" s="49">
        <v>1.5596000000000001</v>
      </c>
      <c r="EB4" s="49">
        <v>1.5679000000000001</v>
      </c>
      <c r="EC4" s="49">
        <v>1.5764</v>
      </c>
      <c r="ED4" s="49">
        <v>1.5849</v>
      </c>
      <c r="EE4" s="49">
        <v>1.5933999999999999</v>
      </c>
      <c r="EF4" s="49">
        <v>1.6021000000000001</v>
      </c>
      <c r="EG4" s="49">
        <v>1.6108</v>
      </c>
      <c r="EH4" s="49">
        <v>1.6195999999999999</v>
      </c>
      <c r="EI4" s="49">
        <v>1.6286</v>
      </c>
      <c r="EJ4" s="49">
        <v>1.6375</v>
      </c>
      <c r="EK4" s="49">
        <v>1.6466000000000001</v>
      </c>
      <c r="EL4" s="49">
        <v>1.6557999999999999</v>
      </c>
      <c r="EM4" s="49">
        <v>1.6651</v>
      </c>
      <c r="EN4" s="49">
        <v>1.6745000000000001</v>
      </c>
      <c r="EO4" s="49">
        <v>1.6839999999999999</v>
      </c>
      <c r="EP4" s="49">
        <v>1.6937</v>
      </c>
      <c r="EQ4" s="49">
        <v>1.7034</v>
      </c>
      <c r="ER4" s="49">
        <v>1.7133</v>
      </c>
      <c r="ES4" s="49">
        <v>1.7233000000000001</v>
      </c>
      <c r="ET4" s="49">
        <v>1.7335</v>
      </c>
      <c r="EU4" s="49">
        <v>1.7438</v>
      </c>
      <c r="EV4" s="49">
        <v>1.7542</v>
      </c>
      <c r="EW4" s="49">
        <v>1.7647999999999999</v>
      </c>
      <c r="EX4" s="49">
        <v>1.7756000000000001</v>
      </c>
      <c r="EY4" s="49">
        <v>1.7865</v>
      </c>
      <c r="EZ4" s="49">
        <v>1.7976000000000001</v>
      </c>
      <c r="FA4" s="49">
        <v>1.8088</v>
      </c>
      <c r="FB4" s="49">
        <v>1.8203</v>
      </c>
      <c r="FC4" s="49">
        <v>1.8319000000000001</v>
      </c>
      <c r="FE4" s="50">
        <f t="shared" ref="FE4:FE67" ca="1" si="4">FORECAST(J$39,OFFSET($AX4,0,MATCH(J$39,$AX$2:$FC$2,1)-1,1,2),OFFSET($AX$2,0,MATCH(J$39,$AX$2:$FC$2,1)-1,1,2))</f>
        <v>1.5284180177424289</v>
      </c>
      <c r="FF4" s="50">
        <f t="shared" ca="1" si="0"/>
        <v>1.5233041012495994</v>
      </c>
      <c r="FG4" s="50">
        <f t="shared" ca="1" si="1"/>
        <v>1.518093288590604</v>
      </c>
      <c r="FH4" s="50">
        <f t="shared" ca="1" si="2"/>
        <v>1.5127241610738253</v>
      </c>
      <c r="FK4" s="50">
        <f t="shared" ca="1" si="3"/>
        <v>1.5233041012495994</v>
      </c>
      <c r="FL4" s="50"/>
      <c r="FM4" s="50"/>
      <c r="FN4" s="50"/>
    </row>
    <row r="5" spans="2:177" ht="20.100000000000001" customHeight="1">
      <c r="B5" s="17"/>
      <c r="C5" s="643" t="s">
        <v>258</v>
      </c>
      <c r="D5" s="644"/>
      <c r="E5" s="645" t="s">
        <v>671</v>
      </c>
      <c r="F5" s="646"/>
      <c r="G5" s="646"/>
      <c r="H5" s="646"/>
      <c r="I5" s="646"/>
      <c r="J5" s="646"/>
      <c r="K5" s="646"/>
      <c r="L5" s="646"/>
      <c r="M5" s="646"/>
      <c r="N5" s="646"/>
      <c r="O5" s="646"/>
      <c r="P5" s="647"/>
      <c r="Q5" s="629" t="s">
        <v>259</v>
      </c>
      <c r="R5" s="648"/>
      <c r="S5" s="625"/>
      <c r="T5" s="649" t="s">
        <v>260</v>
      </c>
      <c r="U5" s="650"/>
      <c r="V5" s="651"/>
      <c r="W5" s="629" t="s">
        <v>261</v>
      </c>
      <c r="X5" s="621"/>
      <c r="Y5" s="630">
        <f ca="1">TODAY()</f>
        <v>43686</v>
      </c>
      <c r="Z5" s="631"/>
      <c r="AA5" s="631"/>
      <c r="AB5" s="632"/>
      <c r="AC5" s="18"/>
      <c r="AJ5" s="186">
        <v>2</v>
      </c>
      <c r="AK5" s="186" t="str">
        <f>AD20</f>
        <v>town</v>
      </c>
      <c r="AM5" s="4" t="s">
        <v>210</v>
      </c>
      <c r="AN5" s="186">
        <v>1</v>
      </c>
      <c r="AO5" s="186">
        <v>1</v>
      </c>
      <c r="AP5" s="186">
        <v>1</v>
      </c>
      <c r="AQ5" s="186">
        <v>1</v>
      </c>
      <c r="AR5" s="186">
        <v>1</v>
      </c>
      <c r="AW5" s="46">
        <v>0.115</v>
      </c>
      <c r="AX5" s="49">
        <v>0.83930000000000005</v>
      </c>
      <c r="AY5" s="49">
        <v>0.84860000000000002</v>
      </c>
      <c r="AZ5" s="49">
        <v>0.85780000000000001</v>
      </c>
      <c r="BA5" s="49">
        <v>0.86709999999999998</v>
      </c>
      <c r="BB5" s="49">
        <v>0.87629999999999997</v>
      </c>
      <c r="BC5" s="49">
        <v>0.88560000000000005</v>
      </c>
      <c r="BD5" s="49">
        <v>0.89480000000000004</v>
      </c>
      <c r="BE5" s="49">
        <v>0.90400000000000003</v>
      </c>
      <c r="BF5" s="49">
        <v>0.9133</v>
      </c>
      <c r="BG5" s="49">
        <v>0.92259999999999998</v>
      </c>
      <c r="BH5" s="49">
        <v>0.93179999999999996</v>
      </c>
      <c r="BI5" s="49">
        <v>0.94110000000000005</v>
      </c>
      <c r="BJ5" s="49">
        <v>0.95030000000000003</v>
      </c>
      <c r="BK5" s="49">
        <v>0.95960000000000001</v>
      </c>
      <c r="BL5" s="49">
        <v>0.96889999999999998</v>
      </c>
      <c r="BM5" s="49">
        <v>0.97819999999999996</v>
      </c>
      <c r="BN5" s="49">
        <v>0.98740000000000006</v>
      </c>
      <c r="BO5" s="49">
        <v>0.99670000000000003</v>
      </c>
      <c r="BP5" s="49">
        <v>1.006</v>
      </c>
      <c r="BQ5" s="49">
        <v>1.0153000000000001</v>
      </c>
      <c r="BR5" s="49">
        <v>1.0246</v>
      </c>
      <c r="BS5" s="49">
        <v>1.0339</v>
      </c>
      <c r="BT5" s="49">
        <v>1.0431999999999999</v>
      </c>
      <c r="BU5" s="49">
        <v>1.0525</v>
      </c>
      <c r="BV5" s="49">
        <v>1.0618000000000001</v>
      </c>
      <c r="BW5" s="49">
        <v>1.0710999999999999</v>
      </c>
      <c r="BX5" s="49">
        <v>1.0805</v>
      </c>
      <c r="BY5" s="49">
        <v>1.0898000000000001</v>
      </c>
      <c r="BZ5" s="49">
        <v>1.0991</v>
      </c>
      <c r="CA5" s="49">
        <v>1.1085</v>
      </c>
      <c r="CB5" s="49">
        <v>1.1177999999999999</v>
      </c>
      <c r="CC5" s="49">
        <v>1.1272</v>
      </c>
      <c r="CD5" s="49">
        <v>1.1366000000000001</v>
      </c>
      <c r="CE5" s="49">
        <v>1.1459999999999999</v>
      </c>
      <c r="CF5" s="49">
        <v>1.1553</v>
      </c>
      <c r="CG5" s="49">
        <v>1.1647000000000001</v>
      </c>
      <c r="CH5" s="49">
        <v>1.1741999999999999</v>
      </c>
      <c r="CI5" s="49">
        <v>1.1836</v>
      </c>
      <c r="CJ5" s="49">
        <v>1.1930000000000001</v>
      </c>
      <c r="CK5" s="49">
        <v>1.2023999999999999</v>
      </c>
      <c r="CL5" s="49">
        <v>1.2119</v>
      </c>
      <c r="CM5" s="49">
        <v>1.2213000000000001</v>
      </c>
      <c r="CN5" s="49">
        <v>1.2307999999999999</v>
      </c>
      <c r="CO5" s="49">
        <v>1.2403</v>
      </c>
      <c r="CP5" s="49">
        <v>1.2498</v>
      </c>
      <c r="CQ5" s="49">
        <v>1.2593000000000001</v>
      </c>
      <c r="CR5" s="49">
        <v>1.2687999999999999</v>
      </c>
      <c r="CS5" s="49">
        <v>1.2784</v>
      </c>
      <c r="CT5" s="49">
        <v>1.288</v>
      </c>
      <c r="CU5" s="49">
        <v>1.2975000000000001</v>
      </c>
      <c r="CV5" s="49">
        <v>1.3070999999999999</v>
      </c>
      <c r="CW5" s="49">
        <v>1.3167</v>
      </c>
      <c r="CX5" s="49">
        <v>1.3264</v>
      </c>
      <c r="CY5" s="49">
        <v>1.3360000000000001</v>
      </c>
      <c r="CZ5" s="49">
        <v>1.3456999999999999</v>
      </c>
      <c r="DA5" s="49">
        <v>1.3553999999999999</v>
      </c>
      <c r="DB5" s="49">
        <v>1.3651</v>
      </c>
      <c r="DC5" s="49">
        <v>1.3733</v>
      </c>
      <c r="DD5" s="49">
        <v>1.3807</v>
      </c>
      <c r="DE5" s="49">
        <v>1.3880999999999999</v>
      </c>
      <c r="DF5" s="49">
        <v>1.3955</v>
      </c>
      <c r="DG5" s="49">
        <v>1.4029</v>
      </c>
      <c r="DH5" s="49">
        <v>1.4104000000000001</v>
      </c>
      <c r="DI5" s="49">
        <v>1.4178999999999999</v>
      </c>
      <c r="DJ5" s="49">
        <v>1.4254</v>
      </c>
      <c r="DK5" s="49">
        <v>1.4330000000000001</v>
      </c>
      <c r="DL5" s="49">
        <v>1.4406000000000001</v>
      </c>
      <c r="DM5" s="49">
        <v>1.4481999999999999</v>
      </c>
      <c r="DN5" s="49">
        <v>1.4559</v>
      </c>
      <c r="DO5" s="49">
        <v>1.4636</v>
      </c>
      <c r="DP5" s="49">
        <v>1.4713000000000001</v>
      </c>
      <c r="DQ5" s="49">
        <v>1.4791000000000001</v>
      </c>
      <c r="DR5" s="49">
        <v>1.4870000000000001</v>
      </c>
      <c r="DS5" s="49">
        <v>1.4947999999999999</v>
      </c>
      <c r="DT5" s="49">
        <v>1.5026999999999999</v>
      </c>
      <c r="DU5" s="49">
        <v>1.5106999999999999</v>
      </c>
      <c r="DV5" s="49">
        <v>1.5186999999999999</v>
      </c>
      <c r="DW5" s="49">
        <v>1.5267999999999999</v>
      </c>
      <c r="DX5" s="49">
        <v>1.5348999999999999</v>
      </c>
      <c r="DY5" s="49">
        <v>1.5430999999999999</v>
      </c>
      <c r="DZ5" s="49">
        <v>1.5512999999999999</v>
      </c>
      <c r="EA5" s="49">
        <v>1.5596000000000001</v>
      </c>
      <c r="EB5" s="49">
        <v>1.5679000000000001</v>
      </c>
      <c r="EC5" s="49">
        <v>1.5764</v>
      </c>
      <c r="ED5" s="49">
        <v>1.5849</v>
      </c>
      <c r="EE5" s="49">
        <v>1.5933999999999999</v>
      </c>
      <c r="EF5" s="49">
        <v>1.6021000000000001</v>
      </c>
      <c r="EG5" s="49">
        <v>1.6108</v>
      </c>
      <c r="EH5" s="49">
        <v>1.6195999999999999</v>
      </c>
      <c r="EI5" s="49">
        <v>1.6286</v>
      </c>
      <c r="EJ5" s="49">
        <v>1.6375</v>
      </c>
      <c r="EK5" s="49">
        <v>1.6466000000000001</v>
      </c>
      <c r="EL5" s="49">
        <v>1.6557999999999999</v>
      </c>
      <c r="EM5" s="49">
        <v>1.6651</v>
      </c>
      <c r="EN5" s="49">
        <v>1.6745000000000001</v>
      </c>
      <c r="EO5" s="49">
        <v>1.6839999999999999</v>
      </c>
      <c r="EP5" s="49">
        <v>1.6937</v>
      </c>
      <c r="EQ5" s="49">
        <v>1.7034</v>
      </c>
      <c r="ER5" s="49">
        <v>1.7133</v>
      </c>
      <c r="ES5" s="49">
        <v>1.7233000000000001</v>
      </c>
      <c r="ET5" s="49">
        <v>1.7335</v>
      </c>
      <c r="EU5" s="49">
        <v>1.7438</v>
      </c>
      <c r="EV5" s="49">
        <v>1.7542</v>
      </c>
      <c r="EW5" s="49">
        <v>1.7647999999999999</v>
      </c>
      <c r="EX5" s="49">
        <v>1.7756000000000001</v>
      </c>
      <c r="EY5" s="49">
        <v>1.7865</v>
      </c>
      <c r="EZ5" s="49">
        <v>1.7976000000000001</v>
      </c>
      <c r="FA5" s="49">
        <v>1.8088</v>
      </c>
      <c r="FB5" s="49">
        <v>1.8203</v>
      </c>
      <c r="FC5" s="49">
        <v>1.8319000000000001</v>
      </c>
      <c r="FE5" s="50">
        <f t="shared" ca="1" si="4"/>
        <v>1.5284180177424289</v>
      </c>
      <c r="FF5" s="50">
        <f t="shared" ca="1" si="0"/>
        <v>1.5233041012495994</v>
      </c>
      <c r="FG5" s="50">
        <f t="shared" ca="1" si="1"/>
        <v>1.518093288590604</v>
      </c>
      <c r="FH5" s="50">
        <f t="shared" ca="1" si="2"/>
        <v>1.5127241610738253</v>
      </c>
      <c r="FK5" s="50">
        <f t="shared" ca="1" si="3"/>
        <v>1.5233041012495994</v>
      </c>
      <c r="FL5" s="50"/>
      <c r="FM5" s="50"/>
      <c r="FN5" s="50"/>
    </row>
    <row r="6" spans="2:177" ht="17.100000000000001" customHeight="1">
      <c r="B6" s="119"/>
      <c r="C6" s="19"/>
      <c r="D6" s="19"/>
      <c r="E6" s="20"/>
      <c r="F6" s="20"/>
      <c r="G6" s="20"/>
      <c r="H6" s="20"/>
      <c r="I6" s="20"/>
      <c r="J6" s="20"/>
      <c r="K6" s="20"/>
      <c r="L6" s="20"/>
      <c r="M6" s="20"/>
      <c r="N6" s="20"/>
      <c r="O6" s="20"/>
      <c r="P6" s="20"/>
      <c r="Q6" s="20"/>
      <c r="R6" s="20"/>
      <c r="S6" s="20"/>
      <c r="T6" s="20"/>
      <c r="U6" s="20"/>
      <c r="V6" s="20"/>
      <c r="W6" s="20"/>
      <c r="X6" s="20"/>
      <c r="Y6" s="20"/>
      <c r="Z6" s="21"/>
      <c r="AA6" s="21"/>
      <c r="AB6" s="120"/>
      <c r="AC6" s="22"/>
      <c r="AD6" s="16" t="s">
        <v>271</v>
      </c>
      <c r="AE6" s="13"/>
      <c r="AN6" s="186">
        <v>2</v>
      </c>
      <c r="AO6" s="3">
        <f ca="1">FORECAST(AD$39,OFFSET(FE$422,MATCH(AD$39,$AW$422:$AW$522,1)-1,0,2),OFFSET($AW$422,MATCH(AD$39,$AW$422:$AW$522,1)-1,0,2))</f>
        <v>1.4648841251799545</v>
      </c>
      <c r="AP6" s="3">
        <f ca="1">FORECAST(AE$39,OFFSET(FF$422,MATCH(AE$39,$AW$422:$AW$522,1)-1,0,2),OFFSET($AW$422,MATCH(AE$39,$AW$422:$AW$522,1)-1,0,2))</f>
        <v>1.4694245271672861</v>
      </c>
      <c r="AQ6" s="3">
        <f ca="1">FORECAST(AF$39,OFFSET(FG$422,MATCH(AF$39,$AW$422:$AW$522,1)-1,0,2),OFFSET($AW$422,MATCH(AF$39,$AW$422:$AW$522,1)-1,0,2))</f>
        <v>1.4739333490250963</v>
      </c>
      <c r="AR6" s="3">
        <f ca="1">FORECAST(AG$39,OFFSET(FH$422,MATCH(AG$39,$AW$422:$AW$522,1)-1,0,2),OFFSET($AW$422,MATCH(AG$39,$AW$422:$AW$522,1)-1,0,2))</f>
        <v>1.4776173084385638</v>
      </c>
      <c r="AW6" s="46">
        <v>0.123</v>
      </c>
      <c r="AX6" s="49">
        <v>0.83720000000000006</v>
      </c>
      <c r="AY6" s="49">
        <v>0.84640000000000004</v>
      </c>
      <c r="AZ6" s="49">
        <v>0.85560000000000003</v>
      </c>
      <c r="BA6" s="49">
        <v>0.86480000000000001</v>
      </c>
      <c r="BB6" s="49">
        <v>0.874</v>
      </c>
      <c r="BC6" s="49">
        <v>0.88329999999999997</v>
      </c>
      <c r="BD6" s="49">
        <v>0.89249999999999996</v>
      </c>
      <c r="BE6" s="49">
        <v>0.90169999999999995</v>
      </c>
      <c r="BF6" s="49">
        <v>0.91090000000000004</v>
      </c>
      <c r="BG6" s="49">
        <v>0.92020000000000002</v>
      </c>
      <c r="BH6" s="49">
        <v>0.9294</v>
      </c>
      <c r="BI6" s="49">
        <v>0.93859999999999999</v>
      </c>
      <c r="BJ6" s="49">
        <v>0.94789999999999996</v>
      </c>
      <c r="BK6" s="49">
        <v>0.95709999999999995</v>
      </c>
      <c r="BL6" s="49">
        <v>0.96640000000000004</v>
      </c>
      <c r="BM6" s="49">
        <v>0.97560000000000002</v>
      </c>
      <c r="BN6" s="49">
        <v>0.9849</v>
      </c>
      <c r="BO6" s="49">
        <v>0.99409999999999998</v>
      </c>
      <c r="BP6" s="49">
        <v>1.0034000000000001</v>
      </c>
      <c r="BQ6" s="49">
        <v>1.0126999999999999</v>
      </c>
      <c r="BR6" s="49">
        <v>1.0219</v>
      </c>
      <c r="BS6" s="49">
        <v>1.0311999999999999</v>
      </c>
      <c r="BT6" s="49">
        <v>1.0405</v>
      </c>
      <c r="BU6" s="49">
        <v>1.0498000000000001</v>
      </c>
      <c r="BV6" s="49">
        <v>1.0590999999999999</v>
      </c>
      <c r="BW6" s="49">
        <v>1.0684</v>
      </c>
      <c r="BX6" s="49">
        <v>1.0777000000000001</v>
      </c>
      <c r="BY6" s="49">
        <v>1.087</v>
      </c>
      <c r="BZ6" s="49">
        <v>1.0963000000000001</v>
      </c>
      <c r="CA6" s="49">
        <v>1.1055999999999999</v>
      </c>
      <c r="CB6" s="49">
        <v>1.1149</v>
      </c>
      <c r="CC6" s="49">
        <v>1.1243000000000001</v>
      </c>
      <c r="CD6" s="49">
        <v>1.1335999999999999</v>
      </c>
      <c r="CE6" s="49">
        <v>1.143</v>
      </c>
      <c r="CF6" s="49">
        <v>1.1524000000000001</v>
      </c>
      <c r="CG6" s="49">
        <v>1.1617</v>
      </c>
      <c r="CH6" s="49">
        <v>1.1711</v>
      </c>
      <c r="CI6" s="49">
        <v>1.1805000000000001</v>
      </c>
      <c r="CJ6" s="49">
        <v>1.1899</v>
      </c>
      <c r="CK6" s="49">
        <v>1.1993</v>
      </c>
      <c r="CL6" s="49">
        <v>1.2087000000000001</v>
      </c>
      <c r="CM6" s="49">
        <v>1.2181999999999999</v>
      </c>
      <c r="CN6" s="49">
        <v>1.2276</v>
      </c>
      <c r="CO6" s="49">
        <v>1.2371000000000001</v>
      </c>
      <c r="CP6" s="49">
        <v>1.2465999999999999</v>
      </c>
      <c r="CQ6" s="49">
        <v>1.256</v>
      </c>
      <c r="CR6" s="49">
        <v>1.2656000000000001</v>
      </c>
      <c r="CS6" s="49">
        <v>1.2750999999999999</v>
      </c>
      <c r="CT6" s="49">
        <v>1.2846</v>
      </c>
      <c r="CU6" s="49">
        <v>1.2942</v>
      </c>
      <c r="CV6" s="49">
        <v>1.3037000000000001</v>
      </c>
      <c r="CW6" s="49">
        <v>1.3132999999999999</v>
      </c>
      <c r="CX6" s="49">
        <v>1.3229</v>
      </c>
      <c r="CY6" s="49">
        <v>1.3326</v>
      </c>
      <c r="CZ6" s="49">
        <v>1.3422000000000001</v>
      </c>
      <c r="DA6" s="49">
        <v>1.3519000000000001</v>
      </c>
      <c r="DB6" s="49">
        <v>1.3615999999999999</v>
      </c>
      <c r="DC6" s="49">
        <v>1.3713</v>
      </c>
      <c r="DD6" s="49">
        <v>1.3807</v>
      </c>
      <c r="DE6" s="49">
        <v>1.3880999999999999</v>
      </c>
      <c r="DF6" s="49">
        <v>1.3955</v>
      </c>
      <c r="DG6" s="49">
        <v>1.4029</v>
      </c>
      <c r="DH6" s="49">
        <v>1.4104000000000001</v>
      </c>
      <c r="DI6" s="49">
        <v>1.4178999999999999</v>
      </c>
      <c r="DJ6" s="49">
        <v>1.4254</v>
      </c>
      <c r="DK6" s="49">
        <v>1.4330000000000001</v>
      </c>
      <c r="DL6" s="49">
        <v>1.4406000000000001</v>
      </c>
      <c r="DM6" s="49">
        <v>1.4481999999999999</v>
      </c>
      <c r="DN6" s="49">
        <v>1.4559</v>
      </c>
      <c r="DO6" s="49">
        <v>1.4636</v>
      </c>
      <c r="DP6" s="49">
        <v>1.4713000000000001</v>
      </c>
      <c r="DQ6" s="49">
        <v>1.4791000000000001</v>
      </c>
      <c r="DR6" s="49">
        <v>1.4870000000000001</v>
      </c>
      <c r="DS6" s="49">
        <v>1.4947999999999999</v>
      </c>
      <c r="DT6" s="49">
        <v>1.5026999999999999</v>
      </c>
      <c r="DU6" s="49">
        <v>1.5106999999999999</v>
      </c>
      <c r="DV6" s="49">
        <v>1.5186999999999999</v>
      </c>
      <c r="DW6" s="49">
        <v>1.5267999999999999</v>
      </c>
      <c r="DX6" s="49">
        <v>1.5348999999999999</v>
      </c>
      <c r="DY6" s="49">
        <v>1.5430999999999999</v>
      </c>
      <c r="DZ6" s="49">
        <v>1.5512999999999999</v>
      </c>
      <c r="EA6" s="49">
        <v>1.5596000000000001</v>
      </c>
      <c r="EB6" s="49">
        <v>1.5679000000000001</v>
      </c>
      <c r="EC6" s="49">
        <v>1.5764</v>
      </c>
      <c r="ED6" s="49">
        <v>1.5849</v>
      </c>
      <c r="EE6" s="49">
        <v>1.5933999999999999</v>
      </c>
      <c r="EF6" s="49">
        <v>1.6021000000000001</v>
      </c>
      <c r="EG6" s="49">
        <v>1.6108</v>
      </c>
      <c r="EH6" s="49">
        <v>1.6195999999999999</v>
      </c>
      <c r="EI6" s="49">
        <v>1.6286</v>
      </c>
      <c r="EJ6" s="49">
        <v>1.6375</v>
      </c>
      <c r="EK6" s="49">
        <v>1.6466000000000001</v>
      </c>
      <c r="EL6" s="49">
        <v>1.6557999999999999</v>
      </c>
      <c r="EM6" s="49">
        <v>1.6651</v>
      </c>
      <c r="EN6" s="49">
        <v>1.6745000000000001</v>
      </c>
      <c r="EO6" s="49">
        <v>1.6839999999999999</v>
      </c>
      <c r="EP6" s="49">
        <v>1.6937</v>
      </c>
      <c r="EQ6" s="49">
        <v>1.7034</v>
      </c>
      <c r="ER6" s="49">
        <v>1.7133</v>
      </c>
      <c r="ES6" s="49">
        <v>1.7233000000000001</v>
      </c>
      <c r="ET6" s="49">
        <v>1.7335</v>
      </c>
      <c r="EU6" s="49">
        <v>1.7438</v>
      </c>
      <c r="EV6" s="49">
        <v>1.7542</v>
      </c>
      <c r="EW6" s="49">
        <v>1.7647999999999999</v>
      </c>
      <c r="EX6" s="49">
        <v>1.7756000000000001</v>
      </c>
      <c r="EY6" s="49">
        <v>1.7865</v>
      </c>
      <c r="EZ6" s="49">
        <v>1.7976000000000001</v>
      </c>
      <c r="FA6" s="49">
        <v>1.8088</v>
      </c>
      <c r="FB6" s="49">
        <v>1.8203</v>
      </c>
      <c r="FC6" s="49">
        <v>1.8319000000000001</v>
      </c>
      <c r="FE6" s="50">
        <f t="shared" ca="1" si="4"/>
        <v>1.5284180177424289</v>
      </c>
      <c r="FF6" s="50">
        <f t="shared" ca="1" si="0"/>
        <v>1.5233041012495994</v>
      </c>
      <c r="FG6" s="50">
        <f t="shared" ca="1" si="1"/>
        <v>1.518093288590604</v>
      </c>
      <c r="FH6" s="50">
        <f t="shared" ca="1" si="2"/>
        <v>1.5127241610738253</v>
      </c>
      <c r="FK6" s="50">
        <f t="shared" ca="1" si="3"/>
        <v>1.5233041012495994</v>
      </c>
      <c r="FL6" s="50"/>
      <c r="FM6" s="50"/>
      <c r="FN6" s="50"/>
    </row>
    <row r="7" spans="2:177" ht="17.100000000000001" customHeight="1" thickBot="1">
      <c r="B7" s="119"/>
      <c r="C7" s="20"/>
      <c r="D7" s="20"/>
      <c r="E7" s="20"/>
      <c r="F7" s="20"/>
      <c r="G7" s="20"/>
      <c r="H7" s="20"/>
      <c r="I7" s="20"/>
      <c r="J7" s="20"/>
      <c r="K7" s="20"/>
      <c r="L7" s="20"/>
      <c r="M7" s="20"/>
      <c r="N7" s="20"/>
      <c r="O7" s="20"/>
      <c r="P7" s="20"/>
      <c r="Q7" s="20"/>
      <c r="R7" s="20"/>
      <c r="S7" s="20"/>
      <c r="T7" s="20"/>
      <c r="U7" s="20"/>
      <c r="V7" s="20"/>
      <c r="W7" s="20"/>
      <c r="X7" s="20"/>
      <c r="Y7" s="20"/>
      <c r="Z7" s="20"/>
      <c r="AA7" s="20"/>
      <c r="AB7" s="120"/>
      <c r="AC7" s="22"/>
      <c r="AD7" s="13" t="s">
        <v>272</v>
      </c>
      <c r="AE7" s="13"/>
      <c r="AG7" s="45"/>
      <c r="AH7" s="45"/>
      <c r="AM7" s="5" t="s">
        <v>190</v>
      </c>
      <c r="AN7" s="186">
        <v>1</v>
      </c>
      <c r="AO7" s="186">
        <v>1</v>
      </c>
      <c r="AP7" s="186">
        <v>1</v>
      </c>
      <c r="AQ7" s="186">
        <v>1</v>
      </c>
      <c r="AR7" s="186">
        <v>1</v>
      </c>
      <c r="AW7" s="46">
        <v>0.13200000000000001</v>
      </c>
      <c r="AX7" s="49">
        <v>0.83499999999999996</v>
      </c>
      <c r="AY7" s="49">
        <v>0.84419999999999995</v>
      </c>
      <c r="AZ7" s="49">
        <v>0.85340000000000005</v>
      </c>
      <c r="BA7" s="49">
        <v>0.86260000000000003</v>
      </c>
      <c r="BB7" s="49">
        <v>0.87180000000000002</v>
      </c>
      <c r="BC7" s="49">
        <v>0.88100000000000001</v>
      </c>
      <c r="BD7" s="49">
        <v>0.89019999999999999</v>
      </c>
      <c r="BE7" s="49">
        <v>0.89939999999999998</v>
      </c>
      <c r="BF7" s="49">
        <v>0.90859999999999996</v>
      </c>
      <c r="BG7" s="49">
        <v>0.91779999999999995</v>
      </c>
      <c r="BH7" s="49">
        <v>0.92700000000000005</v>
      </c>
      <c r="BI7" s="49">
        <v>0.93620000000000003</v>
      </c>
      <c r="BJ7" s="49">
        <v>0.94550000000000001</v>
      </c>
      <c r="BK7" s="49">
        <v>0.95469999999999999</v>
      </c>
      <c r="BL7" s="49">
        <v>0.96389999999999998</v>
      </c>
      <c r="BM7" s="49">
        <v>0.97309999999999997</v>
      </c>
      <c r="BN7" s="49">
        <v>0.98240000000000005</v>
      </c>
      <c r="BO7" s="49">
        <v>0.99160000000000004</v>
      </c>
      <c r="BP7" s="49">
        <v>1.0007999999999999</v>
      </c>
      <c r="BQ7" s="49">
        <v>1.0101</v>
      </c>
      <c r="BR7" s="49">
        <v>1.0193000000000001</v>
      </c>
      <c r="BS7" s="49">
        <v>1.0286</v>
      </c>
      <c r="BT7" s="49">
        <v>1.0378000000000001</v>
      </c>
      <c r="BU7" s="49">
        <v>1.0470999999999999</v>
      </c>
      <c r="BV7" s="49">
        <v>1.0564</v>
      </c>
      <c r="BW7" s="49">
        <v>1.0656000000000001</v>
      </c>
      <c r="BX7" s="49">
        <v>1.0749</v>
      </c>
      <c r="BY7" s="49">
        <v>1.0842000000000001</v>
      </c>
      <c r="BZ7" s="49">
        <v>1.0934999999999999</v>
      </c>
      <c r="CA7" s="49">
        <v>1.1028</v>
      </c>
      <c r="CB7" s="49">
        <v>1.1121000000000001</v>
      </c>
      <c r="CC7" s="49">
        <v>1.1214</v>
      </c>
      <c r="CD7" s="49">
        <v>1.1307</v>
      </c>
      <c r="CE7" s="49">
        <v>1.1400999999999999</v>
      </c>
      <c r="CF7" s="49">
        <v>1.1494</v>
      </c>
      <c r="CG7" s="49">
        <v>1.1588000000000001</v>
      </c>
      <c r="CH7" s="49">
        <v>1.1680999999999999</v>
      </c>
      <c r="CI7" s="49">
        <v>1.1775</v>
      </c>
      <c r="CJ7" s="49">
        <v>1.1869000000000001</v>
      </c>
      <c r="CK7" s="49">
        <v>1.1961999999999999</v>
      </c>
      <c r="CL7" s="49">
        <v>1.2056</v>
      </c>
      <c r="CM7" s="49">
        <v>1.2151000000000001</v>
      </c>
      <c r="CN7" s="49">
        <v>1.2244999999999999</v>
      </c>
      <c r="CO7" s="49">
        <v>1.2339</v>
      </c>
      <c r="CP7" s="49">
        <v>1.2434000000000001</v>
      </c>
      <c r="CQ7" s="49">
        <v>1.2527999999999999</v>
      </c>
      <c r="CR7" s="49">
        <v>1.2623</v>
      </c>
      <c r="CS7" s="49">
        <v>1.2718</v>
      </c>
      <c r="CT7" s="49">
        <v>1.2813000000000001</v>
      </c>
      <c r="CU7" s="49">
        <v>1.2908999999999999</v>
      </c>
      <c r="CV7" s="49">
        <v>1.3004</v>
      </c>
      <c r="CW7" s="49">
        <v>1.31</v>
      </c>
      <c r="CX7" s="49">
        <v>1.3196000000000001</v>
      </c>
      <c r="CY7" s="49">
        <v>1.3291999999999999</v>
      </c>
      <c r="CZ7" s="49">
        <v>1.3388</v>
      </c>
      <c r="DA7" s="49">
        <v>1.3484</v>
      </c>
      <c r="DB7" s="49">
        <v>1.3581000000000001</v>
      </c>
      <c r="DC7" s="49">
        <v>1.3677999999999999</v>
      </c>
      <c r="DD7" s="49">
        <v>1.3774999999999999</v>
      </c>
      <c r="DE7" s="49">
        <v>1.3873</v>
      </c>
      <c r="DF7" s="49">
        <v>1.3955</v>
      </c>
      <c r="DG7" s="49">
        <v>1.4029</v>
      </c>
      <c r="DH7" s="49">
        <v>1.4104000000000001</v>
      </c>
      <c r="DI7" s="49">
        <v>1.4178999999999999</v>
      </c>
      <c r="DJ7" s="49">
        <v>1.4254</v>
      </c>
      <c r="DK7" s="49">
        <v>1.4330000000000001</v>
      </c>
      <c r="DL7" s="49">
        <v>1.4406000000000001</v>
      </c>
      <c r="DM7" s="49">
        <v>1.4481999999999999</v>
      </c>
      <c r="DN7" s="49">
        <v>1.4559</v>
      </c>
      <c r="DO7" s="49">
        <v>1.4636</v>
      </c>
      <c r="DP7" s="49">
        <v>1.4713000000000001</v>
      </c>
      <c r="DQ7" s="49">
        <v>1.4791000000000001</v>
      </c>
      <c r="DR7" s="49">
        <v>1.4870000000000001</v>
      </c>
      <c r="DS7" s="49">
        <v>1.4947999999999999</v>
      </c>
      <c r="DT7" s="49">
        <v>1.5026999999999999</v>
      </c>
      <c r="DU7" s="49">
        <v>1.5106999999999999</v>
      </c>
      <c r="DV7" s="49">
        <v>1.5186999999999999</v>
      </c>
      <c r="DW7" s="49">
        <v>1.5267999999999999</v>
      </c>
      <c r="DX7" s="49">
        <v>1.5348999999999999</v>
      </c>
      <c r="DY7" s="49">
        <v>1.5430999999999999</v>
      </c>
      <c r="DZ7" s="49">
        <v>1.5512999999999999</v>
      </c>
      <c r="EA7" s="49">
        <v>1.5596000000000001</v>
      </c>
      <c r="EB7" s="49">
        <v>1.5679000000000001</v>
      </c>
      <c r="EC7" s="49">
        <v>1.5764</v>
      </c>
      <c r="ED7" s="49">
        <v>1.5849</v>
      </c>
      <c r="EE7" s="49">
        <v>1.5933999999999999</v>
      </c>
      <c r="EF7" s="49">
        <v>1.6021000000000001</v>
      </c>
      <c r="EG7" s="49">
        <v>1.6108</v>
      </c>
      <c r="EH7" s="49">
        <v>1.6195999999999999</v>
      </c>
      <c r="EI7" s="49">
        <v>1.6286</v>
      </c>
      <c r="EJ7" s="49">
        <v>1.6375</v>
      </c>
      <c r="EK7" s="49">
        <v>1.6466000000000001</v>
      </c>
      <c r="EL7" s="49">
        <v>1.6557999999999999</v>
      </c>
      <c r="EM7" s="49">
        <v>1.6651</v>
      </c>
      <c r="EN7" s="49">
        <v>1.6745000000000001</v>
      </c>
      <c r="EO7" s="49">
        <v>1.6839999999999999</v>
      </c>
      <c r="EP7" s="49">
        <v>1.6937</v>
      </c>
      <c r="EQ7" s="49">
        <v>1.7034</v>
      </c>
      <c r="ER7" s="49">
        <v>1.7133</v>
      </c>
      <c r="ES7" s="49">
        <v>1.7233000000000001</v>
      </c>
      <c r="ET7" s="49">
        <v>1.7335</v>
      </c>
      <c r="EU7" s="49">
        <v>1.7438</v>
      </c>
      <c r="EV7" s="49">
        <v>1.7542</v>
      </c>
      <c r="EW7" s="49">
        <v>1.7647999999999999</v>
      </c>
      <c r="EX7" s="49">
        <v>1.7756000000000001</v>
      </c>
      <c r="EY7" s="49">
        <v>1.7865</v>
      </c>
      <c r="EZ7" s="49">
        <v>1.7976000000000001</v>
      </c>
      <c r="FA7" s="49">
        <v>1.8088</v>
      </c>
      <c r="FB7" s="49">
        <v>1.8203</v>
      </c>
      <c r="FC7" s="49">
        <v>1.8319000000000001</v>
      </c>
      <c r="FE7" s="50">
        <f t="shared" ca="1" si="4"/>
        <v>1.5284180177424289</v>
      </c>
      <c r="FF7" s="50">
        <f t="shared" ca="1" si="0"/>
        <v>1.5233041012495994</v>
      </c>
      <c r="FG7" s="50">
        <f t="shared" ca="1" si="1"/>
        <v>1.518093288590604</v>
      </c>
      <c r="FH7" s="50">
        <f t="shared" ca="1" si="2"/>
        <v>1.5127241610738253</v>
      </c>
      <c r="FK7" s="50">
        <f t="shared" ca="1" si="3"/>
        <v>1.5233041012495994</v>
      </c>
      <c r="FL7" s="50"/>
      <c r="FM7" s="50"/>
      <c r="FN7" s="50"/>
    </row>
    <row r="8" spans="2:177" ht="17.100000000000001" customHeight="1" thickBot="1">
      <c r="B8" s="119"/>
      <c r="C8" s="573" t="s">
        <v>289</v>
      </c>
      <c r="D8" s="574"/>
      <c r="E8" s="574"/>
      <c r="F8" s="574"/>
      <c r="G8" s="574"/>
      <c r="H8" s="574"/>
      <c r="I8" s="574"/>
      <c r="J8" s="574"/>
      <c r="K8" s="574"/>
      <c r="L8" s="574"/>
      <c r="M8" s="574"/>
      <c r="N8" s="574"/>
      <c r="O8" s="575"/>
      <c r="P8" s="23"/>
      <c r="Q8" s="641" t="s">
        <v>343</v>
      </c>
      <c r="R8" s="642"/>
      <c r="S8" s="642"/>
      <c r="T8" s="642"/>
      <c r="U8" s="642"/>
      <c r="V8" s="642"/>
      <c r="W8" s="642"/>
      <c r="X8" s="642"/>
      <c r="Y8" s="642"/>
      <c r="Z8" s="642"/>
      <c r="AA8" s="135" t="s">
        <v>288</v>
      </c>
      <c r="AB8" s="120"/>
      <c r="AC8" s="27"/>
      <c r="AD8" s="13" t="s">
        <v>273</v>
      </c>
      <c r="AE8" s="13"/>
      <c r="AG8" s="57" t="s">
        <v>50</v>
      </c>
      <c r="AH8" s="58"/>
      <c r="AI8" s="58"/>
      <c r="AJ8" s="58"/>
      <c r="AK8" s="182">
        <f>IF(L11=AD10,0,1)</f>
        <v>0</v>
      </c>
      <c r="AN8" s="186">
        <v>2</v>
      </c>
      <c r="AO8" s="6">
        <f ca="1">FORECAST(AD$39,OFFSET(FE$528,MATCH(AD$39,$AW$528:$AW$628,1)-1,0,2),OFFSET($AW$528,MATCH(AD$39,$AW$528:$AW$628,1)-1,0,2))</f>
        <v>1.0009999999999999</v>
      </c>
      <c r="AP8" s="6">
        <f ca="1">FORECAST(AE$39,OFFSET(FF$528,MATCH(AE$39,$AW$528:$AW$628,1)-1,0,2),OFFSET($AW$528,MATCH(AE$39,$AW$528:$AW$628,1)-1,0,2))</f>
        <v>1.0009999999999999</v>
      </c>
      <c r="AQ8" s="6">
        <f ca="1">FORECAST(AF$39,OFFSET(FG$528,MATCH(AF$39,$AW$528:$AW$628,1)-1,0,2),OFFSET($AW$528,MATCH(AF$39,$AW$528:$AW$628,1)-1,0,2))</f>
        <v>1.0009074118133527</v>
      </c>
      <c r="AR8" s="6">
        <f ca="1">FORECAST(AG$39,OFFSET(FH$528,MATCH(AG$39,$AW$528:$AW$628,1)-1,0,2),OFFSET($AW$528,MATCH(AG$39,$AW$528:$AW$628,1)-1,0,2))</f>
        <v>1.0000880473297495</v>
      </c>
      <c r="AW8" s="46">
        <v>0.14099999999999999</v>
      </c>
      <c r="AX8" s="49">
        <v>0.83289999999999997</v>
      </c>
      <c r="AY8" s="49">
        <v>0.84209999999999996</v>
      </c>
      <c r="AZ8" s="49">
        <v>0.85129999999999995</v>
      </c>
      <c r="BA8" s="49">
        <v>0.86040000000000005</v>
      </c>
      <c r="BB8" s="49">
        <v>0.86960000000000004</v>
      </c>
      <c r="BC8" s="49">
        <v>0.87880000000000003</v>
      </c>
      <c r="BD8" s="49">
        <v>0.88790000000000002</v>
      </c>
      <c r="BE8" s="49">
        <v>0.89710000000000001</v>
      </c>
      <c r="BF8" s="49">
        <v>0.90629999999999999</v>
      </c>
      <c r="BG8" s="49">
        <v>0.91549999999999998</v>
      </c>
      <c r="BH8" s="49">
        <v>0.92469999999999997</v>
      </c>
      <c r="BI8" s="49">
        <v>0.93389999999999995</v>
      </c>
      <c r="BJ8" s="49">
        <v>0.94310000000000005</v>
      </c>
      <c r="BK8" s="49">
        <v>0.95230000000000004</v>
      </c>
      <c r="BL8" s="49">
        <v>0.96150000000000002</v>
      </c>
      <c r="BM8" s="49">
        <v>0.97070000000000001</v>
      </c>
      <c r="BN8" s="49">
        <v>0.97989999999999999</v>
      </c>
      <c r="BO8" s="49">
        <v>0.98909999999999998</v>
      </c>
      <c r="BP8" s="49">
        <v>0.99829999999999997</v>
      </c>
      <c r="BQ8" s="49">
        <v>1.0075000000000001</v>
      </c>
      <c r="BR8" s="49">
        <v>1.0166999999999999</v>
      </c>
      <c r="BS8" s="49">
        <v>1.026</v>
      </c>
      <c r="BT8" s="49">
        <v>1.0351999999999999</v>
      </c>
      <c r="BU8" s="49">
        <v>1.0444</v>
      </c>
      <c r="BV8" s="49">
        <v>1.0537000000000001</v>
      </c>
      <c r="BW8" s="49">
        <v>1.0629</v>
      </c>
      <c r="BX8" s="49">
        <v>1.0722</v>
      </c>
      <c r="BY8" s="49">
        <v>1.0814999999999999</v>
      </c>
      <c r="BZ8" s="49">
        <v>1.0907</v>
      </c>
      <c r="CA8" s="49">
        <v>1.1000000000000001</v>
      </c>
      <c r="CB8" s="49">
        <v>1.1093</v>
      </c>
      <c r="CC8" s="49">
        <v>1.1186</v>
      </c>
      <c r="CD8" s="49">
        <v>1.1278999999999999</v>
      </c>
      <c r="CE8" s="49">
        <v>1.1372</v>
      </c>
      <c r="CF8" s="49">
        <v>1.1465000000000001</v>
      </c>
      <c r="CG8" s="49">
        <v>1.1557999999999999</v>
      </c>
      <c r="CH8" s="49">
        <v>1.1652</v>
      </c>
      <c r="CI8" s="49">
        <v>1.1745000000000001</v>
      </c>
      <c r="CJ8" s="49">
        <v>1.1839</v>
      </c>
      <c r="CK8" s="49">
        <v>1.1932</v>
      </c>
      <c r="CL8" s="49">
        <v>1.2025999999999999</v>
      </c>
      <c r="CM8" s="49">
        <v>1.212</v>
      </c>
      <c r="CN8" s="49">
        <v>1.2214</v>
      </c>
      <c r="CO8" s="49">
        <v>1.2307999999999999</v>
      </c>
      <c r="CP8" s="49">
        <v>1.2402</v>
      </c>
      <c r="CQ8" s="49">
        <v>1.2497</v>
      </c>
      <c r="CR8" s="49">
        <v>1.2591000000000001</v>
      </c>
      <c r="CS8" s="49">
        <v>1.2685999999999999</v>
      </c>
      <c r="CT8" s="49">
        <v>1.2781</v>
      </c>
      <c r="CU8" s="49">
        <v>1.2876000000000001</v>
      </c>
      <c r="CV8" s="49">
        <v>1.2970999999999999</v>
      </c>
      <c r="CW8" s="49">
        <v>1.3067</v>
      </c>
      <c r="CX8" s="49">
        <v>1.3162</v>
      </c>
      <c r="CY8" s="49">
        <v>1.3258000000000001</v>
      </c>
      <c r="CZ8" s="49">
        <v>1.3353999999999999</v>
      </c>
      <c r="DA8" s="49">
        <v>1.345</v>
      </c>
      <c r="DB8" s="49">
        <v>1.3547</v>
      </c>
      <c r="DC8" s="49">
        <v>1.3644000000000001</v>
      </c>
      <c r="DD8" s="49">
        <v>1.3741000000000001</v>
      </c>
      <c r="DE8" s="49">
        <v>1.3837999999999999</v>
      </c>
      <c r="DF8" s="49">
        <v>1.3935</v>
      </c>
      <c r="DG8" s="49">
        <v>1.4029</v>
      </c>
      <c r="DH8" s="49">
        <v>1.4104000000000001</v>
      </c>
      <c r="DI8" s="49">
        <v>1.4178999999999999</v>
      </c>
      <c r="DJ8" s="49">
        <v>1.4254</v>
      </c>
      <c r="DK8" s="49">
        <v>1.4330000000000001</v>
      </c>
      <c r="DL8" s="49">
        <v>1.4406000000000001</v>
      </c>
      <c r="DM8" s="49">
        <v>1.4481999999999999</v>
      </c>
      <c r="DN8" s="49">
        <v>1.4559</v>
      </c>
      <c r="DO8" s="49">
        <v>1.4636</v>
      </c>
      <c r="DP8" s="49">
        <v>1.4713000000000001</v>
      </c>
      <c r="DQ8" s="49">
        <v>1.4791000000000001</v>
      </c>
      <c r="DR8" s="49">
        <v>1.4870000000000001</v>
      </c>
      <c r="DS8" s="49">
        <v>1.4947999999999999</v>
      </c>
      <c r="DT8" s="49">
        <v>1.5026999999999999</v>
      </c>
      <c r="DU8" s="49">
        <v>1.5106999999999999</v>
      </c>
      <c r="DV8" s="49">
        <v>1.5186999999999999</v>
      </c>
      <c r="DW8" s="49">
        <v>1.5267999999999999</v>
      </c>
      <c r="DX8" s="49">
        <v>1.5348999999999999</v>
      </c>
      <c r="DY8" s="49">
        <v>1.5430999999999999</v>
      </c>
      <c r="DZ8" s="49">
        <v>1.5512999999999999</v>
      </c>
      <c r="EA8" s="49">
        <v>1.5596000000000001</v>
      </c>
      <c r="EB8" s="49">
        <v>1.5679000000000001</v>
      </c>
      <c r="EC8" s="49">
        <v>1.5764</v>
      </c>
      <c r="ED8" s="49">
        <v>1.5849</v>
      </c>
      <c r="EE8" s="49">
        <v>1.5933999999999999</v>
      </c>
      <c r="EF8" s="49">
        <v>1.6021000000000001</v>
      </c>
      <c r="EG8" s="49">
        <v>1.6108</v>
      </c>
      <c r="EH8" s="49">
        <v>1.6195999999999999</v>
      </c>
      <c r="EI8" s="49">
        <v>1.6286</v>
      </c>
      <c r="EJ8" s="49">
        <v>1.6375</v>
      </c>
      <c r="EK8" s="49">
        <v>1.6466000000000001</v>
      </c>
      <c r="EL8" s="49">
        <v>1.6557999999999999</v>
      </c>
      <c r="EM8" s="49">
        <v>1.6651</v>
      </c>
      <c r="EN8" s="49">
        <v>1.6745000000000001</v>
      </c>
      <c r="EO8" s="49">
        <v>1.6839999999999999</v>
      </c>
      <c r="EP8" s="49">
        <v>1.6937</v>
      </c>
      <c r="EQ8" s="49">
        <v>1.7034</v>
      </c>
      <c r="ER8" s="49">
        <v>1.7133</v>
      </c>
      <c r="ES8" s="49">
        <v>1.7233000000000001</v>
      </c>
      <c r="ET8" s="49">
        <v>1.7335</v>
      </c>
      <c r="EU8" s="49">
        <v>1.7438</v>
      </c>
      <c r="EV8" s="49">
        <v>1.7542</v>
      </c>
      <c r="EW8" s="49">
        <v>1.7647999999999999</v>
      </c>
      <c r="EX8" s="49">
        <v>1.7756000000000001</v>
      </c>
      <c r="EY8" s="49">
        <v>1.7865</v>
      </c>
      <c r="EZ8" s="49">
        <v>1.7976000000000001</v>
      </c>
      <c r="FA8" s="49">
        <v>1.8088</v>
      </c>
      <c r="FB8" s="49">
        <v>1.8203</v>
      </c>
      <c r="FC8" s="49">
        <v>1.8319000000000001</v>
      </c>
      <c r="FE8" s="50">
        <f t="shared" ca="1" si="4"/>
        <v>1.5284180177424289</v>
      </c>
      <c r="FF8" s="50">
        <f t="shared" ca="1" si="0"/>
        <v>1.5233041012495994</v>
      </c>
      <c r="FG8" s="50">
        <f t="shared" ca="1" si="1"/>
        <v>1.518093288590604</v>
      </c>
      <c r="FH8" s="50">
        <f t="shared" ca="1" si="2"/>
        <v>1.5127241610738253</v>
      </c>
      <c r="FK8" s="50">
        <f t="shared" ca="1" si="3"/>
        <v>1.5233041012495994</v>
      </c>
      <c r="FL8" s="50"/>
      <c r="FM8" s="50"/>
      <c r="FN8" s="50"/>
      <c r="FQ8" s="544" t="s">
        <v>319</v>
      </c>
      <c r="FR8" s="545"/>
      <c r="FS8" s="545"/>
      <c r="FT8" s="545"/>
      <c r="FU8" s="546"/>
    </row>
    <row r="9" spans="2:177" ht="17.100000000000001" customHeight="1">
      <c r="B9" s="119"/>
      <c r="C9" s="633" t="s">
        <v>279</v>
      </c>
      <c r="D9" s="634"/>
      <c r="E9" s="634"/>
      <c r="F9" s="634"/>
      <c r="G9" s="634"/>
      <c r="H9" s="634"/>
      <c r="I9" s="634"/>
      <c r="J9" s="634"/>
      <c r="K9" s="634"/>
      <c r="L9" s="637" t="s">
        <v>8</v>
      </c>
      <c r="M9" s="637"/>
      <c r="N9" s="637"/>
      <c r="O9" s="638"/>
      <c r="P9" s="23"/>
      <c r="Q9" s="633" t="s">
        <v>285</v>
      </c>
      <c r="R9" s="634"/>
      <c r="S9" s="634"/>
      <c r="T9" s="634"/>
      <c r="U9" s="634"/>
      <c r="V9" s="634"/>
      <c r="W9" s="634"/>
      <c r="X9" s="637" t="s">
        <v>68</v>
      </c>
      <c r="Y9" s="637"/>
      <c r="Z9" s="637"/>
      <c r="AA9" s="638"/>
      <c r="AB9" s="120"/>
      <c r="AC9" s="27"/>
      <c r="AD9" s="16" t="s">
        <v>274</v>
      </c>
      <c r="AE9" s="13"/>
      <c r="AG9" s="59">
        <f ca="1">MAX(OFFSET(Database!$M$3,MATCH(J25,Database!$L$53:$L$413,0)+4,0,91))</f>
        <v>0.83499999999999996</v>
      </c>
      <c r="AH9" s="60">
        <f ca="1">MAX(OFFSET(Database!$M$3,MATCH(L25,Database!$L$53:$L$413,0)+4,0,91))</f>
        <v>0.79</v>
      </c>
      <c r="AI9" s="60">
        <f ca="1">MAX(OFFSET(Database!$M$3,MATCH(N25,Database!$L$53:$L$413,0)+4,0,91))</f>
        <v>0.98499999999999999</v>
      </c>
      <c r="AJ9" s="518">
        <f ca="1">MAX(OFFSET(Database!$M$3,MATCH(P25,Database!$L$53:$L$413,0)+4,0,91))</f>
        <v>1</v>
      </c>
      <c r="AK9" s="61" t="b">
        <v>0</v>
      </c>
      <c r="AW9" s="46">
        <v>0.151</v>
      </c>
      <c r="AX9" s="49">
        <v>0.83089999999999997</v>
      </c>
      <c r="AY9" s="49">
        <v>0.84</v>
      </c>
      <c r="AZ9" s="49">
        <v>0.84909999999999997</v>
      </c>
      <c r="BA9" s="49">
        <v>0.85829999999999995</v>
      </c>
      <c r="BB9" s="49">
        <v>0.86739999999999995</v>
      </c>
      <c r="BC9" s="49">
        <v>0.87660000000000005</v>
      </c>
      <c r="BD9" s="49">
        <v>0.88570000000000004</v>
      </c>
      <c r="BE9" s="49">
        <v>0.89490000000000003</v>
      </c>
      <c r="BF9" s="49">
        <v>0.90410000000000001</v>
      </c>
      <c r="BG9" s="49">
        <v>0.91320000000000001</v>
      </c>
      <c r="BH9" s="49">
        <v>0.9224</v>
      </c>
      <c r="BI9" s="49">
        <v>0.93149999999999999</v>
      </c>
      <c r="BJ9" s="49">
        <v>0.94069999999999998</v>
      </c>
      <c r="BK9" s="49">
        <v>0.94989999999999997</v>
      </c>
      <c r="BL9" s="49">
        <v>0.95909999999999995</v>
      </c>
      <c r="BM9" s="49">
        <v>0.96819999999999995</v>
      </c>
      <c r="BN9" s="49">
        <v>0.97740000000000005</v>
      </c>
      <c r="BO9" s="49">
        <v>0.98660000000000003</v>
      </c>
      <c r="BP9" s="49">
        <v>0.99580000000000002</v>
      </c>
      <c r="BQ9" s="49">
        <v>1.0049999999999999</v>
      </c>
      <c r="BR9" s="49">
        <v>1.0142</v>
      </c>
      <c r="BS9" s="49">
        <v>1.0234000000000001</v>
      </c>
      <c r="BT9" s="49">
        <v>1.0326</v>
      </c>
      <c r="BU9" s="49">
        <v>1.0418000000000001</v>
      </c>
      <c r="BV9" s="49">
        <v>1.0510999999999999</v>
      </c>
      <c r="BW9" s="49">
        <v>1.0603</v>
      </c>
      <c r="BX9" s="49">
        <v>1.0694999999999999</v>
      </c>
      <c r="BY9" s="49">
        <v>1.0788</v>
      </c>
      <c r="BZ9" s="49">
        <v>1.0880000000000001</v>
      </c>
      <c r="CA9" s="49">
        <v>1.0972999999999999</v>
      </c>
      <c r="CB9" s="49">
        <v>1.1065</v>
      </c>
      <c r="CC9" s="49">
        <v>1.1157999999999999</v>
      </c>
      <c r="CD9" s="49">
        <v>1.1251</v>
      </c>
      <c r="CE9" s="49">
        <v>1.1344000000000001</v>
      </c>
      <c r="CF9" s="49">
        <v>1.1435999999999999</v>
      </c>
      <c r="CG9" s="49">
        <v>1.153</v>
      </c>
      <c r="CH9" s="49">
        <v>1.1623000000000001</v>
      </c>
      <c r="CI9" s="49">
        <v>1.1716</v>
      </c>
      <c r="CJ9" s="49">
        <v>1.1809000000000001</v>
      </c>
      <c r="CK9" s="49">
        <v>1.1902999999999999</v>
      </c>
      <c r="CL9" s="49">
        <v>1.1996</v>
      </c>
      <c r="CM9" s="49">
        <v>1.2090000000000001</v>
      </c>
      <c r="CN9" s="49">
        <v>1.2183999999999999</v>
      </c>
      <c r="CO9" s="49">
        <v>1.2277</v>
      </c>
      <c r="CP9" s="49">
        <v>1.2371000000000001</v>
      </c>
      <c r="CQ9" s="49">
        <v>1.2465999999999999</v>
      </c>
      <c r="CR9" s="49">
        <v>1.256</v>
      </c>
      <c r="CS9" s="49">
        <v>1.2654000000000001</v>
      </c>
      <c r="CT9" s="49">
        <v>1.2748999999999999</v>
      </c>
      <c r="CU9" s="49">
        <v>1.2844</v>
      </c>
      <c r="CV9" s="49">
        <v>1.2939000000000001</v>
      </c>
      <c r="CW9" s="49">
        <v>1.3033999999999999</v>
      </c>
      <c r="CX9" s="49">
        <v>1.3129999999999999</v>
      </c>
      <c r="CY9" s="49">
        <v>1.3225</v>
      </c>
      <c r="CZ9" s="49">
        <v>1.3321000000000001</v>
      </c>
      <c r="DA9" s="49">
        <v>1.3416999999999999</v>
      </c>
      <c r="DB9" s="49">
        <v>1.3512999999999999</v>
      </c>
      <c r="DC9" s="49">
        <v>1.361</v>
      </c>
      <c r="DD9" s="49">
        <v>1.3706</v>
      </c>
      <c r="DE9" s="49">
        <v>1.3803000000000001</v>
      </c>
      <c r="DF9" s="49">
        <v>1.3900999999999999</v>
      </c>
      <c r="DG9" s="49">
        <v>1.3997999999999999</v>
      </c>
      <c r="DH9" s="49">
        <v>1.4096</v>
      </c>
      <c r="DI9" s="49">
        <v>1.4178999999999999</v>
      </c>
      <c r="DJ9" s="49">
        <v>1.4254</v>
      </c>
      <c r="DK9" s="49">
        <v>1.4330000000000001</v>
      </c>
      <c r="DL9" s="49">
        <v>1.4406000000000001</v>
      </c>
      <c r="DM9" s="49">
        <v>1.4481999999999999</v>
      </c>
      <c r="DN9" s="49">
        <v>1.4559</v>
      </c>
      <c r="DO9" s="49">
        <v>1.4636</v>
      </c>
      <c r="DP9" s="49">
        <v>1.4713000000000001</v>
      </c>
      <c r="DQ9" s="49">
        <v>1.4791000000000001</v>
      </c>
      <c r="DR9" s="49">
        <v>1.4870000000000001</v>
      </c>
      <c r="DS9" s="49">
        <v>1.4947999999999999</v>
      </c>
      <c r="DT9" s="49">
        <v>1.5026999999999999</v>
      </c>
      <c r="DU9" s="49">
        <v>1.5106999999999999</v>
      </c>
      <c r="DV9" s="49">
        <v>1.5186999999999999</v>
      </c>
      <c r="DW9" s="49">
        <v>1.5267999999999999</v>
      </c>
      <c r="DX9" s="49">
        <v>1.5348999999999999</v>
      </c>
      <c r="DY9" s="49">
        <v>1.5430999999999999</v>
      </c>
      <c r="DZ9" s="49">
        <v>1.5512999999999999</v>
      </c>
      <c r="EA9" s="49">
        <v>1.5596000000000001</v>
      </c>
      <c r="EB9" s="49">
        <v>1.5679000000000001</v>
      </c>
      <c r="EC9" s="49">
        <v>1.5764</v>
      </c>
      <c r="ED9" s="49">
        <v>1.5849</v>
      </c>
      <c r="EE9" s="49">
        <v>1.5933999999999999</v>
      </c>
      <c r="EF9" s="49">
        <v>1.6021000000000001</v>
      </c>
      <c r="EG9" s="49">
        <v>1.6108</v>
      </c>
      <c r="EH9" s="49">
        <v>1.6195999999999999</v>
      </c>
      <c r="EI9" s="49">
        <v>1.6286</v>
      </c>
      <c r="EJ9" s="49">
        <v>1.6375</v>
      </c>
      <c r="EK9" s="49">
        <v>1.6466000000000001</v>
      </c>
      <c r="EL9" s="49">
        <v>1.6557999999999999</v>
      </c>
      <c r="EM9" s="49">
        <v>1.6651</v>
      </c>
      <c r="EN9" s="49">
        <v>1.6745000000000001</v>
      </c>
      <c r="EO9" s="49">
        <v>1.6839999999999999</v>
      </c>
      <c r="EP9" s="49">
        <v>1.6937</v>
      </c>
      <c r="EQ9" s="49">
        <v>1.7034</v>
      </c>
      <c r="ER9" s="49">
        <v>1.7133</v>
      </c>
      <c r="ES9" s="49">
        <v>1.7233000000000001</v>
      </c>
      <c r="ET9" s="49">
        <v>1.7335</v>
      </c>
      <c r="EU9" s="49">
        <v>1.7438</v>
      </c>
      <c r="EV9" s="49">
        <v>1.7542</v>
      </c>
      <c r="EW9" s="49">
        <v>1.7647999999999999</v>
      </c>
      <c r="EX9" s="49">
        <v>1.7756000000000001</v>
      </c>
      <c r="EY9" s="49">
        <v>1.7865</v>
      </c>
      <c r="EZ9" s="49">
        <v>1.7976000000000001</v>
      </c>
      <c r="FA9" s="49">
        <v>1.8088</v>
      </c>
      <c r="FB9" s="49">
        <v>1.8203</v>
      </c>
      <c r="FC9" s="49">
        <v>1.8319000000000001</v>
      </c>
      <c r="FE9" s="50">
        <f t="shared" ca="1" si="4"/>
        <v>1.5284180177424289</v>
      </c>
      <c r="FF9" s="50">
        <f t="shared" ca="1" si="0"/>
        <v>1.5233041012495994</v>
      </c>
      <c r="FG9" s="50">
        <f t="shared" ca="1" si="1"/>
        <v>1.518093288590604</v>
      </c>
      <c r="FH9" s="50">
        <f t="shared" ca="1" si="2"/>
        <v>1.5127241610738253</v>
      </c>
      <c r="FK9" s="50">
        <f t="shared" ca="1" si="3"/>
        <v>1.5233041012495994</v>
      </c>
      <c r="FL9" s="50"/>
      <c r="FM9" s="50"/>
      <c r="FN9" s="50"/>
      <c r="FQ9" s="127" t="str">
        <f>IF(L11=AD10,"I","ANY")</f>
        <v>I</v>
      </c>
      <c r="FR9" s="127" t="s">
        <v>41</v>
      </c>
      <c r="FS9" s="127" t="s">
        <v>42</v>
      </c>
      <c r="FT9" s="127" t="s">
        <v>43</v>
      </c>
      <c r="FU9" s="339" t="s">
        <v>320</v>
      </c>
    </row>
    <row r="10" spans="2:177" ht="17.100000000000001" customHeight="1" thickBot="1">
      <c r="B10" s="119"/>
      <c r="C10" s="635" t="s">
        <v>270</v>
      </c>
      <c r="D10" s="636"/>
      <c r="E10" s="636"/>
      <c r="F10" s="636"/>
      <c r="G10" s="636"/>
      <c r="H10" s="636"/>
      <c r="I10" s="636"/>
      <c r="J10" s="636"/>
      <c r="K10" s="636"/>
      <c r="L10" s="639" t="s">
        <v>272</v>
      </c>
      <c r="M10" s="639"/>
      <c r="N10" s="639"/>
      <c r="O10" s="640"/>
      <c r="P10" s="23"/>
      <c r="Q10" s="548" t="s">
        <v>321</v>
      </c>
      <c r="R10" s="549"/>
      <c r="S10" s="549"/>
      <c r="T10" s="549"/>
      <c r="U10" s="549"/>
      <c r="V10" s="549"/>
      <c r="W10" s="549"/>
      <c r="X10" s="549"/>
      <c r="Y10" s="549"/>
      <c r="Z10" s="585">
        <v>15</v>
      </c>
      <c r="AA10" s="586"/>
      <c r="AB10" s="120"/>
      <c r="AC10" s="27"/>
      <c r="AD10" s="13" t="s">
        <v>275</v>
      </c>
      <c r="AE10" s="13"/>
      <c r="AG10" s="62">
        <v>1</v>
      </c>
      <c r="AH10" s="63">
        <v>1</v>
      </c>
      <c r="AI10" s="63">
        <v>1</v>
      </c>
      <c r="AJ10" s="63">
        <v>1</v>
      </c>
      <c r="AK10" s="64" t="b">
        <v>1</v>
      </c>
      <c r="AW10" s="46">
        <v>0.16200000000000001</v>
      </c>
      <c r="AX10" s="49">
        <v>0.82879999999999998</v>
      </c>
      <c r="AY10" s="49">
        <v>0.83789999999999998</v>
      </c>
      <c r="AZ10" s="49">
        <v>0.84709999999999996</v>
      </c>
      <c r="BA10" s="49">
        <v>0.85619999999999996</v>
      </c>
      <c r="BB10" s="49">
        <v>0.86529999999999996</v>
      </c>
      <c r="BC10" s="49">
        <v>0.87439999999999996</v>
      </c>
      <c r="BD10" s="49">
        <v>0.88360000000000005</v>
      </c>
      <c r="BE10" s="49">
        <v>0.89270000000000005</v>
      </c>
      <c r="BF10" s="49">
        <v>0.90180000000000005</v>
      </c>
      <c r="BG10" s="49">
        <v>0.91100000000000003</v>
      </c>
      <c r="BH10" s="49">
        <v>0.92010000000000003</v>
      </c>
      <c r="BI10" s="49">
        <v>0.92930000000000001</v>
      </c>
      <c r="BJ10" s="49">
        <v>0.93840000000000001</v>
      </c>
      <c r="BK10" s="49">
        <v>0.9476</v>
      </c>
      <c r="BL10" s="49">
        <v>0.95669999999999999</v>
      </c>
      <c r="BM10" s="49">
        <v>0.96589999999999998</v>
      </c>
      <c r="BN10" s="49">
        <v>0.97499999999999998</v>
      </c>
      <c r="BO10" s="49">
        <v>0.98419999999999996</v>
      </c>
      <c r="BP10" s="49">
        <v>0.99339999999999995</v>
      </c>
      <c r="BQ10" s="49">
        <v>1.0024999999999999</v>
      </c>
      <c r="BR10" s="49">
        <v>1.0117</v>
      </c>
      <c r="BS10" s="49">
        <v>1.0208999999999999</v>
      </c>
      <c r="BT10" s="49">
        <v>1.0301</v>
      </c>
      <c r="BU10" s="49">
        <v>1.0392999999999999</v>
      </c>
      <c r="BV10" s="49">
        <v>1.0485</v>
      </c>
      <c r="BW10" s="49">
        <v>1.0577000000000001</v>
      </c>
      <c r="BX10" s="49">
        <v>1.0669</v>
      </c>
      <c r="BY10" s="49">
        <v>1.0761000000000001</v>
      </c>
      <c r="BZ10" s="49">
        <v>1.0852999999999999</v>
      </c>
      <c r="CA10" s="49">
        <v>1.0946</v>
      </c>
      <c r="CB10" s="49">
        <v>1.1037999999999999</v>
      </c>
      <c r="CC10" s="49">
        <v>1.1131</v>
      </c>
      <c r="CD10" s="49">
        <v>1.1223000000000001</v>
      </c>
      <c r="CE10" s="49">
        <v>1.1315999999999999</v>
      </c>
      <c r="CF10" s="49">
        <v>1.1408</v>
      </c>
      <c r="CG10" s="49">
        <v>1.1500999999999999</v>
      </c>
      <c r="CH10" s="49">
        <v>1.1594</v>
      </c>
      <c r="CI10" s="49">
        <v>1.1687000000000001</v>
      </c>
      <c r="CJ10" s="49">
        <v>1.1779999999999999</v>
      </c>
      <c r="CK10" s="49">
        <v>1.1873</v>
      </c>
      <c r="CL10" s="49">
        <v>1.1967000000000001</v>
      </c>
      <c r="CM10" s="49">
        <v>1.206</v>
      </c>
      <c r="CN10" s="49">
        <v>1.2154</v>
      </c>
      <c r="CO10" s="49">
        <v>1.2246999999999999</v>
      </c>
      <c r="CP10" s="49">
        <v>1.2341</v>
      </c>
      <c r="CQ10" s="49">
        <v>1.2435</v>
      </c>
      <c r="CR10" s="49">
        <v>1.2528999999999999</v>
      </c>
      <c r="CS10" s="49">
        <v>1.2623</v>
      </c>
      <c r="CT10" s="49">
        <v>1.2718</v>
      </c>
      <c r="CU10" s="49">
        <v>1.2811999999999999</v>
      </c>
      <c r="CV10" s="49">
        <v>1.2907</v>
      </c>
      <c r="CW10" s="49">
        <v>1.3002</v>
      </c>
      <c r="CX10" s="49">
        <v>1.3097000000000001</v>
      </c>
      <c r="CY10" s="49">
        <v>1.3192999999999999</v>
      </c>
      <c r="CZ10" s="49">
        <v>1.3288</v>
      </c>
      <c r="DA10" s="49">
        <v>1.3384</v>
      </c>
      <c r="DB10" s="49">
        <v>1.3480000000000001</v>
      </c>
      <c r="DC10" s="49">
        <v>1.3575999999999999</v>
      </c>
      <c r="DD10" s="49">
        <v>1.3673</v>
      </c>
      <c r="DE10" s="49">
        <v>1.377</v>
      </c>
      <c r="DF10" s="49">
        <v>1.3867</v>
      </c>
      <c r="DG10" s="49">
        <v>1.3964000000000001</v>
      </c>
      <c r="DH10" s="49">
        <v>1.4061999999999999</v>
      </c>
      <c r="DI10" s="49">
        <v>1.4159999999999999</v>
      </c>
      <c r="DJ10" s="49">
        <v>1.4254</v>
      </c>
      <c r="DK10" s="49">
        <v>1.4330000000000001</v>
      </c>
      <c r="DL10" s="49">
        <v>1.4406000000000001</v>
      </c>
      <c r="DM10" s="49">
        <v>1.4481999999999999</v>
      </c>
      <c r="DN10" s="49">
        <v>1.4559</v>
      </c>
      <c r="DO10" s="49">
        <v>1.4636</v>
      </c>
      <c r="DP10" s="49">
        <v>1.4713000000000001</v>
      </c>
      <c r="DQ10" s="49">
        <v>1.4791000000000001</v>
      </c>
      <c r="DR10" s="49">
        <v>1.4870000000000001</v>
      </c>
      <c r="DS10" s="49">
        <v>1.4947999999999999</v>
      </c>
      <c r="DT10" s="49">
        <v>1.5026999999999999</v>
      </c>
      <c r="DU10" s="49">
        <v>1.5106999999999999</v>
      </c>
      <c r="DV10" s="49">
        <v>1.5186999999999999</v>
      </c>
      <c r="DW10" s="49">
        <v>1.5267999999999999</v>
      </c>
      <c r="DX10" s="49">
        <v>1.5348999999999999</v>
      </c>
      <c r="DY10" s="49">
        <v>1.5430999999999999</v>
      </c>
      <c r="DZ10" s="49">
        <v>1.5512999999999999</v>
      </c>
      <c r="EA10" s="49">
        <v>1.5596000000000001</v>
      </c>
      <c r="EB10" s="49">
        <v>1.5679000000000001</v>
      </c>
      <c r="EC10" s="49">
        <v>1.5764</v>
      </c>
      <c r="ED10" s="49">
        <v>1.5849</v>
      </c>
      <c r="EE10" s="49">
        <v>1.5933999999999999</v>
      </c>
      <c r="EF10" s="49">
        <v>1.6021000000000001</v>
      </c>
      <c r="EG10" s="49">
        <v>1.6108</v>
      </c>
      <c r="EH10" s="49">
        <v>1.6195999999999999</v>
      </c>
      <c r="EI10" s="49">
        <v>1.6286</v>
      </c>
      <c r="EJ10" s="49">
        <v>1.6375</v>
      </c>
      <c r="EK10" s="49">
        <v>1.6466000000000001</v>
      </c>
      <c r="EL10" s="49">
        <v>1.6557999999999999</v>
      </c>
      <c r="EM10" s="49">
        <v>1.6651</v>
      </c>
      <c r="EN10" s="49">
        <v>1.6745000000000001</v>
      </c>
      <c r="EO10" s="49">
        <v>1.6839999999999999</v>
      </c>
      <c r="EP10" s="49">
        <v>1.6937</v>
      </c>
      <c r="EQ10" s="49">
        <v>1.7034</v>
      </c>
      <c r="ER10" s="49">
        <v>1.7133</v>
      </c>
      <c r="ES10" s="49">
        <v>1.7233000000000001</v>
      </c>
      <c r="ET10" s="49">
        <v>1.7335</v>
      </c>
      <c r="EU10" s="49">
        <v>1.7438</v>
      </c>
      <c r="EV10" s="49">
        <v>1.7542</v>
      </c>
      <c r="EW10" s="49">
        <v>1.7647999999999999</v>
      </c>
      <c r="EX10" s="49">
        <v>1.7756000000000001</v>
      </c>
      <c r="EY10" s="49">
        <v>1.7865</v>
      </c>
      <c r="EZ10" s="49">
        <v>1.7976000000000001</v>
      </c>
      <c r="FA10" s="49">
        <v>1.8088</v>
      </c>
      <c r="FB10" s="49">
        <v>1.8203</v>
      </c>
      <c r="FC10" s="49">
        <v>1.8319000000000001</v>
      </c>
      <c r="FE10" s="50">
        <f t="shared" ca="1" si="4"/>
        <v>1.5284180177424289</v>
      </c>
      <c r="FF10" s="50">
        <f t="shared" ca="1" si="0"/>
        <v>1.5233041012495994</v>
      </c>
      <c r="FG10" s="50">
        <f t="shared" ca="1" si="1"/>
        <v>1.518093288590604</v>
      </c>
      <c r="FH10" s="50">
        <f t="shared" ca="1" si="2"/>
        <v>1.5127241610738253</v>
      </c>
      <c r="FK10" s="50">
        <f t="shared" ca="1" si="3"/>
        <v>1.5233041012495994</v>
      </c>
      <c r="FL10" s="50"/>
      <c r="FM10" s="50"/>
      <c r="FN10" s="50"/>
      <c r="FQ10" s="128">
        <f ca="1">J28</f>
        <v>0.22980952373506888</v>
      </c>
      <c r="FR10" s="129">
        <f ca="1">L28</f>
        <v>0.20570708704228405</v>
      </c>
      <c r="FS10" s="129">
        <f ca="1">N28</f>
        <v>0.31979195405479899</v>
      </c>
      <c r="FT10" s="129">
        <f ca="1">P28</f>
        <v>0.32960597186714319</v>
      </c>
      <c r="FU10" s="340" t="s">
        <v>340</v>
      </c>
    </row>
    <row r="11" spans="2:177" ht="17.100000000000001" customHeight="1" thickBot="1">
      <c r="B11" s="119"/>
      <c r="C11" s="635" t="s">
        <v>290</v>
      </c>
      <c r="D11" s="636"/>
      <c r="E11" s="636"/>
      <c r="F11" s="636"/>
      <c r="G11" s="636"/>
      <c r="H11" s="636"/>
      <c r="I11" s="636"/>
      <c r="J11" s="636"/>
      <c r="K11" s="636"/>
      <c r="L11" s="639" t="s">
        <v>275</v>
      </c>
      <c r="M11" s="639"/>
      <c r="N11" s="639"/>
      <c r="O11" s="640"/>
      <c r="P11" s="23"/>
      <c r="Q11" s="548" t="s">
        <v>322</v>
      </c>
      <c r="R11" s="549"/>
      <c r="S11" s="549"/>
      <c r="T11" s="549"/>
      <c r="U11" s="549"/>
      <c r="V11" s="549"/>
      <c r="W11" s="549"/>
      <c r="X11" s="549"/>
      <c r="Y11" s="549"/>
      <c r="Z11" s="585">
        <v>-5</v>
      </c>
      <c r="AA11" s="586"/>
      <c r="AB11" s="120"/>
      <c r="AC11" s="27"/>
      <c r="AD11" s="13" t="s">
        <v>276</v>
      </c>
      <c r="AE11" s="13"/>
      <c r="AW11" s="46">
        <v>0.17399999999999999</v>
      </c>
      <c r="AX11" s="49">
        <v>0.82679999999999998</v>
      </c>
      <c r="AY11" s="49">
        <v>0.83589999999999998</v>
      </c>
      <c r="AZ11" s="49">
        <v>0.84499999999999997</v>
      </c>
      <c r="BA11" s="49">
        <v>0.85409999999999997</v>
      </c>
      <c r="BB11" s="49">
        <v>0.86319999999999997</v>
      </c>
      <c r="BC11" s="49">
        <v>0.87229999999999996</v>
      </c>
      <c r="BD11" s="49">
        <v>0.88139999999999996</v>
      </c>
      <c r="BE11" s="49">
        <v>0.89049999999999996</v>
      </c>
      <c r="BF11" s="49">
        <v>0.89970000000000006</v>
      </c>
      <c r="BG11" s="49">
        <v>0.90880000000000005</v>
      </c>
      <c r="BH11" s="49">
        <v>0.91790000000000005</v>
      </c>
      <c r="BI11" s="49">
        <v>0.92700000000000005</v>
      </c>
      <c r="BJ11" s="49">
        <v>0.93610000000000004</v>
      </c>
      <c r="BK11" s="49">
        <v>0.94530000000000003</v>
      </c>
      <c r="BL11" s="49">
        <v>0.95440000000000003</v>
      </c>
      <c r="BM11" s="49">
        <v>0.96350000000000002</v>
      </c>
      <c r="BN11" s="49">
        <v>0.97270000000000001</v>
      </c>
      <c r="BO11" s="49">
        <v>0.98180000000000001</v>
      </c>
      <c r="BP11" s="49">
        <v>0.99099999999999999</v>
      </c>
      <c r="BQ11" s="49">
        <v>1.0001</v>
      </c>
      <c r="BR11" s="49">
        <v>1.0093000000000001</v>
      </c>
      <c r="BS11" s="49">
        <v>1.0184</v>
      </c>
      <c r="BT11" s="49">
        <v>1.0276000000000001</v>
      </c>
      <c r="BU11" s="49">
        <v>1.0367999999999999</v>
      </c>
      <c r="BV11" s="49">
        <v>1.046</v>
      </c>
      <c r="BW11" s="49">
        <v>1.0550999999999999</v>
      </c>
      <c r="BX11" s="49">
        <v>1.0643</v>
      </c>
      <c r="BY11" s="49">
        <v>1.0734999999999999</v>
      </c>
      <c r="BZ11" s="49">
        <v>1.0827</v>
      </c>
      <c r="CA11" s="49">
        <v>1.0919000000000001</v>
      </c>
      <c r="CB11" s="49">
        <v>1.1011</v>
      </c>
      <c r="CC11" s="49">
        <v>1.1104000000000001</v>
      </c>
      <c r="CD11" s="49">
        <v>1.1195999999999999</v>
      </c>
      <c r="CE11" s="49">
        <v>1.1288</v>
      </c>
      <c r="CF11" s="49">
        <v>1.1380999999999999</v>
      </c>
      <c r="CG11" s="49">
        <v>1.1473</v>
      </c>
      <c r="CH11" s="49">
        <v>1.1566000000000001</v>
      </c>
      <c r="CI11" s="49">
        <v>1.1658999999999999</v>
      </c>
      <c r="CJ11" s="49">
        <v>1.1752</v>
      </c>
      <c r="CK11" s="49">
        <v>1.1845000000000001</v>
      </c>
      <c r="CL11" s="49">
        <v>1.1938</v>
      </c>
      <c r="CM11" s="49">
        <v>1.2031000000000001</v>
      </c>
      <c r="CN11" s="49">
        <v>1.2123999999999999</v>
      </c>
      <c r="CO11" s="49">
        <v>1.2218</v>
      </c>
      <c r="CP11" s="49">
        <v>1.2311000000000001</v>
      </c>
      <c r="CQ11" s="49">
        <v>1.2404999999999999</v>
      </c>
      <c r="CR11" s="49">
        <v>1.2499</v>
      </c>
      <c r="CS11" s="49">
        <v>1.2593000000000001</v>
      </c>
      <c r="CT11" s="49">
        <v>1.2686999999999999</v>
      </c>
      <c r="CU11" s="49">
        <v>1.2781</v>
      </c>
      <c r="CV11" s="49">
        <v>1.2876000000000001</v>
      </c>
      <c r="CW11" s="49">
        <v>1.2970999999999999</v>
      </c>
      <c r="CX11" s="49">
        <v>1.3066</v>
      </c>
      <c r="CY11" s="49">
        <v>1.3161</v>
      </c>
      <c r="CZ11" s="49">
        <v>1.3255999999999999</v>
      </c>
      <c r="DA11" s="49">
        <v>1.3351999999999999</v>
      </c>
      <c r="DB11" s="49">
        <v>1.3447</v>
      </c>
      <c r="DC11" s="49">
        <v>1.3543000000000001</v>
      </c>
      <c r="DD11" s="49">
        <v>1.3640000000000001</v>
      </c>
      <c r="DE11" s="49">
        <v>1.3735999999999999</v>
      </c>
      <c r="DF11" s="49">
        <v>1.3833</v>
      </c>
      <c r="DG11" s="49">
        <v>1.393</v>
      </c>
      <c r="DH11" s="49">
        <v>1.4028</v>
      </c>
      <c r="DI11" s="49">
        <v>1.4125000000000001</v>
      </c>
      <c r="DJ11" s="49">
        <v>1.4224000000000001</v>
      </c>
      <c r="DK11" s="49">
        <v>1.4321999999999999</v>
      </c>
      <c r="DL11" s="49">
        <v>1.4406000000000001</v>
      </c>
      <c r="DM11" s="49">
        <v>1.4481999999999999</v>
      </c>
      <c r="DN11" s="49">
        <v>1.4559</v>
      </c>
      <c r="DO11" s="49">
        <v>1.4636</v>
      </c>
      <c r="DP11" s="49">
        <v>1.4713000000000001</v>
      </c>
      <c r="DQ11" s="49">
        <v>1.4791000000000001</v>
      </c>
      <c r="DR11" s="49">
        <v>1.4870000000000001</v>
      </c>
      <c r="DS11" s="49">
        <v>1.4947999999999999</v>
      </c>
      <c r="DT11" s="49">
        <v>1.5026999999999999</v>
      </c>
      <c r="DU11" s="49">
        <v>1.5106999999999999</v>
      </c>
      <c r="DV11" s="49">
        <v>1.5186999999999999</v>
      </c>
      <c r="DW11" s="49">
        <v>1.5267999999999999</v>
      </c>
      <c r="DX11" s="49">
        <v>1.5348999999999999</v>
      </c>
      <c r="DY11" s="49">
        <v>1.5430999999999999</v>
      </c>
      <c r="DZ11" s="49">
        <v>1.5512999999999999</v>
      </c>
      <c r="EA11" s="49">
        <v>1.5596000000000001</v>
      </c>
      <c r="EB11" s="49">
        <v>1.5679000000000001</v>
      </c>
      <c r="EC11" s="49">
        <v>1.5764</v>
      </c>
      <c r="ED11" s="49">
        <v>1.5849</v>
      </c>
      <c r="EE11" s="49">
        <v>1.5933999999999999</v>
      </c>
      <c r="EF11" s="49">
        <v>1.6021000000000001</v>
      </c>
      <c r="EG11" s="49">
        <v>1.6108</v>
      </c>
      <c r="EH11" s="49">
        <v>1.6195999999999999</v>
      </c>
      <c r="EI11" s="49">
        <v>1.6286</v>
      </c>
      <c r="EJ11" s="49">
        <v>1.6375</v>
      </c>
      <c r="EK11" s="49">
        <v>1.6466000000000001</v>
      </c>
      <c r="EL11" s="49">
        <v>1.6557999999999999</v>
      </c>
      <c r="EM11" s="49">
        <v>1.6651</v>
      </c>
      <c r="EN11" s="49">
        <v>1.6745000000000001</v>
      </c>
      <c r="EO11" s="49">
        <v>1.6839999999999999</v>
      </c>
      <c r="EP11" s="49">
        <v>1.6937</v>
      </c>
      <c r="EQ11" s="49">
        <v>1.7034</v>
      </c>
      <c r="ER11" s="49">
        <v>1.7133</v>
      </c>
      <c r="ES11" s="49">
        <v>1.7233000000000001</v>
      </c>
      <c r="ET11" s="49">
        <v>1.7335</v>
      </c>
      <c r="EU11" s="49">
        <v>1.7438</v>
      </c>
      <c r="EV11" s="49">
        <v>1.7542</v>
      </c>
      <c r="EW11" s="49">
        <v>1.7647999999999999</v>
      </c>
      <c r="EX11" s="49">
        <v>1.7756000000000001</v>
      </c>
      <c r="EY11" s="49">
        <v>1.7865</v>
      </c>
      <c r="EZ11" s="49">
        <v>1.7976000000000001</v>
      </c>
      <c r="FA11" s="49">
        <v>1.8088</v>
      </c>
      <c r="FB11" s="49">
        <v>1.8203</v>
      </c>
      <c r="FC11" s="49">
        <v>1.8319000000000001</v>
      </c>
      <c r="FE11" s="50">
        <f t="shared" ca="1" si="4"/>
        <v>1.5284180177424289</v>
      </c>
      <c r="FF11" s="50">
        <f t="shared" ca="1" si="0"/>
        <v>1.5233041012495994</v>
      </c>
      <c r="FG11" s="50">
        <f t="shared" ca="1" si="1"/>
        <v>1.518093288590604</v>
      </c>
      <c r="FH11" s="50">
        <f t="shared" ca="1" si="2"/>
        <v>1.5127241610738253</v>
      </c>
      <c r="FK11" s="50">
        <f t="shared" ca="1" si="3"/>
        <v>1.5233041012495994</v>
      </c>
      <c r="FL11" s="50"/>
      <c r="FM11" s="50"/>
      <c r="FN11" s="50"/>
      <c r="FQ11" s="130">
        <f>J39</f>
        <v>70</v>
      </c>
      <c r="FR11" s="131">
        <f>L39</f>
        <v>68</v>
      </c>
      <c r="FS11" s="131">
        <f>N39</f>
        <v>66</v>
      </c>
      <c r="FT11" s="131">
        <f>P39</f>
        <v>64</v>
      </c>
      <c r="FU11" s="340" t="s">
        <v>341</v>
      </c>
    </row>
    <row r="12" spans="2:177" ht="17.100000000000001" customHeight="1" thickBot="1">
      <c r="B12" s="119"/>
      <c r="C12" s="635" t="s">
        <v>278</v>
      </c>
      <c r="D12" s="636"/>
      <c r="E12" s="636"/>
      <c r="F12" s="636"/>
      <c r="G12" s="636"/>
      <c r="H12" s="636"/>
      <c r="I12" s="636"/>
      <c r="J12" s="636"/>
      <c r="K12" s="636"/>
      <c r="L12" s="639" t="s">
        <v>280</v>
      </c>
      <c r="M12" s="639"/>
      <c r="N12" s="639"/>
      <c r="O12" s="640"/>
      <c r="P12" s="23"/>
      <c r="Q12" s="548" t="s">
        <v>323</v>
      </c>
      <c r="R12" s="549"/>
      <c r="S12" s="549"/>
      <c r="T12" s="549"/>
      <c r="U12" s="549"/>
      <c r="V12" s="549"/>
      <c r="W12" s="549"/>
      <c r="X12" s="549"/>
      <c r="Y12" s="549"/>
      <c r="Z12" s="585">
        <v>50</v>
      </c>
      <c r="AA12" s="586"/>
      <c r="AB12" s="120"/>
      <c r="AC12" s="27"/>
      <c r="AD12" s="16" t="s">
        <v>277</v>
      </c>
      <c r="AE12" s="13"/>
      <c r="AG12" s="65" t="s">
        <v>46</v>
      </c>
      <c r="AH12" s="66"/>
      <c r="AI12" s="67" t="b">
        <f>IF(L12=AD13,FALSE,TRUE)</f>
        <v>0</v>
      </c>
      <c r="AJ12" s="193" t="s">
        <v>509</v>
      </c>
      <c r="AK12" s="66"/>
      <c r="AL12" s="66"/>
      <c r="AM12" s="66"/>
      <c r="AN12" s="66"/>
      <c r="AO12" s="68"/>
      <c r="AR12" s="53" t="s">
        <v>44</v>
      </c>
      <c r="AS12" s="54" t="s">
        <v>45</v>
      </c>
      <c r="AW12" s="46">
        <v>0.186</v>
      </c>
      <c r="AX12" s="49">
        <v>0.82479999999999998</v>
      </c>
      <c r="AY12" s="49">
        <v>0.83389999999999997</v>
      </c>
      <c r="AZ12" s="49">
        <v>0.84299999999999997</v>
      </c>
      <c r="BA12" s="49">
        <v>0.85209999999999997</v>
      </c>
      <c r="BB12" s="49">
        <v>0.86109999999999998</v>
      </c>
      <c r="BC12" s="49">
        <v>0.87019999999999997</v>
      </c>
      <c r="BD12" s="49">
        <v>0.87929999999999997</v>
      </c>
      <c r="BE12" s="49">
        <v>0.88839999999999997</v>
      </c>
      <c r="BF12" s="49">
        <v>0.89749999999999996</v>
      </c>
      <c r="BG12" s="49">
        <v>0.90659999999999996</v>
      </c>
      <c r="BH12" s="49">
        <v>0.91569999999999996</v>
      </c>
      <c r="BI12" s="49">
        <v>0.92479999999999996</v>
      </c>
      <c r="BJ12" s="49">
        <v>0.93389999999999995</v>
      </c>
      <c r="BK12" s="49">
        <v>0.94299999999999995</v>
      </c>
      <c r="BL12" s="49">
        <v>0.95209999999999995</v>
      </c>
      <c r="BM12" s="49">
        <v>0.96120000000000005</v>
      </c>
      <c r="BN12" s="49">
        <v>0.97040000000000004</v>
      </c>
      <c r="BO12" s="49">
        <v>0.97950000000000004</v>
      </c>
      <c r="BP12" s="49">
        <v>0.98860000000000003</v>
      </c>
      <c r="BQ12" s="49">
        <v>0.99770000000000003</v>
      </c>
      <c r="BR12" s="49">
        <v>1.0068999999999999</v>
      </c>
      <c r="BS12" s="49">
        <v>1.016</v>
      </c>
      <c r="BT12" s="49">
        <v>1.0251999999999999</v>
      </c>
      <c r="BU12" s="49">
        <v>1.0343</v>
      </c>
      <c r="BV12" s="49">
        <v>1.0435000000000001</v>
      </c>
      <c r="BW12" s="49">
        <v>1.0526</v>
      </c>
      <c r="BX12" s="49">
        <v>1.0618000000000001</v>
      </c>
      <c r="BY12" s="49">
        <v>1.071</v>
      </c>
      <c r="BZ12" s="49">
        <v>1.0801000000000001</v>
      </c>
      <c r="CA12" s="49">
        <v>1.0892999999999999</v>
      </c>
      <c r="CB12" s="49">
        <v>1.0985</v>
      </c>
      <c r="CC12" s="49">
        <v>1.1076999999999999</v>
      </c>
      <c r="CD12" s="49">
        <v>1.1169</v>
      </c>
      <c r="CE12" s="49">
        <v>1.1261000000000001</v>
      </c>
      <c r="CF12" s="49">
        <v>1.1354</v>
      </c>
      <c r="CG12" s="49">
        <v>1.1446000000000001</v>
      </c>
      <c r="CH12" s="49">
        <v>1.1537999999999999</v>
      </c>
      <c r="CI12" s="49">
        <v>1.1631</v>
      </c>
      <c r="CJ12" s="49">
        <v>1.1724000000000001</v>
      </c>
      <c r="CK12" s="49">
        <v>1.1816</v>
      </c>
      <c r="CL12" s="49">
        <v>1.1909000000000001</v>
      </c>
      <c r="CM12" s="49">
        <v>1.2001999999999999</v>
      </c>
      <c r="CN12" s="49">
        <v>1.2095</v>
      </c>
      <c r="CO12" s="49">
        <v>1.2188000000000001</v>
      </c>
      <c r="CP12" s="49">
        <v>1.2282</v>
      </c>
      <c r="CQ12" s="49">
        <v>1.2375</v>
      </c>
      <c r="CR12" s="49">
        <v>1.2468999999999999</v>
      </c>
      <c r="CS12" s="49">
        <v>1.2563</v>
      </c>
      <c r="CT12" s="49">
        <v>1.2657</v>
      </c>
      <c r="CU12" s="49">
        <v>1.2750999999999999</v>
      </c>
      <c r="CV12" s="49">
        <v>1.2845</v>
      </c>
      <c r="CW12" s="49">
        <v>1.294</v>
      </c>
      <c r="CX12" s="49">
        <v>1.3033999999999999</v>
      </c>
      <c r="CY12" s="49">
        <v>1.3129</v>
      </c>
      <c r="CZ12" s="49">
        <v>1.3224</v>
      </c>
      <c r="DA12" s="49">
        <v>1.3320000000000001</v>
      </c>
      <c r="DB12" s="49">
        <v>1.3414999999999999</v>
      </c>
      <c r="DC12" s="49">
        <v>1.3511</v>
      </c>
      <c r="DD12" s="49">
        <v>1.3607</v>
      </c>
      <c r="DE12" s="49">
        <v>1.3703000000000001</v>
      </c>
      <c r="DF12" s="49">
        <v>1.38</v>
      </c>
      <c r="DG12" s="49">
        <v>1.3896999999999999</v>
      </c>
      <c r="DH12" s="49">
        <v>1.3994</v>
      </c>
      <c r="DI12" s="49">
        <v>1.4092</v>
      </c>
      <c r="DJ12" s="49">
        <v>1.419</v>
      </c>
      <c r="DK12" s="49">
        <v>1.4288000000000001</v>
      </c>
      <c r="DL12" s="49">
        <v>1.4386000000000001</v>
      </c>
      <c r="DM12" s="49">
        <v>1.4481999999999999</v>
      </c>
      <c r="DN12" s="49">
        <v>1.4559</v>
      </c>
      <c r="DO12" s="49">
        <v>1.4636</v>
      </c>
      <c r="DP12" s="49">
        <v>1.4713000000000001</v>
      </c>
      <c r="DQ12" s="49">
        <v>1.4791000000000001</v>
      </c>
      <c r="DR12" s="49">
        <v>1.4870000000000001</v>
      </c>
      <c r="DS12" s="49">
        <v>1.4947999999999999</v>
      </c>
      <c r="DT12" s="49">
        <v>1.5026999999999999</v>
      </c>
      <c r="DU12" s="49">
        <v>1.5106999999999999</v>
      </c>
      <c r="DV12" s="49">
        <v>1.5186999999999999</v>
      </c>
      <c r="DW12" s="49">
        <v>1.5267999999999999</v>
      </c>
      <c r="DX12" s="49">
        <v>1.5348999999999999</v>
      </c>
      <c r="DY12" s="49">
        <v>1.5430999999999999</v>
      </c>
      <c r="DZ12" s="49">
        <v>1.5512999999999999</v>
      </c>
      <c r="EA12" s="49">
        <v>1.5596000000000001</v>
      </c>
      <c r="EB12" s="49">
        <v>1.5679000000000001</v>
      </c>
      <c r="EC12" s="49">
        <v>1.5764</v>
      </c>
      <c r="ED12" s="49">
        <v>1.5849</v>
      </c>
      <c r="EE12" s="49">
        <v>1.5933999999999999</v>
      </c>
      <c r="EF12" s="49">
        <v>1.6021000000000001</v>
      </c>
      <c r="EG12" s="49">
        <v>1.6108</v>
      </c>
      <c r="EH12" s="49">
        <v>1.6195999999999999</v>
      </c>
      <c r="EI12" s="49">
        <v>1.6286</v>
      </c>
      <c r="EJ12" s="49">
        <v>1.6375</v>
      </c>
      <c r="EK12" s="49">
        <v>1.6466000000000001</v>
      </c>
      <c r="EL12" s="49">
        <v>1.6557999999999999</v>
      </c>
      <c r="EM12" s="49">
        <v>1.6651</v>
      </c>
      <c r="EN12" s="49">
        <v>1.6745000000000001</v>
      </c>
      <c r="EO12" s="49">
        <v>1.6839999999999999</v>
      </c>
      <c r="EP12" s="49">
        <v>1.6937</v>
      </c>
      <c r="EQ12" s="49">
        <v>1.7034</v>
      </c>
      <c r="ER12" s="49">
        <v>1.7133</v>
      </c>
      <c r="ES12" s="49">
        <v>1.7233000000000001</v>
      </c>
      <c r="ET12" s="49">
        <v>1.7335</v>
      </c>
      <c r="EU12" s="49">
        <v>1.7438</v>
      </c>
      <c r="EV12" s="49">
        <v>1.7542</v>
      </c>
      <c r="EW12" s="49">
        <v>1.7647999999999999</v>
      </c>
      <c r="EX12" s="49">
        <v>1.7756000000000001</v>
      </c>
      <c r="EY12" s="49">
        <v>1.7865</v>
      </c>
      <c r="EZ12" s="49">
        <v>1.7976000000000001</v>
      </c>
      <c r="FA12" s="49">
        <v>1.8088</v>
      </c>
      <c r="FB12" s="49">
        <v>1.8203</v>
      </c>
      <c r="FC12" s="49">
        <v>1.8319000000000001</v>
      </c>
      <c r="FE12" s="50">
        <f t="shared" ca="1" si="4"/>
        <v>1.5284180177424289</v>
      </c>
      <c r="FF12" s="50">
        <f t="shared" ca="1" si="0"/>
        <v>1.5233041012495994</v>
      </c>
      <c r="FG12" s="50">
        <f t="shared" ca="1" si="1"/>
        <v>1.518093288590604</v>
      </c>
      <c r="FH12" s="50">
        <f t="shared" ca="1" si="2"/>
        <v>1.5127241610738253</v>
      </c>
      <c r="FK12" s="50">
        <f t="shared" ca="1" si="3"/>
        <v>1.5233041012495994</v>
      </c>
      <c r="FL12" s="50"/>
      <c r="FM12" s="50"/>
      <c r="FN12" s="50"/>
      <c r="FQ12" s="132">
        <f ca="1">J51</f>
        <v>0.87724236138359413</v>
      </c>
      <c r="FR12" s="426">
        <f ca="1">L51</f>
        <v>0.79375999889186033</v>
      </c>
      <c r="FS12" s="426">
        <f ca="1">N51</f>
        <v>1.3090515643719545</v>
      </c>
      <c r="FT12" s="426">
        <f ca="1">P51</f>
        <v>1.2477557063630123</v>
      </c>
      <c r="FU12" s="341" t="s">
        <v>342</v>
      </c>
    </row>
    <row r="13" spans="2:177" ht="17.100000000000001" customHeight="1">
      <c r="B13" s="119"/>
      <c r="C13" s="548" t="s">
        <v>324</v>
      </c>
      <c r="D13" s="549"/>
      <c r="E13" s="549"/>
      <c r="F13" s="549"/>
      <c r="G13" s="549"/>
      <c r="H13" s="549"/>
      <c r="I13" s="549"/>
      <c r="J13" s="549"/>
      <c r="K13" s="549"/>
      <c r="L13" s="549"/>
      <c r="M13" s="549"/>
      <c r="N13" s="590">
        <v>81.8</v>
      </c>
      <c r="O13" s="591"/>
      <c r="P13" s="23"/>
      <c r="Q13" s="548" t="s">
        <v>325</v>
      </c>
      <c r="R13" s="549"/>
      <c r="S13" s="549"/>
      <c r="T13" s="549"/>
      <c r="U13" s="549"/>
      <c r="V13" s="549"/>
      <c r="W13" s="549"/>
      <c r="X13" s="549"/>
      <c r="Y13" s="549"/>
      <c r="Z13" s="585">
        <v>50</v>
      </c>
      <c r="AA13" s="586"/>
      <c r="AB13" s="120"/>
      <c r="AC13" s="27"/>
      <c r="AD13" s="13" t="s">
        <v>280</v>
      </c>
      <c r="AE13" s="13"/>
      <c r="AG13" s="69"/>
      <c r="AH13" s="70"/>
      <c r="AI13" s="70"/>
      <c r="AJ13" s="70"/>
      <c r="AK13" s="70"/>
      <c r="AL13" s="583" t="s">
        <v>54</v>
      </c>
      <c r="AM13" s="583"/>
      <c r="AN13" s="583"/>
      <c r="AO13" s="584"/>
      <c r="AQ13" s="43" t="s">
        <v>662</v>
      </c>
      <c r="AR13" s="470">
        <f>1+0.001*N14</f>
        <v>1.1120000000000001</v>
      </c>
      <c r="AS13" s="73">
        <f>1+0.001*N14*(10/82)^0.2</f>
        <v>1.0735284231096556</v>
      </c>
      <c r="AT13" s="43">
        <f>+IF(82&lt;=10,AR13,AS13)</f>
        <v>1.0735284231096556</v>
      </c>
      <c r="AW13" s="46">
        <v>0.2</v>
      </c>
      <c r="AX13" s="49">
        <v>0.82289999999999996</v>
      </c>
      <c r="AY13" s="49">
        <v>0.83189999999999997</v>
      </c>
      <c r="AZ13" s="49">
        <v>0.84099999999999997</v>
      </c>
      <c r="BA13" s="49">
        <v>0.85009999999999997</v>
      </c>
      <c r="BB13" s="49">
        <v>0.85909999999999997</v>
      </c>
      <c r="BC13" s="49">
        <v>0.86819999999999997</v>
      </c>
      <c r="BD13" s="49">
        <v>0.87729999999999997</v>
      </c>
      <c r="BE13" s="49">
        <v>0.88629999999999998</v>
      </c>
      <c r="BF13" s="49">
        <v>0.89539999999999997</v>
      </c>
      <c r="BG13" s="49">
        <v>0.90449999999999997</v>
      </c>
      <c r="BH13" s="49">
        <v>0.91349999999999998</v>
      </c>
      <c r="BI13" s="49">
        <v>0.92259999999999998</v>
      </c>
      <c r="BJ13" s="49">
        <v>0.93169999999999997</v>
      </c>
      <c r="BK13" s="49">
        <v>0.94079999999999997</v>
      </c>
      <c r="BL13" s="49">
        <v>0.94989999999999997</v>
      </c>
      <c r="BM13" s="49">
        <v>0.95899999999999996</v>
      </c>
      <c r="BN13" s="49">
        <v>0.96809999999999996</v>
      </c>
      <c r="BO13" s="49">
        <v>0.97719999999999996</v>
      </c>
      <c r="BP13" s="49">
        <v>0.98629999999999995</v>
      </c>
      <c r="BQ13" s="49">
        <v>0.99539999999999995</v>
      </c>
      <c r="BR13" s="49">
        <v>1.0044999999999999</v>
      </c>
      <c r="BS13" s="49">
        <v>1.0136000000000001</v>
      </c>
      <c r="BT13" s="49">
        <v>1.0226999999999999</v>
      </c>
      <c r="BU13" s="49">
        <v>1.0319</v>
      </c>
      <c r="BV13" s="49">
        <v>1.0409999999999999</v>
      </c>
      <c r="BW13" s="49">
        <v>1.0501</v>
      </c>
      <c r="BX13" s="49">
        <v>1.0592999999999999</v>
      </c>
      <c r="BY13" s="49">
        <v>1.0684</v>
      </c>
      <c r="BZ13" s="49">
        <v>1.0775999999999999</v>
      </c>
      <c r="CA13" s="49">
        <v>1.0868</v>
      </c>
      <c r="CB13" s="49">
        <v>1.0959000000000001</v>
      </c>
      <c r="CC13" s="49">
        <v>1.1051</v>
      </c>
      <c r="CD13" s="49">
        <v>1.1143000000000001</v>
      </c>
      <c r="CE13" s="49">
        <v>1.1234999999999999</v>
      </c>
      <c r="CF13" s="49">
        <v>1.1327</v>
      </c>
      <c r="CG13" s="49">
        <v>1.1418999999999999</v>
      </c>
      <c r="CH13" s="49">
        <v>1.1511</v>
      </c>
      <c r="CI13" s="49">
        <v>1.1604000000000001</v>
      </c>
      <c r="CJ13" s="49">
        <v>1.1696</v>
      </c>
      <c r="CK13" s="49">
        <v>1.1788000000000001</v>
      </c>
      <c r="CL13" s="49">
        <v>1.1880999999999999</v>
      </c>
      <c r="CM13" s="49">
        <v>1.1974</v>
      </c>
      <c r="CN13" s="49">
        <v>1.2067000000000001</v>
      </c>
      <c r="CO13" s="49">
        <v>1.216</v>
      </c>
      <c r="CP13" s="49">
        <v>1.2253000000000001</v>
      </c>
      <c r="CQ13" s="49">
        <v>1.2345999999999999</v>
      </c>
      <c r="CR13" s="49">
        <v>1.244</v>
      </c>
      <c r="CS13" s="49">
        <v>1.2533000000000001</v>
      </c>
      <c r="CT13" s="49">
        <v>1.2626999999999999</v>
      </c>
      <c r="CU13" s="49">
        <v>1.2721</v>
      </c>
      <c r="CV13" s="49">
        <v>1.2815000000000001</v>
      </c>
      <c r="CW13" s="49">
        <v>1.2908999999999999</v>
      </c>
      <c r="CX13" s="49">
        <v>1.3004</v>
      </c>
      <c r="CY13" s="49">
        <v>1.3098000000000001</v>
      </c>
      <c r="CZ13" s="49">
        <v>1.3192999999999999</v>
      </c>
      <c r="DA13" s="49">
        <v>1.3288</v>
      </c>
      <c r="DB13" s="49">
        <v>1.3384</v>
      </c>
      <c r="DC13" s="49">
        <v>1.3479000000000001</v>
      </c>
      <c r="DD13" s="49">
        <v>1.3574999999999999</v>
      </c>
      <c r="DE13" s="49">
        <v>1.3671</v>
      </c>
      <c r="DF13" s="49">
        <v>1.3768</v>
      </c>
      <c r="DG13" s="49">
        <v>1.3864000000000001</v>
      </c>
      <c r="DH13" s="49">
        <v>1.3960999999999999</v>
      </c>
      <c r="DI13" s="49">
        <v>1.4058999999999999</v>
      </c>
      <c r="DJ13" s="49">
        <v>1.4156</v>
      </c>
      <c r="DK13" s="49">
        <v>1.4254</v>
      </c>
      <c r="DL13" s="49">
        <v>1.4353</v>
      </c>
      <c r="DM13" s="49">
        <v>1.4451000000000001</v>
      </c>
      <c r="DN13" s="49">
        <v>1.4550000000000001</v>
      </c>
      <c r="DO13" s="49">
        <v>1.4636</v>
      </c>
      <c r="DP13" s="49">
        <v>1.4713000000000001</v>
      </c>
      <c r="DQ13" s="49">
        <v>1.4791000000000001</v>
      </c>
      <c r="DR13" s="49">
        <v>1.4870000000000001</v>
      </c>
      <c r="DS13" s="49">
        <v>1.4947999999999999</v>
      </c>
      <c r="DT13" s="49">
        <v>1.5026999999999999</v>
      </c>
      <c r="DU13" s="49">
        <v>1.5106999999999999</v>
      </c>
      <c r="DV13" s="49">
        <v>1.5186999999999999</v>
      </c>
      <c r="DW13" s="49">
        <v>1.5267999999999999</v>
      </c>
      <c r="DX13" s="49">
        <v>1.5348999999999999</v>
      </c>
      <c r="DY13" s="49">
        <v>1.5430999999999999</v>
      </c>
      <c r="DZ13" s="49">
        <v>1.5512999999999999</v>
      </c>
      <c r="EA13" s="49">
        <v>1.5596000000000001</v>
      </c>
      <c r="EB13" s="49">
        <v>1.5679000000000001</v>
      </c>
      <c r="EC13" s="49">
        <v>1.5764</v>
      </c>
      <c r="ED13" s="49">
        <v>1.5849</v>
      </c>
      <c r="EE13" s="49">
        <v>1.5933999999999999</v>
      </c>
      <c r="EF13" s="49">
        <v>1.6021000000000001</v>
      </c>
      <c r="EG13" s="49">
        <v>1.6108</v>
      </c>
      <c r="EH13" s="49">
        <v>1.6195999999999999</v>
      </c>
      <c r="EI13" s="49">
        <v>1.6286</v>
      </c>
      <c r="EJ13" s="49">
        <v>1.6375</v>
      </c>
      <c r="EK13" s="49">
        <v>1.6466000000000001</v>
      </c>
      <c r="EL13" s="49">
        <v>1.6557999999999999</v>
      </c>
      <c r="EM13" s="49">
        <v>1.6651</v>
      </c>
      <c r="EN13" s="49">
        <v>1.6745000000000001</v>
      </c>
      <c r="EO13" s="49">
        <v>1.6839999999999999</v>
      </c>
      <c r="EP13" s="49">
        <v>1.6937</v>
      </c>
      <c r="EQ13" s="49">
        <v>1.7034</v>
      </c>
      <c r="ER13" s="49">
        <v>1.7133</v>
      </c>
      <c r="ES13" s="49">
        <v>1.7233000000000001</v>
      </c>
      <c r="ET13" s="49">
        <v>1.7335</v>
      </c>
      <c r="EU13" s="49">
        <v>1.7438</v>
      </c>
      <c r="EV13" s="49">
        <v>1.7542</v>
      </c>
      <c r="EW13" s="49">
        <v>1.7647999999999999</v>
      </c>
      <c r="EX13" s="49">
        <v>1.7756000000000001</v>
      </c>
      <c r="EY13" s="49">
        <v>1.7865</v>
      </c>
      <c r="EZ13" s="49">
        <v>1.7976000000000001</v>
      </c>
      <c r="FA13" s="49">
        <v>1.8088</v>
      </c>
      <c r="FB13" s="49">
        <v>1.8203</v>
      </c>
      <c r="FC13" s="49">
        <v>1.8319000000000001</v>
      </c>
      <c r="FE13" s="50">
        <f t="shared" ca="1" si="4"/>
        <v>1.5284180177424289</v>
      </c>
      <c r="FF13" s="50">
        <f t="shared" ca="1" si="0"/>
        <v>1.5233041012495994</v>
      </c>
      <c r="FG13" s="50">
        <f t="shared" ca="1" si="1"/>
        <v>1.518093288590604</v>
      </c>
      <c r="FH13" s="50">
        <f t="shared" ca="1" si="2"/>
        <v>1.5127241610738253</v>
      </c>
      <c r="FK13" s="50">
        <f t="shared" ca="1" si="3"/>
        <v>1.5233041012495994</v>
      </c>
      <c r="FL13" s="50"/>
      <c r="FM13" s="50"/>
      <c r="FN13" s="50"/>
    </row>
    <row r="14" spans="2:177" ht="17.100000000000001" customHeight="1" thickBot="1">
      <c r="B14" s="119"/>
      <c r="C14" s="548" t="s">
        <v>326</v>
      </c>
      <c r="D14" s="549"/>
      <c r="E14" s="549"/>
      <c r="F14" s="549"/>
      <c r="G14" s="549"/>
      <c r="H14" s="549"/>
      <c r="I14" s="549"/>
      <c r="J14" s="549"/>
      <c r="K14" s="549"/>
      <c r="L14" s="549"/>
      <c r="M14" s="549"/>
      <c r="N14" s="585">
        <v>112</v>
      </c>
      <c r="O14" s="586"/>
      <c r="P14" s="23"/>
      <c r="Q14" s="589" t="s">
        <v>286</v>
      </c>
      <c r="R14" s="559"/>
      <c r="S14" s="559"/>
      <c r="T14" s="559"/>
      <c r="U14" s="559"/>
      <c r="V14" s="559"/>
      <c r="W14" s="559"/>
      <c r="X14" s="559"/>
      <c r="Y14" s="559"/>
      <c r="Z14" s="576">
        <f>AT46</f>
        <v>7.8777622479030196E-2</v>
      </c>
      <c r="AA14" s="577"/>
      <c r="AB14" s="121"/>
      <c r="AC14" s="27"/>
      <c r="AD14" s="13" t="s">
        <v>281</v>
      </c>
      <c r="AE14" s="13"/>
      <c r="AG14" s="71" t="s">
        <v>52</v>
      </c>
      <c r="AH14" s="183" t="s">
        <v>40</v>
      </c>
      <c r="AI14" s="183" t="s">
        <v>41</v>
      </c>
      <c r="AJ14" s="183" t="s">
        <v>42</v>
      </c>
      <c r="AK14" s="183" t="s">
        <v>43</v>
      </c>
      <c r="AL14" s="183" t="s">
        <v>40</v>
      </c>
      <c r="AM14" s="183" t="s">
        <v>41</v>
      </c>
      <c r="AN14" s="183" t="s">
        <v>42</v>
      </c>
      <c r="AO14" s="184" t="s">
        <v>43</v>
      </c>
      <c r="AQ14" s="43" t="s">
        <v>663</v>
      </c>
      <c r="AR14" s="55">
        <f>1+0.001*N14</f>
        <v>1.1120000000000001</v>
      </c>
      <c r="AS14" s="56">
        <f>1+0.001*N14*(10/AN23)^0.2</f>
        <v>1.0738924430032821</v>
      </c>
      <c r="AT14" s="43">
        <f>+IF(AN23&lt;=10,AR14,AS14)</f>
        <v>1.0738924430032821</v>
      </c>
      <c r="AW14" s="46">
        <v>0.214</v>
      </c>
      <c r="AX14" s="49">
        <v>0.82099999999999995</v>
      </c>
      <c r="AY14" s="49">
        <v>0.83</v>
      </c>
      <c r="AZ14" s="49">
        <v>0.83899999999999997</v>
      </c>
      <c r="BA14" s="49">
        <v>0.84809999999999997</v>
      </c>
      <c r="BB14" s="49">
        <v>0.85709999999999997</v>
      </c>
      <c r="BC14" s="49">
        <v>0.86619999999999997</v>
      </c>
      <c r="BD14" s="49">
        <v>0.87519999999999998</v>
      </c>
      <c r="BE14" s="49">
        <v>0.88429999999999997</v>
      </c>
      <c r="BF14" s="49">
        <v>0.89329999999999998</v>
      </c>
      <c r="BG14" s="49">
        <v>0.90239999999999998</v>
      </c>
      <c r="BH14" s="49">
        <v>0.91139999999999999</v>
      </c>
      <c r="BI14" s="49">
        <v>0.92049999999999998</v>
      </c>
      <c r="BJ14" s="49">
        <v>0.92949999999999999</v>
      </c>
      <c r="BK14" s="49">
        <v>0.93859999999999999</v>
      </c>
      <c r="BL14" s="49">
        <v>0.94769999999999999</v>
      </c>
      <c r="BM14" s="49">
        <v>0.95669999999999999</v>
      </c>
      <c r="BN14" s="49">
        <v>0.96579999999999999</v>
      </c>
      <c r="BO14" s="49">
        <v>0.97489999999999999</v>
      </c>
      <c r="BP14" s="49">
        <v>0.98399999999999999</v>
      </c>
      <c r="BQ14" s="49">
        <v>0.99309999999999998</v>
      </c>
      <c r="BR14" s="49">
        <v>1.0022</v>
      </c>
      <c r="BS14" s="49">
        <v>1.0113000000000001</v>
      </c>
      <c r="BT14" s="49">
        <v>1.0204</v>
      </c>
      <c r="BU14" s="49">
        <v>1.0295000000000001</v>
      </c>
      <c r="BV14" s="49">
        <v>1.0386</v>
      </c>
      <c r="BW14" s="49">
        <v>1.0477000000000001</v>
      </c>
      <c r="BX14" s="49">
        <v>1.0568</v>
      </c>
      <c r="BY14" s="49">
        <v>1.0660000000000001</v>
      </c>
      <c r="BZ14" s="49">
        <v>1.0750999999999999</v>
      </c>
      <c r="CA14" s="49">
        <v>1.0842000000000001</v>
      </c>
      <c r="CB14" s="49">
        <v>1.0933999999999999</v>
      </c>
      <c r="CC14" s="49">
        <v>1.1025</v>
      </c>
      <c r="CD14" s="49">
        <v>1.1116999999999999</v>
      </c>
      <c r="CE14" s="49">
        <v>1.1209</v>
      </c>
      <c r="CF14" s="49">
        <v>1.1301000000000001</v>
      </c>
      <c r="CG14" s="49">
        <v>1.1392</v>
      </c>
      <c r="CH14" s="49">
        <v>1.1484000000000001</v>
      </c>
      <c r="CI14" s="49">
        <v>1.1577</v>
      </c>
      <c r="CJ14" s="49">
        <v>1.1669</v>
      </c>
      <c r="CK14" s="49">
        <v>1.1760999999999999</v>
      </c>
      <c r="CL14" s="49">
        <v>1.1854</v>
      </c>
      <c r="CM14" s="49">
        <v>1.1946000000000001</v>
      </c>
      <c r="CN14" s="49">
        <v>1.2039</v>
      </c>
      <c r="CO14" s="49">
        <v>1.2132000000000001</v>
      </c>
      <c r="CP14" s="49">
        <v>1.2223999999999999</v>
      </c>
      <c r="CQ14" s="49">
        <v>1.2317</v>
      </c>
      <c r="CR14" s="49">
        <v>1.2411000000000001</v>
      </c>
      <c r="CS14" s="49">
        <v>1.2504</v>
      </c>
      <c r="CT14" s="49">
        <v>1.2598</v>
      </c>
      <c r="CU14" s="49">
        <v>1.2690999999999999</v>
      </c>
      <c r="CV14" s="49">
        <v>1.2785</v>
      </c>
      <c r="CW14" s="49">
        <v>1.2879</v>
      </c>
      <c r="CX14" s="49">
        <v>1.2972999999999999</v>
      </c>
      <c r="CY14" s="49">
        <v>1.3068</v>
      </c>
      <c r="CZ14" s="49">
        <v>1.3163</v>
      </c>
      <c r="DA14" s="49">
        <v>1.3257000000000001</v>
      </c>
      <c r="DB14" s="49">
        <v>1.3352999999999999</v>
      </c>
      <c r="DC14" s="49">
        <v>1.3448</v>
      </c>
      <c r="DD14" s="49">
        <v>1.3544</v>
      </c>
      <c r="DE14" s="49">
        <v>1.3638999999999999</v>
      </c>
      <c r="DF14" s="49">
        <v>1.3735999999999999</v>
      </c>
      <c r="DG14" s="49">
        <v>1.3832</v>
      </c>
      <c r="DH14" s="49">
        <v>1.3929</v>
      </c>
      <c r="DI14" s="49">
        <v>1.4026000000000001</v>
      </c>
      <c r="DJ14" s="49">
        <v>1.4123000000000001</v>
      </c>
      <c r="DK14" s="49">
        <v>1.4220999999999999</v>
      </c>
      <c r="DL14" s="49">
        <v>1.4319</v>
      </c>
      <c r="DM14" s="49">
        <v>1.4418</v>
      </c>
      <c r="DN14" s="49">
        <v>1.4517</v>
      </c>
      <c r="DO14" s="49">
        <v>1.4616</v>
      </c>
      <c r="DP14" s="49">
        <v>1.4713000000000001</v>
      </c>
      <c r="DQ14" s="49">
        <v>1.4791000000000001</v>
      </c>
      <c r="DR14" s="49">
        <v>1.4870000000000001</v>
      </c>
      <c r="DS14" s="49">
        <v>1.4947999999999999</v>
      </c>
      <c r="DT14" s="49">
        <v>1.5026999999999999</v>
      </c>
      <c r="DU14" s="49">
        <v>1.5106999999999999</v>
      </c>
      <c r="DV14" s="49">
        <v>1.5186999999999999</v>
      </c>
      <c r="DW14" s="49">
        <v>1.5267999999999999</v>
      </c>
      <c r="DX14" s="49">
        <v>1.5348999999999999</v>
      </c>
      <c r="DY14" s="49">
        <v>1.5430999999999999</v>
      </c>
      <c r="DZ14" s="49">
        <v>1.5512999999999999</v>
      </c>
      <c r="EA14" s="49">
        <v>1.5596000000000001</v>
      </c>
      <c r="EB14" s="49">
        <v>1.5679000000000001</v>
      </c>
      <c r="EC14" s="49">
        <v>1.5764</v>
      </c>
      <c r="ED14" s="49">
        <v>1.5849</v>
      </c>
      <c r="EE14" s="49">
        <v>1.5933999999999999</v>
      </c>
      <c r="EF14" s="49">
        <v>1.6021000000000001</v>
      </c>
      <c r="EG14" s="49">
        <v>1.6108</v>
      </c>
      <c r="EH14" s="49">
        <v>1.6195999999999999</v>
      </c>
      <c r="EI14" s="49">
        <v>1.6286</v>
      </c>
      <c r="EJ14" s="49">
        <v>1.6375</v>
      </c>
      <c r="EK14" s="49">
        <v>1.6466000000000001</v>
      </c>
      <c r="EL14" s="49">
        <v>1.6557999999999999</v>
      </c>
      <c r="EM14" s="49">
        <v>1.6651</v>
      </c>
      <c r="EN14" s="49">
        <v>1.6745000000000001</v>
      </c>
      <c r="EO14" s="49">
        <v>1.6839999999999999</v>
      </c>
      <c r="EP14" s="49">
        <v>1.6937</v>
      </c>
      <c r="EQ14" s="49">
        <v>1.7034</v>
      </c>
      <c r="ER14" s="49">
        <v>1.7133</v>
      </c>
      <c r="ES14" s="49">
        <v>1.7233000000000001</v>
      </c>
      <c r="ET14" s="49">
        <v>1.7335</v>
      </c>
      <c r="EU14" s="49">
        <v>1.7438</v>
      </c>
      <c r="EV14" s="49">
        <v>1.7542</v>
      </c>
      <c r="EW14" s="49">
        <v>1.7647999999999999</v>
      </c>
      <c r="EX14" s="49">
        <v>1.7756000000000001</v>
      </c>
      <c r="EY14" s="49">
        <v>1.7865</v>
      </c>
      <c r="EZ14" s="49">
        <v>1.7976000000000001</v>
      </c>
      <c r="FA14" s="49">
        <v>1.8088</v>
      </c>
      <c r="FB14" s="49">
        <v>1.8203</v>
      </c>
      <c r="FC14" s="49">
        <v>1.8319000000000001</v>
      </c>
      <c r="FE14" s="50">
        <f t="shared" ca="1" si="4"/>
        <v>1.5284180177424289</v>
      </c>
      <c r="FF14" s="50">
        <f t="shared" ca="1" si="0"/>
        <v>1.5233041012495994</v>
      </c>
      <c r="FG14" s="50">
        <f t="shared" ca="1" si="1"/>
        <v>1.518093288590604</v>
      </c>
      <c r="FH14" s="50">
        <f t="shared" ca="1" si="2"/>
        <v>1.5127241610738253</v>
      </c>
      <c r="FK14" s="50">
        <f t="shared" ca="1" si="3"/>
        <v>1.5233041012495994</v>
      </c>
      <c r="FL14" s="50"/>
      <c r="FM14" s="50"/>
      <c r="FN14" s="50"/>
      <c r="FQ14" s="547" t="str">
        <f>IF(OR(AND(L11=AD10,MAX(J39:Q39)&gt;200),AND(L11=AD11,J39&gt;200)),"Warning: This spreadsheet is not intended for buildings (structures) above 200m tall. 
...but it will calculate some factors for buildings up to 300m tall, based on UK N.A. figures.","")</f>
        <v/>
      </c>
      <c r="FR14" s="547"/>
      <c r="FS14" s="547"/>
      <c r="FT14" s="547"/>
      <c r="FU14" s="547"/>
    </row>
    <row r="15" spans="2:177" ht="17.100000000000001" customHeight="1" thickBot="1">
      <c r="B15" s="119"/>
      <c r="C15" s="548" t="s">
        <v>327</v>
      </c>
      <c r="D15" s="549"/>
      <c r="E15" s="549"/>
      <c r="F15" s="549"/>
      <c r="G15" s="549"/>
      <c r="H15" s="549"/>
      <c r="I15" s="549"/>
      <c r="J15" s="549"/>
      <c r="K15" s="549"/>
      <c r="L15" s="549"/>
      <c r="M15" s="549"/>
      <c r="N15" s="585">
        <v>21.6</v>
      </c>
      <c r="O15" s="586"/>
      <c r="P15" s="23"/>
      <c r="Q15" s="548" t="s">
        <v>328</v>
      </c>
      <c r="R15" s="549"/>
      <c r="S15" s="549"/>
      <c r="T15" s="549"/>
      <c r="U15" s="549"/>
      <c r="V15" s="549"/>
      <c r="W15" s="549"/>
      <c r="X15" s="549"/>
      <c r="Y15" s="549"/>
      <c r="Z15" s="576">
        <f>+Z10/Z12</f>
        <v>0.3</v>
      </c>
      <c r="AA15" s="577"/>
      <c r="AB15" s="121"/>
      <c r="AC15" s="27"/>
      <c r="AD15" s="16" t="s">
        <v>284</v>
      </c>
      <c r="AE15" s="13">
        <f>VLOOKUP(Database!B2,Database!B3:E62,4)</f>
        <v>112</v>
      </c>
      <c r="AG15" s="71">
        <v>1</v>
      </c>
      <c r="AH15" s="183" t="b">
        <f>IF(J38&lt;=2*J37,TRUE,FALSE)</f>
        <v>1</v>
      </c>
      <c r="AI15" s="183" t="b">
        <f>IF(L38&lt;=2*L37,TRUE,FALSE)</f>
        <v>1</v>
      </c>
      <c r="AJ15" s="183" t="b">
        <f>IF(N38&lt;=2*N37,TRUE,FALSE)</f>
        <v>1</v>
      </c>
      <c r="AK15" s="183" t="b">
        <f>IF(P38&lt;=2*P37,TRUE,FALSE)</f>
        <v>1</v>
      </c>
      <c r="AL15" s="72">
        <f>82-MIN(0.8*$J$37,0.6*82)</f>
        <v>70</v>
      </c>
      <c r="AM15" s="72">
        <f>82-MIN(0.8*$L$37,0.6*82)</f>
        <v>68</v>
      </c>
      <c r="AN15" s="72">
        <f>82-MIN(0.8*$N$37,0.6*82)</f>
        <v>66</v>
      </c>
      <c r="AO15" s="73">
        <f>82-MIN(0.8*$P$37,0.6*82)</f>
        <v>64</v>
      </c>
      <c r="AW15" s="46">
        <v>0.22900000000000001</v>
      </c>
      <c r="AX15" s="49">
        <v>0.81910000000000005</v>
      </c>
      <c r="AY15" s="49">
        <v>0.82809999999999995</v>
      </c>
      <c r="AZ15" s="49">
        <v>0.83709999999999996</v>
      </c>
      <c r="BA15" s="49">
        <v>0.84609999999999996</v>
      </c>
      <c r="BB15" s="49">
        <v>0.85519999999999996</v>
      </c>
      <c r="BC15" s="49">
        <v>0.86419999999999997</v>
      </c>
      <c r="BD15" s="49">
        <v>0.87319999999999998</v>
      </c>
      <c r="BE15" s="49">
        <v>0.88219999999999998</v>
      </c>
      <c r="BF15" s="49">
        <v>0.89129999999999998</v>
      </c>
      <c r="BG15" s="49">
        <v>0.90029999999999999</v>
      </c>
      <c r="BH15" s="49">
        <v>0.9093</v>
      </c>
      <c r="BI15" s="49">
        <v>0.91839999999999999</v>
      </c>
      <c r="BJ15" s="49">
        <v>0.9274</v>
      </c>
      <c r="BK15" s="49">
        <v>0.9365</v>
      </c>
      <c r="BL15" s="49">
        <v>0.94550000000000001</v>
      </c>
      <c r="BM15" s="49">
        <v>0.95450000000000002</v>
      </c>
      <c r="BN15" s="49">
        <v>0.96360000000000001</v>
      </c>
      <c r="BO15" s="49">
        <v>0.97270000000000001</v>
      </c>
      <c r="BP15" s="49">
        <v>0.98170000000000002</v>
      </c>
      <c r="BQ15" s="49">
        <v>0.99080000000000001</v>
      </c>
      <c r="BR15" s="49">
        <v>0.99990000000000001</v>
      </c>
      <c r="BS15" s="49">
        <v>1.0088999999999999</v>
      </c>
      <c r="BT15" s="49">
        <v>1.018</v>
      </c>
      <c r="BU15" s="49">
        <v>1.0270999999999999</v>
      </c>
      <c r="BV15" s="49">
        <v>1.0362</v>
      </c>
      <c r="BW15" s="49">
        <v>1.0452999999999999</v>
      </c>
      <c r="BX15" s="49">
        <v>1.0544</v>
      </c>
      <c r="BY15" s="49">
        <v>1.0634999999999999</v>
      </c>
      <c r="BZ15" s="49">
        <v>1.0726</v>
      </c>
      <c r="CA15" s="49">
        <v>1.0817000000000001</v>
      </c>
      <c r="CB15" s="49">
        <v>1.0909</v>
      </c>
      <c r="CC15" s="49">
        <v>1.1000000000000001</v>
      </c>
      <c r="CD15" s="49">
        <v>1.1092</v>
      </c>
      <c r="CE15" s="49">
        <v>1.1183000000000001</v>
      </c>
      <c r="CF15" s="49">
        <v>1.1274999999999999</v>
      </c>
      <c r="CG15" s="49">
        <v>1.1366000000000001</v>
      </c>
      <c r="CH15" s="49">
        <v>1.1457999999999999</v>
      </c>
      <c r="CI15" s="49">
        <v>1.155</v>
      </c>
      <c r="CJ15" s="49">
        <v>1.1641999999999999</v>
      </c>
      <c r="CK15" s="49">
        <v>1.1734</v>
      </c>
      <c r="CL15" s="49">
        <v>1.1826000000000001</v>
      </c>
      <c r="CM15" s="49">
        <v>1.1919</v>
      </c>
      <c r="CN15" s="49">
        <v>1.2011000000000001</v>
      </c>
      <c r="CO15" s="49">
        <v>1.2103999999999999</v>
      </c>
      <c r="CP15" s="49">
        <v>1.2196</v>
      </c>
      <c r="CQ15" s="49">
        <v>1.2289000000000001</v>
      </c>
      <c r="CR15" s="49">
        <v>1.2382</v>
      </c>
      <c r="CS15" s="49">
        <v>1.2475000000000001</v>
      </c>
      <c r="CT15" s="49">
        <v>1.2568999999999999</v>
      </c>
      <c r="CU15" s="49">
        <v>1.2662</v>
      </c>
      <c r="CV15" s="49">
        <v>1.2756000000000001</v>
      </c>
      <c r="CW15" s="49">
        <v>1.2849999999999999</v>
      </c>
      <c r="CX15" s="49">
        <v>1.2944</v>
      </c>
      <c r="CY15" s="49">
        <v>1.3038000000000001</v>
      </c>
      <c r="CZ15" s="49">
        <v>1.3131999999999999</v>
      </c>
      <c r="DA15" s="49">
        <v>1.3227</v>
      </c>
      <c r="DB15" s="49">
        <v>1.3322000000000001</v>
      </c>
      <c r="DC15" s="49">
        <v>1.3416999999999999</v>
      </c>
      <c r="DD15" s="49">
        <v>1.3512999999999999</v>
      </c>
      <c r="DE15" s="49">
        <v>1.3608</v>
      </c>
      <c r="DF15" s="49">
        <v>1.3704000000000001</v>
      </c>
      <c r="DG15" s="49">
        <v>1.38</v>
      </c>
      <c r="DH15" s="49">
        <v>1.3896999999999999</v>
      </c>
      <c r="DI15" s="49">
        <v>1.3994</v>
      </c>
      <c r="DJ15" s="49">
        <v>1.4091</v>
      </c>
      <c r="DK15" s="49">
        <v>1.4188000000000001</v>
      </c>
      <c r="DL15" s="49">
        <v>1.4286000000000001</v>
      </c>
      <c r="DM15" s="49">
        <v>1.4384999999999999</v>
      </c>
      <c r="DN15" s="49">
        <v>1.4482999999999999</v>
      </c>
      <c r="DO15" s="49">
        <v>1.4581999999999999</v>
      </c>
      <c r="DP15" s="49">
        <v>1.4681999999999999</v>
      </c>
      <c r="DQ15" s="49">
        <v>1.4782</v>
      </c>
      <c r="DR15" s="49">
        <v>1.4870000000000001</v>
      </c>
      <c r="DS15" s="49">
        <v>1.4947999999999999</v>
      </c>
      <c r="DT15" s="49">
        <v>1.5026999999999999</v>
      </c>
      <c r="DU15" s="49">
        <v>1.5106999999999999</v>
      </c>
      <c r="DV15" s="49">
        <v>1.5186999999999999</v>
      </c>
      <c r="DW15" s="49">
        <v>1.5267999999999999</v>
      </c>
      <c r="DX15" s="49">
        <v>1.5348999999999999</v>
      </c>
      <c r="DY15" s="49">
        <v>1.5430999999999999</v>
      </c>
      <c r="DZ15" s="49">
        <v>1.5512999999999999</v>
      </c>
      <c r="EA15" s="49">
        <v>1.5596000000000001</v>
      </c>
      <c r="EB15" s="49">
        <v>1.5679000000000001</v>
      </c>
      <c r="EC15" s="49">
        <v>1.5764</v>
      </c>
      <c r="ED15" s="49">
        <v>1.5849</v>
      </c>
      <c r="EE15" s="49">
        <v>1.5933999999999999</v>
      </c>
      <c r="EF15" s="49">
        <v>1.6021000000000001</v>
      </c>
      <c r="EG15" s="49">
        <v>1.6108</v>
      </c>
      <c r="EH15" s="49">
        <v>1.6195999999999999</v>
      </c>
      <c r="EI15" s="49">
        <v>1.6286</v>
      </c>
      <c r="EJ15" s="49">
        <v>1.6375</v>
      </c>
      <c r="EK15" s="49">
        <v>1.6466000000000001</v>
      </c>
      <c r="EL15" s="49">
        <v>1.6557999999999999</v>
      </c>
      <c r="EM15" s="49">
        <v>1.6651</v>
      </c>
      <c r="EN15" s="49">
        <v>1.6745000000000001</v>
      </c>
      <c r="EO15" s="49">
        <v>1.6839999999999999</v>
      </c>
      <c r="EP15" s="49">
        <v>1.6937</v>
      </c>
      <c r="EQ15" s="49">
        <v>1.7034</v>
      </c>
      <c r="ER15" s="49">
        <v>1.7133</v>
      </c>
      <c r="ES15" s="49">
        <v>1.7233000000000001</v>
      </c>
      <c r="ET15" s="49">
        <v>1.7335</v>
      </c>
      <c r="EU15" s="49">
        <v>1.7438</v>
      </c>
      <c r="EV15" s="49">
        <v>1.7542</v>
      </c>
      <c r="EW15" s="49">
        <v>1.7647999999999999</v>
      </c>
      <c r="EX15" s="49">
        <v>1.7756000000000001</v>
      </c>
      <c r="EY15" s="49">
        <v>1.7865</v>
      </c>
      <c r="EZ15" s="49">
        <v>1.7976000000000001</v>
      </c>
      <c r="FA15" s="49">
        <v>1.8088</v>
      </c>
      <c r="FB15" s="49">
        <v>1.8203</v>
      </c>
      <c r="FC15" s="49">
        <v>1.8319000000000001</v>
      </c>
      <c r="FE15" s="50">
        <f t="shared" ca="1" si="4"/>
        <v>1.5284180177424289</v>
      </c>
      <c r="FF15" s="50">
        <f t="shared" ca="1" si="0"/>
        <v>1.5233041012495994</v>
      </c>
      <c r="FG15" s="50">
        <f t="shared" ca="1" si="1"/>
        <v>1.518093288590604</v>
      </c>
      <c r="FH15" s="50">
        <f t="shared" ca="1" si="2"/>
        <v>1.5127241610738253</v>
      </c>
      <c r="FK15" s="50">
        <f t="shared" ca="1" si="3"/>
        <v>1.5233041012495994</v>
      </c>
      <c r="FL15" s="50"/>
      <c r="FM15" s="50"/>
      <c r="FN15" s="50"/>
      <c r="FQ15" s="547"/>
      <c r="FR15" s="547"/>
      <c r="FS15" s="547"/>
      <c r="FT15" s="547"/>
      <c r="FU15" s="547"/>
    </row>
    <row r="16" spans="2:177" ht="17.100000000000001" customHeight="1">
      <c r="B16" s="119"/>
      <c r="C16" s="548" t="s">
        <v>329</v>
      </c>
      <c r="D16" s="549"/>
      <c r="E16" s="549"/>
      <c r="F16" s="549"/>
      <c r="G16" s="549"/>
      <c r="H16" s="549"/>
      <c r="I16" s="549"/>
      <c r="J16" s="549"/>
      <c r="K16" s="549"/>
      <c r="L16" s="549"/>
      <c r="M16" s="549"/>
      <c r="N16" s="585">
        <v>50</v>
      </c>
      <c r="O16" s="586"/>
      <c r="P16" s="23"/>
      <c r="Q16" s="548" t="s">
        <v>330</v>
      </c>
      <c r="R16" s="549"/>
      <c r="S16" s="549"/>
      <c r="T16" s="549"/>
      <c r="U16" s="549"/>
      <c r="V16" s="549"/>
      <c r="W16" s="549"/>
      <c r="X16" s="549"/>
      <c r="Y16" s="549"/>
      <c r="Z16" s="578">
        <f>IF(Z15&gt;=0.3,Z10/0.3,Z12)</f>
        <v>50</v>
      </c>
      <c r="AA16" s="579"/>
      <c r="AB16" s="121"/>
      <c r="AC16" s="27"/>
      <c r="AD16" s="16" t="s">
        <v>283</v>
      </c>
      <c r="AE16" s="13">
        <f>VLOOKUP(Database!B2,Database!B3:E62,3)</f>
        <v>21.6</v>
      </c>
      <c r="AG16" s="71">
        <v>2</v>
      </c>
      <c r="AH16" s="183" t="b">
        <f>AND(2*J37&lt;J38,J38&lt;6*J37)</f>
        <v>0</v>
      </c>
      <c r="AI16" s="183" t="b">
        <f>AND(2*L37&lt;L38,L38&lt;6*L37)</f>
        <v>0</v>
      </c>
      <c r="AJ16" s="183" t="b">
        <f>AND(2*N37&lt;N38,N38&lt;6*N37)</f>
        <v>0</v>
      </c>
      <c r="AK16" s="183" t="b">
        <f>AND(2*P37&lt;P38,P38&lt;6*P37)</f>
        <v>0</v>
      </c>
      <c r="AL16" s="72">
        <f>82-MIN(1.2*$J$37-0.2*$J$38,0.6*82)</f>
        <v>66</v>
      </c>
      <c r="AM16" s="72">
        <f>82-MIN(1.2*$L$37-0.2*$L$38,0.6*82)</f>
        <v>63</v>
      </c>
      <c r="AN16" s="72">
        <f>82-MIN(1.2*$N$37-0.2*$N$38,0.6*82)</f>
        <v>60</v>
      </c>
      <c r="AO16" s="73">
        <f>82-MIN(1.2*$P$37-0.2*$P$38,0.6*82)</f>
        <v>57</v>
      </c>
      <c r="AR16" s="65" t="s">
        <v>664</v>
      </c>
      <c r="AS16" s="66"/>
      <c r="AT16" s="66"/>
      <c r="AU16" s="68"/>
      <c r="AW16" s="46">
        <v>0.245</v>
      </c>
      <c r="AX16" s="49">
        <v>0.81720000000000004</v>
      </c>
      <c r="AY16" s="49">
        <v>0.82620000000000005</v>
      </c>
      <c r="AZ16" s="49">
        <v>0.83520000000000005</v>
      </c>
      <c r="BA16" s="49">
        <v>0.84419999999999995</v>
      </c>
      <c r="BB16" s="49">
        <v>0.85319999999999996</v>
      </c>
      <c r="BC16" s="49">
        <v>0.86219999999999997</v>
      </c>
      <c r="BD16" s="49">
        <v>0.87119999999999997</v>
      </c>
      <c r="BE16" s="49">
        <v>0.88019999999999998</v>
      </c>
      <c r="BF16" s="49">
        <v>0.88919999999999999</v>
      </c>
      <c r="BG16" s="49">
        <v>0.89829999999999999</v>
      </c>
      <c r="BH16" s="49">
        <v>0.9073</v>
      </c>
      <c r="BI16" s="49">
        <v>0.9163</v>
      </c>
      <c r="BJ16" s="49">
        <v>0.92530000000000001</v>
      </c>
      <c r="BK16" s="49">
        <v>0.93430000000000002</v>
      </c>
      <c r="BL16" s="49">
        <v>0.94340000000000002</v>
      </c>
      <c r="BM16" s="49">
        <v>0.95240000000000002</v>
      </c>
      <c r="BN16" s="49">
        <v>0.96140000000000003</v>
      </c>
      <c r="BO16" s="49">
        <v>0.97050000000000003</v>
      </c>
      <c r="BP16" s="49">
        <v>0.97950000000000004</v>
      </c>
      <c r="BQ16" s="49">
        <v>0.98860000000000003</v>
      </c>
      <c r="BR16" s="49">
        <v>0.99760000000000004</v>
      </c>
      <c r="BS16" s="49">
        <v>1.0066999999999999</v>
      </c>
      <c r="BT16" s="49">
        <v>1.0157</v>
      </c>
      <c r="BU16" s="49">
        <v>1.0247999999999999</v>
      </c>
      <c r="BV16" s="49">
        <v>1.0339</v>
      </c>
      <c r="BW16" s="49">
        <v>1.0428999999999999</v>
      </c>
      <c r="BX16" s="49">
        <v>1.052</v>
      </c>
      <c r="BY16" s="49">
        <v>1.0610999999999999</v>
      </c>
      <c r="BZ16" s="49">
        <v>1.0702</v>
      </c>
      <c r="CA16" s="49">
        <v>1.0792999999999999</v>
      </c>
      <c r="CB16" s="49">
        <v>1.0884</v>
      </c>
      <c r="CC16" s="49">
        <v>1.0974999999999999</v>
      </c>
      <c r="CD16" s="49">
        <v>1.1066</v>
      </c>
      <c r="CE16" s="49">
        <v>1.1157999999999999</v>
      </c>
      <c r="CF16" s="49">
        <v>1.1249</v>
      </c>
      <c r="CG16" s="49">
        <v>1.1341000000000001</v>
      </c>
      <c r="CH16" s="49">
        <v>1.1432</v>
      </c>
      <c r="CI16" s="49">
        <v>1.1524000000000001</v>
      </c>
      <c r="CJ16" s="49">
        <v>1.1616</v>
      </c>
      <c r="CK16" s="49">
        <v>1.1708000000000001</v>
      </c>
      <c r="CL16" s="49">
        <v>1.18</v>
      </c>
      <c r="CM16" s="49">
        <v>1.1892</v>
      </c>
      <c r="CN16" s="49">
        <v>1.1983999999999999</v>
      </c>
      <c r="CO16" s="49">
        <v>1.2076</v>
      </c>
      <c r="CP16" s="49">
        <v>1.2169000000000001</v>
      </c>
      <c r="CQ16" s="49">
        <v>1.2261</v>
      </c>
      <c r="CR16" s="49">
        <v>1.2354000000000001</v>
      </c>
      <c r="CS16" s="49">
        <v>1.2446999999999999</v>
      </c>
      <c r="CT16" s="49">
        <v>1.254</v>
      </c>
      <c r="CU16" s="49">
        <v>1.2634000000000001</v>
      </c>
      <c r="CV16" s="49">
        <v>1.2726999999999999</v>
      </c>
      <c r="CW16" s="49">
        <v>1.2821</v>
      </c>
      <c r="CX16" s="49">
        <v>1.2914000000000001</v>
      </c>
      <c r="CY16" s="49">
        <v>1.3008</v>
      </c>
      <c r="CZ16" s="49">
        <v>1.3103</v>
      </c>
      <c r="DA16" s="49">
        <v>1.3197000000000001</v>
      </c>
      <c r="DB16" s="49">
        <v>1.3291999999999999</v>
      </c>
      <c r="DC16" s="49">
        <v>1.3387</v>
      </c>
      <c r="DD16" s="49">
        <v>1.3482000000000001</v>
      </c>
      <c r="DE16" s="49">
        <v>1.3576999999999999</v>
      </c>
      <c r="DF16" s="49">
        <v>1.3673</v>
      </c>
      <c r="DG16" s="49">
        <v>1.3769</v>
      </c>
      <c r="DH16" s="49">
        <v>1.3865000000000001</v>
      </c>
      <c r="DI16" s="49">
        <v>1.3962000000000001</v>
      </c>
      <c r="DJ16" s="49">
        <v>1.4058999999999999</v>
      </c>
      <c r="DK16" s="49">
        <v>1.4156</v>
      </c>
      <c r="DL16" s="49">
        <v>1.4254</v>
      </c>
      <c r="DM16" s="49">
        <v>1.4352</v>
      </c>
      <c r="DN16" s="49">
        <v>1.4451000000000001</v>
      </c>
      <c r="DO16" s="49">
        <v>1.4549000000000001</v>
      </c>
      <c r="DP16" s="49">
        <v>1.4649000000000001</v>
      </c>
      <c r="DQ16" s="49">
        <v>1.4748000000000001</v>
      </c>
      <c r="DR16" s="49">
        <v>1.4849000000000001</v>
      </c>
      <c r="DS16" s="49">
        <v>1.4947999999999999</v>
      </c>
      <c r="DT16" s="49">
        <v>1.5026999999999999</v>
      </c>
      <c r="DU16" s="49">
        <v>1.5106999999999999</v>
      </c>
      <c r="DV16" s="49">
        <v>1.5186999999999999</v>
      </c>
      <c r="DW16" s="49">
        <v>1.5267999999999999</v>
      </c>
      <c r="DX16" s="49">
        <v>1.5348999999999999</v>
      </c>
      <c r="DY16" s="49">
        <v>1.5430999999999999</v>
      </c>
      <c r="DZ16" s="49">
        <v>1.5512999999999999</v>
      </c>
      <c r="EA16" s="49">
        <v>1.5596000000000001</v>
      </c>
      <c r="EB16" s="49">
        <v>1.5679000000000001</v>
      </c>
      <c r="EC16" s="49">
        <v>1.5764</v>
      </c>
      <c r="ED16" s="49">
        <v>1.5849</v>
      </c>
      <c r="EE16" s="49">
        <v>1.5933999999999999</v>
      </c>
      <c r="EF16" s="49">
        <v>1.6021000000000001</v>
      </c>
      <c r="EG16" s="49">
        <v>1.6108</v>
      </c>
      <c r="EH16" s="49">
        <v>1.6195999999999999</v>
      </c>
      <c r="EI16" s="49">
        <v>1.6286</v>
      </c>
      <c r="EJ16" s="49">
        <v>1.6375</v>
      </c>
      <c r="EK16" s="49">
        <v>1.6466000000000001</v>
      </c>
      <c r="EL16" s="49">
        <v>1.6557999999999999</v>
      </c>
      <c r="EM16" s="49">
        <v>1.6651</v>
      </c>
      <c r="EN16" s="49">
        <v>1.6745000000000001</v>
      </c>
      <c r="EO16" s="49">
        <v>1.6839999999999999</v>
      </c>
      <c r="EP16" s="49">
        <v>1.6937</v>
      </c>
      <c r="EQ16" s="49">
        <v>1.7034</v>
      </c>
      <c r="ER16" s="49">
        <v>1.7133</v>
      </c>
      <c r="ES16" s="49">
        <v>1.7233000000000001</v>
      </c>
      <c r="ET16" s="49">
        <v>1.7335</v>
      </c>
      <c r="EU16" s="49">
        <v>1.7438</v>
      </c>
      <c r="EV16" s="49">
        <v>1.7542</v>
      </c>
      <c r="EW16" s="49">
        <v>1.7647999999999999</v>
      </c>
      <c r="EX16" s="49">
        <v>1.7756000000000001</v>
      </c>
      <c r="EY16" s="49">
        <v>1.7865</v>
      </c>
      <c r="EZ16" s="49">
        <v>1.7976000000000001</v>
      </c>
      <c r="FA16" s="49">
        <v>1.8088</v>
      </c>
      <c r="FB16" s="49">
        <v>1.8203</v>
      </c>
      <c r="FC16" s="49">
        <v>1.8319000000000001</v>
      </c>
      <c r="FE16" s="50">
        <f t="shared" ca="1" si="4"/>
        <v>1.5284180177424289</v>
      </c>
      <c r="FF16" s="50">
        <f t="shared" ca="1" si="0"/>
        <v>1.5233041012495994</v>
      </c>
      <c r="FG16" s="50">
        <f t="shared" ca="1" si="1"/>
        <v>1.518093288590604</v>
      </c>
      <c r="FH16" s="50">
        <f t="shared" ca="1" si="2"/>
        <v>1.5127241610738253</v>
      </c>
      <c r="FK16" s="50">
        <f t="shared" ca="1" si="3"/>
        <v>1.5233041012495994</v>
      </c>
      <c r="FL16" s="50"/>
      <c r="FM16" s="50"/>
      <c r="FN16" s="50"/>
      <c r="FQ16" s="547"/>
      <c r="FR16" s="547"/>
      <c r="FS16" s="547"/>
      <c r="FT16" s="547"/>
      <c r="FU16" s="547"/>
    </row>
    <row r="17" spans="2:177" ht="17.100000000000001" customHeight="1" thickBot="1">
      <c r="B17" s="119"/>
      <c r="C17" s="548" t="s">
        <v>331</v>
      </c>
      <c r="D17" s="549"/>
      <c r="E17" s="549"/>
      <c r="F17" s="549"/>
      <c r="G17" s="549"/>
      <c r="H17" s="549"/>
      <c r="I17" s="549"/>
      <c r="J17" s="549"/>
      <c r="K17" s="549"/>
      <c r="L17" s="549"/>
      <c r="M17" s="549"/>
      <c r="N17" s="653">
        <v>1</v>
      </c>
      <c r="O17" s="654"/>
      <c r="P17" s="23"/>
      <c r="Q17" s="580"/>
      <c r="R17" s="581"/>
      <c r="S17" s="581"/>
      <c r="T17" s="581"/>
      <c r="U17" s="581"/>
      <c r="V17" s="581"/>
      <c r="W17" s="581"/>
      <c r="X17" s="581"/>
      <c r="Y17" s="581"/>
      <c r="Z17" s="581"/>
      <c r="AA17" s="582"/>
      <c r="AB17" s="121"/>
      <c r="AC17" s="27"/>
      <c r="AD17" s="16" t="s">
        <v>282</v>
      </c>
      <c r="AE17" s="344">
        <v>1</v>
      </c>
      <c r="AG17" s="71">
        <v>3</v>
      </c>
      <c r="AH17" s="183" t="b">
        <f>IF(J38&gt;=6*J37,TRUE,FALSE)</f>
        <v>0</v>
      </c>
      <c r="AI17" s="183" t="b">
        <f>IF(L38&gt;=6*L37,TRUE,FALSE)</f>
        <v>0</v>
      </c>
      <c r="AJ17" s="183" t="b">
        <f>IF(N38&gt;=6*N37,TRUE,FALSE)</f>
        <v>0</v>
      </c>
      <c r="AK17" s="183" t="b">
        <f>IF(P38&gt;=6*P37,TRUE,FALSE)</f>
        <v>0</v>
      </c>
      <c r="AL17" s="72">
        <f>82</f>
        <v>82</v>
      </c>
      <c r="AM17" s="72">
        <f>82</f>
        <v>82</v>
      </c>
      <c r="AN17" s="72">
        <f>82</f>
        <v>82</v>
      </c>
      <c r="AO17" s="73">
        <f>82</f>
        <v>82</v>
      </c>
      <c r="AQ17" s="43" t="s">
        <v>663</v>
      </c>
      <c r="AR17" s="74">
        <f ca="1">+J26*$N$17*$N$18*$AT$14*$N$15</f>
        <v>19.368724102007199</v>
      </c>
      <c r="AS17" s="75">
        <f ca="1">+L26*$N$17*$N$18*$AT$14*$N$15</f>
        <v>18.324900647408008</v>
      </c>
      <c r="AT17" s="75">
        <f ca="1">+N26*$N$17*$N$18*$AT$14*$N$15</f>
        <v>22.848135617337832</v>
      </c>
      <c r="AU17" s="96">
        <f ca="1">+P26*$N$17*$N$18*$AT$14*$N$15</f>
        <v>23.196076768870896</v>
      </c>
      <c r="AW17" s="46">
        <v>0.26300000000000001</v>
      </c>
      <c r="AX17" s="49">
        <v>0.81540000000000001</v>
      </c>
      <c r="AY17" s="49">
        <v>0.82440000000000002</v>
      </c>
      <c r="AZ17" s="49">
        <v>0.83340000000000003</v>
      </c>
      <c r="BA17" s="49">
        <v>0.84230000000000005</v>
      </c>
      <c r="BB17" s="49">
        <v>0.85129999999999995</v>
      </c>
      <c r="BC17" s="49">
        <v>0.86029999999999995</v>
      </c>
      <c r="BD17" s="49">
        <v>0.86929999999999996</v>
      </c>
      <c r="BE17" s="49">
        <v>0.87829999999999997</v>
      </c>
      <c r="BF17" s="49">
        <v>0.88729999999999998</v>
      </c>
      <c r="BG17" s="49">
        <v>0.89629999999999999</v>
      </c>
      <c r="BH17" s="49">
        <v>0.9052</v>
      </c>
      <c r="BI17" s="49">
        <v>0.91420000000000001</v>
      </c>
      <c r="BJ17" s="49">
        <v>0.92320000000000002</v>
      </c>
      <c r="BK17" s="49">
        <v>0.93220000000000003</v>
      </c>
      <c r="BL17" s="49">
        <v>0.94130000000000003</v>
      </c>
      <c r="BM17" s="49">
        <v>0.95030000000000003</v>
      </c>
      <c r="BN17" s="49">
        <v>0.95930000000000004</v>
      </c>
      <c r="BO17" s="49">
        <v>0.96830000000000005</v>
      </c>
      <c r="BP17" s="49">
        <v>0.97729999999999995</v>
      </c>
      <c r="BQ17" s="49">
        <v>0.98629999999999995</v>
      </c>
      <c r="BR17" s="49">
        <v>0.99539999999999995</v>
      </c>
      <c r="BS17" s="49">
        <v>1.0044</v>
      </c>
      <c r="BT17" s="49">
        <v>1.0135000000000001</v>
      </c>
      <c r="BU17" s="49">
        <v>1.0225</v>
      </c>
      <c r="BV17" s="49">
        <v>1.0315000000000001</v>
      </c>
      <c r="BW17" s="49">
        <v>1.0406</v>
      </c>
      <c r="BX17" s="49">
        <v>1.0497000000000001</v>
      </c>
      <c r="BY17" s="49">
        <v>1.0587</v>
      </c>
      <c r="BZ17" s="49">
        <v>1.0678000000000001</v>
      </c>
      <c r="CA17" s="49">
        <v>1.0769</v>
      </c>
      <c r="CB17" s="49">
        <v>1.0860000000000001</v>
      </c>
      <c r="CC17" s="49">
        <v>1.0951</v>
      </c>
      <c r="CD17" s="49">
        <v>1.1042000000000001</v>
      </c>
      <c r="CE17" s="49">
        <v>1.1133</v>
      </c>
      <c r="CF17" s="49">
        <v>1.1224000000000001</v>
      </c>
      <c r="CG17" s="49">
        <v>1.1315</v>
      </c>
      <c r="CH17" s="49">
        <v>1.1407</v>
      </c>
      <c r="CI17" s="49">
        <v>1.1497999999999999</v>
      </c>
      <c r="CJ17" s="49">
        <v>1.159</v>
      </c>
      <c r="CK17" s="49">
        <v>1.1680999999999999</v>
      </c>
      <c r="CL17" s="49">
        <v>1.1773</v>
      </c>
      <c r="CM17" s="49">
        <v>1.1865000000000001</v>
      </c>
      <c r="CN17" s="49">
        <v>1.1957</v>
      </c>
      <c r="CO17" s="49">
        <v>1.2049000000000001</v>
      </c>
      <c r="CP17" s="49">
        <v>1.2141999999999999</v>
      </c>
      <c r="CQ17" s="49">
        <v>1.2234</v>
      </c>
      <c r="CR17" s="49">
        <v>1.2326999999999999</v>
      </c>
      <c r="CS17" s="49">
        <v>1.2419</v>
      </c>
      <c r="CT17" s="49">
        <v>1.2512000000000001</v>
      </c>
      <c r="CU17" s="49">
        <v>1.2605</v>
      </c>
      <c r="CV17" s="49">
        <v>1.2699</v>
      </c>
      <c r="CW17" s="49">
        <v>1.2791999999999999</v>
      </c>
      <c r="CX17" s="49">
        <v>1.2886</v>
      </c>
      <c r="CY17" s="49">
        <v>1.2979000000000001</v>
      </c>
      <c r="CZ17" s="49">
        <v>1.3072999999999999</v>
      </c>
      <c r="DA17" s="49">
        <v>1.3168</v>
      </c>
      <c r="DB17" s="49">
        <v>1.3262</v>
      </c>
      <c r="DC17" s="49">
        <v>1.3357000000000001</v>
      </c>
      <c r="DD17" s="49">
        <v>1.3452</v>
      </c>
      <c r="DE17" s="49">
        <v>1.3547</v>
      </c>
      <c r="DF17" s="49">
        <v>1.3643000000000001</v>
      </c>
      <c r="DG17" s="49">
        <v>1.3737999999999999</v>
      </c>
      <c r="DH17" s="49">
        <v>1.3835</v>
      </c>
      <c r="DI17" s="49">
        <v>1.3931</v>
      </c>
      <c r="DJ17" s="49">
        <v>1.4028</v>
      </c>
      <c r="DK17" s="49">
        <v>1.4125000000000001</v>
      </c>
      <c r="DL17" s="49">
        <v>1.4221999999999999</v>
      </c>
      <c r="DM17" s="49">
        <v>1.4319999999999999</v>
      </c>
      <c r="DN17" s="49">
        <v>1.4418</v>
      </c>
      <c r="DO17" s="49">
        <v>1.4517</v>
      </c>
      <c r="DP17" s="49">
        <v>1.4616</v>
      </c>
      <c r="DQ17" s="49">
        <v>1.4716</v>
      </c>
      <c r="DR17" s="49">
        <v>1.4816</v>
      </c>
      <c r="DS17" s="49">
        <v>1.4916</v>
      </c>
      <c r="DT17" s="49">
        <v>1.5017</v>
      </c>
      <c r="DU17" s="49">
        <v>1.5106999999999999</v>
      </c>
      <c r="DV17" s="49">
        <v>1.5186999999999999</v>
      </c>
      <c r="DW17" s="49">
        <v>1.5267999999999999</v>
      </c>
      <c r="DX17" s="49">
        <v>1.5348999999999999</v>
      </c>
      <c r="DY17" s="49">
        <v>1.5430999999999999</v>
      </c>
      <c r="DZ17" s="49">
        <v>1.5512999999999999</v>
      </c>
      <c r="EA17" s="49">
        <v>1.5596000000000001</v>
      </c>
      <c r="EB17" s="49">
        <v>1.5679000000000001</v>
      </c>
      <c r="EC17" s="49">
        <v>1.5764</v>
      </c>
      <c r="ED17" s="49">
        <v>1.5849</v>
      </c>
      <c r="EE17" s="49">
        <v>1.5933999999999999</v>
      </c>
      <c r="EF17" s="49">
        <v>1.6021000000000001</v>
      </c>
      <c r="EG17" s="49">
        <v>1.6108</v>
      </c>
      <c r="EH17" s="49">
        <v>1.6195999999999999</v>
      </c>
      <c r="EI17" s="49">
        <v>1.6286</v>
      </c>
      <c r="EJ17" s="49">
        <v>1.6375</v>
      </c>
      <c r="EK17" s="49">
        <v>1.6466000000000001</v>
      </c>
      <c r="EL17" s="49">
        <v>1.6557999999999999</v>
      </c>
      <c r="EM17" s="49">
        <v>1.6651</v>
      </c>
      <c r="EN17" s="49">
        <v>1.6745000000000001</v>
      </c>
      <c r="EO17" s="49">
        <v>1.6839999999999999</v>
      </c>
      <c r="EP17" s="49">
        <v>1.6937</v>
      </c>
      <c r="EQ17" s="49">
        <v>1.7034</v>
      </c>
      <c r="ER17" s="49">
        <v>1.7133</v>
      </c>
      <c r="ES17" s="49">
        <v>1.7233000000000001</v>
      </c>
      <c r="ET17" s="49">
        <v>1.7335</v>
      </c>
      <c r="EU17" s="49">
        <v>1.7438</v>
      </c>
      <c r="EV17" s="49">
        <v>1.7542</v>
      </c>
      <c r="EW17" s="49">
        <v>1.7647999999999999</v>
      </c>
      <c r="EX17" s="49">
        <v>1.7756000000000001</v>
      </c>
      <c r="EY17" s="49">
        <v>1.7865</v>
      </c>
      <c r="EZ17" s="49">
        <v>1.7976000000000001</v>
      </c>
      <c r="FA17" s="49">
        <v>1.8088</v>
      </c>
      <c r="FB17" s="49">
        <v>1.8203</v>
      </c>
      <c r="FC17" s="49">
        <v>1.8319000000000001</v>
      </c>
      <c r="FE17" s="50">
        <f t="shared" ca="1" si="4"/>
        <v>1.5284180177424289</v>
      </c>
      <c r="FF17" s="50">
        <f t="shared" ca="1" si="0"/>
        <v>1.5233041012495994</v>
      </c>
      <c r="FG17" s="50">
        <f t="shared" ca="1" si="1"/>
        <v>1.518093288590604</v>
      </c>
      <c r="FH17" s="50">
        <f t="shared" ca="1" si="2"/>
        <v>1.5127241610738253</v>
      </c>
      <c r="FK17" s="50">
        <f t="shared" ca="1" si="3"/>
        <v>1.5233041012495994</v>
      </c>
      <c r="FL17" s="50"/>
      <c r="FM17" s="50"/>
      <c r="FN17" s="50"/>
      <c r="FQ17" s="547"/>
      <c r="FR17" s="547"/>
      <c r="FS17" s="547"/>
      <c r="FT17" s="547"/>
      <c r="FU17" s="547"/>
    </row>
    <row r="18" spans="2:177" ht="17.100000000000001" customHeight="1">
      <c r="B18" s="119"/>
      <c r="C18" s="548" t="s">
        <v>332</v>
      </c>
      <c r="D18" s="549"/>
      <c r="E18" s="549"/>
      <c r="F18" s="549"/>
      <c r="G18" s="549"/>
      <c r="H18" s="549"/>
      <c r="I18" s="549"/>
      <c r="J18" s="549"/>
      <c r="K18" s="549"/>
      <c r="L18" s="549"/>
      <c r="M18" s="549"/>
      <c r="N18" s="550">
        <f>IF(N16&lt;=1,0.6,((1-0.2*LN(-LN(1-1/N16)))/(1-0.2*LN(-LN(0.98))))^0.5)</f>
        <v>1</v>
      </c>
      <c r="O18" s="551"/>
      <c r="P18" s="23"/>
      <c r="Q18" s="558" t="str">
        <f>"...Site is "&amp;IF(Z11&gt;=0,"downwind","upwind")&amp;" from top of crest"</f>
        <v>...Site is upwind from top of crest</v>
      </c>
      <c r="R18" s="559"/>
      <c r="S18" s="559"/>
      <c r="T18" s="559"/>
      <c r="U18" s="559"/>
      <c r="V18" s="559"/>
      <c r="W18" s="559"/>
      <c r="X18" s="559"/>
      <c r="Y18" s="559"/>
      <c r="Z18" s="559"/>
      <c r="AA18" s="560"/>
      <c r="AB18" s="121"/>
      <c r="AC18" s="27"/>
      <c r="AD18" s="16" t="s">
        <v>297</v>
      </c>
      <c r="AE18" s="13"/>
      <c r="AG18" s="71"/>
      <c r="AH18" s="70"/>
      <c r="AI18" s="70"/>
      <c r="AJ18" s="70" t="b">
        <v>0</v>
      </c>
      <c r="AK18" s="183" t="s">
        <v>53</v>
      </c>
      <c r="AL18" s="72">
        <f>VLOOKUP(TRUE,AH14:AL17,5,FALSE)</f>
        <v>70</v>
      </c>
      <c r="AM18" s="72">
        <f>VLOOKUP(TRUE,AI14:AM17,5,FALSE)</f>
        <v>68</v>
      </c>
      <c r="AN18" s="72">
        <f>VLOOKUP(TRUE,AJ14:AN17,5,FALSE)</f>
        <v>66</v>
      </c>
      <c r="AO18" s="73">
        <f>VLOOKUP(TRUE,AK14:AO17,5,FALSE)</f>
        <v>64</v>
      </c>
      <c r="AW18" s="46">
        <v>0.28199999999999997</v>
      </c>
      <c r="AX18" s="49">
        <v>0.81359999999999999</v>
      </c>
      <c r="AY18" s="49">
        <v>0.8226</v>
      </c>
      <c r="AZ18" s="49">
        <v>0.83150000000000002</v>
      </c>
      <c r="BA18" s="49">
        <v>0.84050000000000002</v>
      </c>
      <c r="BB18" s="49">
        <v>0.84940000000000004</v>
      </c>
      <c r="BC18" s="49">
        <v>0.85840000000000005</v>
      </c>
      <c r="BD18" s="49">
        <v>0.86739999999999995</v>
      </c>
      <c r="BE18" s="49">
        <v>0.87629999999999997</v>
      </c>
      <c r="BF18" s="49">
        <v>0.88529999999999998</v>
      </c>
      <c r="BG18" s="49">
        <v>0.89429999999999998</v>
      </c>
      <c r="BH18" s="49">
        <v>0.90329999999999999</v>
      </c>
      <c r="BI18" s="49">
        <v>0.91220000000000001</v>
      </c>
      <c r="BJ18" s="49">
        <v>0.92120000000000002</v>
      </c>
      <c r="BK18" s="49">
        <v>0.93020000000000003</v>
      </c>
      <c r="BL18" s="49">
        <v>0.93920000000000003</v>
      </c>
      <c r="BM18" s="49">
        <v>0.94820000000000004</v>
      </c>
      <c r="BN18" s="49">
        <v>0.95720000000000005</v>
      </c>
      <c r="BO18" s="49">
        <v>0.96619999999999995</v>
      </c>
      <c r="BP18" s="49">
        <v>0.97519999999999996</v>
      </c>
      <c r="BQ18" s="49">
        <v>0.98419999999999996</v>
      </c>
      <c r="BR18" s="49">
        <v>0.99319999999999997</v>
      </c>
      <c r="BS18" s="49">
        <v>1.0022</v>
      </c>
      <c r="BT18" s="49">
        <v>1.0112000000000001</v>
      </c>
      <c r="BU18" s="49">
        <v>1.0202</v>
      </c>
      <c r="BV18" s="49">
        <v>1.0293000000000001</v>
      </c>
      <c r="BW18" s="49">
        <v>1.0383</v>
      </c>
      <c r="BX18" s="49">
        <v>1.0474000000000001</v>
      </c>
      <c r="BY18" s="49">
        <v>1.0564</v>
      </c>
      <c r="BZ18" s="49">
        <v>1.0654999999999999</v>
      </c>
      <c r="CA18" s="49">
        <v>1.0745</v>
      </c>
      <c r="CB18" s="49">
        <v>1.0835999999999999</v>
      </c>
      <c r="CC18" s="49">
        <v>1.0927</v>
      </c>
      <c r="CD18" s="49">
        <v>1.1016999999999999</v>
      </c>
      <c r="CE18" s="49">
        <v>1.1108</v>
      </c>
      <c r="CF18" s="49">
        <v>1.1198999999999999</v>
      </c>
      <c r="CG18" s="49">
        <v>1.129</v>
      </c>
      <c r="CH18" s="49">
        <v>1.1382000000000001</v>
      </c>
      <c r="CI18" s="49">
        <v>1.1473</v>
      </c>
      <c r="CJ18" s="49">
        <v>1.1564000000000001</v>
      </c>
      <c r="CK18" s="49">
        <v>1.1656</v>
      </c>
      <c r="CL18" s="49">
        <v>1.1747000000000001</v>
      </c>
      <c r="CM18" s="49">
        <v>1.1839</v>
      </c>
      <c r="CN18" s="49">
        <v>1.1931</v>
      </c>
      <c r="CO18" s="49">
        <v>1.2022999999999999</v>
      </c>
      <c r="CP18" s="49">
        <v>1.2115</v>
      </c>
      <c r="CQ18" s="49">
        <v>1.2206999999999999</v>
      </c>
      <c r="CR18" s="49">
        <v>1.23</v>
      </c>
      <c r="CS18" s="49">
        <v>1.2392000000000001</v>
      </c>
      <c r="CT18" s="49">
        <v>1.2484999999999999</v>
      </c>
      <c r="CU18" s="49">
        <v>1.2578</v>
      </c>
      <c r="CV18" s="49">
        <v>1.2670999999999999</v>
      </c>
      <c r="CW18" s="49">
        <v>1.2764</v>
      </c>
      <c r="CX18" s="49">
        <v>1.2857000000000001</v>
      </c>
      <c r="CY18" s="49">
        <v>1.2950999999999999</v>
      </c>
      <c r="CZ18" s="49">
        <v>1.3045</v>
      </c>
      <c r="DA18" s="49">
        <v>1.3139000000000001</v>
      </c>
      <c r="DB18" s="49">
        <v>1.3232999999999999</v>
      </c>
      <c r="DC18" s="49">
        <v>1.3327</v>
      </c>
      <c r="DD18" s="49">
        <v>1.3422000000000001</v>
      </c>
      <c r="DE18" s="49">
        <v>1.3516999999999999</v>
      </c>
      <c r="DF18" s="49">
        <v>1.3613</v>
      </c>
      <c r="DG18" s="49">
        <v>1.3708</v>
      </c>
      <c r="DH18" s="49">
        <v>1.3804000000000001</v>
      </c>
      <c r="DI18" s="49">
        <v>1.39</v>
      </c>
      <c r="DJ18" s="49">
        <v>1.3996999999999999</v>
      </c>
      <c r="DK18" s="49">
        <v>1.4094</v>
      </c>
      <c r="DL18" s="49">
        <v>1.4191</v>
      </c>
      <c r="DM18" s="49">
        <v>1.4289000000000001</v>
      </c>
      <c r="DN18" s="49">
        <v>1.4387000000000001</v>
      </c>
      <c r="DO18" s="49">
        <v>1.4484999999999999</v>
      </c>
      <c r="DP18" s="49">
        <v>1.4583999999999999</v>
      </c>
      <c r="DQ18" s="49">
        <v>1.4682999999999999</v>
      </c>
      <c r="DR18" s="49">
        <v>1.4782999999999999</v>
      </c>
      <c r="DS18" s="49">
        <v>1.4883</v>
      </c>
      <c r="DT18" s="49">
        <v>1.4984</v>
      </c>
      <c r="DU18" s="49">
        <v>1.5085</v>
      </c>
      <c r="DV18" s="49">
        <v>1.5186999999999999</v>
      </c>
      <c r="DW18" s="49">
        <v>1.5267999999999999</v>
      </c>
      <c r="DX18" s="49">
        <v>1.5348999999999999</v>
      </c>
      <c r="DY18" s="49">
        <v>1.5430999999999999</v>
      </c>
      <c r="DZ18" s="49">
        <v>1.5512999999999999</v>
      </c>
      <c r="EA18" s="49">
        <v>1.5596000000000001</v>
      </c>
      <c r="EB18" s="49">
        <v>1.5679000000000001</v>
      </c>
      <c r="EC18" s="49">
        <v>1.5764</v>
      </c>
      <c r="ED18" s="49">
        <v>1.5849</v>
      </c>
      <c r="EE18" s="49">
        <v>1.5933999999999999</v>
      </c>
      <c r="EF18" s="49">
        <v>1.6021000000000001</v>
      </c>
      <c r="EG18" s="49">
        <v>1.6108</v>
      </c>
      <c r="EH18" s="49">
        <v>1.6195999999999999</v>
      </c>
      <c r="EI18" s="49">
        <v>1.6286</v>
      </c>
      <c r="EJ18" s="49">
        <v>1.6375</v>
      </c>
      <c r="EK18" s="49">
        <v>1.6466000000000001</v>
      </c>
      <c r="EL18" s="49">
        <v>1.6557999999999999</v>
      </c>
      <c r="EM18" s="49">
        <v>1.6651</v>
      </c>
      <c r="EN18" s="49">
        <v>1.6745000000000001</v>
      </c>
      <c r="EO18" s="49">
        <v>1.6839999999999999</v>
      </c>
      <c r="EP18" s="49">
        <v>1.6937</v>
      </c>
      <c r="EQ18" s="49">
        <v>1.7034</v>
      </c>
      <c r="ER18" s="49">
        <v>1.7133</v>
      </c>
      <c r="ES18" s="49">
        <v>1.7233000000000001</v>
      </c>
      <c r="ET18" s="49">
        <v>1.7335</v>
      </c>
      <c r="EU18" s="49">
        <v>1.7438</v>
      </c>
      <c r="EV18" s="49">
        <v>1.7542</v>
      </c>
      <c r="EW18" s="49">
        <v>1.7647999999999999</v>
      </c>
      <c r="EX18" s="49">
        <v>1.7756000000000001</v>
      </c>
      <c r="EY18" s="49">
        <v>1.7865</v>
      </c>
      <c r="EZ18" s="49">
        <v>1.7976000000000001</v>
      </c>
      <c r="FA18" s="49">
        <v>1.8088</v>
      </c>
      <c r="FB18" s="49">
        <v>1.8203</v>
      </c>
      <c r="FC18" s="49">
        <v>1.8319000000000001</v>
      </c>
      <c r="FE18" s="50">
        <f t="shared" ca="1" si="4"/>
        <v>1.5284180177424289</v>
      </c>
      <c r="FF18" s="50">
        <f t="shared" ca="1" si="0"/>
        <v>1.5233041012495994</v>
      </c>
      <c r="FG18" s="50">
        <f t="shared" ca="1" si="1"/>
        <v>1.5179264429530199</v>
      </c>
      <c r="FH18" s="50">
        <f t="shared" ca="1" si="2"/>
        <v>1.5110808053691274</v>
      </c>
      <c r="FK18" s="50">
        <f t="shared" ca="1" si="3"/>
        <v>1.5233041012495994</v>
      </c>
      <c r="FL18" s="50"/>
      <c r="FM18" s="50"/>
      <c r="FN18" s="50"/>
    </row>
    <row r="19" spans="2:177" ht="17.100000000000001" customHeight="1" thickBot="1">
      <c r="B19" s="119"/>
      <c r="C19" s="552" t="s">
        <v>333</v>
      </c>
      <c r="D19" s="553"/>
      <c r="E19" s="553"/>
      <c r="F19" s="553"/>
      <c r="G19" s="553"/>
      <c r="H19" s="553"/>
      <c r="I19" s="553"/>
      <c r="J19" s="553"/>
      <c r="K19" s="553"/>
      <c r="L19" s="553"/>
      <c r="M19" s="553"/>
      <c r="N19" s="587">
        <f>AT13</f>
        <v>1.0735284231096556</v>
      </c>
      <c r="O19" s="588"/>
      <c r="P19" s="23"/>
      <c r="Q19" s="561" t="str">
        <f>IF(Database!P24=1,"...Effects of orography may be ignored - cl. A3(3)","...Topography is significant")</f>
        <v>...Topography is significant</v>
      </c>
      <c r="R19" s="562"/>
      <c r="S19" s="562"/>
      <c r="T19" s="562"/>
      <c r="U19" s="562"/>
      <c r="V19" s="562"/>
      <c r="W19" s="562"/>
      <c r="X19" s="562"/>
      <c r="Y19" s="562"/>
      <c r="Z19" s="562"/>
      <c r="AA19" s="563"/>
      <c r="AB19" s="121"/>
      <c r="AC19" s="27"/>
      <c r="AD19" s="13" t="s">
        <v>298</v>
      </c>
      <c r="AE19" s="13"/>
      <c r="AG19" s="74"/>
      <c r="AH19" s="75"/>
      <c r="AI19" s="75"/>
      <c r="AJ19" s="75" t="b">
        <v>1</v>
      </c>
      <c r="AK19" s="76" t="s">
        <v>53</v>
      </c>
      <c r="AL19" s="77">
        <f>82</f>
        <v>82</v>
      </c>
      <c r="AM19" s="77">
        <f>82</f>
        <v>82</v>
      </c>
      <c r="AN19" s="77">
        <f>82</f>
        <v>82</v>
      </c>
      <c r="AO19" s="56">
        <f>82</f>
        <v>82</v>
      </c>
      <c r="AW19" s="46">
        <v>0.30199999999999999</v>
      </c>
      <c r="AX19" s="49">
        <v>0.81189999999999996</v>
      </c>
      <c r="AY19" s="49">
        <v>0.82079999999999997</v>
      </c>
      <c r="AZ19" s="49">
        <v>0.82969999999999999</v>
      </c>
      <c r="BA19" s="49">
        <v>0.8387</v>
      </c>
      <c r="BB19" s="49">
        <v>0.84760000000000002</v>
      </c>
      <c r="BC19" s="49">
        <v>0.85650000000000004</v>
      </c>
      <c r="BD19" s="49">
        <v>0.86550000000000005</v>
      </c>
      <c r="BE19" s="49">
        <v>0.87439999999999996</v>
      </c>
      <c r="BF19" s="49">
        <v>0.88339999999999996</v>
      </c>
      <c r="BG19" s="49">
        <v>0.89229999999999998</v>
      </c>
      <c r="BH19" s="49">
        <v>0.90129999999999999</v>
      </c>
      <c r="BI19" s="49">
        <v>0.91020000000000001</v>
      </c>
      <c r="BJ19" s="49">
        <v>0.91920000000000002</v>
      </c>
      <c r="BK19" s="49">
        <v>0.92820000000000003</v>
      </c>
      <c r="BL19" s="49">
        <v>0.93710000000000004</v>
      </c>
      <c r="BM19" s="49">
        <v>0.94610000000000005</v>
      </c>
      <c r="BN19" s="49">
        <v>0.95509999999999995</v>
      </c>
      <c r="BO19" s="49">
        <v>0.96409999999999996</v>
      </c>
      <c r="BP19" s="49">
        <v>0.97299999999999998</v>
      </c>
      <c r="BQ19" s="49">
        <v>0.98199999999999998</v>
      </c>
      <c r="BR19" s="49">
        <v>0.99099999999999999</v>
      </c>
      <c r="BS19" s="49">
        <v>1</v>
      </c>
      <c r="BT19" s="49">
        <v>1.0089999999999999</v>
      </c>
      <c r="BU19" s="49">
        <v>1.018</v>
      </c>
      <c r="BV19" s="49">
        <v>1.0269999999999999</v>
      </c>
      <c r="BW19" s="49">
        <v>1.0361</v>
      </c>
      <c r="BX19" s="49">
        <v>1.0450999999999999</v>
      </c>
      <c r="BY19" s="49">
        <v>1.0541</v>
      </c>
      <c r="BZ19" s="49">
        <v>1.0630999999999999</v>
      </c>
      <c r="CA19" s="49">
        <v>1.0722</v>
      </c>
      <c r="CB19" s="49">
        <v>1.0811999999999999</v>
      </c>
      <c r="CC19" s="49">
        <v>1.0903</v>
      </c>
      <c r="CD19" s="49">
        <v>1.0993999999999999</v>
      </c>
      <c r="CE19" s="49">
        <v>1.1084000000000001</v>
      </c>
      <c r="CF19" s="49">
        <v>1.1174999999999999</v>
      </c>
      <c r="CG19" s="49">
        <v>1.1266</v>
      </c>
      <c r="CH19" s="49">
        <v>1.1356999999999999</v>
      </c>
      <c r="CI19" s="49">
        <v>1.1448</v>
      </c>
      <c r="CJ19" s="49">
        <v>1.1538999999999999</v>
      </c>
      <c r="CK19" s="49">
        <v>1.163</v>
      </c>
      <c r="CL19" s="49">
        <v>1.1721999999999999</v>
      </c>
      <c r="CM19" s="49">
        <v>1.1813</v>
      </c>
      <c r="CN19" s="49">
        <v>1.1904999999999999</v>
      </c>
      <c r="CO19" s="49">
        <v>1.1997</v>
      </c>
      <c r="CP19" s="49">
        <v>1.2089000000000001</v>
      </c>
      <c r="CQ19" s="49">
        <v>1.2181</v>
      </c>
      <c r="CR19" s="49">
        <v>1.2273000000000001</v>
      </c>
      <c r="CS19" s="49">
        <v>1.2364999999999999</v>
      </c>
      <c r="CT19" s="49">
        <v>1.2458</v>
      </c>
      <c r="CU19" s="49">
        <v>1.2549999999999999</v>
      </c>
      <c r="CV19" s="49">
        <v>1.2643</v>
      </c>
      <c r="CW19" s="49">
        <v>1.2736000000000001</v>
      </c>
      <c r="CX19" s="49">
        <v>1.2828999999999999</v>
      </c>
      <c r="CY19" s="49">
        <v>1.2923</v>
      </c>
      <c r="CZ19" s="49">
        <v>1.3016000000000001</v>
      </c>
      <c r="DA19" s="49">
        <v>1.3109999999999999</v>
      </c>
      <c r="DB19" s="49">
        <v>1.3204</v>
      </c>
      <c r="DC19" s="49">
        <v>1.3299000000000001</v>
      </c>
      <c r="DD19" s="49">
        <v>1.3392999999999999</v>
      </c>
      <c r="DE19" s="49">
        <v>1.3488</v>
      </c>
      <c r="DF19" s="49">
        <v>1.3583000000000001</v>
      </c>
      <c r="DG19" s="49">
        <v>1.3677999999999999</v>
      </c>
      <c r="DH19" s="49">
        <v>1.3774</v>
      </c>
      <c r="DI19" s="49">
        <v>1.387</v>
      </c>
      <c r="DJ19" s="49">
        <v>1.3966000000000001</v>
      </c>
      <c r="DK19" s="49">
        <v>1.4063000000000001</v>
      </c>
      <c r="DL19" s="49">
        <v>1.4159999999999999</v>
      </c>
      <c r="DM19" s="49">
        <v>1.4257</v>
      </c>
      <c r="DN19" s="49">
        <v>1.4355</v>
      </c>
      <c r="DO19" s="49">
        <v>1.4453</v>
      </c>
      <c r="DP19" s="49">
        <v>1.4552</v>
      </c>
      <c r="DQ19" s="49">
        <v>1.4651000000000001</v>
      </c>
      <c r="DR19" s="49">
        <v>1.4751000000000001</v>
      </c>
      <c r="DS19" s="49">
        <v>1.4851000000000001</v>
      </c>
      <c r="DT19" s="49">
        <v>1.4951000000000001</v>
      </c>
      <c r="DU19" s="49">
        <v>1.5053000000000001</v>
      </c>
      <c r="DV19" s="49">
        <v>1.5154000000000001</v>
      </c>
      <c r="DW19" s="49">
        <v>1.5257000000000001</v>
      </c>
      <c r="DX19" s="49">
        <v>1.5348999999999999</v>
      </c>
      <c r="DY19" s="49">
        <v>1.5430999999999999</v>
      </c>
      <c r="DZ19" s="49">
        <v>1.5512999999999999</v>
      </c>
      <c r="EA19" s="49">
        <v>1.5596000000000001</v>
      </c>
      <c r="EB19" s="49">
        <v>1.5679000000000001</v>
      </c>
      <c r="EC19" s="49">
        <v>1.5764</v>
      </c>
      <c r="ED19" s="49">
        <v>1.5849</v>
      </c>
      <c r="EE19" s="49">
        <v>1.5933999999999999</v>
      </c>
      <c r="EF19" s="49">
        <v>1.6021000000000001</v>
      </c>
      <c r="EG19" s="49">
        <v>1.6108</v>
      </c>
      <c r="EH19" s="49">
        <v>1.6195999999999999</v>
      </c>
      <c r="EI19" s="49">
        <v>1.6286</v>
      </c>
      <c r="EJ19" s="49">
        <v>1.6375</v>
      </c>
      <c r="EK19" s="49">
        <v>1.6466000000000001</v>
      </c>
      <c r="EL19" s="49">
        <v>1.6557999999999999</v>
      </c>
      <c r="EM19" s="49">
        <v>1.6651</v>
      </c>
      <c r="EN19" s="49">
        <v>1.6745000000000001</v>
      </c>
      <c r="EO19" s="49">
        <v>1.6839999999999999</v>
      </c>
      <c r="EP19" s="49">
        <v>1.6937</v>
      </c>
      <c r="EQ19" s="49">
        <v>1.7034</v>
      </c>
      <c r="ER19" s="49">
        <v>1.7133</v>
      </c>
      <c r="ES19" s="49">
        <v>1.7233000000000001</v>
      </c>
      <c r="ET19" s="49">
        <v>1.7335</v>
      </c>
      <c r="EU19" s="49">
        <v>1.7438</v>
      </c>
      <c r="EV19" s="49">
        <v>1.7542</v>
      </c>
      <c r="EW19" s="49">
        <v>1.7647999999999999</v>
      </c>
      <c r="EX19" s="49">
        <v>1.7756000000000001</v>
      </c>
      <c r="EY19" s="49">
        <v>1.7865</v>
      </c>
      <c r="EZ19" s="49">
        <v>1.7976000000000001</v>
      </c>
      <c r="FA19" s="49">
        <v>1.8088</v>
      </c>
      <c r="FB19" s="49">
        <v>1.8203</v>
      </c>
      <c r="FC19" s="49">
        <v>1.8319000000000001</v>
      </c>
      <c r="FE19" s="50">
        <f t="shared" ca="1" si="4"/>
        <v>1.5275377485469563</v>
      </c>
      <c r="FF19" s="50">
        <f t="shared" ca="1" si="0"/>
        <v>1.5212545978852934</v>
      </c>
      <c r="FG19" s="50">
        <f t="shared" ca="1" si="1"/>
        <v>1.5146340268456377</v>
      </c>
      <c r="FH19" s="50">
        <f t="shared" ca="1" si="2"/>
        <v>1.5078555033557048</v>
      </c>
      <c r="FK19" s="50">
        <f t="shared" ca="1" si="3"/>
        <v>1.5212545978852934</v>
      </c>
      <c r="FL19" s="50"/>
      <c r="FM19" s="50"/>
      <c r="FN19" s="50"/>
    </row>
    <row r="20" spans="2:177" ht="17.100000000000001" customHeight="1">
      <c r="B20" s="119"/>
      <c r="C20" s="20"/>
      <c r="D20" s="20"/>
      <c r="E20" s="20"/>
      <c r="F20" s="20"/>
      <c r="G20" s="20"/>
      <c r="H20" s="20"/>
      <c r="I20" s="20"/>
      <c r="J20" s="20"/>
      <c r="K20" s="20"/>
      <c r="L20" s="20"/>
      <c r="M20" s="20"/>
      <c r="N20" s="20"/>
      <c r="O20" s="20"/>
      <c r="P20" s="20"/>
      <c r="Q20" s="20"/>
      <c r="R20" s="20"/>
      <c r="S20" s="20"/>
      <c r="T20" s="20"/>
      <c r="U20" s="20"/>
      <c r="V20" s="20"/>
      <c r="W20" s="20"/>
      <c r="X20" s="20"/>
      <c r="Y20" s="20"/>
      <c r="Z20" s="20"/>
      <c r="AA20" s="20"/>
      <c r="AB20" s="121"/>
      <c r="AC20" s="27"/>
      <c r="AD20" s="13" t="s">
        <v>299</v>
      </c>
      <c r="AE20" s="13"/>
      <c r="AW20" s="46">
        <v>0.32400000000000001</v>
      </c>
      <c r="AX20" s="49">
        <v>0.81010000000000004</v>
      </c>
      <c r="AY20" s="49">
        <v>0.81899999999999995</v>
      </c>
      <c r="AZ20" s="49">
        <v>0.82789999999999997</v>
      </c>
      <c r="BA20" s="49">
        <v>0.83689999999999998</v>
      </c>
      <c r="BB20" s="49">
        <v>0.8458</v>
      </c>
      <c r="BC20" s="49">
        <v>0.85470000000000002</v>
      </c>
      <c r="BD20" s="49">
        <v>0.86360000000000003</v>
      </c>
      <c r="BE20" s="49">
        <v>0.87260000000000004</v>
      </c>
      <c r="BF20" s="49">
        <v>0.88149999999999995</v>
      </c>
      <c r="BG20" s="49">
        <v>0.89039999999999997</v>
      </c>
      <c r="BH20" s="49">
        <v>0.89939999999999998</v>
      </c>
      <c r="BI20" s="49">
        <v>0.9083</v>
      </c>
      <c r="BJ20" s="49">
        <v>0.91720000000000002</v>
      </c>
      <c r="BK20" s="49">
        <v>0.92620000000000002</v>
      </c>
      <c r="BL20" s="49">
        <v>0.93510000000000004</v>
      </c>
      <c r="BM20" s="49">
        <v>0.94410000000000005</v>
      </c>
      <c r="BN20" s="49">
        <v>0.95299999999999996</v>
      </c>
      <c r="BO20" s="49">
        <v>0.96199999999999997</v>
      </c>
      <c r="BP20" s="49">
        <v>0.97099999999999997</v>
      </c>
      <c r="BQ20" s="49">
        <v>0.97989999999999999</v>
      </c>
      <c r="BR20" s="49">
        <v>0.9889</v>
      </c>
      <c r="BS20" s="49">
        <v>0.99790000000000001</v>
      </c>
      <c r="BT20" s="49">
        <v>1.0068999999999999</v>
      </c>
      <c r="BU20" s="49">
        <v>1.0158</v>
      </c>
      <c r="BV20" s="49">
        <v>1.0247999999999999</v>
      </c>
      <c r="BW20" s="49">
        <v>1.0338000000000001</v>
      </c>
      <c r="BX20" s="49">
        <v>1.0427999999999999</v>
      </c>
      <c r="BY20" s="49">
        <v>1.0518000000000001</v>
      </c>
      <c r="BZ20" s="49">
        <v>1.0609</v>
      </c>
      <c r="CA20" s="49">
        <v>1.0699000000000001</v>
      </c>
      <c r="CB20" s="49">
        <v>1.0789</v>
      </c>
      <c r="CC20" s="49">
        <v>1.0880000000000001</v>
      </c>
      <c r="CD20" s="49">
        <v>1.097</v>
      </c>
      <c r="CE20" s="49">
        <v>1.1060000000000001</v>
      </c>
      <c r="CF20" s="49">
        <v>1.1151</v>
      </c>
      <c r="CG20" s="49">
        <v>1.1242000000000001</v>
      </c>
      <c r="CH20" s="49">
        <v>1.1333</v>
      </c>
      <c r="CI20" s="49">
        <v>1.1423000000000001</v>
      </c>
      <c r="CJ20" s="49">
        <v>1.1514</v>
      </c>
      <c r="CK20" s="49">
        <v>1.1605000000000001</v>
      </c>
      <c r="CL20" s="49">
        <v>1.1697</v>
      </c>
      <c r="CM20" s="49">
        <v>1.1788000000000001</v>
      </c>
      <c r="CN20" s="49">
        <v>1.1879</v>
      </c>
      <c r="CO20" s="49">
        <v>1.1971000000000001</v>
      </c>
      <c r="CP20" s="49">
        <v>1.2062999999999999</v>
      </c>
      <c r="CQ20" s="49">
        <v>1.2155</v>
      </c>
      <c r="CR20" s="49">
        <v>1.2246999999999999</v>
      </c>
      <c r="CS20" s="49">
        <v>1.2339</v>
      </c>
      <c r="CT20" s="49">
        <v>1.2431000000000001</v>
      </c>
      <c r="CU20" s="49">
        <v>1.2523</v>
      </c>
      <c r="CV20" s="49">
        <v>1.2616000000000001</v>
      </c>
      <c r="CW20" s="49">
        <v>1.2708999999999999</v>
      </c>
      <c r="CX20" s="49">
        <v>1.2802</v>
      </c>
      <c r="CY20" s="49">
        <v>1.2895000000000001</v>
      </c>
      <c r="CZ20" s="49">
        <v>1.2988</v>
      </c>
      <c r="DA20" s="49">
        <v>1.3082</v>
      </c>
      <c r="DB20" s="49">
        <v>1.3176000000000001</v>
      </c>
      <c r="DC20" s="49">
        <v>1.327</v>
      </c>
      <c r="DD20" s="49">
        <v>1.3364</v>
      </c>
      <c r="DE20" s="49">
        <v>1.3459000000000001</v>
      </c>
      <c r="DF20" s="49">
        <v>1.3553999999999999</v>
      </c>
      <c r="DG20" s="49">
        <v>1.3649</v>
      </c>
      <c r="DH20" s="49">
        <v>1.3745000000000001</v>
      </c>
      <c r="DI20" s="49">
        <v>1.3839999999999999</v>
      </c>
      <c r="DJ20" s="49">
        <v>1.3935999999999999</v>
      </c>
      <c r="DK20" s="49">
        <v>1.4033</v>
      </c>
      <c r="DL20" s="49">
        <v>1.413</v>
      </c>
      <c r="DM20" s="49">
        <v>1.4227000000000001</v>
      </c>
      <c r="DN20" s="49">
        <v>1.4323999999999999</v>
      </c>
      <c r="DO20" s="49">
        <v>1.4422999999999999</v>
      </c>
      <c r="DP20" s="49">
        <v>1.4520999999999999</v>
      </c>
      <c r="DQ20" s="49">
        <v>1.462</v>
      </c>
      <c r="DR20" s="49">
        <v>1.4719</v>
      </c>
      <c r="DS20" s="49">
        <v>1.4819</v>
      </c>
      <c r="DT20" s="49">
        <v>1.4919</v>
      </c>
      <c r="DU20" s="49">
        <v>1.502</v>
      </c>
      <c r="DV20" s="49">
        <v>1.5122</v>
      </c>
      <c r="DW20" s="49">
        <v>1.5224</v>
      </c>
      <c r="DX20" s="49">
        <v>1.5327</v>
      </c>
      <c r="DY20" s="49">
        <v>1.5429999999999999</v>
      </c>
      <c r="DZ20" s="49">
        <v>1.5512999999999999</v>
      </c>
      <c r="EA20" s="49">
        <v>1.5596000000000001</v>
      </c>
      <c r="EB20" s="49">
        <v>1.5679000000000001</v>
      </c>
      <c r="EC20" s="49">
        <v>1.5764</v>
      </c>
      <c r="ED20" s="49">
        <v>1.5849</v>
      </c>
      <c r="EE20" s="49">
        <v>1.5933999999999999</v>
      </c>
      <c r="EF20" s="49">
        <v>1.6021000000000001</v>
      </c>
      <c r="EG20" s="49">
        <v>1.6108</v>
      </c>
      <c r="EH20" s="49">
        <v>1.6195999999999999</v>
      </c>
      <c r="EI20" s="49">
        <v>1.6286</v>
      </c>
      <c r="EJ20" s="49">
        <v>1.6375</v>
      </c>
      <c r="EK20" s="49">
        <v>1.6466000000000001</v>
      </c>
      <c r="EL20" s="49">
        <v>1.6557999999999999</v>
      </c>
      <c r="EM20" s="49">
        <v>1.6651</v>
      </c>
      <c r="EN20" s="49">
        <v>1.6745000000000001</v>
      </c>
      <c r="EO20" s="49">
        <v>1.6839999999999999</v>
      </c>
      <c r="EP20" s="49">
        <v>1.6937</v>
      </c>
      <c r="EQ20" s="49">
        <v>1.7034</v>
      </c>
      <c r="ER20" s="49">
        <v>1.7133</v>
      </c>
      <c r="ES20" s="49">
        <v>1.7233000000000001</v>
      </c>
      <c r="ET20" s="49">
        <v>1.7335</v>
      </c>
      <c r="EU20" s="49">
        <v>1.7438</v>
      </c>
      <c r="EV20" s="49">
        <v>1.7542</v>
      </c>
      <c r="EW20" s="49">
        <v>1.7647999999999999</v>
      </c>
      <c r="EX20" s="49">
        <v>1.7756000000000001</v>
      </c>
      <c r="EY20" s="49">
        <v>1.7865</v>
      </c>
      <c r="EZ20" s="49">
        <v>1.7976000000000001</v>
      </c>
      <c r="FA20" s="49">
        <v>1.8088</v>
      </c>
      <c r="FB20" s="49">
        <v>1.8203</v>
      </c>
      <c r="FC20" s="49">
        <v>1.8319000000000001</v>
      </c>
      <c r="FE20" s="50">
        <f t="shared" ca="1" si="4"/>
        <v>1.5244574793514838</v>
      </c>
      <c r="FF20" s="50">
        <f t="shared" ca="1" si="0"/>
        <v>1.5179977571291252</v>
      </c>
      <c r="FG20" s="50">
        <f t="shared" ca="1" si="1"/>
        <v>1.51142644295302</v>
      </c>
      <c r="FH20" s="50">
        <f t="shared" ca="1" si="2"/>
        <v>1.5045808053691274</v>
      </c>
      <c r="FK20" s="50">
        <f t="shared" ca="1" si="3"/>
        <v>1.5179977571291252</v>
      </c>
      <c r="FL20" s="50"/>
      <c r="FM20" s="50"/>
      <c r="FN20" s="50"/>
    </row>
    <row r="21" spans="2:177" ht="17.100000000000001" customHeight="1">
      <c r="B21" s="119"/>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121"/>
      <c r="AC21" s="27"/>
      <c r="AD21" s="41"/>
      <c r="AE21" s="24"/>
      <c r="AW21" s="46">
        <v>0.34699999999999998</v>
      </c>
      <c r="AX21" s="49">
        <v>0.80840000000000001</v>
      </c>
      <c r="AY21" s="49">
        <v>0.81730000000000003</v>
      </c>
      <c r="AZ21" s="49">
        <v>0.82620000000000005</v>
      </c>
      <c r="BA21" s="49">
        <v>0.83509999999999995</v>
      </c>
      <c r="BB21" s="49">
        <v>0.84399999999999997</v>
      </c>
      <c r="BC21" s="49">
        <v>0.85289999999999999</v>
      </c>
      <c r="BD21" s="49">
        <v>0.86180000000000001</v>
      </c>
      <c r="BE21" s="49">
        <v>0.87070000000000003</v>
      </c>
      <c r="BF21" s="49">
        <v>0.87960000000000005</v>
      </c>
      <c r="BG21" s="49">
        <v>0.88849999999999996</v>
      </c>
      <c r="BH21" s="49">
        <v>0.89749999999999996</v>
      </c>
      <c r="BI21" s="49">
        <v>0.90639999999999998</v>
      </c>
      <c r="BJ21" s="49">
        <v>0.9153</v>
      </c>
      <c r="BK21" s="49">
        <v>0.92420000000000002</v>
      </c>
      <c r="BL21" s="49">
        <v>0.93320000000000003</v>
      </c>
      <c r="BM21" s="49">
        <v>0.94210000000000005</v>
      </c>
      <c r="BN21" s="49">
        <v>0.95099999999999996</v>
      </c>
      <c r="BO21" s="49">
        <v>0.96</v>
      </c>
      <c r="BP21" s="49">
        <v>0.96889999999999998</v>
      </c>
      <c r="BQ21" s="49">
        <v>0.97789999999999999</v>
      </c>
      <c r="BR21" s="49">
        <v>0.98680000000000001</v>
      </c>
      <c r="BS21" s="49">
        <v>0.99580000000000002</v>
      </c>
      <c r="BT21" s="49">
        <v>1.0046999999999999</v>
      </c>
      <c r="BU21" s="49">
        <v>1.0137</v>
      </c>
      <c r="BV21" s="49">
        <v>1.0226999999999999</v>
      </c>
      <c r="BW21" s="49">
        <v>1.0316000000000001</v>
      </c>
      <c r="BX21" s="49">
        <v>1.0406</v>
      </c>
      <c r="BY21" s="49">
        <v>1.0496000000000001</v>
      </c>
      <c r="BZ21" s="49">
        <v>1.0586</v>
      </c>
      <c r="CA21" s="49">
        <v>1.0676000000000001</v>
      </c>
      <c r="CB21" s="49">
        <v>1.0766</v>
      </c>
      <c r="CC21" s="49">
        <v>1.0855999999999999</v>
      </c>
      <c r="CD21" s="49">
        <v>1.0947</v>
      </c>
      <c r="CE21" s="49">
        <v>1.1036999999999999</v>
      </c>
      <c r="CF21" s="49">
        <v>1.1127</v>
      </c>
      <c r="CG21" s="49">
        <v>1.1217999999999999</v>
      </c>
      <c r="CH21" s="49">
        <v>1.1309</v>
      </c>
      <c r="CI21" s="49">
        <v>1.1398999999999999</v>
      </c>
      <c r="CJ21" s="49">
        <v>1.149</v>
      </c>
      <c r="CK21" s="49">
        <v>1.1580999999999999</v>
      </c>
      <c r="CL21" s="49">
        <v>1.1672</v>
      </c>
      <c r="CM21" s="49">
        <v>1.1762999999999999</v>
      </c>
      <c r="CN21" s="49">
        <v>1.1854</v>
      </c>
      <c r="CO21" s="49">
        <v>1.1946000000000001</v>
      </c>
      <c r="CP21" s="49">
        <v>1.2037</v>
      </c>
      <c r="CQ21" s="49">
        <v>1.2129000000000001</v>
      </c>
      <c r="CR21" s="49">
        <v>1.2221</v>
      </c>
      <c r="CS21" s="49">
        <v>1.2313000000000001</v>
      </c>
      <c r="CT21" s="49">
        <v>1.2404999999999999</v>
      </c>
      <c r="CU21" s="49">
        <v>1.2497</v>
      </c>
      <c r="CV21" s="49">
        <v>1.2588999999999999</v>
      </c>
      <c r="CW21" s="49">
        <v>1.2682</v>
      </c>
      <c r="CX21" s="49">
        <v>1.2775000000000001</v>
      </c>
      <c r="CY21" s="49">
        <v>1.2867999999999999</v>
      </c>
      <c r="CZ21" s="49">
        <v>1.2961</v>
      </c>
      <c r="DA21" s="49">
        <v>1.3053999999999999</v>
      </c>
      <c r="DB21" s="49">
        <v>1.3148</v>
      </c>
      <c r="DC21" s="49">
        <v>1.3242</v>
      </c>
      <c r="DD21" s="49">
        <v>1.3335999999999999</v>
      </c>
      <c r="DE21" s="49">
        <v>1.343</v>
      </c>
      <c r="DF21" s="49">
        <v>1.3525</v>
      </c>
      <c r="DG21" s="49">
        <v>1.3620000000000001</v>
      </c>
      <c r="DH21" s="49">
        <v>1.3714999999999999</v>
      </c>
      <c r="DI21" s="49">
        <v>1.3811</v>
      </c>
      <c r="DJ21" s="49">
        <v>1.3907</v>
      </c>
      <c r="DK21" s="49">
        <v>1.4003000000000001</v>
      </c>
      <c r="DL21" s="49">
        <v>1.41</v>
      </c>
      <c r="DM21" s="49">
        <v>1.4197</v>
      </c>
      <c r="DN21" s="49">
        <v>1.4294</v>
      </c>
      <c r="DO21" s="49">
        <v>1.4392</v>
      </c>
      <c r="DP21" s="49">
        <v>1.4490000000000001</v>
      </c>
      <c r="DQ21" s="49">
        <v>1.4589000000000001</v>
      </c>
      <c r="DR21" s="49">
        <v>1.4688000000000001</v>
      </c>
      <c r="DS21" s="49">
        <v>1.4787999999999999</v>
      </c>
      <c r="DT21" s="49">
        <v>1.4887999999999999</v>
      </c>
      <c r="DU21" s="49">
        <v>1.4988999999999999</v>
      </c>
      <c r="DV21" s="49">
        <v>1.5089999999999999</v>
      </c>
      <c r="DW21" s="49">
        <v>1.5192000000000001</v>
      </c>
      <c r="DX21" s="49">
        <v>1.5294000000000001</v>
      </c>
      <c r="DY21" s="49">
        <v>1.5397000000000001</v>
      </c>
      <c r="DZ21" s="49">
        <v>1.5501</v>
      </c>
      <c r="EA21" s="49">
        <v>1.5596000000000001</v>
      </c>
      <c r="EB21" s="49">
        <v>1.5679000000000001</v>
      </c>
      <c r="EC21" s="49">
        <v>1.5764</v>
      </c>
      <c r="ED21" s="49">
        <v>1.5849</v>
      </c>
      <c r="EE21" s="49">
        <v>1.5933999999999999</v>
      </c>
      <c r="EF21" s="49">
        <v>1.6021000000000001</v>
      </c>
      <c r="EG21" s="49">
        <v>1.6108</v>
      </c>
      <c r="EH21" s="49">
        <v>1.6195999999999999</v>
      </c>
      <c r="EI21" s="49">
        <v>1.6286</v>
      </c>
      <c r="EJ21" s="49">
        <v>1.6375</v>
      </c>
      <c r="EK21" s="49">
        <v>1.6466000000000001</v>
      </c>
      <c r="EL21" s="49">
        <v>1.6557999999999999</v>
      </c>
      <c r="EM21" s="49">
        <v>1.6651</v>
      </c>
      <c r="EN21" s="49">
        <v>1.6745000000000001</v>
      </c>
      <c r="EO21" s="49">
        <v>1.6839999999999999</v>
      </c>
      <c r="EP21" s="49">
        <v>1.6937</v>
      </c>
      <c r="EQ21" s="49">
        <v>1.7034</v>
      </c>
      <c r="ER21" s="49">
        <v>1.7133</v>
      </c>
      <c r="ES21" s="49">
        <v>1.7233000000000001</v>
      </c>
      <c r="ET21" s="49">
        <v>1.7335</v>
      </c>
      <c r="EU21" s="49">
        <v>1.7438</v>
      </c>
      <c r="EV21" s="49">
        <v>1.7542</v>
      </c>
      <c r="EW21" s="49">
        <v>1.7647999999999999</v>
      </c>
      <c r="EX21" s="49">
        <v>1.7756000000000001</v>
      </c>
      <c r="EY21" s="49">
        <v>1.7865</v>
      </c>
      <c r="EZ21" s="49">
        <v>1.7976000000000001</v>
      </c>
      <c r="FA21" s="49">
        <v>1.8088</v>
      </c>
      <c r="FB21" s="49">
        <v>1.8203</v>
      </c>
      <c r="FC21" s="49">
        <v>1.8319000000000001</v>
      </c>
      <c r="FE21" s="50">
        <f t="shared" ca="1" si="4"/>
        <v>1.5212375038237997</v>
      </c>
      <c r="FF21" s="50">
        <f t="shared" ca="1" si="0"/>
        <v>1.5147977571291253</v>
      </c>
      <c r="FG21" s="50">
        <f t="shared" ca="1" si="1"/>
        <v>1.5082340268456376</v>
      </c>
      <c r="FH21" s="50">
        <f t="shared" ca="1" si="2"/>
        <v>1.5014555033557047</v>
      </c>
      <c r="FK21" s="50">
        <f t="shared" ca="1" si="3"/>
        <v>1.5147977571291253</v>
      </c>
      <c r="FL21" s="50"/>
      <c r="FM21" s="50"/>
      <c r="FN21" s="50"/>
    </row>
    <row r="22" spans="2:177" ht="17.100000000000001" customHeight="1">
      <c r="B22" s="119"/>
      <c r="C22" s="573" t="s">
        <v>287</v>
      </c>
      <c r="D22" s="574"/>
      <c r="E22" s="574"/>
      <c r="F22" s="574"/>
      <c r="G22" s="574"/>
      <c r="H22" s="574"/>
      <c r="I22" s="574"/>
      <c r="J22" s="574"/>
      <c r="K22" s="574"/>
      <c r="L22" s="574"/>
      <c r="M22" s="574"/>
      <c r="N22" s="574"/>
      <c r="O22" s="574"/>
      <c r="P22" s="574"/>
      <c r="Q22" s="575"/>
      <c r="R22" s="23"/>
      <c r="S22" s="573" t="s">
        <v>293</v>
      </c>
      <c r="T22" s="574"/>
      <c r="U22" s="574"/>
      <c r="V22" s="574"/>
      <c r="W22" s="574"/>
      <c r="X22" s="574"/>
      <c r="Y22" s="574"/>
      <c r="Z22" s="574"/>
      <c r="AA22" s="575"/>
      <c r="AB22" s="121"/>
      <c r="AC22" s="27"/>
      <c r="AD22" s="41"/>
      <c r="AE22" s="24"/>
      <c r="AM22" s="200" t="s">
        <v>514</v>
      </c>
      <c r="AN22" s="98">
        <f>VLOOKUP(AI12,AJ29:AO30,IF($L$11=$AD$11,3,2+MATCH(input!$Z$14,input!$AI$24:$AI$27,0)),FALSE)</f>
        <v>68</v>
      </c>
      <c r="AO22" s="192" t="s">
        <v>522</v>
      </c>
      <c r="AW22" s="46">
        <v>0.372</v>
      </c>
      <c r="AX22" s="49">
        <v>0.80669999999999997</v>
      </c>
      <c r="AY22" s="49">
        <v>0.81559999999999999</v>
      </c>
      <c r="AZ22" s="49">
        <v>0.82450000000000001</v>
      </c>
      <c r="BA22" s="49">
        <v>0.83330000000000004</v>
      </c>
      <c r="BB22" s="49">
        <v>0.84219999999999995</v>
      </c>
      <c r="BC22" s="49">
        <v>0.85109999999999997</v>
      </c>
      <c r="BD22" s="49">
        <v>0.86</v>
      </c>
      <c r="BE22" s="49">
        <v>0.86890000000000001</v>
      </c>
      <c r="BF22" s="49">
        <v>0.87780000000000002</v>
      </c>
      <c r="BG22" s="49">
        <v>0.88670000000000004</v>
      </c>
      <c r="BH22" s="49">
        <v>0.89559999999999995</v>
      </c>
      <c r="BI22" s="49">
        <v>0.90449999999999997</v>
      </c>
      <c r="BJ22" s="49">
        <v>0.91339999999999999</v>
      </c>
      <c r="BK22" s="49">
        <v>0.92230000000000001</v>
      </c>
      <c r="BL22" s="49">
        <v>0.93120000000000003</v>
      </c>
      <c r="BM22" s="49">
        <v>0.94010000000000005</v>
      </c>
      <c r="BN22" s="49">
        <v>0.94899999999999995</v>
      </c>
      <c r="BO22" s="49">
        <v>0.95799999999999996</v>
      </c>
      <c r="BP22" s="49">
        <v>0.96689999999999998</v>
      </c>
      <c r="BQ22" s="49">
        <v>0.9758</v>
      </c>
      <c r="BR22" s="49">
        <v>0.98470000000000002</v>
      </c>
      <c r="BS22" s="49">
        <v>0.99370000000000003</v>
      </c>
      <c r="BT22" s="49">
        <v>1.0025999999999999</v>
      </c>
      <c r="BU22" s="49">
        <v>1.0116000000000001</v>
      </c>
      <c r="BV22" s="49">
        <v>1.0205</v>
      </c>
      <c r="BW22" s="49">
        <v>1.0295000000000001</v>
      </c>
      <c r="BX22" s="49">
        <v>1.0385</v>
      </c>
      <c r="BY22" s="49">
        <v>1.0474000000000001</v>
      </c>
      <c r="BZ22" s="49">
        <v>1.0564</v>
      </c>
      <c r="CA22" s="49">
        <v>1.0653999999999999</v>
      </c>
      <c r="CB22" s="49">
        <v>1.0744</v>
      </c>
      <c r="CC22" s="49">
        <v>1.0833999999999999</v>
      </c>
      <c r="CD22" s="49">
        <v>1.0924</v>
      </c>
      <c r="CE22" s="49">
        <v>1.1013999999999999</v>
      </c>
      <c r="CF22" s="49">
        <v>1.1104000000000001</v>
      </c>
      <c r="CG22" s="49">
        <v>1.1194999999999999</v>
      </c>
      <c r="CH22" s="49">
        <v>1.1285000000000001</v>
      </c>
      <c r="CI22" s="49">
        <v>1.1375</v>
      </c>
      <c r="CJ22" s="49">
        <v>1.1466000000000001</v>
      </c>
      <c r="CK22" s="49">
        <v>1.1556999999999999</v>
      </c>
      <c r="CL22" s="49">
        <v>1.1648000000000001</v>
      </c>
      <c r="CM22" s="49">
        <v>1.1738</v>
      </c>
      <c r="CN22" s="49">
        <v>1.1830000000000001</v>
      </c>
      <c r="CO22" s="49">
        <v>1.1920999999999999</v>
      </c>
      <c r="CP22" s="49">
        <v>1.2012</v>
      </c>
      <c r="CQ22" s="49">
        <v>1.2102999999999999</v>
      </c>
      <c r="CR22" s="49">
        <v>1.2195</v>
      </c>
      <c r="CS22" s="49">
        <v>1.2286999999999999</v>
      </c>
      <c r="CT22" s="49">
        <v>1.2379</v>
      </c>
      <c r="CU22" s="49">
        <v>1.2471000000000001</v>
      </c>
      <c r="CV22" s="49">
        <v>1.2563</v>
      </c>
      <c r="CW22" s="49">
        <v>1.2655000000000001</v>
      </c>
      <c r="CX22" s="49">
        <v>1.2747999999999999</v>
      </c>
      <c r="CY22" s="49">
        <v>1.2841</v>
      </c>
      <c r="CZ22" s="49">
        <v>1.2934000000000001</v>
      </c>
      <c r="DA22" s="49">
        <v>1.3027</v>
      </c>
      <c r="DB22" s="49">
        <v>1.3121</v>
      </c>
      <c r="DC22" s="49">
        <v>1.3213999999999999</v>
      </c>
      <c r="DD22" s="49">
        <v>1.3308</v>
      </c>
      <c r="DE22" s="49">
        <v>1.3402000000000001</v>
      </c>
      <c r="DF22" s="49">
        <v>1.3496999999999999</v>
      </c>
      <c r="DG22" s="49">
        <v>1.3592</v>
      </c>
      <c r="DH22" s="49">
        <v>1.3687</v>
      </c>
      <c r="DI22" s="49">
        <v>1.3782000000000001</v>
      </c>
      <c r="DJ22" s="49">
        <v>1.3877999999999999</v>
      </c>
      <c r="DK22" s="49">
        <v>1.3974</v>
      </c>
      <c r="DL22" s="49">
        <v>1.407</v>
      </c>
      <c r="DM22" s="49">
        <v>1.4167000000000001</v>
      </c>
      <c r="DN22" s="49">
        <v>1.4263999999999999</v>
      </c>
      <c r="DO22" s="49">
        <v>1.4361999999999999</v>
      </c>
      <c r="DP22" s="49">
        <v>1.446</v>
      </c>
      <c r="DQ22" s="49">
        <v>1.4558</v>
      </c>
      <c r="DR22" s="49">
        <v>1.4657</v>
      </c>
      <c r="DS22" s="49">
        <v>1.4757</v>
      </c>
      <c r="DT22" s="49">
        <v>1.4857</v>
      </c>
      <c r="DU22" s="49">
        <v>1.4957</v>
      </c>
      <c r="DV22" s="49">
        <v>1.5058</v>
      </c>
      <c r="DW22" s="49">
        <v>1.516</v>
      </c>
      <c r="DX22" s="49">
        <v>1.5262</v>
      </c>
      <c r="DY22" s="49">
        <v>1.5365</v>
      </c>
      <c r="DZ22" s="49">
        <v>1.5468999999999999</v>
      </c>
      <c r="EA22" s="49">
        <v>1.5572999999999999</v>
      </c>
      <c r="EB22" s="49">
        <v>1.5678000000000001</v>
      </c>
      <c r="EC22" s="49">
        <v>1.5764</v>
      </c>
      <c r="ED22" s="49">
        <v>1.5849</v>
      </c>
      <c r="EE22" s="49">
        <v>1.5933999999999999</v>
      </c>
      <c r="EF22" s="49">
        <v>1.6021000000000001</v>
      </c>
      <c r="EG22" s="49">
        <v>1.6108</v>
      </c>
      <c r="EH22" s="49">
        <v>1.6195999999999999</v>
      </c>
      <c r="EI22" s="49">
        <v>1.6286</v>
      </c>
      <c r="EJ22" s="49">
        <v>1.6375</v>
      </c>
      <c r="EK22" s="49">
        <v>1.6466000000000001</v>
      </c>
      <c r="EL22" s="49">
        <v>1.6557999999999999</v>
      </c>
      <c r="EM22" s="49">
        <v>1.6651</v>
      </c>
      <c r="EN22" s="49">
        <v>1.6745000000000001</v>
      </c>
      <c r="EO22" s="49">
        <v>1.6839999999999999</v>
      </c>
      <c r="EP22" s="49">
        <v>1.6937</v>
      </c>
      <c r="EQ22" s="49">
        <v>1.7034</v>
      </c>
      <c r="ER22" s="49">
        <v>1.7133</v>
      </c>
      <c r="ES22" s="49">
        <v>1.7233000000000001</v>
      </c>
      <c r="ET22" s="49">
        <v>1.7335</v>
      </c>
      <c r="EU22" s="49">
        <v>1.7438</v>
      </c>
      <c r="EV22" s="49">
        <v>1.7542</v>
      </c>
      <c r="EW22" s="49">
        <v>1.7647999999999999</v>
      </c>
      <c r="EX22" s="49">
        <v>1.7756000000000001</v>
      </c>
      <c r="EY22" s="49">
        <v>1.7865</v>
      </c>
      <c r="EZ22" s="49">
        <v>1.7976000000000001</v>
      </c>
      <c r="FA22" s="49">
        <v>1.8088</v>
      </c>
      <c r="FB22" s="49">
        <v>1.8203</v>
      </c>
      <c r="FC22" s="49">
        <v>1.8319000000000001</v>
      </c>
      <c r="FE22" s="50">
        <f t="shared" ca="1" si="4"/>
        <v>1.5180375038237996</v>
      </c>
      <c r="FF22" s="50">
        <f t="shared" ca="1" si="0"/>
        <v>1.511597757129125</v>
      </c>
      <c r="FG22" s="50">
        <f t="shared" ca="1" si="1"/>
        <v>1.5050340268456377</v>
      </c>
      <c r="FH22" s="50">
        <f t="shared" ca="1" si="2"/>
        <v>1.4982555033557048</v>
      </c>
      <c r="FK22" s="50">
        <f t="shared" ca="1" si="3"/>
        <v>1.511597757129125</v>
      </c>
      <c r="FL22" s="50"/>
      <c r="FM22" s="50"/>
      <c r="FN22" s="50"/>
    </row>
    <row r="23" spans="2:177" ht="17.100000000000001" customHeight="1" thickBot="1">
      <c r="B23" s="119"/>
      <c r="C23" s="571" t="s">
        <v>516</v>
      </c>
      <c r="D23" s="572"/>
      <c r="E23" s="572"/>
      <c r="F23" s="572"/>
      <c r="G23" s="572"/>
      <c r="H23" s="572"/>
      <c r="I23" s="572"/>
      <c r="J23" s="572"/>
      <c r="K23" s="572"/>
      <c r="L23" s="572"/>
      <c r="M23" s="572"/>
      <c r="N23" s="572"/>
      <c r="O23" s="572"/>
      <c r="P23" s="565">
        <v>10</v>
      </c>
      <c r="Q23" s="566"/>
      <c r="R23" s="23"/>
      <c r="S23" s="35"/>
      <c r="T23" s="36"/>
      <c r="U23" s="36"/>
      <c r="V23" s="36"/>
      <c r="W23" s="36"/>
      <c r="X23" s="36"/>
      <c r="Y23" s="36"/>
      <c r="Z23" s="36"/>
      <c r="AA23" s="37"/>
      <c r="AB23" s="121"/>
      <c r="AC23" s="27"/>
      <c r="AE23" s="24"/>
      <c r="AM23" s="200" t="s">
        <v>660</v>
      </c>
      <c r="AN23" s="98">
        <f>input!AL40</f>
        <v>80</v>
      </c>
      <c r="AO23" s="43" t="s">
        <v>249</v>
      </c>
      <c r="AW23" s="46">
        <v>0.39800000000000002</v>
      </c>
      <c r="AX23" s="49">
        <v>0.80500000000000005</v>
      </c>
      <c r="AY23" s="49">
        <v>0.81389999999999996</v>
      </c>
      <c r="AZ23" s="49">
        <v>0.82279999999999998</v>
      </c>
      <c r="BA23" s="49">
        <v>0.83160000000000001</v>
      </c>
      <c r="BB23" s="49">
        <v>0.84050000000000002</v>
      </c>
      <c r="BC23" s="49">
        <v>0.84940000000000004</v>
      </c>
      <c r="BD23" s="49">
        <v>0.85819999999999996</v>
      </c>
      <c r="BE23" s="49">
        <v>0.86709999999999998</v>
      </c>
      <c r="BF23" s="49">
        <v>0.876</v>
      </c>
      <c r="BG23" s="49">
        <v>0.88490000000000002</v>
      </c>
      <c r="BH23" s="49">
        <v>0.89370000000000005</v>
      </c>
      <c r="BI23" s="49">
        <v>0.90259999999999996</v>
      </c>
      <c r="BJ23" s="49">
        <v>0.91149999999999998</v>
      </c>
      <c r="BK23" s="49">
        <v>0.9204</v>
      </c>
      <c r="BL23" s="49">
        <v>0.92930000000000001</v>
      </c>
      <c r="BM23" s="49">
        <v>0.93820000000000003</v>
      </c>
      <c r="BN23" s="49">
        <v>0.94710000000000005</v>
      </c>
      <c r="BO23" s="49">
        <v>0.95599999999999996</v>
      </c>
      <c r="BP23" s="49">
        <v>0.96489999999999998</v>
      </c>
      <c r="BQ23" s="49">
        <v>0.9738</v>
      </c>
      <c r="BR23" s="49">
        <v>0.98270000000000002</v>
      </c>
      <c r="BS23" s="49">
        <v>0.99160000000000004</v>
      </c>
      <c r="BT23" s="49">
        <v>1.0005999999999999</v>
      </c>
      <c r="BU23" s="49">
        <v>1.0095000000000001</v>
      </c>
      <c r="BV23" s="49">
        <v>1.0184</v>
      </c>
      <c r="BW23" s="49">
        <v>1.0274000000000001</v>
      </c>
      <c r="BX23" s="49">
        <v>1.0363</v>
      </c>
      <c r="BY23" s="49">
        <v>1.0452999999999999</v>
      </c>
      <c r="BZ23" s="49">
        <v>1.0542</v>
      </c>
      <c r="CA23" s="49">
        <v>1.0631999999999999</v>
      </c>
      <c r="CB23" s="49">
        <v>1.0722</v>
      </c>
      <c r="CC23" s="49">
        <v>1.0810999999999999</v>
      </c>
      <c r="CD23" s="49">
        <v>1.0901000000000001</v>
      </c>
      <c r="CE23" s="49">
        <v>1.0991</v>
      </c>
      <c r="CF23" s="49">
        <v>1.1081000000000001</v>
      </c>
      <c r="CG23" s="49">
        <v>1.1171</v>
      </c>
      <c r="CH23" s="49">
        <v>1.1262000000000001</v>
      </c>
      <c r="CI23" s="49">
        <v>1.1352</v>
      </c>
      <c r="CJ23" s="49">
        <v>1.1442000000000001</v>
      </c>
      <c r="CK23" s="49">
        <v>1.1533</v>
      </c>
      <c r="CL23" s="49">
        <v>1.1624000000000001</v>
      </c>
      <c r="CM23" s="49">
        <v>1.1714</v>
      </c>
      <c r="CN23" s="49">
        <v>1.1805000000000001</v>
      </c>
      <c r="CO23" s="49">
        <v>1.1896</v>
      </c>
      <c r="CP23" s="49">
        <v>1.1987000000000001</v>
      </c>
      <c r="CQ23" s="49">
        <v>1.2079</v>
      </c>
      <c r="CR23" s="49">
        <v>1.2170000000000001</v>
      </c>
      <c r="CS23" s="49">
        <v>1.2261</v>
      </c>
      <c r="CT23" s="49">
        <v>1.2353000000000001</v>
      </c>
      <c r="CU23" s="49">
        <v>1.2444999999999999</v>
      </c>
      <c r="CV23" s="49">
        <v>1.2537</v>
      </c>
      <c r="CW23" s="49">
        <v>1.2628999999999999</v>
      </c>
      <c r="CX23" s="49">
        <v>1.2722</v>
      </c>
      <c r="CY23" s="49">
        <v>1.2814000000000001</v>
      </c>
      <c r="CZ23" s="49">
        <v>1.2907</v>
      </c>
      <c r="DA23" s="49">
        <v>1.3</v>
      </c>
      <c r="DB23" s="49">
        <v>1.3093999999999999</v>
      </c>
      <c r="DC23" s="49">
        <v>1.3187</v>
      </c>
      <c r="DD23" s="49">
        <v>1.3281000000000001</v>
      </c>
      <c r="DE23" s="49">
        <v>1.3374999999999999</v>
      </c>
      <c r="DF23" s="49">
        <v>1.3469</v>
      </c>
      <c r="DG23" s="49">
        <v>1.3564000000000001</v>
      </c>
      <c r="DH23" s="49">
        <v>1.3658999999999999</v>
      </c>
      <c r="DI23" s="49">
        <v>1.3754</v>
      </c>
      <c r="DJ23" s="49">
        <v>1.3849</v>
      </c>
      <c r="DK23" s="49">
        <v>1.3945000000000001</v>
      </c>
      <c r="DL23" s="49">
        <v>1.4040999999999999</v>
      </c>
      <c r="DM23" s="49">
        <v>1.4137999999999999</v>
      </c>
      <c r="DN23" s="49">
        <v>1.4235</v>
      </c>
      <c r="DO23" s="49">
        <v>1.4332</v>
      </c>
      <c r="DP23" s="49">
        <v>1.4430000000000001</v>
      </c>
      <c r="DQ23" s="49">
        <v>1.4528000000000001</v>
      </c>
      <c r="DR23" s="49">
        <v>1.4626999999999999</v>
      </c>
      <c r="DS23" s="49">
        <v>1.4725999999999999</v>
      </c>
      <c r="DT23" s="49">
        <v>1.4825999999999999</v>
      </c>
      <c r="DU23" s="49">
        <v>1.4925999999999999</v>
      </c>
      <c r="DV23" s="49">
        <v>1.5026999999999999</v>
      </c>
      <c r="DW23" s="49">
        <v>1.5128999999999999</v>
      </c>
      <c r="DX23" s="49">
        <v>1.5230999999999999</v>
      </c>
      <c r="DY23" s="49">
        <v>1.5333000000000001</v>
      </c>
      <c r="DZ23" s="49">
        <v>1.5437000000000001</v>
      </c>
      <c r="EA23" s="49">
        <v>1.5541</v>
      </c>
      <c r="EB23" s="49">
        <v>1.5645</v>
      </c>
      <c r="EC23" s="49">
        <v>1.5750999999999999</v>
      </c>
      <c r="ED23" s="49">
        <v>1.5849</v>
      </c>
      <c r="EE23" s="49">
        <v>1.5933999999999999</v>
      </c>
      <c r="EF23" s="49">
        <v>1.6021000000000001</v>
      </c>
      <c r="EG23" s="49">
        <v>1.6108</v>
      </c>
      <c r="EH23" s="49">
        <v>1.6195999999999999</v>
      </c>
      <c r="EI23" s="49">
        <v>1.6286</v>
      </c>
      <c r="EJ23" s="49">
        <v>1.6375</v>
      </c>
      <c r="EK23" s="49">
        <v>1.6466000000000001</v>
      </c>
      <c r="EL23" s="49">
        <v>1.6557999999999999</v>
      </c>
      <c r="EM23" s="49">
        <v>1.6651</v>
      </c>
      <c r="EN23" s="49">
        <v>1.6745000000000001</v>
      </c>
      <c r="EO23" s="49">
        <v>1.6839999999999999</v>
      </c>
      <c r="EP23" s="49">
        <v>1.6937</v>
      </c>
      <c r="EQ23" s="49">
        <v>1.7034</v>
      </c>
      <c r="ER23" s="49">
        <v>1.7133</v>
      </c>
      <c r="ES23" s="49">
        <v>1.7233000000000001</v>
      </c>
      <c r="ET23" s="49">
        <v>1.7335</v>
      </c>
      <c r="EU23" s="49">
        <v>1.7438</v>
      </c>
      <c r="EV23" s="49">
        <v>1.7542</v>
      </c>
      <c r="EW23" s="49">
        <v>1.7647999999999999</v>
      </c>
      <c r="EX23" s="49">
        <v>1.7756000000000001</v>
      </c>
      <c r="EY23" s="49">
        <v>1.7865</v>
      </c>
      <c r="EZ23" s="49">
        <v>1.7976000000000001</v>
      </c>
      <c r="FA23" s="49">
        <v>1.8088</v>
      </c>
      <c r="FB23" s="49">
        <v>1.8203</v>
      </c>
      <c r="FC23" s="49">
        <v>1.8319000000000001</v>
      </c>
      <c r="FE23" s="50">
        <f t="shared" ca="1" si="4"/>
        <v>1.5149375038237993</v>
      </c>
      <c r="FF23" s="50">
        <f t="shared" ca="1" si="0"/>
        <v>1.5084977571291251</v>
      </c>
      <c r="FG23" s="50">
        <f t="shared" ca="1" si="1"/>
        <v>1.5019340268456376</v>
      </c>
      <c r="FH23" s="50">
        <f t="shared" ca="1" si="2"/>
        <v>1.4951555033557047</v>
      </c>
      <c r="FK23" s="50">
        <f t="shared" ca="1" si="3"/>
        <v>1.5084977571291251</v>
      </c>
      <c r="FL23" s="50"/>
      <c r="FM23" s="50"/>
      <c r="FN23" s="50"/>
    </row>
    <row r="24" spans="2:177" ht="17.100000000000001" customHeight="1" thickBot="1">
      <c r="B24" s="119"/>
      <c r="C24" s="569" t="s">
        <v>294</v>
      </c>
      <c r="D24" s="570"/>
      <c r="E24" s="570"/>
      <c r="F24" s="570"/>
      <c r="G24" s="570"/>
      <c r="H24" s="570"/>
      <c r="I24" s="570"/>
      <c r="J24" s="568" t="str">
        <f>IF(L11=AD10,"I","ANY")</f>
        <v>I</v>
      </c>
      <c r="K24" s="568"/>
      <c r="L24" s="568" t="s">
        <v>41</v>
      </c>
      <c r="M24" s="568"/>
      <c r="N24" s="568" t="s">
        <v>42</v>
      </c>
      <c r="O24" s="568"/>
      <c r="P24" s="568" t="s">
        <v>43</v>
      </c>
      <c r="Q24" s="652"/>
      <c r="R24" s="23"/>
      <c r="S24" s="25"/>
      <c r="T24" s="26"/>
      <c r="U24" s="26"/>
      <c r="V24" s="26"/>
      <c r="W24" s="26"/>
      <c r="X24" s="26"/>
      <c r="Y24" s="26"/>
      <c r="Z24" s="26"/>
      <c r="AA24" s="38"/>
      <c r="AB24" s="120"/>
      <c r="AC24" s="27"/>
      <c r="AE24" s="24"/>
      <c r="AG24" s="525" t="s">
        <v>311</v>
      </c>
      <c r="AH24" s="543"/>
      <c r="AI24" s="543"/>
      <c r="AJ24" s="543"/>
      <c r="AK24" s="543"/>
      <c r="AL24" s="543"/>
      <c r="AM24" s="543"/>
      <c r="AN24" s="543"/>
      <c r="AO24" s="526"/>
      <c r="AW24" s="46">
        <v>0.42699999999999999</v>
      </c>
      <c r="AX24" s="49">
        <v>0.8034</v>
      </c>
      <c r="AY24" s="49">
        <v>0.81230000000000002</v>
      </c>
      <c r="AZ24" s="49">
        <v>0.82110000000000005</v>
      </c>
      <c r="BA24" s="49">
        <v>0.82989999999999997</v>
      </c>
      <c r="BB24" s="49">
        <v>0.83879999999999999</v>
      </c>
      <c r="BC24" s="49">
        <v>0.84760000000000002</v>
      </c>
      <c r="BD24" s="49">
        <v>0.85650000000000004</v>
      </c>
      <c r="BE24" s="49">
        <v>0.86529999999999996</v>
      </c>
      <c r="BF24" s="49">
        <v>0.87419999999999998</v>
      </c>
      <c r="BG24" s="49">
        <v>0.8831</v>
      </c>
      <c r="BH24" s="49">
        <v>0.89190000000000003</v>
      </c>
      <c r="BI24" s="49">
        <v>0.90080000000000005</v>
      </c>
      <c r="BJ24" s="49">
        <v>0.90959999999999996</v>
      </c>
      <c r="BK24" s="49">
        <v>0.91849999999999998</v>
      </c>
      <c r="BL24" s="49">
        <v>0.9274</v>
      </c>
      <c r="BM24" s="49">
        <v>0.93630000000000002</v>
      </c>
      <c r="BN24" s="49">
        <v>0.94520000000000004</v>
      </c>
      <c r="BO24" s="49">
        <v>0.95399999999999996</v>
      </c>
      <c r="BP24" s="49">
        <v>0.96289999999999998</v>
      </c>
      <c r="BQ24" s="49">
        <v>0.9718</v>
      </c>
      <c r="BR24" s="49">
        <v>0.98070000000000002</v>
      </c>
      <c r="BS24" s="49">
        <v>0.98960000000000004</v>
      </c>
      <c r="BT24" s="49">
        <v>0.99850000000000005</v>
      </c>
      <c r="BU24" s="49">
        <v>1.0074000000000001</v>
      </c>
      <c r="BV24" s="49">
        <v>1.0164</v>
      </c>
      <c r="BW24" s="49">
        <v>1.0253000000000001</v>
      </c>
      <c r="BX24" s="49">
        <v>1.0342</v>
      </c>
      <c r="BY24" s="49">
        <v>1.0430999999999999</v>
      </c>
      <c r="BZ24" s="49">
        <v>1.0521</v>
      </c>
      <c r="CA24" s="49">
        <v>1.0609999999999999</v>
      </c>
      <c r="CB24" s="49">
        <v>1.07</v>
      </c>
      <c r="CC24" s="49">
        <v>1.0789</v>
      </c>
      <c r="CD24" s="49">
        <v>1.0879000000000001</v>
      </c>
      <c r="CE24" s="49">
        <v>1.0969</v>
      </c>
      <c r="CF24" s="49">
        <v>1.1059000000000001</v>
      </c>
      <c r="CG24" s="49">
        <v>1.1149</v>
      </c>
      <c r="CH24" s="49">
        <v>1.1238999999999999</v>
      </c>
      <c r="CI24" s="49">
        <v>1.1329</v>
      </c>
      <c r="CJ24" s="49">
        <v>1.1418999999999999</v>
      </c>
      <c r="CK24" s="49">
        <v>1.1509</v>
      </c>
      <c r="CL24" s="49">
        <v>1.1599999999999999</v>
      </c>
      <c r="CM24" s="49">
        <v>1.169</v>
      </c>
      <c r="CN24" s="49">
        <v>1.1780999999999999</v>
      </c>
      <c r="CO24" s="49">
        <v>1.1872</v>
      </c>
      <c r="CP24" s="49">
        <v>1.1962999999999999</v>
      </c>
      <c r="CQ24" s="49">
        <v>1.2054</v>
      </c>
      <c r="CR24" s="49">
        <v>1.2144999999999999</v>
      </c>
      <c r="CS24" s="49">
        <v>1.2237</v>
      </c>
      <c r="CT24" s="49">
        <v>1.2327999999999999</v>
      </c>
      <c r="CU24" s="49">
        <v>1.242</v>
      </c>
      <c r="CV24" s="49">
        <v>1.2512000000000001</v>
      </c>
      <c r="CW24" s="49">
        <v>1.2604</v>
      </c>
      <c r="CX24" s="49">
        <v>1.2696000000000001</v>
      </c>
      <c r="CY24" s="49">
        <v>1.2787999999999999</v>
      </c>
      <c r="CZ24" s="49">
        <v>1.2881</v>
      </c>
      <c r="DA24" s="49">
        <v>1.2974000000000001</v>
      </c>
      <c r="DB24" s="49">
        <v>1.3067</v>
      </c>
      <c r="DC24" s="49">
        <v>1.3160000000000001</v>
      </c>
      <c r="DD24" s="49">
        <v>1.3253999999999999</v>
      </c>
      <c r="DE24" s="49">
        <v>1.3348</v>
      </c>
      <c r="DF24" s="49">
        <v>1.3442000000000001</v>
      </c>
      <c r="DG24" s="49">
        <v>1.3535999999999999</v>
      </c>
      <c r="DH24" s="49">
        <v>1.3631</v>
      </c>
      <c r="DI24" s="49">
        <v>1.3726</v>
      </c>
      <c r="DJ24" s="49">
        <v>1.3821000000000001</v>
      </c>
      <c r="DK24" s="49">
        <v>1.3916999999999999</v>
      </c>
      <c r="DL24" s="49">
        <v>1.4013</v>
      </c>
      <c r="DM24" s="49">
        <v>1.4109</v>
      </c>
      <c r="DN24" s="49">
        <v>1.4206000000000001</v>
      </c>
      <c r="DO24" s="49">
        <v>1.4302999999999999</v>
      </c>
      <c r="DP24" s="49">
        <v>1.4400999999999999</v>
      </c>
      <c r="DQ24" s="49">
        <v>1.4499</v>
      </c>
      <c r="DR24" s="49">
        <v>1.4597</v>
      </c>
      <c r="DS24" s="49">
        <v>1.4696</v>
      </c>
      <c r="DT24" s="49">
        <v>1.4796</v>
      </c>
      <c r="DU24" s="49">
        <v>1.4896</v>
      </c>
      <c r="DV24" s="49">
        <v>1.4997</v>
      </c>
      <c r="DW24" s="49">
        <v>1.5098</v>
      </c>
      <c r="DX24" s="49">
        <v>1.52</v>
      </c>
      <c r="DY24" s="49">
        <v>1.5302</v>
      </c>
      <c r="DZ24" s="49">
        <v>1.5405</v>
      </c>
      <c r="EA24" s="49">
        <v>1.5508999999999999</v>
      </c>
      <c r="EB24" s="49">
        <v>1.5613999999999999</v>
      </c>
      <c r="EC24" s="49">
        <v>1.5719000000000001</v>
      </c>
      <c r="ED24" s="49">
        <v>1.5825</v>
      </c>
      <c r="EE24" s="49">
        <v>1.5931999999999999</v>
      </c>
      <c r="EF24" s="49">
        <v>1.6021000000000001</v>
      </c>
      <c r="EG24" s="49">
        <v>1.6108</v>
      </c>
      <c r="EH24" s="49">
        <v>1.6195999999999999</v>
      </c>
      <c r="EI24" s="49">
        <v>1.6286</v>
      </c>
      <c r="EJ24" s="49">
        <v>1.6375</v>
      </c>
      <c r="EK24" s="49">
        <v>1.6466000000000001</v>
      </c>
      <c r="EL24" s="49">
        <v>1.6557999999999999</v>
      </c>
      <c r="EM24" s="49">
        <v>1.6651</v>
      </c>
      <c r="EN24" s="49">
        <v>1.6745000000000001</v>
      </c>
      <c r="EO24" s="49">
        <v>1.6839999999999999</v>
      </c>
      <c r="EP24" s="49">
        <v>1.6937</v>
      </c>
      <c r="EQ24" s="49">
        <v>1.7034</v>
      </c>
      <c r="ER24" s="49">
        <v>1.7133</v>
      </c>
      <c r="ES24" s="49">
        <v>1.7233000000000001</v>
      </c>
      <c r="ET24" s="49">
        <v>1.7335</v>
      </c>
      <c r="EU24" s="49">
        <v>1.7438</v>
      </c>
      <c r="EV24" s="49">
        <v>1.7542</v>
      </c>
      <c r="EW24" s="49">
        <v>1.7647999999999999</v>
      </c>
      <c r="EX24" s="49">
        <v>1.7756000000000001</v>
      </c>
      <c r="EY24" s="49">
        <v>1.7865</v>
      </c>
      <c r="EZ24" s="49">
        <v>1.7976000000000001</v>
      </c>
      <c r="FA24" s="49">
        <v>1.8088</v>
      </c>
      <c r="FB24" s="49">
        <v>1.8203</v>
      </c>
      <c r="FC24" s="49">
        <v>1.8319000000000001</v>
      </c>
      <c r="FE24" s="50">
        <f t="shared" ca="1" si="4"/>
        <v>1.5118375038237994</v>
      </c>
      <c r="FF24" s="50">
        <f t="shared" ca="1" si="0"/>
        <v>1.5054409163729574</v>
      </c>
      <c r="FG24" s="50">
        <f t="shared" ca="1" si="1"/>
        <v>1.4989340268456377</v>
      </c>
      <c r="FH24" s="50">
        <f t="shared" ca="1" si="2"/>
        <v>1.4921555033557048</v>
      </c>
      <c r="FK24" s="50">
        <f t="shared" ca="1" si="3"/>
        <v>1.5054409163729574</v>
      </c>
      <c r="FL24" s="50"/>
      <c r="FM24" s="50"/>
      <c r="FN24" s="50"/>
    </row>
    <row r="25" spans="2:177" ht="17.100000000000001" customHeight="1">
      <c r="B25" s="119"/>
      <c r="C25" s="536" t="s">
        <v>517</v>
      </c>
      <c r="D25" s="537"/>
      <c r="E25" s="537"/>
      <c r="F25" s="537"/>
      <c r="G25" s="537"/>
      <c r="H25" s="537"/>
      <c r="I25" s="537"/>
      <c r="J25" s="532">
        <f>IF($L$11=$AD$11,"-",P23)</f>
        <v>10</v>
      </c>
      <c r="K25" s="532"/>
      <c r="L25" s="532">
        <f>IF($L$11=$AD$11,"-",+P23+90)</f>
        <v>100</v>
      </c>
      <c r="M25" s="532"/>
      <c r="N25" s="532">
        <f>IF($L$11=$AD$11,"-",+P23+180)</f>
        <v>190</v>
      </c>
      <c r="O25" s="532"/>
      <c r="P25" s="532">
        <f>IF($L$11=$AD$11,"-",IF(P23&lt;=90,N25+90,P23-90))</f>
        <v>280</v>
      </c>
      <c r="Q25" s="564"/>
      <c r="R25" s="23"/>
      <c r="S25" s="25"/>
      <c r="T25" s="26"/>
      <c r="U25" s="26"/>
      <c r="V25" s="26"/>
      <c r="W25" s="26"/>
      <c r="X25" s="26"/>
      <c r="Y25" s="26"/>
      <c r="Z25" s="26"/>
      <c r="AA25" s="38"/>
      <c r="AB25" s="120"/>
      <c r="AC25" s="27"/>
      <c r="AE25" s="24"/>
      <c r="AG25" s="53" t="s">
        <v>52</v>
      </c>
      <c r="AH25" s="99" t="s">
        <v>40</v>
      </c>
      <c r="AI25" s="99" t="s">
        <v>41</v>
      </c>
      <c r="AJ25" s="99" t="s">
        <v>42</v>
      </c>
      <c r="AK25" s="99" t="s">
        <v>43</v>
      </c>
      <c r="AL25" s="99" t="s">
        <v>40</v>
      </c>
      <c r="AM25" s="99" t="s">
        <v>41</v>
      </c>
      <c r="AN25" s="99" t="s">
        <v>42</v>
      </c>
      <c r="AO25" s="54" t="s">
        <v>43</v>
      </c>
      <c r="AQ25" s="4" t="s">
        <v>207</v>
      </c>
      <c r="AR25" s="48">
        <v>1</v>
      </c>
      <c r="AS25" s="48">
        <v>1</v>
      </c>
      <c r="AW25" s="46">
        <v>0.45700000000000002</v>
      </c>
      <c r="AX25" s="49">
        <v>0.80179999999999996</v>
      </c>
      <c r="AY25" s="49">
        <v>0.81059999999999999</v>
      </c>
      <c r="AZ25" s="49">
        <v>0.81940000000000002</v>
      </c>
      <c r="BA25" s="49">
        <v>0.82830000000000004</v>
      </c>
      <c r="BB25" s="49">
        <v>0.83709999999999996</v>
      </c>
      <c r="BC25" s="49">
        <v>0.84589999999999999</v>
      </c>
      <c r="BD25" s="49">
        <v>0.8548</v>
      </c>
      <c r="BE25" s="49">
        <v>0.86360000000000003</v>
      </c>
      <c r="BF25" s="49">
        <v>0.87239999999999995</v>
      </c>
      <c r="BG25" s="49">
        <v>0.88129999999999997</v>
      </c>
      <c r="BH25" s="49">
        <v>0.8901</v>
      </c>
      <c r="BI25" s="49">
        <v>0.89900000000000002</v>
      </c>
      <c r="BJ25" s="49">
        <v>0.90780000000000005</v>
      </c>
      <c r="BK25" s="49">
        <v>0.91669999999999996</v>
      </c>
      <c r="BL25" s="49">
        <v>0.92549999999999999</v>
      </c>
      <c r="BM25" s="49">
        <v>0.93440000000000001</v>
      </c>
      <c r="BN25" s="49">
        <v>0.94330000000000003</v>
      </c>
      <c r="BO25" s="49">
        <v>0.95209999999999995</v>
      </c>
      <c r="BP25" s="49">
        <v>0.96099999999999997</v>
      </c>
      <c r="BQ25" s="49">
        <v>0.96989999999999998</v>
      </c>
      <c r="BR25" s="49">
        <v>0.97870000000000001</v>
      </c>
      <c r="BS25" s="49">
        <v>0.98760000000000003</v>
      </c>
      <c r="BT25" s="49">
        <v>0.99650000000000005</v>
      </c>
      <c r="BU25" s="49">
        <v>1.0054000000000001</v>
      </c>
      <c r="BV25" s="49">
        <v>1.0143</v>
      </c>
      <c r="BW25" s="49">
        <v>1.0232000000000001</v>
      </c>
      <c r="BX25" s="49">
        <v>1.0321</v>
      </c>
      <c r="BY25" s="49">
        <v>1.0409999999999999</v>
      </c>
      <c r="BZ25" s="49">
        <v>1.05</v>
      </c>
      <c r="CA25" s="49">
        <v>1.0589</v>
      </c>
      <c r="CB25" s="49">
        <v>1.0678000000000001</v>
      </c>
      <c r="CC25" s="49">
        <v>1.0768</v>
      </c>
      <c r="CD25" s="49">
        <v>1.0857000000000001</v>
      </c>
      <c r="CE25" s="49">
        <v>1.0947</v>
      </c>
      <c r="CF25" s="49">
        <v>1.1036999999999999</v>
      </c>
      <c r="CG25" s="49">
        <v>1.1126</v>
      </c>
      <c r="CH25" s="49">
        <v>1.1215999999999999</v>
      </c>
      <c r="CI25" s="49">
        <v>1.1306</v>
      </c>
      <c r="CJ25" s="49">
        <v>1.1395999999999999</v>
      </c>
      <c r="CK25" s="49">
        <v>1.1486000000000001</v>
      </c>
      <c r="CL25" s="49">
        <v>1.1577</v>
      </c>
      <c r="CM25" s="49">
        <v>1.1667000000000001</v>
      </c>
      <c r="CN25" s="49">
        <v>1.1757</v>
      </c>
      <c r="CO25" s="49">
        <v>1.1848000000000001</v>
      </c>
      <c r="CP25" s="49">
        <v>1.1939</v>
      </c>
      <c r="CQ25" s="49">
        <v>1.2030000000000001</v>
      </c>
      <c r="CR25" s="49">
        <v>1.2121</v>
      </c>
      <c r="CS25" s="49">
        <v>1.2212000000000001</v>
      </c>
      <c r="CT25" s="49">
        <v>1.2302999999999999</v>
      </c>
      <c r="CU25" s="49">
        <v>1.2395</v>
      </c>
      <c r="CV25" s="49">
        <v>1.2485999999999999</v>
      </c>
      <c r="CW25" s="49">
        <v>1.2578</v>
      </c>
      <c r="CX25" s="49">
        <v>1.2669999999999999</v>
      </c>
      <c r="CY25" s="49">
        <v>1.2763</v>
      </c>
      <c r="CZ25" s="49">
        <v>1.2855000000000001</v>
      </c>
      <c r="DA25" s="49">
        <v>1.2948</v>
      </c>
      <c r="DB25" s="49">
        <v>1.3041</v>
      </c>
      <c r="DC25" s="49">
        <v>1.3133999999999999</v>
      </c>
      <c r="DD25" s="49">
        <v>1.3227</v>
      </c>
      <c r="DE25" s="49">
        <v>1.3321000000000001</v>
      </c>
      <c r="DF25" s="49">
        <v>1.3414999999999999</v>
      </c>
      <c r="DG25" s="49">
        <v>1.3509</v>
      </c>
      <c r="DH25" s="49">
        <v>1.3603000000000001</v>
      </c>
      <c r="DI25" s="49">
        <v>1.3697999999999999</v>
      </c>
      <c r="DJ25" s="49">
        <v>1.3793</v>
      </c>
      <c r="DK25" s="49">
        <v>1.3889</v>
      </c>
      <c r="DL25" s="49">
        <v>1.3985000000000001</v>
      </c>
      <c r="DM25" s="49">
        <v>1.4080999999999999</v>
      </c>
      <c r="DN25" s="49">
        <v>1.4177</v>
      </c>
      <c r="DO25" s="49">
        <v>1.4274</v>
      </c>
      <c r="DP25" s="49">
        <v>1.4372</v>
      </c>
      <c r="DQ25" s="49">
        <v>1.4470000000000001</v>
      </c>
      <c r="DR25" s="49">
        <v>1.4568000000000001</v>
      </c>
      <c r="DS25" s="49">
        <v>1.4666999999999999</v>
      </c>
      <c r="DT25" s="49">
        <v>1.4765999999999999</v>
      </c>
      <c r="DU25" s="49">
        <v>1.4865999999999999</v>
      </c>
      <c r="DV25" s="49">
        <v>1.4966999999999999</v>
      </c>
      <c r="DW25" s="49">
        <v>1.5067999999999999</v>
      </c>
      <c r="DX25" s="49">
        <v>1.5168999999999999</v>
      </c>
      <c r="DY25" s="49">
        <v>1.5270999999999999</v>
      </c>
      <c r="DZ25" s="49">
        <v>1.5374000000000001</v>
      </c>
      <c r="EA25" s="49">
        <v>1.5478000000000001</v>
      </c>
      <c r="EB25" s="49">
        <v>1.5582</v>
      </c>
      <c r="EC25" s="49">
        <v>1.5687</v>
      </c>
      <c r="ED25" s="49">
        <v>1.5792999999999999</v>
      </c>
      <c r="EE25" s="49">
        <v>1.59</v>
      </c>
      <c r="EF25" s="49">
        <v>1.6008</v>
      </c>
      <c r="EG25" s="49">
        <v>1.6108</v>
      </c>
      <c r="EH25" s="49">
        <v>1.6195999999999999</v>
      </c>
      <c r="EI25" s="49">
        <v>1.6286</v>
      </c>
      <c r="EJ25" s="49">
        <v>1.6375</v>
      </c>
      <c r="EK25" s="49">
        <v>1.6466000000000001</v>
      </c>
      <c r="EL25" s="49">
        <v>1.6557999999999999</v>
      </c>
      <c r="EM25" s="49">
        <v>1.6651</v>
      </c>
      <c r="EN25" s="49">
        <v>1.6745000000000001</v>
      </c>
      <c r="EO25" s="49">
        <v>1.6839999999999999</v>
      </c>
      <c r="EP25" s="49">
        <v>1.6937</v>
      </c>
      <c r="EQ25" s="49">
        <v>1.7034</v>
      </c>
      <c r="ER25" s="49">
        <v>1.7133</v>
      </c>
      <c r="ES25" s="49">
        <v>1.7233000000000001</v>
      </c>
      <c r="ET25" s="49">
        <v>1.7335</v>
      </c>
      <c r="EU25" s="49">
        <v>1.7438</v>
      </c>
      <c r="EV25" s="49">
        <v>1.7542</v>
      </c>
      <c r="EW25" s="49">
        <v>1.7647999999999999</v>
      </c>
      <c r="EX25" s="49">
        <v>1.7756000000000001</v>
      </c>
      <c r="EY25" s="49">
        <v>1.7865</v>
      </c>
      <c r="EZ25" s="49">
        <v>1.7976000000000001</v>
      </c>
      <c r="FA25" s="49">
        <v>1.8088</v>
      </c>
      <c r="FB25" s="49">
        <v>1.8203</v>
      </c>
      <c r="FC25" s="49">
        <v>1.8319000000000001</v>
      </c>
      <c r="FE25" s="50">
        <f t="shared" ca="1" si="4"/>
        <v>1.5088175282961149</v>
      </c>
      <c r="FF25" s="50">
        <f t="shared" ca="1" si="0"/>
        <v>1.5024409163729573</v>
      </c>
      <c r="FG25" s="50">
        <f t="shared" ca="1" si="1"/>
        <v>1.4959340268456376</v>
      </c>
      <c r="FH25" s="50">
        <f t="shared" ca="1" si="2"/>
        <v>1.4891555033557047</v>
      </c>
      <c r="FK25" s="50">
        <f t="shared" ca="1" si="3"/>
        <v>1.5024409163729573</v>
      </c>
      <c r="FL25" s="50"/>
      <c r="FM25" s="50"/>
      <c r="FN25" s="50"/>
    </row>
    <row r="26" spans="2:177" ht="17.100000000000001" customHeight="1">
      <c r="B26" s="119"/>
      <c r="C26" s="536" t="s">
        <v>291</v>
      </c>
      <c r="D26" s="537"/>
      <c r="E26" s="537"/>
      <c r="F26" s="537"/>
      <c r="G26" s="537"/>
      <c r="H26" s="537"/>
      <c r="I26" s="537"/>
      <c r="J26" s="532">
        <f ca="1">IF(AK8=1,AG10,AG9)</f>
        <v>0.83499999999999996</v>
      </c>
      <c r="K26" s="532"/>
      <c r="L26" s="532">
        <f ca="1">IF($L$11=$AD$11,"-",IF(AK8=1,AH10,AH9))</f>
        <v>0.79</v>
      </c>
      <c r="M26" s="532"/>
      <c r="N26" s="532">
        <f ca="1">IF($L$11=$AD$11,"-",IF(AK8=1,AI10,AI9))</f>
        <v>0.98499999999999999</v>
      </c>
      <c r="O26" s="532"/>
      <c r="P26" s="532">
        <f ca="1">IF($L$11=$AD$11,"-",IF(AK8=1,AJ10,AJ9))</f>
        <v>1</v>
      </c>
      <c r="Q26" s="564"/>
      <c r="R26" s="23"/>
      <c r="S26" s="25"/>
      <c r="T26" s="26"/>
      <c r="U26" s="26"/>
      <c r="V26" s="26"/>
      <c r="W26" s="26"/>
      <c r="X26" s="26"/>
      <c r="Y26" s="26"/>
      <c r="Z26" s="26"/>
      <c r="AA26" s="38"/>
      <c r="AB26" s="120"/>
      <c r="AC26" s="27"/>
      <c r="AD26" s="11">
        <f ca="1">INDEX('wind pressure'!$J$27:$Q$27,1,IF(AN41,1,2*MATCH(input!$Z$14,input!$AI$24:$AI$27,0)-1))</f>
        <v>19.362158639205749</v>
      </c>
      <c r="AE26" s="24"/>
      <c r="AG26" s="71">
        <v>1</v>
      </c>
      <c r="AH26" s="183" t="b">
        <f>IF(J38&lt;=2*J37,TRUE,FALSE)</f>
        <v>1</v>
      </c>
      <c r="AI26" s="183" t="b">
        <f>IF(L38&lt;=2*L37,TRUE,FALSE)</f>
        <v>1</v>
      </c>
      <c r="AJ26" s="183" t="b">
        <f>IF(N38&lt;=2*N37,TRUE,FALSE)</f>
        <v>1</v>
      </c>
      <c r="AK26" s="183" t="b">
        <f>IF(P38&lt;=2*P37,TRUE,FALSE)</f>
        <v>1</v>
      </c>
      <c r="AL26" s="72">
        <f>AN23-MIN(0.8*$J$37,0.6*AN23)</f>
        <v>68</v>
      </c>
      <c r="AM26" s="72">
        <f>AN23-MIN(0.8*$L$37,0.6*AN23)</f>
        <v>66</v>
      </c>
      <c r="AN26" s="72">
        <f>AN23-MIN(0.8*$N$37,0.6*AN23)</f>
        <v>64</v>
      </c>
      <c r="AO26" s="73">
        <f>AN23-MIN(0.8*$P$37,0.6*AN23)</f>
        <v>62</v>
      </c>
      <c r="AR26" s="186">
        <v>2</v>
      </c>
      <c r="AS26" s="3">
        <f ca="1">VLOOKUP(10,$AW$317:$FN$417,119,TRUE)</f>
        <v>0.87190733739186166</v>
      </c>
      <c r="AW26" s="46">
        <v>0.49</v>
      </c>
      <c r="AX26" s="49">
        <v>0.80020000000000002</v>
      </c>
      <c r="AY26" s="49">
        <v>0.80900000000000005</v>
      </c>
      <c r="AZ26" s="49">
        <v>0.81779999999999997</v>
      </c>
      <c r="BA26" s="49">
        <v>0.8266</v>
      </c>
      <c r="BB26" s="49">
        <v>0.83540000000000003</v>
      </c>
      <c r="BC26" s="49">
        <v>0.84430000000000005</v>
      </c>
      <c r="BD26" s="49">
        <v>0.85309999999999997</v>
      </c>
      <c r="BE26" s="49">
        <v>0.8619</v>
      </c>
      <c r="BF26" s="49">
        <v>0.87070000000000003</v>
      </c>
      <c r="BG26" s="49">
        <v>0.87949999999999995</v>
      </c>
      <c r="BH26" s="49">
        <v>0.88839999999999997</v>
      </c>
      <c r="BI26" s="49">
        <v>0.8972</v>
      </c>
      <c r="BJ26" s="49">
        <v>0.90600000000000003</v>
      </c>
      <c r="BK26" s="49">
        <v>0.91490000000000005</v>
      </c>
      <c r="BL26" s="49">
        <v>0.92369999999999997</v>
      </c>
      <c r="BM26" s="49">
        <v>0.9325</v>
      </c>
      <c r="BN26" s="49">
        <v>0.94140000000000001</v>
      </c>
      <c r="BO26" s="49">
        <v>0.95020000000000004</v>
      </c>
      <c r="BP26" s="49">
        <v>0.95909999999999995</v>
      </c>
      <c r="BQ26" s="49">
        <v>0.96789999999999998</v>
      </c>
      <c r="BR26" s="49">
        <v>0.9768</v>
      </c>
      <c r="BS26" s="49">
        <v>0.98570000000000002</v>
      </c>
      <c r="BT26" s="49">
        <v>0.99450000000000005</v>
      </c>
      <c r="BU26" s="49">
        <v>1.0034000000000001</v>
      </c>
      <c r="BV26" s="49">
        <v>1.0123</v>
      </c>
      <c r="BW26" s="49">
        <v>1.0212000000000001</v>
      </c>
      <c r="BX26" s="49">
        <v>1.0301</v>
      </c>
      <c r="BY26" s="49">
        <v>1.0389999999999999</v>
      </c>
      <c r="BZ26" s="49">
        <v>1.0479000000000001</v>
      </c>
      <c r="CA26" s="49">
        <v>1.0568</v>
      </c>
      <c r="CB26" s="49">
        <v>1.0657000000000001</v>
      </c>
      <c r="CC26" s="49">
        <v>1.0746</v>
      </c>
      <c r="CD26" s="49">
        <v>1.0835999999999999</v>
      </c>
      <c r="CE26" s="49">
        <v>1.0925</v>
      </c>
      <c r="CF26" s="49">
        <v>1.1014999999999999</v>
      </c>
      <c r="CG26" s="49">
        <v>1.1104000000000001</v>
      </c>
      <c r="CH26" s="49">
        <v>1.1194</v>
      </c>
      <c r="CI26" s="49">
        <v>1.1284000000000001</v>
      </c>
      <c r="CJ26" s="49">
        <v>1.1374</v>
      </c>
      <c r="CK26" s="49">
        <v>1.1464000000000001</v>
      </c>
      <c r="CL26" s="49">
        <v>1.1554</v>
      </c>
      <c r="CM26" s="49">
        <v>1.1644000000000001</v>
      </c>
      <c r="CN26" s="49">
        <v>1.1734</v>
      </c>
      <c r="CO26" s="49">
        <v>1.1825000000000001</v>
      </c>
      <c r="CP26" s="49">
        <v>1.1915</v>
      </c>
      <c r="CQ26" s="49">
        <v>1.2005999999999999</v>
      </c>
      <c r="CR26" s="49">
        <v>1.2097</v>
      </c>
      <c r="CS26" s="49">
        <v>1.2188000000000001</v>
      </c>
      <c r="CT26" s="49">
        <v>1.2279</v>
      </c>
      <c r="CU26" s="49">
        <v>1.2370000000000001</v>
      </c>
      <c r="CV26" s="49">
        <v>1.2462</v>
      </c>
      <c r="CW26" s="49">
        <v>1.2553000000000001</v>
      </c>
      <c r="CX26" s="49">
        <v>1.2645</v>
      </c>
      <c r="CY26" s="49">
        <v>1.2737000000000001</v>
      </c>
      <c r="CZ26" s="49">
        <v>1.2829999999999999</v>
      </c>
      <c r="DA26" s="49">
        <v>1.2922</v>
      </c>
      <c r="DB26" s="49">
        <v>1.3015000000000001</v>
      </c>
      <c r="DC26" s="49">
        <v>1.3108</v>
      </c>
      <c r="DD26" s="49">
        <v>1.3201000000000001</v>
      </c>
      <c r="DE26" s="49">
        <v>1.3293999999999999</v>
      </c>
      <c r="DF26" s="49">
        <v>1.3388</v>
      </c>
      <c r="DG26" s="49">
        <v>1.3482000000000001</v>
      </c>
      <c r="DH26" s="49">
        <v>1.3575999999999999</v>
      </c>
      <c r="DI26" s="49">
        <v>1.3671</v>
      </c>
      <c r="DJ26" s="49">
        <v>1.3766</v>
      </c>
      <c r="DK26" s="49">
        <v>1.3861000000000001</v>
      </c>
      <c r="DL26" s="49">
        <v>1.3956999999999999</v>
      </c>
      <c r="DM26" s="49">
        <v>1.4053</v>
      </c>
      <c r="DN26" s="49">
        <v>1.4149</v>
      </c>
      <c r="DO26" s="49">
        <v>1.4246000000000001</v>
      </c>
      <c r="DP26" s="49">
        <v>1.4342999999999999</v>
      </c>
      <c r="DQ26" s="49">
        <v>1.4440999999999999</v>
      </c>
      <c r="DR26" s="49">
        <v>1.4539</v>
      </c>
      <c r="DS26" s="49">
        <v>1.4638</v>
      </c>
      <c r="DT26" s="49">
        <v>1.4737</v>
      </c>
      <c r="DU26" s="49">
        <v>1.4837</v>
      </c>
      <c r="DV26" s="49">
        <v>1.4937</v>
      </c>
      <c r="DW26" s="49">
        <v>1.5038</v>
      </c>
      <c r="DX26" s="49">
        <v>1.5139</v>
      </c>
      <c r="DY26" s="49">
        <v>1.5241</v>
      </c>
      <c r="DZ26" s="49">
        <v>1.5344</v>
      </c>
      <c r="EA26" s="49">
        <v>1.5447</v>
      </c>
      <c r="EB26" s="49">
        <v>1.5550999999999999</v>
      </c>
      <c r="EC26" s="49">
        <v>1.5656000000000001</v>
      </c>
      <c r="ED26" s="49">
        <v>1.5762</v>
      </c>
      <c r="EE26" s="49">
        <v>1.5868</v>
      </c>
      <c r="EF26" s="49">
        <v>1.5975999999999999</v>
      </c>
      <c r="EG26" s="49">
        <v>1.6084000000000001</v>
      </c>
      <c r="EH26" s="49">
        <v>1.6193</v>
      </c>
      <c r="EI26" s="49">
        <v>1.6286</v>
      </c>
      <c r="EJ26" s="49">
        <v>1.6375</v>
      </c>
      <c r="EK26" s="49">
        <v>1.6466000000000001</v>
      </c>
      <c r="EL26" s="49">
        <v>1.6557999999999999</v>
      </c>
      <c r="EM26" s="49">
        <v>1.6651</v>
      </c>
      <c r="EN26" s="49">
        <v>1.6745000000000001</v>
      </c>
      <c r="EO26" s="49">
        <v>1.6839999999999999</v>
      </c>
      <c r="EP26" s="49">
        <v>1.6937</v>
      </c>
      <c r="EQ26" s="49">
        <v>1.7034</v>
      </c>
      <c r="ER26" s="49">
        <v>1.7133</v>
      </c>
      <c r="ES26" s="49">
        <v>1.7233000000000001</v>
      </c>
      <c r="ET26" s="49">
        <v>1.7335</v>
      </c>
      <c r="EU26" s="49">
        <v>1.7438</v>
      </c>
      <c r="EV26" s="49">
        <v>1.7542</v>
      </c>
      <c r="EW26" s="49">
        <v>1.7647999999999999</v>
      </c>
      <c r="EX26" s="49">
        <v>1.7756000000000001</v>
      </c>
      <c r="EY26" s="49">
        <v>1.7865</v>
      </c>
      <c r="EZ26" s="49">
        <v>1.7976000000000001</v>
      </c>
      <c r="FA26" s="49">
        <v>1.8088</v>
      </c>
      <c r="FB26" s="49">
        <v>1.8203</v>
      </c>
      <c r="FC26" s="49">
        <v>1.8319000000000001</v>
      </c>
      <c r="FE26" s="50">
        <f t="shared" ca="1" si="4"/>
        <v>1.505817528296115</v>
      </c>
      <c r="FF26" s="50">
        <f t="shared" ca="1" si="0"/>
        <v>1.4994409163729574</v>
      </c>
      <c r="FG26" s="50">
        <f t="shared" ca="1" si="1"/>
        <v>1.4929416107382552</v>
      </c>
      <c r="FH26" s="50">
        <f t="shared" ca="1" si="2"/>
        <v>1.4862302013422819</v>
      </c>
      <c r="FK26" s="50">
        <f t="shared" ca="1" si="3"/>
        <v>1.4994409163729574</v>
      </c>
      <c r="FL26" s="50"/>
      <c r="FM26" s="50"/>
      <c r="FN26" s="50"/>
    </row>
    <row r="27" spans="2:177" ht="17.100000000000001" customHeight="1">
      <c r="B27" s="119"/>
      <c r="C27" s="536" t="s">
        <v>292</v>
      </c>
      <c r="D27" s="537"/>
      <c r="E27" s="537"/>
      <c r="F27" s="537"/>
      <c r="G27" s="537"/>
      <c r="H27" s="537"/>
      <c r="I27" s="537"/>
      <c r="J27" s="567">
        <f ca="1">+J26*$N$17*$N$18*$N$19*$N$15</f>
        <v>19.362158639205749</v>
      </c>
      <c r="K27" s="567"/>
      <c r="L27" s="567">
        <f ca="1">IF($L$11=$AD$11,"-",+L26*$N$17*$N$18*$N$19*$N$15)</f>
        <v>18.318689011943164</v>
      </c>
      <c r="M27" s="567"/>
      <c r="N27" s="567">
        <f ca="1">IF($L$11=$AD$11,"-",+N26*$N$17*$N$18*$N$19*$N$15)</f>
        <v>22.840390730081033</v>
      </c>
      <c r="O27" s="567"/>
      <c r="P27" s="567">
        <f ca="1">IF($L$11=$AD$11,"-",+P26*$N$17*$N$18*$N$19*$N$15)</f>
        <v>23.188213939168563</v>
      </c>
      <c r="Q27" s="655"/>
      <c r="R27" s="23"/>
      <c r="S27" s="25"/>
      <c r="T27" s="26"/>
      <c r="U27" s="26"/>
      <c r="V27" s="26"/>
      <c r="W27" s="26"/>
      <c r="X27" s="26"/>
      <c r="Y27" s="26"/>
      <c r="Z27" s="26"/>
      <c r="AA27" s="38"/>
      <c r="AB27" s="120"/>
      <c r="AC27" s="27"/>
      <c r="AD27" s="41"/>
      <c r="AE27" s="24"/>
      <c r="AG27" s="71">
        <v>2</v>
      </c>
      <c r="AH27" s="183" t="b">
        <f>AND(2*J37&lt;J38,J38&lt;6*J37)</f>
        <v>0</v>
      </c>
      <c r="AI27" s="183" t="b">
        <f>AND(2*L37&lt;L38,L38&lt;6*L37)</f>
        <v>0</v>
      </c>
      <c r="AJ27" s="183" t="b">
        <f>AND(2*N37&lt;N38,N38&lt;6*N37)</f>
        <v>0</v>
      </c>
      <c r="AK27" s="183" t="b">
        <f>AND(2*P37&lt;P38,P38&lt;6*P37)</f>
        <v>0</v>
      </c>
      <c r="AL27" s="72">
        <f>AN23-MIN(1.2*$J$37-0.2*$J$38,0.6*AN23)</f>
        <v>64</v>
      </c>
      <c r="AM27" s="72">
        <f>AN23-MIN(1.2*$L$37-0.2*$L$38,0.6*AN23)</f>
        <v>61</v>
      </c>
      <c r="AN27" s="72">
        <f>AN23-MIN(1.2*$N$37-0.2*$N$38,0.6*AN23)</f>
        <v>58</v>
      </c>
      <c r="AO27" s="73">
        <f>AN23-MIN(1.2*$P$37-0.2*$P$38,0.6*AN23)</f>
        <v>55</v>
      </c>
      <c r="AQ27" s="4" t="s">
        <v>210</v>
      </c>
      <c r="AR27" s="186">
        <v>1</v>
      </c>
      <c r="AS27" s="186">
        <v>1</v>
      </c>
      <c r="AW27" s="46">
        <v>0.52500000000000002</v>
      </c>
      <c r="AX27" s="49">
        <v>0.79859999999999998</v>
      </c>
      <c r="AY27" s="49">
        <v>0.80740000000000001</v>
      </c>
      <c r="AZ27" s="49">
        <v>0.81620000000000004</v>
      </c>
      <c r="BA27" s="49">
        <v>0.82499999999999996</v>
      </c>
      <c r="BB27" s="49">
        <v>0.83379999999999999</v>
      </c>
      <c r="BC27" s="49">
        <v>0.84260000000000002</v>
      </c>
      <c r="BD27" s="49">
        <v>0.85140000000000005</v>
      </c>
      <c r="BE27" s="49">
        <v>0.86019999999999996</v>
      </c>
      <c r="BF27" s="49">
        <v>0.86899999999999999</v>
      </c>
      <c r="BG27" s="49">
        <v>0.87780000000000002</v>
      </c>
      <c r="BH27" s="49">
        <v>0.88660000000000005</v>
      </c>
      <c r="BI27" s="49">
        <v>0.89539999999999997</v>
      </c>
      <c r="BJ27" s="49">
        <v>0.9042</v>
      </c>
      <c r="BK27" s="49">
        <v>0.91310000000000002</v>
      </c>
      <c r="BL27" s="49">
        <v>0.92190000000000005</v>
      </c>
      <c r="BM27" s="49">
        <v>0.93069999999999997</v>
      </c>
      <c r="BN27" s="49">
        <v>0.9395</v>
      </c>
      <c r="BO27" s="49">
        <v>0.94840000000000002</v>
      </c>
      <c r="BP27" s="49">
        <v>0.95720000000000005</v>
      </c>
      <c r="BQ27" s="49">
        <v>0.96609999999999996</v>
      </c>
      <c r="BR27" s="49">
        <v>0.97489999999999999</v>
      </c>
      <c r="BS27" s="49">
        <v>0.98370000000000002</v>
      </c>
      <c r="BT27" s="49">
        <v>0.99260000000000004</v>
      </c>
      <c r="BU27" s="49">
        <v>1.0015000000000001</v>
      </c>
      <c r="BV27" s="49">
        <v>1.0103</v>
      </c>
      <c r="BW27" s="49">
        <v>1.0192000000000001</v>
      </c>
      <c r="BX27" s="49">
        <v>1.0281</v>
      </c>
      <c r="BY27" s="49">
        <v>1.0368999999999999</v>
      </c>
      <c r="BZ27" s="49">
        <v>1.0458000000000001</v>
      </c>
      <c r="CA27" s="49">
        <v>1.0547</v>
      </c>
      <c r="CB27" s="49">
        <v>1.0636000000000001</v>
      </c>
      <c r="CC27" s="49">
        <v>1.0725</v>
      </c>
      <c r="CD27" s="49">
        <v>1.0814999999999999</v>
      </c>
      <c r="CE27" s="49">
        <v>1.0904</v>
      </c>
      <c r="CF27" s="49">
        <v>1.0992999999999999</v>
      </c>
      <c r="CG27" s="49">
        <v>1.1083000000000001</v>
      </c>
      <c r="CH27" s="49">
        <v>1.1172</v>
      </c>
      <c r="CI27" s="49">
        <v>1.1262000000000001</v>
      </c>
      <c r="CJ27" s="49">
        <v>1.1351</v>
      </c>
      <c r="CK27" s="49">
        <v>1.1440999999999999</v>
      </c>
      <c r="CL27" s="49">
        <v>1.1531</v>
      </c>
      <c r="CM27" s="49">
        <v>1.1620999999999999</v>
      </c>
      <c r="CN27" s="49">
        <v>1.1711</v>
      </c>
      <c r="CO27" s="49">
        <v>1.1800999999999999</v>
      </c>
      <c r="CP27" s="49">
        <v>1.1892</v>
      </c>
      <c r="CQ27" s="49">
        <v>1.1981999999999999</v>
      </c>
      <c r="CR27" s="49">
        <v>1.2073</v>
      </c>
      <c r="CS27" s="49">
        <v>1.2163999999999999</v>
      </c>
      <c r="CT27" s="49">
        <v>1.2255</v>
      </c>
      <c r="CU27" s="49">
        <v>1.2345999999999999</v>
      </c>
      <c r="CV27" s="49">
        <v>1.2437</v>
      </c>
      <c r="CW27" s="49">
        <v>1.2528999999999999</v>
      </c>
      <c r="CX27" s="49">
        <v>1.2621</v>
      </c>
      <c r="CY27" s="49">
        <v>1.2712000000000001</v>
      </c>
      <c r="CZ27" s="49">
        <v>1.2804</v>
      </c>
      <c r="DA27" s="49">
        <v>1.2897000000000001</v>
      </c>
      <c r="DB27" s="49">
        <v>1.2988999999999999</v>
      </c>
      <c r="DC27" s="49">
        <v>1.3082</v>
      </c>
      <c r="DD27" s="49">
        <v>1.3174999999999999</v>
      </c>
      <c r="DE27" s="49">
        <v>1.3268</v>
      </c>
      <c r="DF27" s="49">
        <v>1.3362000000000001</v>
      </c>
      <c r="DG27" s="49">
        <v>1.3455999999999999</v>
      </c>
      <c r="DH27" s="49">
        <v>1.355</v>
      </c>
      <c r="DI27" s="49">
        <v>1.3644000000000001</v>
      </c>
      <c r="DJ27" s="49">
        <v>1.3738999999999999</v>
      </c>
      <c r="DK27" s="49">
        <v>1.3834</v>
      </c>
      <c r="DL27" s="49">
        <v>1.393</v>
      </c>
      <c r="DM27" s="49">
        <v>1.4025000000000001</v>
      </c>
      <c r="DN27" s="49">
        <v>1.4121999999999999</v>
      </c>
      <c r="DO27" s="49">
        <v>1.4218</v>
      </c>
      <c r="DP27" s="49">
        <v>1.4315</v>
      </c>
      <c r="DQ27" s="49">
        <v>1.4413</v>
      </c>
      <c r="DR27" s="49">
        <v>1.4511000000000001</v>
      </c>
      <c r="DS27" s="49">
        <v>1.4609000000000001</v>
      </c>
      <c r="DT27" s="49">
        <v>1.4708000000000001</v>
      </c>
      <c r="DU27" s="49">
        <v>1.4807999999999999</v>
      </c>
      <c r="DV27" s="49">
        <v>1.4907999999999999</v>
      </c>
      <c r="DW27" s="49">
        <v>1.5007999999999999</v>
      </c>
      <c r="DX27" s="49">
        <v>1.5108999999999999</v>
      </c>
      <c r="DY27" s="49">
        <v>1.5210999999999999</v>
      </c>
      <c r="DZ27" s="49">
        <v>1.5314000000000001</v>
      </c>
      <c r="EA27" s="49">
        <v>1.5417000000000001</v>
      </c>
      <c r="EB27" s="49">
        <v>1.5521</v>
      </c>
      <c r="EC27" s="49">
        <v>1.5626</v>
      </c>
      <c r="ED27" s="49">
        <v>1.5730999999999999</v>
      </c>
      <c r="EE27" s="49">
        <v>1.5837000000000001</v>
      </c>
      <c r="EF27" s="49">
        <v>1.5945</v>
      </c>
      <c r="EG27" s="49">
        <v>1.6052999999999999</v>
      </c>
      <c r="EH27" s="49">
        <v>1.6162000000000001</v>
      </c>
      <c r="EI27" s="49">
        <v>1.6272</v>
      </c>
      <c r="EJ27" s="49">
        <v>1.6375</v>
      </c>
      <c r="EK27" s="49">
        <v>1.6466000000000001</v>
      </c>
      <c r="EL27" s="49">
        <v>1.6557999999999999</v>
      </c>
      <c r="EM27" s="49">
        <v>1.6651</v>
      </c>
      <c r="EN27" s="49">
        <v>1.6745000000000001</v>
      </c>
      <c r="EO27" s="49">
        <v>1.6839999999999999</v>
      </c>
      <c r="EP27" s="49">
        <v>1.6937</v>
      </c>
      <c r="EQ27" s="49">
        <v>1.7034</v>
      </c>
      <c r="ER27" s="49">
        <v>1.7133</v>
      </c>
      <c r="ES27" s="49">
        <v>1.7233000000000001</v>
      </c>
      <c r="ET27" s="49">
        <v>1.7335</v>
      </c>
      <c r="EU27" s="49">
        <v>1.7438</v>
      </c>
      <c r="EV27" s="49">
        <v>1.7542</v>
      </c>
      <c r="EW27" s="49">
        <v>1.7647999999999999</v>
      </c>
      <c r="EX27" s="49">
        <v>1.7756000000000001</v>
      </c>
      <c r="EY27" s="49">
        <v>1.7865</v>
      </c>
      <c r="EZ27" s="49">
        <v>1.7976000000000001</v>
      </c>
      <c r="FA27" s="49">
        <v>1.8088</v>
      </c>
      <c r="FB27" s="49">
        <v>1.8203</v>
      </c>
      <c r="FC27" s="49">
        <v>1.8319000000000001</v>
      </c>
      <c r="FE27" s="50">
        <f t="shared" ca="1" si="4"/>
        <v>1.5028175282961149</v>
      </c>
      <c r="FF27" s="50">
        <f t="shared" ca="1" si="0"/>
        <v>1.4964840756167896</v>
      </c>
      <c r="FG27" s="50">
        <f t="shared" ca="1" si="1"/>
        <v>1.4900416107382548</v>
      </c>
      <c r="FH27" s="50">
        <f t="shared" ca="1" si="2"/>
        <v>1.4833302013422816</v>
      </c>
      <c r="FK27" s="50">
        <f t="shared" ca="1" si="3"/>
        <v>1.4964840756167896</v>
      </c>
      <c r="FL27" s="50"/>
      <c r="FM27" s="50"/>
      <c r="FN27" s="50"/>
    </row>
    <row r="28" spans="2:177" ht="17.100000000000001" customHeight="1">
      <c r="B28" s="119"/>
      <c r="C28" s="554" t="s">
        <v>536</v>
      </c>
      <c r="D28" s="555"/>
      <c r="E28" s="555"/>
      <c r="F28" s="555"/>
      <c r="G28" s="555"/>
      <c r="H28" s="555"/>
      <c r="I28" s="555"/>
      <c r="J28" s="556">
        <f ca="1">0.613*J27^2/1000</f>
        <v>0.22980952373506888</v>
      </c>
      <c r="K28" s="556"/>
      <c r="L28" s="556">
        <f ca="1">IF($L$11=$AD$11,"-",0.613*L27^2/1000)</f>
        <v>0.20570708704228405</v>
      </c>
      <c r="M28" s="556"/>
      <c r="N28" s="556">
        <f ca="1">IF($L$11=$AD$11,"-",0.613*N27^2/1000)</f>
        <v>0.31979195405479899</v>
      </c>
      <c r="O28" s="556"/>
      <c r="P28" s="556">
        <f ca="1">IF($L$11=$AD$11,"-",0.613*P27^2/1000)</f>
        <v>0.32960597186714319</v>
      </c>
      <c r="Q28" s="557"/>
      <c r="R28" s="23"/>
      <c r="S28" s="25"/>
      <c r="T28" s="26"/>
      <c r="U28" s="26"/>
      <c r="V28" s="26"/>
      <c r="W28" s="26"/>
      <c r="X28" s="26"/>
      <c r="Y28" s="26"/>
      <c r="Z28" s="26"/>
      <c r="AA28" s="38"/>
      <c r="AB28" s="120"/>
      <c r="AC28" s="27"/>
      <c r="AD28" s="41"/>
      <c r="AE28" s="24"/>
      <c r="AG28" s="71">
        <v>3</v>
      </c>
      <c r="AH28" s="183" t="b">
        <f>IF(J38&gt;=6*J37,TRUE,FALSE)</f>
        <v>0</v>
      </c>
      <c r="AI28" s="183" t="b">
        <f>IF(L38&gt;=6*L37,TRUE,FALSE)</f>
        <v>0</v>
      </c>
      <c r="AJ28" s="183" t="b">
        <f>IF(N38&gt;=6*N37,TRUE,FALSE)</f>
        <v>0</v>
      </c>
      <c r="AK28" s="183" t="b">
        <f>IF(P38&gt;=6*P37,TRUE,FALSE)</f>
        <v>0</v>
      </c>
      <c r="AL28" s="72">
        <f>+AN23</f>
        <v>80</v>
      </c>
      <c r="AM28" s="72">
        <f>+AN23</f>
        <v>80</v>
      </c>
      <c r="AN28" s="72">
        <f>+AN23</f>
        <v>80</v>
      </c>
      <c r="AO28" s="73">
        <f>+AN23</f>
        <v>80</v>
      </c>
      <c r="AR28" s="186">
        <v>2</v>
      </c>
      <c r="AS28" s="3">
        <f ca="1">VLOOKUP(10,$AW$422:$FN$522,119,TRUE)</f>
        <v>1.4816094520986864</v>
      </c>
      <c r="AW28" s="46">
        <v>0.56200000000000006</v>
      </c>
      <c r="AX28" s="49">
        <v>0.79710000000000003</v>
      </c>
      <c r="AY28" s="49">
        <v>0.80589999999999995</v>
      </c>
      <c r="AZ28" s="49">
        <v>0.81459999999999999</v>
      </c>
      <c r="BA28" s="49">
        <v>0.82340000000000002</v>
      </c>
      <c r="BB28" s="49">
        <v>0.83220000000000005</v>
      </c>
      <c r="BC28" s="49">
        <v>0.84099999999999997</v>
      </c>
      <c r="BD28" s="49">
        <v>0.8498</v>
      </c>
      <c r="BE28" s="49">
        <v>0.85850000000000004</v>
      </c>
      <c r="BF28" s="49">
        <v>0.86729999999999996</v>
      </c>
      <c r="BG28" s="49">
        <v>0.87609999999999999</v>
      </c>
      <c r="BH28" s="49">
        <v>0.88490000000000002</v>
      </c>
      <c r="BI28" s="49">
        <v>0.89370000000000005</v>
      </c>
      <c r="BJ28" s="49">
        <v>0.90249999999999997</v>
      </c>
      <c r="BK28" s="49">
        <v>0.9113</v>
      </c>
      <c r="BL28" s="49">
        <v>0.92010000000000003</v>
      </c>
      <c r="BM28" s="49">
        <v>0.92889999999999995</v>
      </c>
      <c r="BN28" s="49">
        <v>0.93769999999999998</v>
      </c>
      <c r="BO28" s="49">
        <v>0.94650000000000001</v>
      </c>
      <c r="BP28" s="49">
        <v>0.95540000000000003</v>
      </c>
      <c r="BQ28" s="49">
        <v>0.96419999999999995</v>
      </c>
      <c r="BR28" s="49">
        <v>0.97299999999999998</v>
      </c>
      <c r="BS28" s="49">
        <v>0.98180000000000001</v>
      </c>
      <c r="BT28" s="49">
        <v>0.99070000000000003</v>
      </c>
      <c r="BU28" s="49">
        <v>0.99950000000000006</v>
      </c>
      <c r="BV28" s="49">
        <v>1.0084</v>
      </c>
      <c r="BW28" s="49">
        <v>1.0172000000000001</v>
      </c>
      <c r="BX28" s="49">
        <v>1.0261</v>
      </c>
      <c r="BY28" s="49">
        <v>1.0348999999999999</v>
      </c>
      <c r="BZ28" s="49">
        <v>1.0438000000000001</v>
      </c>
      <c r="CA28" s="49">
        <v>1.0527</v>
      </c>
      <c r="CB28" s="49">
        <v>1.0616000000000001</v>
      </c>
      <c r="CC28" s="49">
        <v>1.0705</v>
      </c>
      <c r="CD28" s="49">
        <v>1.0793999999999999</v>
      </c>
      <c r="CE28" s="49">
        <v>1.0883</v>
      </c>
      <c r="CF28" s="49">
        <v>1.0972</v>
      </c>
      <c r="CG28" s="49">
        <v>1.1061000000000001</v>
      </c>
      <c r="CH28" s="49">
        <v>1.115</v>
      </c>
      <c r="CI28" s="49">
        <v>1.1240000000000001</v>
      </c>
      <c r="CJ28" s="49">
        <v>1.1329</v>
      </c>
      <c r="CK28" s="49">
        <v>1.1418999999999999</v>
      </c>
      <c r="CL28" s="49">
        <v>1.1509</v>
      </c>
      <c r="CM28" s="49">
        <v>1.1598999999999999</v>
      </c>
      <c r="CN28" s="49">
        <v>1.1689000000000001</v>
      </c>
      <c r="CO28" s="49">
        <v>1.1778999999999999</v>
      </c>
      <c r="CP28" s="49">
        <v>1.1869000000000001</v>
      </c>
      <c r="CQ28" s="49">
        <v>1.1959</v>
      </c>
      <c r="CR28" s="49">
        <v>1.2050000000000001</v>
      </c>
      <c r="CS28" s="49">
        <v>1.214</v>
      </c>
      <c r="CT28" s="49">
        <v>1.2231000000000001</v>
      </c>
      <c r="CU28" s="49">
        <v>1.2322</v>
      </c>
      <c r="CV28" s="49">
        <v>1.2413000000000001</v>
      </c>
      <c r="CW28" s="49">
        <v>1.2504999999999999</v>
      </c>
      <c r="CX28" s="49">
        <v>1.2596000000000001</v>
      </c>
      <c r="CY28" s="49">
        <v>1.2687999999999999</v>
      </c>
      <c r="CZ28" s="49">
        <v>1.278</v>
      </c>
      <c r="DA28" s="49">
        <v>1.2871999999999999</v>
      </c>
      <c r="DB28" s="49">
        <v>1.2964</v>
      </c>
      <c r="DC28" s="49">
        <v>1.3057000000000001</v>
      </c>
      <c r="DD28" s="49">
        <v>1.3149999999999999</v>
      </c>
      <c r="DE28" s="49">
        <v>1.3243</v>
      </c>
      <c r="DF28" s="49">
        <v>1.3335999999999999</v>
      </c>
      <c r="DG28" s="49">
        <v>1.343</v>
      </c>
      <c r="DH28" s="49">
        <v>1.3524</v>
      </c>
      <c r="DI28" s="49">
        <v>1.3617999999999999</v>
      </c>
      <c r="DJ28" s="49">
        <v>1.3712</v>
      </c>
      <c r="DK28" s="49">
        <v>1.3807</v>
      </c>
      <c r="DL28" s="49">
        <v>1.3903000000000001</v>
      </c>
      <c r="DM28" s="49">
        <v>1.3997999999999999</v>
      </c>
      <c r="DN28" s="49">
        <v>1.4094</v>
      </c>
      <c r="DO28" s="49">
        <v>1.4191</v>
      </c>
      <c r="DP28" s="49">
        <v>1.4288000000000001</v>
      </c>
      <c r="DQ28" s="49">
        <v>1.4384999999999999</v>
      </c>
      <c r="DR28" s="49">
        <v>1.4482999999999999</v>
      </c>
      <c r="DS28" s="49">
        <v>1.4581</v>
      </c>
      <c r="DT28" s="49">
        <v>1.468</v>
      </c>
      <c r="DU28" s="49">
        <v>1.4779</v>
      </c>
      <c r="DV28" s="49">
        <v>1.4879</v>
      </c>
      <c r="DW28" s="49">
        <v>1.4979</v>
      </c>
      <c r="DX28" s="49">
        <v>1.508</v>
      </c>
      <c r="DY28" s="49">
        <v>1.5182</v>
      </c>
      <c r="DZ28" s="49">
        <v>1.5284</v>
      </c>
      <c r="EA28" s="49">
        <v>1.5387</v>
      </c>
      <c r="EB28" s="49">
        <v>1.5490999999999999</v>
      </c>
      <c r="EC28" s="49">
        <v>1.5595000000000001</v>
      </c>
      <c r="ED28" s="49">
        <v>1.5701000000000001</v>
      </c>
      <c r="EE28" s="49">
        <v>1.5807</v>
      </c>
      <c r="EF28" s="49">
        <v>1.5913999999999999</v>
      </c>
      <c r="EG28" s="49">
        <v>1.6022000000000001</v>
      </c>
      <c r="EH28" s="49">
        <v>1.613</v>
      </c>
      <c r="EI28" s="49">
        <v>1.6240000000000001</v>
      </c>
      <c r="EJ28" s="49">
        <v>1.6351</v>
      </c>
      <c r="EK28" s="49">
        <v>1.6463000000000001</v>
      </c>
      <c r="EL28" s="49">
        <v>1.6557999999999999</v>
      </c>
      <c r="EM28" s="49">
        <v>1.6651</v>
      </c>
      <c r="EN28" s="49">
        <v>1.6745000000000001</v>
      </c>
      <c r="EO28" s="49">
        <v>1.6839999999999999</v>
      </c>
      <c r="EP28" s="49">
        <v>1.6937</v>
      </c>
      <c r="EQ28" s="49">
        <v>1.7034</v>
      </c>
      <c r="ER28" s="49">
        <v>1.7133</v>
      </c>
      <c r="ES28" s="49">
        <v>1.7233000000000001</v>
      </c>
      <c r="ET28" s="49">
        <v>1.7335</v>
      </c>
      <c r="EU28" s="49">
        <v>1.7438</v>
      </c>
      <c r="EV28" s="49">
        <v>1.7542</v>
      </c>
      <c r="EW28" s="49">
        <v>1.7647999999999999</v>
      </c>
      <c r="EX28" s="49">
        <v>1.7756000000000001</v>
      </c>
      <c r="EY28" s="49">
        <v>1.7865</v>
      </c>
      <c r="EZ28" s="49">
        <v>1.7976000000000001</v>
      </c>
      <c r="FA28" s="49">
        <v>1.8088</v>
      </c>
      <c r="FB28" s="49">
        <v>1.8203</v>
      </c>
      <c r="FC28" s="49">
        <v>1.8319000000000001</v>
      </c>
      <c r="FE28" s="50">
        <f t="shared" ca="1" si="4"/>
        <v>1.499917528296115</v>
      </c>
      <c r="FF28" s="50">
        <f t="shared" ca="1" si="0"/>
        <v>1.4935840756167897</v>
      </c>
      <c r="FG28" s="50">
        <f t="shared" ca="1" si="1"/>
        <v>1.4871416107382549</v>
      </c>
      <c r="FH28" s="50">
        <f t="shared" ca="1" si="2"/>
        <v>1.4804302013422816</v>
      </c>
      <c r="FK28" s="50">
        <f t="shared" ca="1" si="3"/>
        <v>1.4935840756167897</v>
      </c>
      <c r="FL28" s="50"/>
      <c r="FM28" s="50"/>
      <c r="FN28" s="50"/>
    </row>
    <row r="29" spans="2:177" ht="17.100000000000001" customHeight="1">
      <c r="B29" s="119"/>
      <c r="C29" s="521" t="str">
        <f>IF($L$11=$AD$11,"","Note: directional factor is taken as maximum value for +/- 45deg from given angle.")</f>
        <v>Note: directional factor is taken as maximum value for +/- 45deg from given angle.</v>
      </c>
      <c r="D29" s="521"/>
      <c r="E29" s="521"/>
      <c r="F29" s="521"/>
      <c r="G29" s="521"/>
      <c r="H29" s="521"/>
      <c r="I29" s="521"/>
      <c r="J29" s="521"/>
      <c r="K29" s="521"/>
      <c r="L29" s="521"/>
      <c r="M29" s="521"/>
      <c r="N29" s="521"/>
      <c r="O29" s="521"/>
      <c r="P29" s="521"/>
      <c r="Q29" s="521"/>
      <c r="R29" s="23"/>
      <c r="S29" s="25"/>
      <c r="T29" s="26"/>
      <c r="U29" s="26"/>
      <c r="V29" s="26"/>
      <c r="W29" s="26"/>
      <c r="X29" s="26"/>
      <c r="Y29" s="26"/>
      <c r="Z29" s="26"/>
      <c r="AA29" s="38"/>
      <c r="AB29" s="120"/>
      <c r="AC29" s="27"/>
      <c r="AD29" s="41"/>
      <c r="AE29" s="24"/>
      <c r="AG29" s="71"/>
      <c r="AH29" s="70"/>
      <c r="AI29" s="70"/>
      <c r="AJ29" s="70" t="b">
        <v>0</v>
      </c>
      <c r="AK29" s="183" t="s">
        <v>53</v>
      </c>
      <c r="AL29" s="72">
        <f>VLOOKUP(TRUE,AH25:AL28,5,FALSE)</f>
        <v>68</v>
      </c>
      <c r="AM29" s="72">
        <f>VLOOKUP(TRUE,AI25:AM28,5,FALSE)</f>
        <v>66</v>
      </c>
      <c r="AN29" s="72">
        <f>VLOOKUP(TRUE,AJ25:AN28,5,FALSE)</f>
        <v>64</v>
      </c>
      <c r="AO29" s="73">
        <f>VLOOKUP(TRUE,AK25:AO28,5,FALSE)</f>
        <v>62</v>
      </c>
      <c r="AQ29" s="5" t="s">
        <v>190</v>
      </c>
      <c r="AR29" s="186">
        <v>1</v>
      </c>
      <c r="AS29" s="186">
        <v>1</v>
      </c>
      <c r="AW29" s="46">
        <v>0.60299999999999998</v>
      </c>
      <c r="AX29" s="49">
        <v>0.79559999999999997</v>
      </c>
      <c r="AY29" s="49">
        <v>0.80430000000000001</v>
      </c>
      <c r="AZ29" s="49">
        <v>0.81310000000000004</v>
      </c>
      <c r="BA29" s="49">
        <v>0.82179999999999997</v>
      </c>
      <c r="BB29" s="49">
        <v>0.8306</v>
      </c>
      <c r="BC29" s="49">
        <v>0.83940000000000003</v>
      </c>
      <c r="BD29" s="49">
        <v>0.84809999999999997</v>
      </c>
      <c r="BE29" s="49">
        <v>0.8569</v>
      </c>
      <c r="BF29" s="49">
        <v>0.86570000000000003</v>
      </c>
      <c r="BG29" s="49">
        <v>0.87439999999999996</v>
      </c>
      <c r="BH29" s="49">
        <v>0.88319999999999999</v>
      </c>
      <c r="BI29" s="49">
        <v>0.89200000000000002</v>
      </c>
      <c r="BJ29" s="49">
        <v>0.90080000000000005</v>
      </c>
      <c r="BK29" s="49">
        <v>0.90959999999999996</v>
      </c>
      <c r="BL29" s="49">
        <v>0.91839999999999999</v>
      </c>
      <c r="BM29" s="49">
        <v>0.92710000000000004</v>
      </c>
      <c r="BN29" s="49">
        <v>0.93589999999999995</v>
      </c>
      <c r="BO29" s="49">
        <v>0.94469999999999998</v>
      </c>
      <c r="BP29" s="49">
        <v>0.95350000000000001</v>
      </c>
      <c r="BQ29" s="49">
        <v>0.96230000000000004</v>
      </c>
      <c r="BR29" s="49">
        <v>0.97119999999999995</v>
      </c>
      <c r="BS29" s="49">
        <v>0.98</v>
      </c>
      <c r="BT29" s="49">
        <v>0.98880000000000001</v>
      </c>
      <c r="BU29" s="49">
        <v>0.99760000000000004</v>
      </c>
      <c r="BV29" s="49">
        <v>1.0064</v>
      </c>
      <c r="BW29" s="49">
        <v>1.0153000000000001</v>
      </c>
      <c r="BX29" s="49">
        <v>1.0241</v>
      </c>
      <c r="BY29" s="49">
        <v>1.0329999999999999</v>
      </c>
      <c r="BZ29" s="49">
        <v>1.0418000000000001</v>
      </c>
      <c r="CA29" s="49">
        <v>1.0507</v>
      </c>
      <c r="CB29" s="49">
        <v>1.0596000000000001</v>
      </c>
      <c r="CC29" s="49">
        <v>1.0684</v>
      </c>
      <c r="CD29" s="49">
        <v>1.0772999999999999</v>
      </c>
      <c r="CE29" s="49">
        <v>1.0862000000000001</v>
      </c>
      <c r="CF29" s="49">
        <v>1.0951</v>
      </c>
      <c r="CG29" s="49">
        <v>1.1040000000000001</v>
      </c>
      <c r="CH29" s="49">
        <v>1.1129</v>
      </c>
      <c r="CI29" s="49">
        <v>1.1217999999999999</v>
      </c>
      <c r="CJ29" s="49">
        <v>1.1308</v>
      </c>
      <c r="CK29" s="49">
        <v>1.1396999999999999</v>
      </c>
      <c r="CL29" s="49">
        <v>1.1487000000000001</v>
      </c>
      <c r="CM29" s="49">
        <v>1.1576</v>
      </c>
      <c r="CN29" s="49">
        <v>1.1666000000000001</v>
      </c>
      <c r="CO29" s="49">
        <v>1.1756</v>
      </c>
      <c r="CP29" s="49">
        <v>1.1846000000000001</v>
      </c>
      <c r="CQ29" s="49">
        <v>1.1936</v>
      </c>
      <c r="CR29" s="49">
        <v>1.2027000000000001</v>
      </c>
      <c r="CS29" s="49">
        <v>1.2117</v>
      </c>
      <c r="CT29" s="49">
        <v>1.2208000000000001</v>
      </c>
      <c r="CU29" s="49">
        <v>1.2299</v>
      </c>
      <c r="CV29" s="49">
        <v>1.2390000000000001</v>
      </c>
      <c r="CW29" s="49">
        <v>1.2481</v>
      </c>
      <c r="CX29" s="49">
        <v>1.2572000000000001</v>
      </c>
      <c r="CY29" s="49">
        <v>1.2664</v>
      </c>
      <c r="CZ29" s="49">
        <v>1.2755000000000001</v>
      </c>
      <c r="DA29" s="49">
        <v>1.2847</v>
      </c>
      <c r="DB29" s="49">
        <v>1.2939000000000001</v>
      </c>
      <c r="DC29" s="49">
        <v>1.3031999999999999</v>
      </c>
      <c r="DD29" s="49">
        <v>1.3125</v>
      </c>
      <c r="DE29" s="49">
        <v>1.3217000000000001</v>
      </c>
      <c r="DF29" s="49">
        <v>1.3310999999999999</v>
      </c>
      <c r="DG29" s="49">
        <v>1.3404</v>
      </c>
      <c r="DH29" s="49">
        <v>1.3498000000000001</v>
      </c>
      <c r="DI29" s="49">
        <v>1.3592</v>
      </c>
      <c r="DJ29" s="49">
        <v>1.3686</v>
      </c>
      <c r="DK29" s="49">
        <v>1.3781000000000001</v>
      </c>
      <c r="DL29" s="49">
        <v>1.3875999999999999</v>
      </c>
      <c r="DM29" s="49">
        <v>1.3972</v>
      </c>
      <c r="DN29" s="49">
        <v>1.4067000000000001</v>
      </c>
      <c r="DO29" s="49">
        <v>1.4164000000000001</v>
      </c>
      <c r="DP29" s="49">
        <v>1.4259999999999999</v>
      </c>
      <c r="DQ29" s="49">
        <v>1.4357</v>
      </c>
      <c r="DR29" s="49">
        <v>1.4455</v>
      </c>
      <c r="DS29" s="49">
        <v>1.4553</v>
      </c>
      <c r="DT29" s="49">
        <v>1.4652000000000001</v>
      </c>
      <c r="DU29" s="49">
        <v>1.4751000000000001</v>
      </c>
      <c r="DV29" s="49">
        <v>1.4850000000000001</v>
      </c>
      <c r="DW29" s="49">
        <v>1.4951000000000001</v>
      </c>
      <c r="DX29" s="49">
        <v>1.5051000000000001</v>
      </c>
      <c r="DY29" s="49">
        <v>1.5153000000000001</v>
      </c>
      <c r="DZ29" s="49">
        <v>1.5255000000000001</v>
      </c>
      <c r="EA29" s="49">
        <v>1.5358000000000001</v>
      </c>
      <c r="EB29" s="49">
        <v>1.5461</v>
      </c>
      <c r="EC29" s="49">
        <v>1.5566</v>
      </c>
      <c r="ED29" s="49">
        <v>1.5670999999999999</v>
      </c>
      <c r="EE29" s="49">
        <v>1.5777000000000001</v>
      </c>
      <c r="EF29" s="49">
        <v>1.5883</v>
      </c>
      <c r="EG29" s="49">
        <v>1.5991</v>
      </c>
      <c r="EH29" s="49">
        <v>1.61</v>
      </c>
      <c r="EI29" s="49">
        <v>1.6209</v>
      </c>
      <c r="EJ29" s="49">
        <v>1.6319999999999999</v>
      </c>
      <c r="EK29" s="49">
        <v>1.6431</v>
      </c>
      <c r="EL29" s="49">
        <v>1.6544000000000001</v>
      </c>
      <c r="EM29" s="49">
        <v>1.6651</v>
      </c>
      <c r="EN29" s="49">
        <v>1.6745000000000001</v>
      </c>
      <c r="EO29" s="49">
        <v>1.6839999999999999</v>
      </c>
      <c r="EP29" s="49">
        <v>1.6937</v>
      </c>
      <c r="EQ29" s="49">
        <v>1.7034</v>
      </c>
      <c r="ER29" s="49">
        <v>1.7133</v>
      </c>
      <c r="ES29" s="49">
        <v>1.7233000000000001</v>
      </c>
      <c r="ET29" s="49">
        <v>1.7335</v>
      </c>
      <c r="EU29" s="49">
        <v>1.7438</v>
      </c>
      <c r="EV29" s="49">
        <v>1.7542</v>
      </c>
      <c r="EW29" s="49">
        <v>1.7647999999999999</v>
      </c>
      <c r="EX29" s="49">
        <v>1.7756000000000001</v>
      </c>
      <c r="EY29" s="49">
        <v>1.7865</v>
      </c>
      <c r="EZ29" s="49">
        <v>1.7976000000000001</v>
      </c>
      <c r="FA29" s="49">
        <v>1.8088</v>
      </c>
      <c r="FB29" s="49">
        <v>1.8203</v>
      </c>
      <c r="FC29" s="49">
        <v>1.8319000000000001</v>
      </c>
      <c r="FE29" s="50">
        <f t="shared" ca="1" si="4"/>
        <v>1.4970975527684309</v>
      </c>
      <c r="FF29" s="50">
        <f t="shared" ca="1" si="0"/>
        <v>1.4907409163729575</v>
      </c>
      <c r="FG29" s="50">
        <f t="shared" ca="1" si="1"/>
        <v>1.4842491946308725</v>
      </c>
      <c r="FH29" s="50">
        <f t="shared" ca="1" si="2"/>
        <v>1.4776048993288591</v>
      </c>
      <c r="FK29" s="50">
        <f t="shared" ca="1" si="3"/>
        <v>1.4907409163729575</v>
      </c>
      <c r="FL29" s="50"/>
      <c r="FM29" s="50"/>
      <c r="FN29" s="50"/>
    </row>
    <row r="30" spans="2:177" ht="17.100000000000001" customHeight="1" thickBot="1">
      <c r="B30" s="119"/>
      <c r="C30" s="23"/>
      <c r="D30" s="23"/>
      <c r="E30" s="23"/>
      <c r="F30" s="23"/>
      <c r="G30" s="23"/>
      <c r="H30" s="23"/>
      <c r="I30" s="23"/>
      <c r="J30" s="23"/>
      <c r="K30" s="23"/>
      <c r="L30" s="23"/>
      <c r="M30" s="23"/>
      <c r="N30" s="23"/>
      <c r="O30" s="23"/>
      <c r="P30" s="23"/>
      <c r="Q30" s="23"/>
      <c r="R30" s="23"/>
      <c r="S30" s="25"/>
      <c r="T30" s="26"/>
      <c r="U30" s="26"/>
      <c r="V30" s="26"/>
      <c r="W30" s="26"/>
      <c r="X30" s="26"/>
      <c r="Y30" s="26"/>
      <c r="Z30" s="26"/>
      <c r="AA30" s="38"/>
      <c r="AB30" s="120"/>
      <c r="AC30" s="27"/>
      <c r="AD30" s="41"/>
      <c r="AE30" s="24"/>
      <c r="AG30" s="74"/>
      <c r="AH30" s="75"/>
      <c r="AI30" s="75"/>
      <c r="AJ30" s="75" t="b">
        <v>1</v>
      </c>
      <c r="AK30" s="76" t="s">
        <v>53</v>
      </c>
      <c r="AL30" s="77">
        <f>+AN23</f>
        <v>80</v>
      </c>
      <c r="AM30" s="77">
        <f>+AN23</f>
        <v>80</v>
      </c>
      <c r="AN30" s="77">
        <f>+AN23</f>
        <v>80</v>
      </c>
      <c r="AO30" s="56">
        <f>+AN23</f>
        <v>80</v>
      </c>
      <c r="AR30" s="186">
        <v>2</v>
      </c>
      <c r="AS30" s="6">
        <f ca="1">VLOOKUP(10,$AW$528:$FN$628,119,TRUE)</f>
        <v>0.9817441525152194</v>
      </c>
      <c r="AW30" s="46">
        <v>0.64600000000000002</v>
      </c>
      <c r="AX30" s="49">
        <v>0.79410000000000003</v>
      </c>
      <c r="AY30" s="49">
        <v>0.80279999999999996</v>
      </c>
      <c r="AZ30" s="49">
        <v>0.81159999999999999</v>
      </c>
      <c r="BA30" s="49">
        <v>0.82030000000000003</v>
      </c>
      <c r="BB30" s="49">
        <v>0.82899999999999996</v>
      </c>
      <c r="BC30" s="49">
        <v>0.83779999999999999</v>
      </c>
      <c r="BD30" s="49">
        <v>0.84650000000000003</v>
      </c>
      <c r="BE30" s="49">
        <v>0.85529999999999995</v>
      </c>
      <c r="BF30" s="49">
        <v>0.86399999999999999</v>
      </c>
      <c r="BG30" s="49">
        <v>0.87280000000000002</v>
      </c>
      <c r="BH30" s="49">
        <v>0.88160000000000005</v>
      </c>
      <c r="BI30" s="49">
        <v>0.89029999999999998</v>
      </c>
      <c r="BJ30" s="49">
        <v>0.89910000000000001</v>
      </c>
      <c r="BK30" s="49">
        <v>0.90780000000000005</v>
      </c>
      <c r="BL30" s="49">
        <v>0.91659999999999997</v>
      </c>
      <c r="BM30" s="49">
        <v>0.9254</v>
      </c>
      <c r="BN30" s="49">
        <v>0.93420000000000003</v>
      </c>
      <c r="BO30" s="49">
        <v>0.94299999999999995</v>
      </c>
      <c r="BP30" s="49">
        <v>0.95169999999999999</v>
      </c>
      <c r="BQ30" s="49">
        <v>0.96050000000000002</v>
      </c>
      <c r="BR30" s="49">
        <v>0.96930000000000005</v>
      </c>
      <c r="BS30" s="49">
        <v>0.97809999999999997</v>
      </c>
      <c r="BT30" s="49">
        <v>0.9869</v>
      </c>
      <c r="BU30" s="49">
        <v>0.99570000000000003</v>
      </c>
      <c r="BV30" s="49">
        <v>1.0044999999999999</v>
      </c>
      <c r="BW30" s="49">
        <v>1.0134000000000001</v>
      </c>
      <c r="BX30" s="49">
        <v>1.0222</v>
      </c>
      <c r="BY30" s="49">
        <v>1.0309999999999999</v>
      </c>
      <c r="BZ30" s="49">
        <v>1.0399</v>
      </c>
      <c r="CA30" s="49">
        <v>1.0487</v>
      </c>
      <c r="CB30" s="49">
        <v>1.0576000000000001</v>
      </c>
      <c r="CC30" s="49">
        <v>1.0664</v>
      </c>
      <c r="CD30" s="49">
        <v>1.0752999999999999</v>
      </c>
      <c r="CE30" s="49">
        <v>1.0842000000000001</v>
      </c>
      <c r="CF30" s="49">
        <v>1.093</v>
      </c>
      <c r="CG30" s="49">
        <v>1.1019000000000001</v>
      </c>
      <c r="CH30" s="49">
        <v>1.1108</v>
      </c>
      <c r="CI30" s="49">
        <v>1.1196999999999999</v>
      </c>
      <c r="CJ30" s="49">
        <v>1.1286</v>
      </c>
      <c r="CK30" s="49">
        <v>1.1375999999999999</v>
      </c>
      <c r="CL30" s="49">
        <v>1.1465000000000001</v>
      </c>
      <c r="CM30" s="49">
        <v>1.1555</v>
      </c>
      <c r="CN30" s="49">
        <v>1.1644000000000001</v>
      </c>
      <c r="CO30" s="49">
        <v>1.1734</v>
      </c>
      <c r="CP30" s="49">
        <v>1.1823999999999999</v>
      </c>
      <c r="CQ30" s="49">
        <v>1.1914</v>
      </c>
      <c r="CR30" s="49">
        <v>1.2003999999999999</v>
      </c>
      <c r="CS30" s="49">
        <v>1.2094</v>
      </c>
      <c r="CT30" s="49">
        <v>1.2184999999999999</v>
      </c>
      <c r="CU30" s="49">
        <v>1.2275</v>
      </c>
      <c r="CV30" s="49">
        <v>1.2365999999999999</v>
      </c>
      <c r="CW30" s="49">
        <v>1.2457</v>
      </c>
      <c r="CX30" s="49">
        <v>1.2547999999999999</v>
      </c>
      <c r="CY30" s="49">
        <v>1.264</v>
      </c>
      <c r="CZ30" s="49">
        <v>1.2730999999999999</v>
      </c>
      <c r="DA30" s="49">
        <v>1.2823</v>
      </c>
      <c r="DB30" s="49">
        <v>1.2915000000000001</v>
      </c>
      <c r="DC30" s="49">
        <v>1.3007</v>
      </c>
      <c r="DD30" s="49">
        <v>1.31</v>
      </c>
      <c r="DE30" s="49">
        <v>1.3192999999999999</v>
      </c>
      <c r="DF30" s="49">
        <v>1.3286</v>
      </c>
      <c r="DG30" s="49">
        <v>1.3379000000000001</v>
      </c>
      <c r="DH30" s="49">
        <v>1.3472</v>
      </c>
      <c r="DI30" s="49">
        <v>1.3566</v>
      </c>
      <c r="DJ30" s="49">
        <v>1.3661000000000001</v>
      </c>
      <c r="DK30" s="49">
        <v>1.3754999999999999</v>
      </c>
      <c r="DL30" s="49">
        <v>1.385</v>
      </c>
      <c r="DM30" s="49">
        <v>1.3945000000000001</v>
      </c>
      <c r="DN30" s="49">
        <v>1.4040999999999999</v>
      </c>
      <c r="DO30" s="49">
        <v>1.4137</v>
      </c>
      <c r="DP30" s="49">
        <v>1.4233</v>
      </c>
      <c r="DQ30" s="49">
        <v>1.4330000000000001</v>
      </c>
      <c r="DR30" s="49">
        <v>1.4428000000000001</v>
      </c>
      <c r="DS30" s="49">
        <v>1.4525999999999999</v>
      </c>
      <c r="DT30" s="49">
        <v>1.4623999999999999</v>
      </c>
      <c r="DU30" s="49">
        <v>1.4722999999999999</v>
      </c>
      <c r="DV30" s="49">
        <v>1.4822</v>
      </c>
      <c r="DW30" s="49">
        <v>1.4922</v>
      </c>
      <c r="DX30" s="49">
        <v>1.5023</v>
      </c>
      <c r="DY30" s="49">
        <v>1.5124</v>
      </c>
      <c r="DZ30" s="49">
        <v>1.5226</v>
      </c>
      <c r="EA30" s="49">
        <v>1.5328999999999999</v>
      </c>
      <c r="EB30" s="49">
        <v>1.5431999999999999</v>
      </c>
      <c r="EC30" s="49">
        <v>1.5536000000000001</v>
      </c>
      <c r="ED30" s="49">
        <v>1.5641</v>
      </c>
      <c r="EE30" s="49">
        <v>1.5747</v>
      </c>
      <c r="EF30" s="49">
        <v>1.5852999999999999</v>
      </c>
      <c r="EG30" s="49">
        <v>1.5961000000000001</v>
      </c>
      <c r="EH30" s="49">
        <v>1.6069</v>
      </c>
      <c r="EI30" s="49">
        <v>1.6178999999999999</v>
      </c>
      <c r="EJ30" s="49">
        <v>1.6289</v>
      </c>
      <c r="EK30" s="49">
        <v>1.64</v>
      </c>
      <c r="EL30" s="49">
        <v>1.6513</v>
      </c>
      <c r="EM30" s="49">
        <v>1.6627000000000001</v>
      </c>
      <c r="EN30" s="49">
        <v>1.6741999999999999</v>
      </c>
      <c r="EO30" s="49">
        <v>1.6839999999999999</v>
      </c>
      <c r="EP30" s="49">
        <v>1.6937</v>
      </c>
      <c r="EQ30" s="49">
        <v>1.7034</v>
      </c>
      <c r="ER30" s="49">
        <v>1.7133</v>
      </c>
      <c r="ES30" s="49">
        <v>1.7233000000000001</v>
      </c>
      <c r="ET30" s="49">
        <v>1.7335</v>
      </c>
      <c r="EU30" s="49">
        <v>1.7438</v>
      </c>
      <c r="EV30" s="49">
        <v>1.7542</v>
      </c>
      <c r="EW30" s="49">
        <v>1.7647999999999999</v>
      </c>
      <c r="EX30" s="49">
        <v>1.7756000000000001</v>
      </c>
      <c r="EY30" s="49">
        <v>1.7865</v>
      </c>
      <c r="EZ30" s="49">
        <v>1.7976000000000001</v>
      </c>
      <c r="FA30" s="49">
        <v>1.8088</v>
      </c>
      <c r="FB30" s="49">
        <v>1.8203</v>
      </c>
      <c r="FC30" s="49">
        <v>1.8319000000000001</v>
      </c>
      <c r="FE30" s="50">
        <f t="shared" ca="1" si="4"/>
        <v>1.494217528296115</v>
      </c>
      <c r="FF30" s="50">
        <f t="shared" ca="1" si="0"/>
        <v>1.4878840756167897</v>
      </c>
      <c r="FG30" s="50">
        <f t="shared" ca="1" si="1"/>
        <v>1.4814491946308723</v>
      </c>
      <c r="FH30" s="50">
        <f t="shared" ca="1" si="2"/>
        <v>1.4748048993288589</v>
      </c>
      <c r="FK30" s="50">
        <f t="shared" ca="1" si="3"/>
        <v>1.4878840756167897</v>
      </c>
      <c r="FL30" s="50"/>
      <c r="FM30" s="50"/>
      <c r="FN30" s="50"/>
    </row>
    <row r="31" spans="2:177" ht="17.100000000000001" customHeight="1">
      <c r="B31" s="119"/>
      <c r="C31" s="573" t="s">
        <v>304</v>
      </c>
      <c r="D31" s="574"/>
      <c r="E31" s="574"/>
      <c r="F31" s="574"/>
      <c r="G31" s="574"/>
      <c r="H31" s="574"/>
      <c r="I31" s="574"/>
      <c r="J31" s="574"/>
      <c r="K31" s="574"/>
      <c r="L31" s="574"/>
      <c r="M31" s="574"/>
      <c r="N31" s="574"/>
      <c r="O31" s="574"/>
      <c r="P31" s="574"/>
      <c r="Q31" s="575"/>
      <c r="R31" s="23"/>
      <c r="S31" s="25"/>
      <c r="T31" s="26"/>
      <c r="U31" s="26"/>
      <c r="V31" s="26"/>
      <c r="W31" s="26"/>
      <c r="X31" s="26"/>
      <c r="Y31" s="26"/>
      <c r="Z31" s="26"/>
      <c r="AA31" s="38"/>
      <c r="AB31" s="121"/>
      <c r="AC31" s="27"/>
      <c r="AD31" s="41"/>
      <c r="AE31" s="24"/>
      <c r="AG31" s="192" t="s">
        <v>518</v>
      </c>
      <c r="AW31" s="46">
        <v>0.69199999999999995</v>
      </c>
      <c r="AX31" s="49">
        <v>0.79259999999999997</v>
      </c>
      <c r="AY31" s="49">
        <v>0.80130000000000001</v>
      </c>
      <c r="AZ31" s="49">
        <v>0.81</v>
      </c>
      <c r="BA31" s="49">
        <v>0.81879999999999997</v>
      </c>
      <c r="BB31" s="49">
        <v>0.82750000000000001</v>
      </c>
      <c r="BC31" s="49">
        <v>0.83620000000000005</v>
      </c>
      <c r="BD31" s="49">
        <v>0.84499999999999997</v>
      </c>
      <c r="BE31" s="49">
        <v>0.85370000000000001</v>
      </c>
      <c r="BF31" s="49">
        <v>0.86240000000000006</v>
      </c>
      <c r="BG31" s="49">
        <v>0.87119999999999997</v>
      </c>
      <c r="BH31" s="49">
        <v>0.87990000000000002</v>
      </c>
      <c r="BI31" s="49">
        <v>0.88870000000000005</v>
      </c>
      <c r="BJ31" s="49">
        <v>0.89739999999999998</v>
      </c>
      <c r="BK31" s="49">
        <v>0.90620000000000001</v>
      </c>
      <c r="BL31" s="49">
        <v>0.91490000000000005</v>
      </c>
      <c r="BM31" s="49">
        <v>0.92369999999999997</v>
      </c>
      <c r="BN31" s="49">
        <v>0.93240000000000001</v>
      </c>
      <c r="BO31" s="49">
        <v>0.94120000000000004</v>
      </c>
      <c r="BP31" s="49">
        <v>0.95</v>
      </c>
      <c r="BQ31" s="49">
        <v>0.9587</v>
      </c>
      <c r="BR31" s="49">
        <v>0.96750000000000003</v>
      </c>
      <c r="BS31" s="49">
        <v>0.97629999999999995</v>
      </c>
      <c r="BT31" s="49">
        <v>0.98509999999999998</v>
      </c>
      <c r="BU31" s="49">
        <v>0.99390000000000001</v>
      </c>
      <c r="BV31" s="49">
        <v>1.0026999999999999</v>
      </c>
      <c r="BW31" s="49">
        <v>1.0115000000000001</v>
      </c>
      <c r="BX31" s="49">
        <v>1.0203</v>
      </c>
      <c r="BY31" s="49">
        <v>1.0290999999999999</v>
      </c>
      <c r="BZ31" s="49">
        <v>1.0379</v>
      </c>
      <c r="CA31" s="49">
        <v>1.0468</v>
      </c>
      <c r="CB31" s="49">
        <v>1.0556000000000001</v>
      </c>
      <c r="CC31" s="49">
        <v>1.0644</v>
      </c>
      <c r="CD31" s="49">
        <v>1.0732999999999999</v>
      </c>
      <c r="CE31" s="49">
        <v>1.0821000000000001</v>
      </c>
      <c r="CF31" s="49">
        <v>1.091</v>
      </c>
      <c r="CG31" s="49">
        <v>1.0999000000000001</v>
      </c>
      <c r="CH31" s="49">
        <v>1.1088</v>
      </c>
      <c r="CI31" s="49">
        <v>1.1175999999999999</v>
      </c>
      <c r="CJ31" s="49">
        <v>1.1265000000000001</v>
      </c>
      <c r="CK31" s="49">
        <v>1.1355</v>
      </c>
      <c r="CL31" s="49">
        <v>1.1444000000000001</v>
      </c>
      <c r="CM31" s="49">
        <v>1.1533</v>
      </c>
      <c r="CN31" s="49">
        <v>1.1623000000000001</v>
      </c>
      <c r="CO31" s="49">
        <v>1.1712</v>
      </c>
      <c r="CP31" s="49">
        <v>1.1801999999999999</v>
      </c>
      <c r="CQ31" s="49">
        <v>1.1892</v>
      </c>
      <c r="CR31" s="49">
        <v>1.1981999999999999</v>
      </c>
      <c r="CS31" s="49">
        <v>1.2072000000000001</v>
      </c>
      <c r="CT31" s="49">
        <v>1.2161999999999999</v>
      </c>
      <c r="CU31" s="49">
        <v>1.2253000000000001</v>
      </c>
      <c r="CV31" s="49">
        <v>1.2343</v>
      </c>
      <c r="CW31" s="49">
        <v>1.2434000000000001</v>
      </c>
      <c r="CX31" s="49">
        <v>1.2524999999999999</v>
      </c>
      <c r="CY31" s="49">
        <v>1.2616000000000001</v>
      </c>
      <c r="CZ31" s="49">
        <v>1.2707999999999999</v>
      </c>
      <c r="DA31" s="49">
        <v>1.2799</v>
      </c>
      <c r="DB31" s="49">
        <v>1.2890999999999999</v>
      </c>
      <c r="DC31" s="49">
        <v>1.2983</v>
      </c>
      <c r="DD31" s="49">
        <v>1.3075000000000001</v>
      </c>
      <c r="DE31" s="49">
        <v>1.3168</v>
      </c>
      <c r="DF31" s="49">
        <v>1.3261000000000001</v>
      </c>
      <c r="DG31" s="49">
        <v>1.3353999999999999</v>
      </c>
      <c r="DH31" s="49">
        <v>1.3447</v>
      </c>
      <c r="DI31" s="49">
        <v>1.3541000000000001</v>
      </c>
      <c r="DJ31" s="49">
        <v>1.3634999999999999</v>
      </c>
      <c r="DK31" s="49">
        <v>1.3729</v>
      </c>
      <c r="DL31" s="49">
        <v>1.3824000000000001</v>
      </c>
      <c r="DM31" s="49">
        <v>1.3918999999999999</v>
      </c>
      <c r="DN31" s="49">
        <v>1.4015</v>
      </c>
      <c r="DO31" s="49">
        <v>1.4111</v>
      </c>
      <c r="DP31" s="49">
        <v>1.4207000000000001</v>
      </c>
      <c r="DQ31" s="49">
        <v>1.4303999999999999</v>
      </c>
      <c r="DR31" s="49">
        <v>1.4400999999999999</v>
      </c>
      <c r="DS31" s="49">
        <v>1.4499</v>
      </c>
      <c r="DT31" s="49">
        <v>1.4597</v>
      </c>
      <c r="DU31" s="49">
        <v>1.4696</v>
      </c>
      <c r="DV31" s="49">
        <v>1.4795</v>
      </c>
      <c r="DW31" s="49">
        <v>1.4895</v>
      </c>
      <c r="DX31" s="49">
        <v>1.4995000000000001</v>
      </c>
      <c r="DY31" s="49">
        <v>1.5096000000000001</v>
      </c>
      <c r="DZ31" s="49">
        <v>1.5198</v>
      </c>
      <c r="EA31" s="49">
        <v>1.53</v>
      </c>
      <c r="EB31" s="49">
        <v>1.5404</v>
      </c>
      <c r="EC31" s="49">
        <v>1.5507</v>
      </c>
      <c r="ED31" s="49">
        <v>1.5611999999999999</v>
      </c>
      <c r="EE31" s="49">
        <v>1.5718000000000001</v>
      </c>
      <c r="EF31" s="49">
        <v>1.5824</v>
      </c>
      <c r="EG31" s="49">
        <v>1.5931</v>
      </c>
      <c r="EH31" s="49">
        <v>1.6039000000000001</v>
      </c>
      <c r="EI31" s="49">
        <v>1.6149</v>
      </c>
      <c r="EJ31" s="49">
        <v>1.6258999999999999</v>
      </c>
      <c r="EK31" s="49">
        <v>1.637</v>
      </c>
      <c r="EL31" s="49">
        <v>1.6482000000000001</v>
      </c>
      <c r="EM31" s="49">
        <v>1.6596</v>
      </c>
      <c r="EN31" s="49">
        <v>1.671</v>
      </c>
      <c r="EO31" s="49">
        <v>1.6826000000000001</v>
      </c>
      <c r="EP31" s="49">
        <v>1.6937</v>
      </c>
      <c r="EQ31" s="49">
        <v>1.7034</v>
      </c>
      <c r="ER31" s="49">
        <v>1.7133</v>
      </c>
      <c r="ES31" s="49">
        <v>1.7233000000000001</v>
      </c>
      <c r="ET31" s="49">
        <v>1.7335</v>
      </c>
      <c r="EU31" s="49">
        <v>1.7438</v>
      </c>
      <c r="EV31" s="49">
        <v>1.7542</v>
      </c>
      <c r="EW31" s="49">
        <v>1.7647999999999999</v>
      </c>
      <c r="EX31" s="49">
        <v>1.7756000000000001</v>
      </c>
      <c r="EY31" s="49">
        <v>1.7865</v>
      </c>
      <c r="EZ31" s="49">
        <v>1.7976000000000001</v>
      </c>
      <c r="FA31" s="49">
        <v>1.8088</v>
      </c>
      <c r="FB31" s="49">
        <v>1.8203</v>
      </c>
      <c r="FC31" s="49">
        <v>1.8319000000000001</v>
      </c>
      <c r="FE31" s="50">
        <f t="shared" ca="1" si="4"/>
        <v>1.4914975527684307</v>
      </c>
      <c r="FF31" s="50">
        <f t="shared" ca="1" si="0"/>
        <v>1.4851840756167898</v>
      </c>
      <c r="FG31" s="50">
        <f t="shared" ca="1" si="1"/>
        <v>1.4787491946308724</v>
      </c>
      <c r="FH31" s="50">
        <f t="shared" ca="1" si="2"/>
        <v>1.472104899328859</v>
      </c>
      <c r="FK31" s="50">
        <f t="shared" ca="1" si="3"/>
        <v>1.4851840756167898</v>
      </c>
      <c r="FL31" s="50"/>
      <c r="FM31" s="50"/>
      <c r="FN31" s="50"/>
    </row>
    <row r="32" spans="2:177" ht="17.100000000000001" customHeight="1" thickBot="1">
      <c r="B32" s="119"/>
      <c r="C32" s="595" t="s">
        <v>294</v>
      </c>
      <c r="D32" s="596"/>
      <c r="E32" s="596"/>
      <c r="F32" s="596"/>
      <c r="G32" s="596"/>
      <c r="H32" s="596"/>
      <c r="I32" s="596"/>
      <c r="J32" s="594" t="str">
        <f>IF(L11=AD10,"I","ANY")</f>
        <v>I</v>
      </c>
      <c r="K32" s="594"/>
      <c r="L32" s="594" t="s">
        <v>41</v>
      </c>
      <c r="M32" s="594"/>
      <c r="N32" s="594" t="s">
        <v>42</v>
      </c>
      <c r="O32" s="594"/>
      <c r="P32" s="594" t="s">
        <v>43</v>
      </c>
      <c r="Q32" s="656"/>
      <c r="R32" s="23"/>
      <c r="S32" s="25"/>
      <c r="T32" s="26"/>
      <c r="U32" s="26"/>
      <c r="V32" s="26"/>
      <c r="W32" s="26"/>
      <c r="X32" s="26"/>
      <c r="Y32" s="26"/>
      <c r="Z32" s="26"/>
      <c r="AA32" s="38"/>
      <c r="AB32" s="121"/>
      <c r="AC32" s="27"/>
      <c r="AD32" s="115" t="s">
        <v>307</v>
      </c>
      <c r="AE32" s="24"/>
      <c r="AW32" s="46">
        <v>0.74099999999999999</v>
      </c>
      <c r="AX32" s="49">
        <v>0.79110000000000003</v>
      </c>
      <c r="AY32" s="49">
        <v>0.79979999999999996</v>
      </c>
      <c r="AZ32" s="49">
        <v>0.80859999999999999</v>
      </c>
      <c r="BA32" s="49">
        <v>0.81730000000000003</v>
      </c>
      <c r="BB32" s="49">
        <v>0.82599999999999996</v>
      </c>
      <c r="BC32" s="49">
        <v>0.8347</v>
      </c>
      <c r="BD32" s="49">
        <v>0.84340000000000004</v>
      </c>
      <c r="BE32" s="49">
        <v>0.85209999999999997</v>
      </c>
      <c r="BF32" s="49">
        <v>0.86080000000000001</v>
      </c>
      <c r="BG32" s="49">
        <v>0.86960000000000004</v>
      </c>
      <c r="BH32" s="49">
        <v>0.87829999999999997</v>
      </c>
      <c r="BI32" s="49">
        <v>0.88700000000000001</v>
      </c>
      <c r="BJ32" s="49">
        <v>0.89580000000000004</v>
      </c>
      <c r="BK32" s="49">
        <v>0.90449999999999997</v>
      </c>
      <c r="BL32" s="49">
        <v>0.91320000000000001</v>
      </c>
      <c r="BM32" s="49">
        <v>0.92200000000000004</v>
      </c>
      <c r="BN32" s="49">
        <v>0.93069999999999997</v>
      </c>
      <c r="BO32" s="49">
        <v>0.9395</v>
      </c>
      <c r="BP32" s="49">
        <v>0.94820000000000004</v>
      </c>
      <c r="BQ32" s="49">
        <v>0.95699999999999996</v>
      </c>
      <c r="BR32" s="49">
        <v>0.9657</v>
      </c>
      <c r="BS32" s="49">
        <v>0.97450000000000003</v>
      </c>
      <c r="BT32" s="49">
        <v>0.98329999999999995</v>
      </c>
      <c r="BU32" s="49">
        <v>0.99209999999999998</v>
      </c>
      <c r="BV32" s="49">
        <v>1.0007999999999999</v>
      </c>
      <c r="BW32" s="49">
        <v>1.0096000000000001</v>
      </c>
      <c r="BX32" s="49">
        <v>1.0184</v>
      </c>
      <c r="BY32" s="49">
        <v>1.0271999999999999</v>
      </c>
      <c r="BZ32" s="49">
        <v>1.036</v>
      </c>
      <c r="CA32" s="49">
        <v>1.0448</v>
      </c>
      <c r="CB32" s="49">
        <v>1.0536000000000001</v>
      </c>
      <c r="CC32" s="49">
        <v>1.0625</v>
      </c>
      <c r="CD32" s="49">
        <v>1.0712999999999999</v>
      </c>
      <c r="CE32" s="49">
        <v>1.0801000000000001</v>
      </c>
      <c r="CF32" s="49">
        <v>1.089</v>
      </c>
      <c r="CG32" s="49">
        <v>1.0979000000000001</v>
      </c>
      <c r="CH32" s="49">
        <v>1.1067</v>
      </c>
      <c r="CI32" s="49">
        <v>1.1155999999999999</v>
      </c>
      <c r="CJ32" s="49">
        <v>1.1245000000000001</v>
      </c>
      <c r="CK32" s="49">
        <v>1.1334</v>
      </c>
      <c r="CL32" s="49">
        <v>1.1423000000000001</v>
      </c>
      <c r="CM32" s="49">
        <v>1.1512</v>
      </c>
      <c r="CN32" s="49">
        <v>1.1600999999999999</v>
      </c>
      <c r="CO32" s="49">
        <v>1.1691</v>
      </c>
      <c r="CP32" s="49">
        <v>1.1779999999999999</v>
      </c>
      <c r="CQ32" s="49">
        <v>1.1870000000000001</v>
      </c>
      <c r="CR32" s="49">
        <v>1.196</v>
      </c>
      <c r="CS32" s="49">
        <v>1.2050000000000001</v>
      </c>
      <c r="CT32" s="49">
        <v>1.214</v>
      </c>
      <c r="CU32" s="49">
        <v>1.2230000000000001</v>
      </c>
      <c r="CV32" s="49">
        <v>1.2321</v>
      </c>
      <c r="CW32" s="49">
        <v>1.2411000000000001</v>
      </c>
      <c r="CX32" s="49">
        <v>1.2502</v>
      </c>
      <c r="CY32" s="49">
        <v>1.2593000000000001</v>
      </c>
      <c r="CZ32" s="49">
        <v>1.2684</v>
      </c>
      <c r="DA32" s="49">
        <v>1.2776000000000001</v>
      </c>
      <c r="DB32" s="49">
        <v>1.2867</v>
      </c>
      <c r="DC32" s="49">
        <v>1.2959000000000001</v>
      </c>
      <c r="DD32" s="49">
        <v>1.3050999999999999</v>
      </c>
      <c r="DE32" s="49">
        <v>1.3144</v>
      </c>
      <c r="DF32" s="49">
        <v>1.3236000000000001</v>
      </c>
      <c r="DG32" s="49">
        <v>1.3329</v>
      </c>
      <c r="DH32" s="49">
        <v>1.3423</v>
      </c>
      <c r="DI32" s="49">
        <v>1.3515999999999999</v>
      </c>
      <c r="DJ32" s="49">
        <v>1.361</v>
      </c>
      <c r="DK32" s="49">
        <v>1.3704000000000001</v>
      </c>
      <c r="DL32" s="49">
        <v>1.3798999999999999</v>
      </c>
      <c r="DM32" s="49">
        <v>1.3894</v>
      </c>
      <c r="DN32" s="49">
        <v>1.3989</v>
      </c>
      <c r="DO32" s="49">
        <v>1.4085000000000001</v>
      </c>
      <c r="DP32" s="49">
        <v>1.4180999999999999</v>
      </c>
      <c r="DQ32" s="49">
        <v>1.4277</v>
      </c>
      <c r="DR32" s="49">
        <v>1.4374</v>
      </c>
      <c r="DS32" s="49">
        <v>1.4472</v>
      </c>
      <c r="DT32" s="49">
        <v>1.4570000000000001</v>
      </c>
      <c r="DU32" s="49">
        <v>1.4669000000000001</v>
      </c>
      <c r="DV32" s="49">
        <v>1.4767999999999999</v>
      </c>
      <c r="DW32" s="49">
        <v>1.4866999999999999</v>
      </c>
      <c r="DX32" s="49">
        <v>1.4967999999999999</v>
      </c>
      <c r="DY32" s="49">
        <v>1.5067999999999999</v>
      </c>
      <c r="DZ32" s="49">
        <v>1.5169999999999999</v>
      </c>
      <c r="EA32" s="49">
        <v>1.5271999999999999</v>
      </c>
      <c r="EB32" s="49">
        <v>1.5375000000000001</v>
      </c>
      <c r="EC32" s="49">
        <v>1.5479000000000001</v>
      </c>
      <c r="ED32" s="49">
        <v>1.5583</v>
      </c>
      <c r="EE32" s="49">
        <v>1.5689</v>
      </c>
      <c r="EF32" s="49">
        <v>1.5794999999999999</v>
      </c>
      <c r="EG32" s="49">
        <v>1.5902000000000001</v>
      </c>
      <c r="EH32" s="49">
        <v>1.601</v>
      </c>
      <c r="EI32" s="49">
        <v>1.6119000000000001</v>
      </c>
      <c r="EJ32" s="49">
        <v>1.6229</v>
      </c>
      <c r="EK32" s="49">
        <v>1.6339999999999999</v>
      </c>
      <c r="EL32" s="49">
        <v>1.6452</v>
      </c>
      <c r="EM32" s="49">
        <v>1.6565000000000001</v>
      </c>
      <c r="EN32" s="49">
        <v>1.6679999999999999</v>
      </c>
      <c r="EO32" s="49">
        <v>1.6795</v>
      </c>
      <c r="EP32" s="49">
        <v>1.6912</v>
      </c>
      <c r="EQ32" s="49">
        <v>1.7031000000000001</v>
      </c>
      <c r="ER32" s="49">
        <v>1.7133</v>
      </c>
      <c r="ES32" s="49">
        <v>1.7233000000000001</v>
      </c>
      <c r="ET32" s="49">
        <v>1.7335</v>
      </c>
      <c r="EU32" s="49">
        <v>1.7438</v>
      </c>
      <c r="EV32" s="49">
        <v>1.7542</v>
      </c>
      <c r="EW32" s="49">
        <v>1.7647999999999999</v>
      </c>
      <c r="EX32" s="49">
        <v>1.7756000000000001</v>
      </c>
      <c r="EY32" s="49">
        <v>1.7865</v>
      </c>
      <c r="EZ32" s="49">
        <v>1.7976000000000001</v>
      </c>
      <c r="FA32" s="49">
        <v>1.8088</v>
      </c>
      <c r="FB32" s="49">
        <v>1.8203</v>
      </c>
      <c r="FC32" s="49">
        <v>1.8319000000000001</v>
      </c>
      <c r="FE32" s="50">
        <f t="shared" ca="1" si="4"/>
        <v>1.4887175282961149</v>
      </c>
      <c r="FF32" s="50">
        <f t="shared" ca="1" si="0"/>
        <v>1.4824272348606216</v>
      </c>
      <c r="FG32" s="50">
        <f t="shared" ca="1" si="1"/>
        <v>1.4760491946308723</v>
      </c>
      <c r="FH32" s="50">
        <f t="shared" ca="1" si="2"/>
        <v>1.4694048993288591</v>
      </c>
      <c r="FK32" s="50">
        <f t="shared" ca="1" si="3"/>
        <v>1.4824272348606216</v>
      </c>
      <c r="FL32" s="50"/>
      <c r="FM32" s="50"/>
      <c r="FN32" s="50"/>
    </row>
    <row r="33" spans="2:170" ht="17.100000000000001" customHeight="1" thickBot="1">
      <c r="B33" s="119"/>
      <c r="C33" s="597" t="s">
        <v>295</v>
      </c>
      <c r="D33" s="598"/>
      <c r="E33" s="598"/>
      <c r="F33" s="598"/>
      <c r="G33" s="598"/>
      <c r="H33" s="598"/>
      <c r="I33" s="598"/>
      <c r="J33" s="535" t="s">
        <v>299</v>
      </c>
      <c r="K33" s="535"/>
      <c r="L33" s="535" t="s">
        <v>299</v>
      </c>
      <c r="M33" s="535"/>
      <c r="N33" s="535" t="s">
        <v>298</v>
      </c>
      <c r="O33" s="535"/>
      <c r="P33" s="535" t="s">
        <v>298</v>
      </c>
      <c r="Q33" s="657"/>
      <c r="R33" s="23"/>
      <c r="S33" s="25"/>
      <c r="T33" s="26"/>
      <c r="U33" s="26"/>
      <c r="V33" s="26"/>
      <c r="W33" s="26"/>
      <c r="X33" s="26"/>
      <c r="Y33" s="26"/>
      <c r="Z33" s="26"/>
      <c r="AA33" s="38"/>
      <c r="AB33" s="121"/>
      <c r="AC33" s="27"/>
      <c r="AD33" s="116" t="s">
        <v>40</v>
      </c>
      <c r="AE33" s="116" t="s">
        <v>41</v>
      </c>
      <c r="AF33" s="117" t="s">
        <v>42</v>
      </c>
      <c r="AG33" s="118" t="s">
        <v>43</v>
      </c>
      <c r="AH33" s="183"/>
      <c r="AI33" s="70"/>
      <c r="AL33" s="525" t="s">
        <v>524</v>
      </c>
      <c r="AM33" s="526"/>
      <c r="AN33" s="525" t="s">
        <v>524</v>
      </c>
      <c r="AO33" s="526"/>
      <c r="AW33" s="46">
        <v>0.79400000000000004</v>
      </c>
      <c r="AX33" s="49">
        <v>0.78969999999999996</v>
      </c>
      <c r="AY33" s="49">
        <v>0.7984</v>
      </c>
      <c r="AZ33" s="49">
        <v>0.80710000000000004</v>
      </c>
      <c r="BA33" s="49">
        <v>0.81579999999999997</v>
      </c>
      <c r="BB33" s="49">
        <v>0.82450000000000001</v>
      </c>
      <c r="BC33" s="49">
        <v>0.83320000000000005</v>
      </c>
      <c r="BD33" s="49">
        <v>0.84189999999999998</v>
      </c>
      <c r="BE33" s="49">
        <v>0.85060000000000002</v>
      </c>
      <c r="BF33" s="49">
        <v>0.85929999999999995</v>
      </c>
      <c r="BG33" s="49">
        <v>0.86799999999999999</v>
      </c>
      <c r="BH33" s="49">
        <v>0.87670000000000003</v>
      </c>
      <c r="BI33" s="49">
        <v>0.88539999999999996</v>
      </c>
      <c r="BJ33" s="49">
        <v>0.89410000000000001</v>
      </c>
      <c r="BK33" s="49">
        <v>0.90290000000000004</v>
      </c>
      <c r="BL33" s="49">
        <v>0.91159999999999997</v>
      </c>
      <c r="BM33" s="49">
        <v>0.92030000000000001</v>
      </c>
      <c r="BN33" s="49">
        <v>0.92900000000000005</v>
      </c>
      <c r="BO33" s="49">
        <v>0.93779999999999997</v>
      </c>
      <c r="BP33" s="49">
        <v>0.94650000000000001</v>
      </c>
      <c r="BQ33" s="49">
        <v>0.95520000000000005</v>
      </c>
      <c r="BR33" s="49">
        <v>0.96399999999999997</v>
      </c>
      <c r="BS33" s="49">
        <v>0.97270000000000001</v>
      </c>
      <c r="BT33" s="49">
        <v>0.98150000000000004</v>
      </c>
      <c r="BU33" s="49">
        <v>0.99029999999999996</v>
      </c>
      <c r="BV33" s="49">
        <v>0.999</v>
      </c>
      <c r="BW33" s="49">
        <v>1.0078</v>
      </c>
      <c r="BX33" s="49">
        <v>1.0165999999999999</v>
      </c>
      <c r="BY33" s="49">
        <v>1.0254000000000001</v>
      </c>
      <c r="BZ33" s="49">
        <v>1.0341</v>
      </c>
      <c r="CA33" s="49">
        <v>1.0428999999999999</v>
      </c>
      <c r="CB33" s="49">
        <v>1.0517000000000001</v>
      </c>
      <c r="CC33" s="49">
        <v>1.0605</v>
      </c>
      <c r="CD33" s="49">
        <v>1.0693999999999999</v>
      </c>
      <c r="CE33" s="49">
        <v>1.0782</v>
      </c>
      <c r="CF33" s="49">
        <v>1.087</v>
      </c>
      <c r="CG33" s="49">
        <v>1.0959000000000001</v>
      </c>
      <c r="CH33" s="49">
        <v>1.1047</v>
      </c>
      <c r="CI33" s="49">
        <v>1.1135999999999999</v>
      </c>
      <c r="CJ33" s="49">
        <v>1.1224000000000001</v>
      </c>
      <c r="CK33" s="49">
        <v>1.1313</v>
      </c>
      <c r="CL33" s="49">
        <v>1.1402000000000001</v>
      </c>
      <c r="CM33" s="49">
        <v>1.1491</v>
      </c>
      <c r="CN33" s="49">
        <v>1.1579999999999999</v>
      </c>
      <c r="CO33" s="49">
        <v>1.1669</v>
      </c>
      <c r="CP33" s="49">
        <v>1.1758999999999999</v>
      </c>
      <c r="CQ33" s="49">
        <v>1.1848000000000001</v>
      </c>
      <c r="CR33" s="49">
        <v>1.1938</v>
      </c>
      <c r="CS33" s="49">
        <v>1.2028000000000001</v>
      </c>
      <c r="CT33" s="49">
        <v>1.2118</v>
      </c>
      <c r="CU33" s="49">
        <v>1.2208000000000001</v>
      </c>
      <c r="CV33" s="49">
        <v>1.2298</v>
      </c>
      <c r="CW33" s="49">
        <v>1.2388999999999999</v>
      </c>
      <c r="CX33" s="49">
        <v>1.2479</v>
      </c>
      <c r="CY33" s="49">
        <v>1.2569999999999999</v>
      </c>
      <c r="CZ33" s="49">
        <v>1.2661</v>
      </c>
      <c r="DA33" s="49">
        <v>1.2753000000000001</v>
      </c>
      <c r="DB33" s="49">
        <v>1.2844</v>
      </c>
      <c r="DC33" s="49">
        <v>1.2936000000000001</v>
      </c>
      <c r="DD33" s="49">
        <v>1.3028</v>
      </c>
      <c r="DE33" s="49">
        <v>1.3120000000000001</v>
      </c>
      <c r="DF33" s="49">
        <v>1.3211999999999999</v>
      </c>
      <c r="DG33" s="49">
        <v>1.3305</v>
      </c>
      <c r="DH33" s="49">
        <v>1.3398000000000001</v>
      </c>
      <c r="DI33" s="49">
        <v>1.3492</v>
      </c>
      <c r="DJ33" s="49">
        <v>1.3585</v>
      </c>
      <c r="DK33" s="49">
        <v>1.3678999999999999</v>
      </c>
      <c r="DL33" s="49">
        <v>1.3774</v>
      </c>
      <c r="DM33" s="49">
        <v>1.3869</v>
      </c>
      <c r="DN33" s="49">
        <v>1.3964000000000001</v>
      </c>
      <c r="DO33" s="49">
        <v>1.4058999999999999</v>
      </c>
      <c r="DP33" s="49">
        <v>1.4155</v>
      </c>
      <c r="DQ33" s="49">
        <v>1.4252</v>
      </c>
      <c r="DR33" s="49">
        <v>1.4348000000000001</v>
      </c>
      <c r="DS33" s="49">
        <v>1.4446000000000001</v>
      </c>
      <c r="DT33" s="49">
        <v>1.4543999999999999</v>
      </c>
      <c r="DU33" s="49">
        <v>1.4641999999999999</v>
      </c>
      <c r="DV33" s="49">
        <v>1.4741</v>
      </c>
      <c r="DW33" s="49">
        <v>1.484</v>
      </c>
      <c r="DX33" s="49">
        <v>1.494</v>
      </c>
      <c r="DY33" s="49">
        <v>1.5041</v>
      </c>
      <c r="DZ33" s="49">
        <v>1.5143</v>
      </c>
      <c r="EA33" s="49">
        <v>1.5245</v>
      </c>
      <c r="EB33" s="49">
        <v>1.5347</v>
      </c>
      <c r="EC33" s="49">
        <v>1.5450999999999999</v>
      </c>
      <c r="ED33" s="49">
        <v>1.5555000000000001</v>
      </c>
      <c r="EE33" s="49">
        <v>1.5660000000000001</v>
      </c>
      <c r="EF33" s="49">
        <v>1.5766</v>
      </c>
      <c r="EG33" s="49">
        <v>1.5872999999999999</v>
      </c>
      <c r="EH33" s="49">
        <v>1.5981000000000001</v>
      </c>
      <c r="EI33" s="49">
        <v>1.609</v>
      </c>
      <c r="EJ33" s="49">
        <v>1.6198999999999999</v>
      </c>
      <c r="EK33" s="49">
        <v>1.631</v>
      </c>
      <c r="EL33" s="49">
        <v>1.6422000000000001</v>
      </c>
      <c r="EM33" s="49">
        <v>1.6535</v>
      </c>
      <c r="EN33" s="49">
        <v>1.6649</v>
      </c>
      <c r="EO33" s="49">
        <v>1.6765000000000001</v>
      </c>
      <c r="EP33" s="49">
        <v>1.6881999999999999</v>
      </c>
      <c r="EQ33" s="49">
        <v>1.7</v>
      </c>
      <c r="ER33" s="49">
        <v>1.7119</v>
      </c>
      <c r="ES33" s="49">
        <v>1.7233000000000001</v>
      </c>
      <c r="ET33" s="49">
        <v>1.7335</v>
      </c>
      <c r="EU33" s="49">
        <v>1.7438</v>
      </c>
      <c r="EV33" s="49">
        <v>1.7542</v>
      </c>
      <c r="EW33" s="49">
        <v>1.7647999999999999</v>
      </c>
      <c r="EX33" s="49">
        <v>1.7756000000000001</v>
      </c>
      <c r="EY33" s="49">
        <v>1.7865</v>
      </c>
      <c r="EZ33" s="49">
        <v>1.7976000000000001</v>
      </c>
      <c r="FA33" s="49">
        <v>1.8088</v>
      </c>
      <c r="FB33" s="49">
        <v>1.8203</v>
      </c>
      <c r="FC33" s="49">
        <v>1.8319000000000001</v>
      </c>
      <c r="FE33" s="50">
        <f t="shared" ca="1" si="4"/>
        <v>1.4859975527684306</v>
      </c>
      <c r="FF33" s="50">
        <f t="shared" ca="1" si="0"/>
        <v>1.4797272348606216</v>
      </c>
      <c r="FG33" s="50">
        <f t="shared" ca="1" si="1"/>
        <v>1.4733491946308723</v>
      </c>
      <c r="FH33" s="50">
        <f t="shared" ca="1" si="2"/>
        <v>1.4667048993288589</v>
      </c>
      <c r="FK33" s="50">
        <f t="shared" ca="1" si="3"/>
        <v>1.4797272348606216</v>
      </c>
      <c r="FL33" s="50"/>
      <c r="FM33" s="50"/>
      <c r="FN33" s="50"/>
    </row>
    <row r="34" spans="2:170" ht="17.100000000000001" customHeight="1" thickBot="1">
      <c r="B34" s="119"/>
      <c r="C34" s="592" t="s">
        <v>296</v>
      </c>
      <c r="D34" s="593"/>
      <c r="E34" s="593"/>
      <c r="F34" s="593"/>
      <c r="G34" s="593"/>
      <c r="H34" s="593"/>
      <c r="I34" s="593"/>
      <c r="J34" s="533">
        <v>200</v>
      </c>
      <c r="K34" s="533"/>
      <c r="L34" s="533">
        <v>54</v>
      </c>
      <c r="M34" s="533"/>
      <c r="N34" s="533">
        <v>0.5</v>
      </c>
      <c r="O34" s="533"/>
      <c r="P34" s="533">
        <v>200</v>
      </c>
      <c r="Q34" s="534"/>
      <c r="R34" s="23"/>
      <c r="S34" s="29"/>
      <c r="T34" s="30"/>
      <c r="U34" s="30"/>
      <c r="V34" s="30"/>
      <c r="W34" s="30"/>
      <c r="X34" s="30"/>
      <c r="Y34" s="30"/>
      <c r="Z34" s="30"/>
      <c r="AA34" s="39"/>
      <c r="AB34" s="121"/>
      <c r="AC34" s="27"/>
      <c r="AD34" s="40" t="s">
        <v>316</v>
      </c>
      <c r="AE34" s="24"/>
      <c r="AG34" s="70"/>
      <c r="AH34" s="183"/>
      <c r="AI34" s="70"/>
      <c r="AL34" s="528" t="s">
        <v>656</v>
      </c>
      <c r="AM34" s="529"/>
      <c r="AN34" s="528" t="s">
        <v>661</v>
      </c>
      <c r="AO34" s="529"/>
      <c r="AW34" s="46">
        <v>0.85099999999999998</v>
      </c>
      <c r="AX34" s="49">
        <v>0.7883</v>
      </c>
      <c r="AY34" s="49">
        <v>0.79700000000000004</v>
      </c>
      <c r="AZ34" s="49">
        <v>0.80559999999999998</v>
      </c>
      <c r="BA34" s="49">
        <v>0.81430000000000002</v>
      </c>
      <c r="BB34" s="49">
        <v>0.82299999999999995</v>
      </c>
      <c r="BC34" s="49">
        <v>0.83169999999999999</v>
      </c>
      <c r="BD34" s="49">
        <v>0.84040000000000004</v>
      </c>
      <c r="BE34" s="49">
        <v>0.84909999999999997</v>
      </c>
      <c r="BF34" s="49">
        <v>0.85770000000000002</v>
      </c>
      <c r="BG34" s="49">
        <v>0.86639999999999995</v>
      </c>
      <c r="BH34" s="49">
        <v>0.87509999999999999</v>
      </c>
      <c r="BI34" s="49">
        <v>0.88380000000000003</v>
      </c>
      <c r="BJ34" s="49">
        <v>0.89249999999999996</v>
      </c>
      <c r="BK34" s="49">
        <v>0.9012</v>
      </c>
      <c r="BL34" s="49">
        <v>0.90990000000000004</v>
      </c>
      <c r="BM34" s="49">
        <v>0.91869999999999996</v>
      </c>
      <c r="BN34" s="49">
        <v>0.9274</v>
      </c>
      <c r="BO34" s="49">
        <v>0.93610000000000004</v>
      </c>
      <c r="BP34" s="49">
        <v>0.94479999999999997</v>
      </c>
      <c r="BQ34" s="49">
        <v>0.95350000000000001</v>
      </c>
      <c r="BR34" s="49">
        <v>0.96230000000000004</v>
      </c>
      <c r="BS34" s="49">
        <v>0.97099999999999997</v>
      </c>
      <c r="BT34" s="49">
        <v>0.97970000000000002</v>
      </c>
      <c r="BU34" s="49">
        <v>0.98850000000000005</v>
      </c>
      <c r="BV34" s="49">
        <v>0.99719999999999998</v>
      </c>
      <c r="BW34" s="49">
        <v>1.006</v>
      </c>
      <c r="BX34" s="49">
        <v>1.0146999999999999</v>
      </c>
      <c r="BY34" s="49">
        <v>1.0235000000000001</v>
      </c>
      <c r="BZ34" s="49">
        <v>1.0323</v>
      </c>
      <c r="CA34" s="49">
        <v>1.0410999999999999</v>
      </c>
      <c r="CB34" s="49">
        <v>1.0499000000000001</v>
      </c>
      <c r="CC34" s="49">
        <v>1.0586</v>
      </c>
      <c r="CD34" s="49">
        <v>1.0673999999999999</v>
      </c>
      <c r="CE34" s="49">
        <v>1.0763</v>
      </c>
      <c r="CF34" s="49">
        <v>1.0851</v>
      </c>
      <c r="CG34" s="49">
        <v>1.0939000000000001</v>
      </c>
      <c r="CH34" s="49">
        <v>1.1027</v>
      </c>
      <c r="CI34" s="49">
        <v>1.1115999999999999</v>
      </c>
      <c r="CJ34" s="49">
        <v>1.1204000000000001</v>
      </c>
      <c r="CK34" s="49">
        <v>1.1293</v>
      </c>
      <c r="CL34" s="49">
        <v>1.1382000000000001</v>
      </c>
      <c r="CM34" s="49">
        <v>1.147</v>
      </c>
      <c r="CN34" s="49">
        <v>1.1558999999999999</v>
      </c>
      <c r="CO34" s="49">
        <v>1.1649</v>
      </c>
      <c r="CP34" s="49">
        <v>1.1738</v>
      </c>
      <c r="CQ34" s="49">
        <v>1.1827000000000001</v>
      </c>
      <c r="CR34" s="49">
        <v>1.1917</v>
      </c>
      <c r="CS34" s="49">
        <v>1.2005999999999999</v>
      </c>
      <c r="CT34" s="49">
        <v>1.2096</v>
      </c>
      <c r="CU34" s="49">
        <v>1.2185999999999999</v>
      </c>
      <c r="CV34" s="49">
        <v>1.2276</v>
      </c>
      <c r="CW34" s="49">
        <v>1.2365999999999999</v>
      </c>
      <c r="CX34" s="49">
        <v>1.2457</v>
      </c>
      <c r="CY34" s="49">
        <v>1.2547999999999999</v>
      </c>
      <c r="CZ34" s="49">
        <v>1.2639</v>
      </c>
      <c r="DA34" s="49">
        <v>1.2729999999999999</v>
      </c>
      <c r="DB34" s="49">
        <v>1.2821</v>
      </c>
      <c r="DC34" s="49">
        <v>1.2912999999999999</v>
      </c>
      <c r="DD34" s="49">
        <v>1.3004</v>
      </c>
      <c r="DE34" s="49">
        <v>1.3096000000000001</v>
      </c>
      <c r="DF34" s="49">
        <v>1.3189</v>
      </c>
      <c r="DG34" s="49">
        <v>1.3281000000000001</v>
      </c>
      <c r="DH34" s="49">
        <v>1.3373999999999999</v>
      </c>
      <c r="DI34" s="49">
        <v>1.3467</v>
      </c>
      <c r="DJ34" s="49">
        <v>1.3561000000000001</v>
      </c>
      <c r="DK34" s="49">
        <v>1.3654999999999999</v>
      </c>
      <c r="DL34" s="49">
        <v>1.3749</v>
      </c>
      <c r="DM34" s="49">
        <v>1.3844000000000001</v>
      </c>
      <c r="DN34" s="49">
        <v>1.3938999999999999</v>
      </c>
      <c r="DO34" s="49">
        <v>1.4034</v>
      </c>
      <c r="DP34" s="49">
        <v>1.413</v>
      </c>
      <c r="DQ34" s="49">
        <v>1.4226000000000001</v>
      </c>
      <c r="DR34" s="49">
        <v>1.4322999999999999</v>
      </c>
      <c r="DS34" s="49">
        <v>1.4419999999999999</v>
      </c>
      <c r="DT34" s="49">
        <v>1.4518</v>
      </c>
      <c r="DU34" s="49">
        <v>1.4616</v>
      </c>
      <c r="DV34" s="49">
        <v>1.4714</v>
      </c>
      <c r="DW34" s="49">
        <v>1.4814000000000001</v>
      </c>
      <c r="DX34" s="49">
        <v>1.4914000000000001</v>
      </c>
      <c r="DY34" s="49">
        <v>1.5014000000000001</v>
      </c>
      <c r="DZ34" s="49">
        <v>1.5115000000000001</v>
      </c>
      <c r="EA34" s="49">
        <v>1.5217000000000001</v>
      </c>
      <c r="EB34" s="49">
        <v>1.532</v>
      </c>
      <c r="EC34" s="49">
        <v>1.5423</v>
      </c>
      <c r="ED34" s="49">
        <v>1.5527</v>
      </c>
      <c r="EE34" s="49">
        <v>1.5631999999999999</v>
      </c>
      <c r="EF34" s="49">
        <v>1.5738000000000001</v>
      </c>
      <c r="EG34" s="49">
        <v>1.5845</v>
      </c>
      <c r="EH34" s="49">
        <v>1.5952</v>
      </c>
      <c r="EI34" s="49">
        <v>1.6061000000000001</v>
      </c>
      <c r="EJ34" s="49">
        <v>1.617</v>
      </c>
      <c r="EK34" s="49">
        <v>1.6281000000000001</v>
      </c>
      <c r="EL34" s="49">
        <v>1.6393</v>
      </c>
      <c r="EM34" s="49">
        <v>1.6506000000000001</v>
      </c>
      <c r="EN34" s="49">
        <v>1.6619999999999999</v>
      </c>
      <c r="EO34" s="49">
        <v>1.6735</v>
      </c>
      <c r="EP34" s="49">
        <v>1.6851</v>
      </c>
      <c r="EQ34" s="49">
        <v>1.6969000000000001</v>
      </c>
      <c r="ER34" s="49">
        <v>1.7089000000000001</v>
      </c>
      <c r="ES34" s="49">
        <v>1.7210000000000001</v>
      </c>
      <c r="ET34" s="49">
        <v>1.7332000000000001</v>
      </c>
      <c r="EU34" s="49">
        <v>1.7438</v>
      </c>
      <c r="EV34" s="49">
        <v>1.7542</v>
      </c>
      <c r="EW34" s="49">
        <v>1.7647999999999999</v>
      </c>
      <c r="EX34" s="49">
        <v>1.7756000000000001</v>
      </c>
      <c r="EY34" s="49">
        <v>1.7865</v>
      </c>
      <c r="EZ34" s="49">
        <v>1.7976000000000001</v>
      </c>
      <c r="FA34" s="49">
        <v>1.8088</v>
      </c>
      <c r="FB34" s="49">
        <v>1.8203</v>
      </c>
      <c r="FC34" s="49">
        <v>1.8319000000000001</v>
      </c>
      <c r="FE34" s="50">
        <f t="shared" ca="1" si="4"/>
        <v>1.4833975527684309</v>
      </c>
      <c r="FF34" s="50">
        <f t="shared" ca="1" si="0"/>
        <v>1.4770840756167896</v>
      </c>
      <c r="FG34" s="50">
        <f t="shared" ca="1" si="1"/>
        <v>1.4706567785234899</v>
      </c>
      <c r="FH34" s="50">
        <f t="shared" ca="1" si="2"/>
        <v>1.4640795973154361</v>
      </c>
      <c r="FK34" s="50">
        <f t="shared" ca="1" si="3"/>
        <v>1.4770840756167896</v>
      </c>
      <c r="FL34" s="50"/>
      <c r="FM34" s="50"/>
      <c r="FN34" s="50"/>
    </row>
    <row r="35" spans="2:170" ht="17.100000000000001" customHeight="1" thickBot="1">
      <c r="B35" s="119"/>
      <c r="C35" s="592" t="s">
        <v>306</v>
      </c>
      <c r="D35" s="593"/>
      <c r="E35" s="593"/>
      <c r="F35" s="593"/>
      <c r="G35" s="593"/>
      <c r="H35" s="593"/>
      <c r="I35" s="593"/>
      <c r="J35" s="533">
        <v>6</v>
      </c>
      <c r="K35" s="533"/>
      <c r="L35" s="533">
        <v>6</v>
      </c>
      <c r="M35" s="533"/>
      <c r="N35" s="533">
        <v>6</v>
      </c>
      <c r="O35" s="533"/>
      <c r="P35" s="533">
        <v>6</v>
      </c>
      <c r="Q35" s="534"/>
      <c r="R35" s="23"/>
      <c r="S35" s="23"/>
      <c r="T35" s="23"/>
      <c r="U35" s="23"/>
      <c r="V35" s="23"/>
      <c r="W35" s="23"/>
      <c r="X35" s="23"/>
      <c r="Y35" s="23"/>
      <c r="Z35" s="23"/>
      <c r="AA35" s="23"/>
      <c r="AB35" s="121"/>
      <c r="AC35" s="27"/>
      <c r="AD35" s="42">
        <f>VLOOKUP(Database!B2,Database!B3:J62,5)</f>
        <v>200</v>
      </c>
      <c r="AE35" s="42">
        <f>VLOOKUP(Database!B2,Database!B3:J62,6)</f>
        <v>54</v>
      </c>
      <c r="AF35" s="42">
        <f>VLOOKUP(Database!B2,Database!B3:J62,7)</f>
        <v>0.5</v>
      </c>
      <c r="AG35" s="42">
        <f>VLOOKUP(Database!B2,Database!B3:J62,8)</f>
        <v>200</v>
      </c>
      <c r="AH35" s="423" t="s">
        <v>630</v>
      </c>
      <c r="AI35" s="67">
        <f>MIN(AD35:AG35)</f>
        <v>0.5</v>
      </c>
      <c r="AL35" s="434" t="b">
        <f>IF(AM38&lt;=0.05,TRUE,FALSE)</f>
        <v>0</v>
      </c>
      <c r="AM35" s="435">
        <v>1</v>
      </c>
      <c r="AN35" s="434" t="b">
        <f>IF(AM38&lt;=0.05,TRUE,FALSE)</f>
        <v>0</v>
      </c>
      <c r="AO35" s="435">
        <v>1</v>
      </c>
      <c r="AW35" s="46">
        <v>0.91200000000000003</v>
      </c>
      <c r="AX35" s="49">
        <v>0.78690000000000004</v>
      </c>
      <c r="AY35" s="49">
        <v>0.79559999999999997</v>
      </c>
      <c r="AZ35" s="49">
        <v>0.80420000000000003</v>
      </c>
      <c r="BA35" s="49">
        <v>0.81289999999999996</v>
      </c>
      <c r="BB35" s="49">
        <v>0.82150000000000001</v>
      </c>
      <c r="BC35" s="49">
        <v>0.83020000000000005</v>
      </c>
      <c r="BD35" s="49">
        <v>0.83889999999999998</v>
      </c>
      <c r="BE35" s="49">
        <v>0.84760000000000002</v>
      </c>
      <c r="BF35" s="49">
        <v>0.85619999999999996</v>
      </c>
      <c r="BG35" s="49">
        <v>0.8649</v>
      </c>
      <c r="BH35" s="49">
        <v>0.87360000000000004</v>
      </c>
      <c r="BI35" s="49">
        <v>0.88229999999999997</v>
      </c>
      <c r="BJ35" s="49">
        <v>0.89100000000000001</v>
      </c>
      <c r="BK35" s="49">
        <v>0.89959999999999996</v>
      </c>
      <c r="BL35" s="49">
        <v>0.9083</v>
      </c>
      <c r="BM35" s="49">
        <v>0.91700000000000004</v>
      </c>
      <c r="BN35" s="49">
        <v>0.92569999999999997</v>
      </c>
      <c r="BO35" s="49">
        <v>0.93440000000000001</v>
      </c>
      <c r="BP35" s="49">
        <v>0.94310000000000005</v>
      </c>
      <c r="BQ35" s="49">
        <v>0.95179999999999998</v>
      </c>
      <c r="BR35" s="49">
        <v>0.96060000000000001</v>
      </c>
      <c r="BS35" s="49">
        <v>0.96930000000000005</v>
      </c>
      <c r="BT35" s="49">
        <v>0.97799999999999998</v>
      </c>
      <c r="BU35" s="49">
        <v>0.98670000000000002</v>
      </c>
      <c r="BV35" s="49">
        <v>0.99550000000000005</v>
      </c>
      <c r="BW35" s="49">
        <v>1.0042</v>
      </c>
      <c r="BX35" s="49">
        <v>1.0129999999999999</v>
      </c>
      <c r="BY35" s="49">
        <v>1.0217000000000001</v>
      </c>
      <c r="BZ35" s="49">
        <v>1.0305</v>
      </c>
      <c r="CA35" s="49">
        <v>1.0391999999999999</v>
      </c>
      <c r="CB35" s="49">
        <v>1.048</v>
      </c>
      <c r="CC35" s="49">
        <v>1.0568</v>
      </c>
      <c r="CD35" s="49">
        <v>1.0656000000000001</v>
      </c>
      <c r="CE35" s="49">
        <v>1.0743</v>
      </c>
      <c r="CF35" s="49">
        <v>1.0831</v>
      </c>
      <c r="CG35" s="49">
        <v>1.0920000000000001</v>
      </c>
      <c r="CH35" s="49">
        <v>1.1008</v>
      </c>
      <c r="CI35" s="49">
        <v>1.1095999999999999</v>
      </c>
      <c r="CJ35" s="49">
        <v>1.1184000000000001</v>
      </c>
      <c r="CK35" s="49">
        <v>1.1273</v>
      </c>
      <c r="CL35" s="49">
        <v>1.1361000000000001</v>
      </c>
      <c r="CM35" s="49">
        <v>1.145</v>
      </c>
      <c r="CN35" s="49">
        <v>1.1538999999999999</v>
      </c>
      <c r="CO35" s="49">
        <v>1.1628000000000001</v>
      </c>
      <c r="CP35" s="49">
        <v>1.1717</v>
      </c>
      <c r="CQ35" s="49">
        <v>1.1806000000000001</v>
      </c>
      <c r="CR35" s="49">
        <v>1.1896</v>
      </c>
      <c r="CS35" s="49">
        <v>1.1984999999999999</v>
      </c>
      <c r="CT35" s="49">
        <v>1.2075</v>
      </c>
      <c r="CU35" s="49">
        <v>1.2163999999999999</v>
      </c>
      <c r="CV35" s="49">
        <v>1.2254</v>
      </c>
      <c r="CW35" s="49">
        <v>1.2344999999999999</v>
      </c>
      <c r="CX35" s="49">
        <v>1.2435</v>
      </c>
      <c r="CY35" s="49">
        <v>1.2524999999999999</v>
      </c>
      <c r="CZ35" s="49">
        <v>1.2616000000000001</v>
      </c>
      <c r="DA35" s="49">
        <v>1.2706999999999999</v>
      </c>
      <c r="DB35" s="49">
        <v>1.2798</v>
      </c>
      <c r="DC35" s="49">
        <v>1.2889999999999999</v>
      </c>
      <c r="DD35" s="49">
        <v>1.2981</v>
      </c>
      <c r="DE35" s="49">
        <v>1.3072999999999999</v>
      </c>
      <c r="DF35" s="49">
        <v>1.3165</v>
      </c>
      <c r="DG35" s="49">
        <v>1.3258000000000001</v>
      </c>
      <c r="DH35" s="49">
        <v>1.3351</v>
      </c>
      <c r="DI35" s="49">
        <v>1.3444</v>
      </c>
      <c r="DJ35" s="49">
        <v>1.3536999999999999</v>
      </c>
      <c r="DK35" s="49">
        <v>1.3631</v>
      </c>
      <c r="DL35" s="49">
        <v>1.3725000000000001</v>
      </c>
      <c r="DM35" s="49">
        <v>1.3818999999999999</v>
      </c>
      <c r="DN35" s="49">
        <v>1.3914</v>
      </c>
      <c r="DO35" s="49">
        <v>1.4009</v>
      </c>
      <c r="DP35" s="49">
        <v>1.4105000000000001</v>
      </c>
      <c r="DQ35" s="49">
        <v>1.4200999999999999</v>
      </c>
      <c r="DR35" s="49">
        <v>1.4297</v>
      </c>
      <c r="DS35" s="49">
        <v>1.4394</v>
      </c>
      <c r="DT35" s="49">
        <v>1.4492</v>
      </c>
      <c r="DU35" s="49">
        <v>1.4590000000000001</v>
      </c>
      <c r="DV35" s="49">
        <v>1.4688000000000001</v>
      </c>
      <c r="DW35" s="49">
        <v>1.4787999999999999</v>
      </c>
      <c r="DX35" s="49">
        <v>1.4886999999999999</v>
      </c>
      <c r="DY35" s="49">
        <v>1.4987999999999999</v>
      </c>
      <c r="DZ35" s="49">
        <v>1.5088999999999999</v>
      </c>
      <c r="EA35" s="49">
        <v>1.5189999999999999</v>
      </c>
      <c r="EB35" s="49">
        <v>1.5293000000000001</v>
      </c>
      <c r="EC35" s="49">
        <v>1.5396000000000001</v>
      </c>
      <c r="ED35" s="49">
        <v>1.55</v>
      </c>
      <c r="EE35" s="49">
        <v>1.5605</v>
      </c>
      <c r="EF35" s="49">
        <v>1.571</v>
      </c>
      <c r="EG35" s="49">
        <v>1.5817000000000001</v>
      </c>
      <c r="EH35" s="49">
        <v>1.5924</v>
      </c>
      <c r="EI35" s="49">
        <v>1.6032</v>
      </c>
      <c r="EJ35" s="49">
        <v>1.6142000000000001</v>
      </c>
      <c r="EK35" s="49">
        <v>1.6252</v>
      </c>
      <c r="EL35" s="49">
        <v>1.6364000000000001</v>
      </c>
      <c r="EM35" s="49">
        <v>1.6476</v>
      </c>
      <c r="EN35" s="49">
        <v>1.659</v>
      </c>
      <c r="EO35" s="49">
        <v>1.6705000000000001</v>
      </c>
      <c r="EP35" s="49">
        <v>1.6821999999999999</v>
      </c>
      <c r="EQ35" s="49">
        <v>1.6939</v>
      </c>
      <c r="ER35" s="49">
        <v>1.7059</v>
      </c>
      <c r="ES35" s="49">
        <v>1.7179</v>
      </c>
      <c r="ET35" s="49">
        <v>1.7301</v>
      </c>
      <c r="EU35" s="49">
        <v>1.7424999999999999</v>
      </c>
      <c r="EV35" s="49">
        <v>1.7542</v>
      </c>
      <c r="EW35" s="49">
        <v>1.7647999999999999</v>
      </c>
      <c r="EX35" s="49">
        <v>1.7756000000000001</v>
      </c>
      <c r="EY35" s="49">
        <v>1.7865</v>
      </c>
      <c r="EZ35" s="49">
        <v>1.7976000000000001</v>
      </c>
      <c r="FA35" s="49">
        <v>1.8088</v>
      </c>
      <c r="FB35" s="49">
        <v>1.8203</v>
      </c>
      <c r="FC35" s="49">
        <v>1.8319000000000001</v>
      </c>
      <c r="FE35" s="50">
        <f t="shared" ca="1" si="4"/>
        <v>1.4807775772407463</v>
      </c>
      <c r="FF35" s="50">
        <f t="shared" ref="FF35:FF66" ca="1" si="5">FORECAST(L$39,OFFSET($AX35,0,MATCH(L$39,$AX$2:$FC$2,1)-1,1,2),OFFSET($AX$2,0,MATCH(L$39,$AX$2:$FC$2,1)-1,1,2))</f>
        <v>1.4744840756167896</v>
      </c>
      <c r="FG35" s="50">
        <f t="shared" ref="FG35:FG66" ca="1" si="6">FORECAST(N$39,OFFSET($AX35,0,MATCH(N$39,$AX$2:$FC$2,1)-1,1,2),OFFSET($AX$2,0,MATCH(N$39,$AX$2:$FC$2,1)-1,1,2))</f>
        <v>1.4680567785234901</v>
      </c>
      <c r="FH35" s="50">
        <f t="shared" ref="FH35:FH66" ca="1" si="7">FORECAST(P$39,OFFSET($AX35,0,MATCH(P$39,$AX$2:$FC$2,1)-1,1,2),OFFSET($AX$2,0,MATCH(P$39,$AX$2:$FC$2,1)-1,1,2))</f>
        <v>1.4614795973154364</v>
      </c>
      <c r="FK35" s="50">
        <f t="shared" ref="FK35:FK66" ca="1" si="8">FORECAST(AN$22,OFFSET($AX35,0,MATCH(AN$22,$AX$2:$FC$2,1)-1,1,2),OFFSET($AX$2,0,MATCH(AN$22,$AX$2:$FC$2,1)-1,1,2))</f>
        <v>1.4744840756167896</v>
      </c>
      <c r="FL35" s="50"/>
      <c r="FM35" s="50"/>
      <c r="FN35" s="50"/>
    </row>
    <row r="36" spans="2:170" ht="17.100000000000001" customHeight="1">
      <c r="B36" s="119"/>
      <c r="C36" s="662" t="s">
        <v>305</v>
      </c>
      <c r="D36" s="663"/>
      <c r="E36" s="663"/>
      <c r="F36" s="663"/>
      <c r="G36" s="663"/>
      <c r="H36" s="663"/>
      <c r="I36" s="663"/>
      <c r="J36" s="663"/>
      <c r="K36" s="663"/>
      <c r="L36" s="663"/>
      <c r="M36" s="663"/>
      <c r="N36" s="663"/>
      <c r="O36" s="663"/>
      <c r="P36" s="663"/>
      <c r="Q36" s="664"/>
      <c r="R36" s="23"/>
      <c r="S36" s="23"/>
      <c r="T36" s="23"/>
      <c r="U36" s="23"/>
      <c r="V36" s="23"/>
      <c r="W36" s="23"/>
      <c r="X36" s="23"/>
      <c r="Y36" s="23"/>
      <c r="Z36" s="23"/>
      <c r="AA36" s="23"/>
      <c r="AB36" s="121"/>
      <c r="AC36" s="27"/>
      <c r="AD36" s="41">
        <f>MIN(99.9,MAX(0.1,J34))</f>
        <v>99.9</v>
      </c>
      <c r="AE36" s="41">
        <f>MIN(99.9,MAX(0.1,L34))</f>
        <v>54</v>
      </c>
      <c r="AF36" s="42">
        <f>MIN(99.9,MAX(0.1,N34))</f>
        <v>0.5</v>
      </c>
      <c r="AG36" s="97">
        <f>MIN(99.9,MAX(0.1,P34))</f>
        <v>99.9</v>
      </c>
      <c r="AH36" s="97"/>
      <c r="AL36" s="342" t="b">
        <f>AND(0.05&lt;AM38,AM38&lt;=0.3)</f>
        <v>1</v>
      </c>
      <c r="AM36" s="436">
        <f>1+2*AT46*Z15</f>
        <v>1.047266573487418</v>
      </c>
      <c r="AN36" s="342" t="b">
        <f>AND(0.05&lt;AM38,AM38&lt;=0.3)</f>
        <v>1</v>
      </c>
      <c r="AO36" s="436">
        <f>1+2*AT60*Z15</f>
        <v>1.0502380604918711</v>
      </c>
      <c r="AW36" s="46">
        <v>0.97699999999999998</v>
      </c>
      <c r="AX36" s="49">
        <v>0.78549999999999998</v>
      </c>
      <c r="AY36" s="49">
        <v>0.79420000000000002</v>
      </c>
      <c r="AZ36" s="49">
        <v>0.80279999999999996</v>
      </c>
      <c r="BA36" s="49">
        <v>0.8115</v>
      </c>
      <c r="BB36" s="49">
        <v>0.82010000000000005</v>
      </c>
      <c r="BC36" s="49">
        <v>0.82879999999999998</v>
      </c>
      <c r="BD36" s="49">
        <v>0.83740000000000003</v>
      </c>
      <c r="BE36" s="49">
        <v>0.84609999999999996</v>
      </c>
      <c r="BF36" s="49">
        <v>0.85470000000000002</v>
      </c>
      <c r="BG36" s="49">
        <v>0.86339999999999995</v>
      </c>
      <c r="BH36" s="49">
        <v>0.87209999999999999</v>
      </c>
      <c r="BI36" s="49">
        <v>0.88070000000000004</v>
      </c>
      <c r="BJ36" s="49">
        <v>0.88939999999999997</v>
      </c>
      <c r="BK36" s="49">
        <v>0.89810000000000001</v>
      </c>
      <c r="BL36" s="49">
        <v>0.90669999999999995</v>
      </c>
      <c r="BM36" s="49">
        <v>0.91539999999999999</v>
      </c>
      <c r="BN36" s="49">
        <v>0.92410000000000003</v>
      </c>
      <c r="BO36" s="49">
        <v>0.93279999999999996</v>
      </c>
      <c r="BP36" s="49">
        <v>0.9415</v>
      </c>
      <c r="BQ36" s="49">
        <v>0.95020000000000004</v>
      </c>
      <c r="BR36" s="49">
        <v>0.95889999999999997</v>
      </c>
      <c r="BS36" s="49">
        <v>0.96760000000000002</v>
      </c>
      <c r="BT36" s="49">
        <v>0.97629999999999995</v>
      </c>
      <c r="BU36" s="49">
        <v>0.98499999999999999</v>
      </c>
      <c r="BV36" s="49">
        <v>0.99370000000000003</v>
      </c>
      <c r="BW36" s="49">
        <v>1.0024999999999999</v>
      </c>
      <c r="BX36" s="49">
        <v>1.0112000000000001</v>
      </c>
      <c r="BY36" s="49">
        <v>1.0199</v>
      </c>
      <c r="BZ36" s="49">
        <v>1.0286999999999999</v>
      </c>
      <c r="CA36" s="49">
        <v>1.0374000000000001</v>
      </c>
      <c r="CB36" s="49">
        <v>1.0462</v>
      </c>
      <c r="CC36" s="49">
        <v>1.0548999999999999</v>
      </c>
      <c r="CD36" s="49">
        <v>1.0637000000000001</v>
      </c>
      <c r="CE36" s="49">
        <v>1.0725</v>
      </c>
      <c r="CF36" s="49">
        <v>1.0812999999999999</v>
      </c>
      <c r="CG36" s="49">
        <v>1.0900000000000001</v>
      </c>
      <c r="CH36" s="49">
        <v>1.0989</v>
      </c>
      <c r="CI36" s="49">
        <v>1.1076999999999999</v>
      </c>
      <c r="CJ36" s="49">
        <v>1.1165</v>
      </c>
      <c r="CK36" s="49">
        <v>1.1253</v>
      </c>
      <c r="CL36" s="49">
        <v>1.1342000000000001</v>
      </c>
      <c r="CM36" s="49">
        <v>1.143</v>
      </c>
      <c r="CN36" s="49">
        <v>1.1518999999999999</v>
      </c>
      <c r="CO36" s="49">
        <v>1.1608000000000001</v>
      </c>
      <c r="CP36" s="49">
        <v>1.1697</v>
      </c>
      <c r="CQ36" s="49">
        <v>1.1786000000000001</v>
      </c>
      <c r="CR36" s="49">
        <v>1.1875</v>
      </c>
      <c r="CS36" s="49">
        <v>1.1963999999999999</v>
      </c>
      <c r="CT36" s="49">
        <v>1.2054</v>
      </c>
      <c r="CU36" s="49">
        <v>1.2142999999999999</v>
      </c>
      <c r="CV36" s="49">
        <v>1.2233000000000001</v>
      </c>
      <c r="CW36" s="49">
        <v>1.2323</v>
      </c>
      <c r="CX36" s="49">
        <v>1.2413000000000001</v>
      </c>
      <c r="CY36" s="49">
        <v>1.2504</v>
      </c>
      <c r="CZ36" s="49">
        <v>1.2594000000000001</v>
      </c>
      <c r="DA36" s="49">
        <v>1.2685</v>
      </c>
      <c r="DB36" s="49">
        <v>1.2776000000000001</v>
      </c>
      <c r="DC36" s="49">
        <v>1.2867</v>
      </c>
      <c r="DD36" s="49">
        <v>1.2959000000000001</v>
      </c>
      <c r="DE36" s="49">
        <v>1.3049999999999999</v>
      </c>
      <c r="DF36" s="49">
        <v>1.3142</v>
      </c>
      <c r="DG36" s="49">
        <v>1.3234999999999999</v>
      </c>
      <c r="DH36" s="49">
        <v>1.3327</v>
      </c>
      <c r="DI36" s="49">
        <v>1.3420000000000001</v>
      </c>
      <c r="DJ36" s="49">
        <v>1.3512999999999999</v>
      </c>
      <c r="DK36" s="49">
        <v>1.3607</v>
      </c>
      <c r="DL36" s="49">
        <v>1.3701000000000001</v>
      </c>
      <c r="DM36" s="49">
        <v>1.3794999999999999</v>
      </c>
      <c r="DN36" s="49">
        <v>1.389</v>
      </c>
      <c r="DO36" s="49">
        <v>1.3985000000000001</v>
      </c>
      <c r="DP36" s="49">
        <v>1.4079999999999999</v>
      </c>
      <c r="DQ36" s="49">
        <v>1.4176</v>
      </c>
      <c r="DR36" s="49">
        <v>1.4272</v>
      </c>
      <c r="DS36" s="49">
        <v>1.4369000000000001</v>
      </c>
      <c r="DT36" s="49">
        <v>1.4466000000000001</v>
      </c>
      <c r="DU36" s="49">
        <v>1.4563999999999999</v>
      </c>
      <c r="DV36" s="49">
        <v>1.4662999999999999</v>
      </c>
      <c r="DW36" s="49">
        <v>1.4762</v>
      </c>
      <c r="DX36" s="49">
        <v>1.4861</v>
      </c>
      <c r="DY36" s="49">
        <v>1.4961</v>
      </c>
      <c r="DZ36" s="49">
        <v>1.5062</v>
      </c>
      <c r="EA36" s="49">
        <v>1.5164</v>
      </c>
      <c r="EB36" s="49">
        <v>1.5266</v>
      </c>
      <c r="EC36" s="49">
        <v>1.5368999999999999</v>
      </c>
      <c r="ED36" s="49">
        <v>1.5472999999999999</v>
      </c>
      <c r="EE36" s="49">
        <v>1.5577000000000001</v>
      </c>
      <c r="EF36" s="49">
        <v>1.5683</v>
      </c>
      <c r="EG36" s="49">
        <v>1.5789</v>
      </c>
      <c r="EH36" s="49">
        <v>1.5895999999999999</v>
      </c>
      <c r="EI36" s="49">
        <v>1.6004</v>
      </c>
      <c r="EJ36" s="49">
        <v>1.6113</v>
      </c>
      <c r="EK36" s="49">
        <v>1.6224000000000001</v>
      </c>
      <c r="EL36" s="49">
        <v>1.6335</v>
      </c>
      <c r="EM36" s="49">
        <v>1.6448</v>
      </c>
      <c r="EN36" s="49">
        <v>1.6560999999999999</v>
      </c>
      <c r="EO36" s="49">
        <v>1.6676</v>
      </c>
      <c r="EP36" s="49">
        <v>1.6792</v>
      </c>
      <c r="EQ36" s="49">
        <v>1.6910000000000001</v>
      </c>
      <c r="ER36" s="49">
        <v>1.7029000000000001</v>
      </c>
      <c r="ES36" s="49">
        <v>1.7149000000000001</v>
      </c>
      <c r="ET36" s="49">
        <v>1.7271000000000001</v>
      </c>
      <c r="EU36" s="49">
        <v>1.7395</v>
      </c>
      <c r="EV36" s="49">
        <v>1.752</v>
      </c>
      <c r="EW36" s="49">
        <v>1.7646999999999999</v>
      </c>
      <c r="EX36" s="49">
        <v>1.7756000000000001</v>
      </c>
      <c r="EY36" s="49">
        <v>1.7865</v>
      </c>
      <c r="EZ36" s="49">
        <v>1.7976000000000001</v>
      </c>
      <c r="FA36" s="49">
        <v>1.8088</v>
      </c>
      <c r="FB36" s="49">
        <v>1.8203</v>
      </c>
      <c r="FC36" s="49">
        <v>1.8319000000000001</v>
      </c>
      <c r="FE36" s="50">
        <f t="shared" ca="1" si="4"/>
        <v>1.4781775772407464</v>
      </c>
      <c r="FF36" s="50">
        <f t="shared" ca="1" si="5"/>
        <v>1.4719272348606216</v>
      </c>
      <c r="FG36" s="50">
        <f t="shared" ca="1" si="6"/>
        <v>1.4655491946308723</v>
      </c>
      <c r="FH36" s="50">
        <f t="shared" ca="1" si="7"/>
        <v>1.4589048993288589</v>
      </c>
      <c r="FK36" s="50">
        <f t="shared" ca="1" si="8"/>
        <v>1.4719272348606216</v>
      </c>
      <c r="FL36" s="50"/>
      <c r="FM36" s="50"/>
      <c r="FN36" s="50"/>
    </row>
    <row r="37" spans="2:170" ht="17.100000000000001" customHeight="1">
      <c r="B37" s="119"/>
      <c r="C37" s="536" t="s">
        <v>300</v>
      </c>
      <c r="D37" s="537"/>
      <c r="E37" s="537"/>
      <c r="F37" s="537"/>
      <c r="G37" s="537"/>
      <c r="H37" s="537"/>
      <c r="I37" s="537"/>
      <c r="J37" s="530">
        <v>15</v>
      </c>
      <c r="K37" s="530"/>
      <c r="L37" s="530">
        <v>17.5</v>
      </c>
      <c r="M37" s="530"/>
      <c r="N37" s="530">
        <v>20</v>
      </c>
      <c r="O37" s="530"/>
      <c r="P37" s="530">
        <v>22.5</v>
      </c>
      <c r="Q37" s="531"/>
      <c r="R37" s="23"/>
      <c r="S37" s="23"/>
      <c r="T37" s="23"/>
      <c r="U37" s="23"/>
      <c r="V37" s="23"/>
      <c r="W37" s="23"/>
      <c r="X37" s="23"/>
      <c r="Y37" s="23"/>
      <c r="Z37" s="23"/>
      <c r="AA37" s="23"/>
      <c r="AB37" s="121"/>
      <c r="AC37" s="27"/>
      <c r="AD37" s="115" t="s">
        <v>308</v>
      </c>
      <c r="AE37" s="41"/>
      <c r="AF37" s="42"/>
      <c r="AG37" s="97"/>
      <c r="AH37" s="97"/>
      <c r="AL37" s="342" t="b">
        <f>IF(AM38&gt;0.3,TRUE,FALSE)</f>
        <v>0</v>
      </c>
      <c r="AM37" s="437">
        <f>1+0.6*AT46</f>
        <v>1.047266573487418</v>
      </c>
      <c r="AN37" s="342" t="b">
        <f>IF(AM38&gt;0.3,TRUE,FALSE)</f>
        <v>0</v>
      </c>
      <c r="AO37" s="437">
        <f>1+0.6*AT60</f>
        <v>1.0502380604918711</v>
      </c>
      <c r="AW37" s="46">
        <v>1.0469999999999999</v>
      </c>
      <c r="AX37" s="49">
        <v>0.78420000000000001</v>
      </c>
      <c r="AY37" s="49">
        <v>0.79279999999999995</v>
      </c>
      <c r="AZ37" s="49">
        <v>0.8014</v>
      </c>
      <c r="BA37" s="49">
        <v>0.81010000000000004</v>
      </c>
      <c r="BB37" s="49">
        <v>0.81869999999999998</v>
      </c>
      <c r="BC37" s="49">
        <v>0.82730000000000004</v>
      </c>
      <c r="BD37" s="49">
        <v>0.83599999999999997</v>
      </c>
      <c r="BE37" s="49">
        <v>0.84460000000000002</v>
      </c>
      <c r="BF37" s="49">
        <v>0.85329999999999995</v>
      </c>
      <c r="BG37" s="49">
        <v>0.8619</v>
      </c>
      <c r="BH37" s="49">
        <v>0.87060000000000004</v>
      </c>
      <c r="BI37" s="49">
        <v>0.87919999999999998</v>
      </c>
      <c r="BJ37" s="49">
        <v>0.88790000000000002</v>
      </c>
      <c r="BK37" s="49">
        <v>0.89649999999999996</v>
      </c>
      <c r="BL37" s="49">
        <v>0.9052</v>
      </c>
      <c r="BM37" s="49">
        <v>0.91379999999999995</v>
      </c>
      <c r="BN37" s="49">
        <v>0.92249999999999999</v>
      </c>
      <c r="BO37" s="49">
        <v>0.93120000000000003</v>
      </c>
      <c r="BP37" s="49">
        <v>0.93989999999999996</v>
      </c>
      <c r="BQ37" s="49">
        <v>0.94850000000000001</v>
      </c>
      <c r="BR37" s="49">
        <v>0.95720000000000005</v>
      </c>
      <c r="BS37" s="49">
        <v>0.96589999999999998</v>
      </c>
      <c r="BT37" s="49">
        <v>0.97460000000000002</v>
      </c>
      <c r="BU37" s="49">
        <v>0.98329999999999995</v>
      </c>
      <c r="BV37" s="49">
        <v>0.99199999999999999</v>
      </c>
      <c r="BW37" s="49">
        <v>1.0006999999999999</v>
      </c>
      <c r="BX37" s="49">
        <v>1.0094000000000001</v>
      </c>
      <c r="BY37" s="49">
        <v>1.0182</v>
      </c>
      <c r="BZ37" s="49">
        <v>1.0268999999999999</v>
      </c>
      <c r="CA37" s="49">
        <v>1.0356000000000001</v>
      </c>
      <c r="CB37" s="49">
        <v>1.0444</v>
      </c>
      <c r="CC37" s="49">
        <v>1.0530999999999999</v>
      </c>
      <c r="CD37" s="49">
        <v>1.0619000000000001</v>
      </c>
      <c r="CE37" s="49">
        <v>1.0706</v>
      </c>
      <c r="CF37" s="49">
        <v>1.0793999999999999</v>
      </c>
      <c r="CG37" s="49">
        <v>1.0882000000000001</v>
      </c>
      <c r="CH37" s="49">
        <v>1.097</v>
      </c>
      <c r="CI37" s="49">
        <v>1.1057999999999999</v>
      </c>
      <c r="CJ37" s="49">
        <v>1.1146</v>
      </c>
      <c r="CK37" s="49">
        <v>1.1234</v>
      </c>
      <c r="CL37" s="49">
        <v>1.1322000000000001</v>
      </c>
      <c r="CM37" s="49">
        <v>1.141</v>
      </c>
      <c r="CN37" s="49">
        <v>1.1498999999999999</v>
      </c>
      <c r="CO37" s="49">
        <v>1.1588000000000001</v>
      </c>
      <c r="CP37" s="49">
        <v>1.1676</v>
      </c>
      <c r="CQ37" s="49">
        <v>1.1765000000000001</v>
      </c>
      <c r="CR37" s="49">
        <v>1.1854</v>
      </c>
      <c r="CS37" s="49">
        <v>1.1942999999999999</v>
      </c>
      <c r="CT37" s="49">
        <v>1.2033</v>
      </c>
      <c r="CU37" s="49">
        <v>1.2121999999999999</v>
      </c>
      <c r="CV37" s="49">
        <v>1.2212000000000001</v>
      </c>
      <c r="CW37" s="49">
        <v>1.2302</v>
      </c>
      <c r="CX37" s="49">
        <v>1.2392000000000001</v>
      </c>
      <c r="CY37" s="49">
        <v>1.2482</v>
      </c>
      <c r="CZ37" s="49">
        <v>1.2572000000000001</v>
      </c>
      <c r="DA37" s="49">
        <v>1.2663</v>
      </c>
      <c r="DB37" s="49">
        <v>1.2754000000000001</v>
      </c>
      <c r="DC37" s="49">
        <v>1.2845</v>
      </c>
      <c r="DD37" s="49">
        <v>1.2936000000000001</v>
      </c>
      <c r="DE37" s="49">
        <v>1.3028</v>
      </c>
      <c r="DF37" s="49">
        <v>1.3120000000000001</v>
      </c>
      <c r="DG37" s="49">
        <v>1.3211999999999999</v>
      </c>
      <c r="DH37" s="49">
        <v>1.3304</v>
      </c>
      <c r="DI37" s="49">
        <v>1.3396999999999999</v>
      </c>
      <c r="DJ37" s="49">
        <v>1.349</v>
      </c>
      <c r="DK37" s="49">
        <v>1.3583000000000001</v>
      </c>
      <c r="DL37" s="49">
        <v>1.3676999999999999</v>
      </c>
      <c r="DM37" s="49">
        <v>1.3771</v>
      </c>
      <c r="DN37" s="49">
        <v>1.3866000000000001</v>
      </c>
      <c r="DO37" s="49">
        <v>1.3960999999999999</v>
      </c>
      <c r="DP37" s="49">
        <v>1.4056</v>
      </c>
      <c r="DQ37" s="49">
        <v>1.4152</v>
      </c>
      <c r="DR37" s="49">
        <v>1.4248000000000001</v>
      </c>
      <c r="DS37" s="49">
        <v>1.4343999999999999</v>
      </c>
      <c r="DT37" s="49">
        <v>1.4440999999999999</v>
      </c>
      <c r="DU37" s="49">
        <v>1.4539</v>
      </c>
      <c r="DV37" s="49">
        <v>1.4637</v>
      </c>
      <c r="DW37" s="49">
        <v>1.4736</v>
      </c>
      <c r="DX37" s="49">
        <v>1.4836</v>
      </c>
      <c r="DY37" s="49">
        <v>1.4936</v>
      </c>
      <c r="DZ37" s="49">
        <v>1.5036</v>
      </c>
      <c r="EA37" s="49">
        <v>1.5138</v>
      </c>
      <c r="EB37" s="49">
        <v>1.524</v>
      </c>
      <c r="EC37" s="49">
        <v>1.5342</v>
      </c>
      <c r="ED37" s="49">
        <v>1.5446</v>
      </c>
      <c r="EE37" s="49">
        <v>1.5549999999999999</v>
      </c>
      <c r="EF37" s="49">
        <v>1.5656000000000001</v>
      </c>
      <c r="EG37" s="49">
        <v>1.5762</v>
      </c>
      <c r="EH37" s="49">
        <v>1.5869</v>
      </c>
      <c r="EI37" s="49">
        <v>1.5976999999999999</v>
      </c>
      <c r="EJ37" s="49">
        <v>1.6086</v>
      </c>
      <c r="EK37" s="49">
        <v>1.6195999999999999</v>
      </c>
      <c r="EL37" s="49">
        <v>1.6307</v>
      </c>
      <c r="EM37" s="49">
        <v>1.6418999999999999</v>
      </c>
      <c r="EN37" s="49">
        <v>1.6533</v>
      </c>
      <c r="EO37" s="49">
        <v>1.6647000000000001</v>
      </c>
      <c r="EP37" s="49">
        <v>1.6762999999999999</v>
      </c>
      <c r="EQ37" s="49">
        <v>1.6880999999999999</v>
      </c>
      <c r="ER37" s="49">
        <v>1.6999</v>
      </c>
      <c r="ES37" s="49">
        <v>1.7119</v>
      </c>
      <c r="ET37" s="49">
        <v>1.7241</v>
      </c>
      <c r="EU37" s="49">
        <v>1.7363999999999999</v>
      </c>
      <c r="EV37" s="49">
        <v>1.7488999999999999</v>
      </c>
      <c r="EW37" s="49">
        <v>1.7616000000000001</v>
      </c>
      <c r="EX37" s="49">
        <v>1.7744</v>
      </c>
      <c r="EY37" s="49">
        <v>1.7865</v>
      </c>
      <c r="EZ37" s="49">
        <v>1.7976000000000001</v>
      </c>
      <c r="FA37" s="49">
        <v>1.8088</v>
      </c>
      <c r="FB37" s="49">
        <v>1.8203</v>
      </c>
      <c r="FC37" s="49">
        <v>1.8319000000000001</v>
      </c>
      <c r="FE37" s="50">
        <f t="shared" ca="1" si="4"/>
        <v>1.4755975527684309</v>
      </c>
      <c r="FF37" s="50">
        <f t="shared" ca="1" si="5"/>
        <v>1.4693272348606217</v>
      </c>
      <c r="FG37" s="50">
        <f t="shared" ca="1" si="6"/>
        <v>1.46295677852349</v>
      </c>
      <c r="FH37" s="50">
        <f t="shared" ca="1" si="7"/>
        <v>1.4563795973154363</v>
      </c>
      <c r="FK37" s="50">
        <f t="shared" ca="1" si="8"/>
        <v>1.4693272348606217</v>
      </c>
      <c r="FL37" s="50"/>
      <c r="FM37" s="50"/>
      <c r="FN37" s="50"/>
    </row>
    <row r="38" spans="2:170" ht="17.100000000000001" customHeight="1" thickBot="1">
      <c r="B38" s="119"/>
      <c r="C38" s="536" t="s">
        <v>301</v>
      </c>
      <c r="D38" s="537"/>
      <c r="E38" s="537"/>
      <c r="F38" s="537"/>
      <c r="G38" s="537"/>
      <c r="H38" s="537"/>
      <c r="I38" s="537"/>
      <c r="J38" s="530">
        <v>10</v>
      </c>
      <c r="K38" s="530"/>
      <c r="L38" s="530">
        <v>10</v>
      </c>
      <c r="M38" s="530"/>
      <c r="N38" s="530">
        <v>10</v>
      </c>
      <c r="O38" s="530"/>
      <c r="P38" s="530">
        <v>10</v>
      </c>
      <c r="Q38" s="531"/>
      <c r="R38" s="23"/>
      <c r="S38" s="23"/>
      <c r="T38" s="23"/>
      <c r="U38" s="23"/>
      <c r="V38" s="23"/>
      <c r="W38" s="23"/>
      <c r="X38" s="23"/>
      <c r="Y38" s="23"/>
      <c r="Z38" s="23"/>
      <c r="AA38" s="23"/>
      <c r="AB38" s="121"/>
      <c r="AC38" s="27"/>
      <c r="AD38" s="42">
        <f>VLOOKUP(Database!B2,Database!B3:J62,9)</f>
        <v>6</v>
      </c>
      <c r="AE38" s="40" t="s">
        <v>318</v>
      </c>
      <c r="AG38" s="40"/>
      <c r="AH38" s="97"/>
      <c r="AL38" s="438" t="s">
        <v>70</v>
      </c>
      <c r="AM38" s="343">
        <f>+Z15</f>
        <v>0.3</v>
      </c>
      <c r="AN38" s="438"/>
      <c r="AO38" s="343"/>
      <c r="AW38" s="46">
        <v>1.1220000000000001</v>
      </c>
      <c r="AX38" s="49">
        <v>0.78280000000000005</v>
      </c>
      <c r="AY38" s="49">
        <v>0.79139999999999999</v>
      </c>
      <c r="AZ38" s="49">
        <v>0.80010000000000003</v>
      </c>
      <c r="BA38" s="49">
        <v>0.80869999999999997</v>
      </c>
      <c r="BB38" s="49">
        <v>0.81730000000000003</v>
      </c>
      <c r="BC38" s="49">
        <v>0.82589999999999997</v>
      </c>
      <c r="BD38" s="49">
        <v>0.83450000000000002</v>
      </c>
      <c r="BE38" s="49">
        <v>0.84319999999999995</v>
      </c>
      <c r="BF38" s="49">
        <v>0.8518</v>
      </c>
      <c r="BG38" s="49">
        <v>0.86040000000000005</v>
      </c>
      <c r="BH38" s="49">
        <v>0.86909999999999998</v>
      </c>
      <c r="BI38" s="49">
        <v>0.87770000000000004</v>
      </c>
      <c r="BJ38" s="49">
        <v>0.88629999999999998</v>
      </c>
      <c r="BK38" s="49">
        <v>0.89500000000000002</v>
      </c>
      <c r="BL38" s="49">
        <v>0.90359999999999996</v>
      </c>
      <c r="BM38" s="49">
        <v>0.9123</v>
      </c>
      <c r="BN38" s="49">
        <v>0.92090000000000005</v>
      </c>
      <c r="BO38" s="49">
        <v>0.92959999999999998</v>
      </c>
      <c r="BP38" s="49">
        <v>0.93830000000000002</v>
      </c>
      <c r="BQ38" s="49">
        <v>0.94689999999999996</v>
      </c>
      <c r="BR38" s="49">
        <v>0.9556</v>
      </c>
      <c r="BS38" s="49">
        <v>0.96430000000000005</v>
      </c>
      <c r="BT38" s="49">
        <v>0.97289999999999999</v>
      </c>
      <c r="BU38" s="49">
        <v>0.98160000000000003</v>
      </c>
      <c r="BV38" s="49">
        <v>0.99029999999999996</v>
      </c>
      <c r="BW38" s="49">
        <v>0.999</v>
      </c>
      <c r="BX38" s="49">
        <v>1.0077</v>
      </c>
      <c r="BY38" s="49">
        <v>1.0164</v>
      </c>
      <c r="BZ38" s="49">
        <v>1.0250999999999999</v>
      </c>
      <c r="CA38" s="49">
        <v>1.0338000000000001</v>
      </c>
      <c r="CB38" s="49">
        <v>1.0426</v>
      </c>
      <c r="CC38" s="49">
        <v>1.0512999999999999</v>
      </c>
      <c r="CD38" s="49">
        <v>1.06</v>
      </c>
      <c r="CE38" s="49">
        <v>1.0688</v>
      </c>
      <c r="CF38" s="49">
        <v>1.0774999999999999</v>
      </c>
      <c r="CG38" s="49">
        <v>1.0863</v>
      </c>
      <c r="CH38" s="49">
        <v>1.0951</v>
      </c>
      <c r="CI38" s="49">
        <v>1.1039000000000001</v>
      </c>
      <c r="CJ38" s="49">
        <v>1.1127</v>
      </c>
      <c r="CK38" s="49">
        <v>1.1214999999999999</v>
      </c>
      <c r="CL38" s="49">
        <v>1.1303000000000001</v>
      </c>
      <c r="CM38" s="49">
        <v>1.1391</v>
      </c>
      <c r="CN38" s="49">
        <v>1.1478999999999999</v>
      </c>
      <c r="CO38" s="49">
        <v>1.1568000000000001</v>
      </c>
      <c r="CP38" s="49">
        <v>1.1656</v>
      </c>
      <c r="CQ38" s="49">
        <v>1.1745000000000001</v>
      </c>
      <c r="CR38" s="49">
        <v>1.1834</v>
      </c>
      <c r="CS38" s="49">
        <v>1.1922999999999999</v>
      </c>
      <c r="CT38" s="49">
        <v>1.2012</v>
      </c>
      <c r="CU38" s="49">
        <v>1.2101999999999999</v>
      </c>
      <c r="CV38" s="49">
        <v>1.2191000000000001</v>
      </c>
      <c r="CW38" s="49">
        <v>1.2281</v>
      </c>
      <c r="CX38" s="49">
        <v>1.2371000000000001</v>
      </c>
      <c r="CY38" s="49">
        <v>1.2461</v>
      </c>
      <c r="CZ38" s="49">
        <v>1.2551000000000001</v>
      </c>
      <c r="DA38" s="49">
        <v>1.2641</v>
      </c>
      <c r="DB38" s="49">
        <v>1.2732000000000001</v>
      </c>
      <c r="DC38" s="49">
        <v>1.2823</v>
      </c>
      <c r="DD38" s="49">
        <v>1.2914000000000001</v>
      </c>
      <c r="DE38" s="49">
        <v>1.3006</v>
      </c>
      <c r="DF38" s="49">
        <v>1.3097000000000001</v>
      </c>
      <c r="DG38" s="49">
        <v>1.3189</v>
      </c>
      <c r="DH38" s="49">
        <v>1.3282</v>
      </c>
      <c r="DI38" s="49">
        <v>1.3373999999999999</v>
      </c>
      <c r="DJ38" s="49">
        <v>1.3467</v>
      </c>
      <c r="DK38" s="49">
        <v>1.3560000000000001</v>
      </c>
      <c r="DL38" s="49">
        <v>1.3653999999999999</v>
      </c>
      <c r="DM38" s="49">
        <v>1.3748</v>
      </c>
      <c r="DN38" s="49">
        <v>1.3842000000000001</v>
      </c>
      <c r="DO38" s="49">
        <v>1.3936999999999999</v>
      </c>
      <c r="DP38" s="49">
        <v>1.4032</v>
      </c>
      <c r="DQ38" s="49">
        <v>1.4127000000000001</v>
      </c>
      <c r="DR38" s="49">
        <v>1.4222999999999999</v>
      </c>
      <c r="DS38" s="49">
        <v>1.4319999999999999</v>
      </c>
      <c r="DT38" s="49">
        <v>1.4417</v>
      </c>
      <c r="DU38" s="49">
        <v>1.4514</v>
      </c>
      <c r="DV38" s="49">
        <v>1.4612000000000001</v>
      </c>
      <c r="DW38" s="49">
        <v>1.4711000000000001</v>
      </c>
      <c r="DX38" s="49">
        <v>1.4810000000000001</v>
      </c>
      <c r="DY38" s="49">
        <v>1.4910000000000001</v>
      </c>
      <c r="DZ38" s="49">
        <v>1.5011000000000001</v>
      </c>
      <c r="EA38" s="49">
        <v>1.5112000000000001</v>
      </c>
      <c r="EB38" s="49">
        <v>1.5214000000000001</v>
      </c>
      <c r="EC38" s="49">
        <v>1.5316000000000001</v>
      </c>
      <c r="ED38" s="49">
        <v>1.542</v>
      </c>
      <c r="EE38" s="49">
        <v>1.5524</v>
      </c>
      <c r="EF38" s="49">
        <v>1.5629</v>
      </c>
      <c r="EG38" s="49">
        <v>1.5734999999999999</v>
      </c>
      <c r="EH38" s="49">
        <v>1.5842000000000001</v>
      </c>
      <c r="EI38" s="49">
        <v>1.5949</v>
      </c>
      <c r="EJ38" s="49">
        <v>1.6057999999999999</v>
      </c>
      <c r="EK38" s="49">
        <v>1.6168</v>
      </c>
      <c r="EL38" s="49">
        <v>1.6278999999999999</v>
      </c>
      <c r="EM38" s="49">
        <v>1.6391</v>
      </c>
      <c r="EN38" s="49">
        <v>1.6504000000000001</v>
      </c>
      <c r="EO38" s="49">
        <v>1.6618999999999999</v>
      </c>
      <c r="EP38" s="49">
        <v>1.6735</v>
      </c>
      <c r="EQ38" s="49">
        <v>1.6852</v>
      </c>
      <c r="ER38" s="49">
        <v>1.6970000000000001</v>
      </c>
      <c r="ES38" s="49">
        <v>1.7090000000000001</v>
      </c>
      <c r="ET38" s="49">
        <v>1.7212000000000001</v>
      </c>
      <c r="EU38" s="49">
        <v>1.7335</v>
      </c>
      <c r="EV38" s="49">
        <v>1.746</v>
      </c>
      <c r="EW38" s="49">
        <v>1.7585999999999999</v>
      </c>
      <c r="EX38" s="49">
        <v>1.7714000000000001</v>
      </c>
      <c r="EY38" s="49">
        <v>1.7844</v>
      </c>
      <c r="EZ38" s="49">
        <v>1.7976000000000001</v>
      </c>
      <c r="FA38" s="49">
        <v>1.8088</v>
      </c>
      <c r="FB38" s="49">
        <v>1.8203</v>
      </c>
      <c r="FC38" s="49">
        <v>1.8319000000000001</v>
      </c>
      <c r="FE38" s="50">
        <f t="shared" ca="1" si="4"/>
        <v>1.4730775772407465</v>
      </c>
      <c r="FF38" s="50">
        <f t="shared" ca="1" si="5"/>
        <v>1.4668272348606217</v>
      </c>
      <c r="FG38" s="50">
        <f t="shared" ca="1" si="6"/>
        <v>1.4604567785234901</v>
      </c>
      <c r="FH38" s="50">
        <f t="shared" ca="1" si="7"/>
        <v>1.4538795973154364</v>
      </c>
      <c r="FK38" s="50">
        <f t="shared" ca="1" si="8"/>
        <v>1.4668272348606217</v>
      </c>
      <c r="FL38" s="50"/>
      <c r="FM38" s="50"/>
      <c r="FN38" s="50"/>
    </row>
    <row r="39" spans="2:170" ht="17.100000000000001" customHeight="1">
      <c r="B39" s="119"/>
      <c r="C39" s="554" t="s">
        <v>302</v>
      </c>
      <c r="D39" s="555"/>
      <c r="E39" s="555"/>
      <c r="F39" s="555"/>
      <c r="G39" s="555"/>
      <c r="H39" s="555"/>
      <c r="I39" s="555"/>
      <c r="J39" s="539">
        <f>VLOOKUP(AI12,AJ18:AO19,3)</f>
        <v>70</v>
      </c>
      <c r="K39" s="539"/>
      <c r="L39" s="539">
        <f>IF($L$11=$AD$11,"-",VLOOKUP(AI12,AJ18:AO19,4))</f>
        <v>68</v>
      </c>
      <c r="M39" s="539"/>
      <c r="N39" s="539">
        <f>IF($L$11=$AD$11,"-",VLOOKUP(AI12,AJ18:AO19,5))</f>
        <v>66</v>
      </c>
      <c r="O39" s="539"/>
      <c r="P39" s="539">
        <f>IF($L$11=$AD$11,"-",VLOOKUP(AI12,AJ18:AO19,6))</f>
        <v>64</v>
      </c>
      <c r="Q39" s="540"/>
      <c r="R39" s="23"/>
      <c r="S39" s="23"/>
      <c r="T39" s="23"/>
      <c r="U39" s="23"/>
      <c r="V39" s="23"/>
      <c r="W39" s="23"/>
      <c r="X39" s="23"/>
      <c r="Y39" s="23"/>
      <c r="Z39" s="23"/>
      <c r="AA39" s="23"/>
      <c r="AB39" s="121"/>
      <c r="AC39" s="27"/>
      <c r="AD39" s="41">
        <f>MIN(99.9,MAX(0.1,J35))</f>
        <v>6</v>
      </c>
      <c r="AE39" s="41">
        <f>MIN(99.9,MAX(0.1,L35))</f>
        <v>6</v>
      </c>
      <c r="AF39" s="42">
        <f>MIN(99.9,MAX(0.1,N35))</f>
        <v>6</v>
      </c>
      <c r="AG39" s="97">
        <f>MIN(99.9,MAX(0.1,P35))</f>
        <v>6</v>
      </c>
      <c r="AH39" s="97"/>
      <c r="AW39" s="46">
        <v>1.202</v>
      </c>
      <c r="AX39" s="49">
        <v>0.78149999999999997</v>
      </c>
      <c r="AY39" s="49">
        <v>0.79010000000000002</v>
      </c>
      <c r="AZ39" s="49">
        <v>0.79869999999999997</v>
      </c>
      <c r="BA39" s="49">
        <v>0.80730000000000002</v>
      </c>
      <c r="BB39" s="49">
        <v>0.81589999999999996</v>
      </c>
      <c r="BC39" s="49">
        <v>0.82450000000000001</v>
      </c>
      <c r="BD39" s="49">
        <v>0.83309999999999995</v>
      </c>
      <c r="BE39" s="49">
        <v>0.8417</v>
      </c>
      <c r="BF39" s="49">
        <v>0.85040000000000004</v>
      </c>
      <c r="BG39" s="49">
        <v>0.85899999999999999</v>
      </c>
      <c r="BH39" s="49">
        <v>0.86760000000000004</v>
      </c>
      <c r="BI39" s="49">
        <v>0.87619999999999998</v>
      </c>
      <c r="BJ39" s="49">
        <v>0.88480000000000003</v>
      </c>
      <c r="BK39" s="49">
        <v>0.89349999999999996</v>
      </c>
      <c r="BL39" s="49">
        <v>0.90210000000000001</v>
      </c>
      <c r="BM39" s="49">
        <v>0.91069999999999995</v>
      </c>
      <c r="BN39" s="49">
        <v>0.9194</v>
      </c>
      <c r="BO39" s="49">
        <v>0.92800000000000005</v>
      </c>
      <c r="BP39" s="49">
        <v>0.93669999999999998</v>
      </c>
      <c r="BQ39" s="49">
        <v>0.94530000000000003</v>
      </c>
      <c r="BR39" s="49">
        <v>0.95399999999999996</v>
      </c>
      <c r="BS39" s="49">
        <v>0.96260000000000001</v>
      </c>
      <c r="BT39" s="49">
        <v>0.97130000000000005</v>
      </c>
      <c r="BU39" s="49">
        <v>0.98</v>
      </c>
      <c r="BV39" s="49">
        <v>0.98860000000000003</v>
      </c>
      <c r="BW39" s="49">
        <v>0.99729999999999996</v>
      </c>
      <c r="BX39" s="49">
        <v>1.006</v>
      </c>
      <c r="BY39" s="49">
        <v>1.0146999999999999</v>
      </c>
      <c r="BZ39" s="49">
        <v>1.0234000000000001</v>
      </c>
      <c r="CA39" s="49">
        <v>1.0321</v>
      </c>
      <c r="CB39" s="49">
        <v>1.0407999999999999</v>
      </c>
      <c r="CC39" s="49">
        <v>1.0495000000000001</v>
      </c>
      <c r="CD39" s="49">
        <v>1.0583</v>
      </c>
      <c r="CE39" s="49">
        <v>1.0669999999999999</v>
      </c>
      <c r="CF39" s="49">
        <v>1.0757000000000001</v>
      </c>
      <c r="CG39" s="49">
        <v>1.0845</v>
      </c>
      <c r="CH39" s="49">
        <v>1.0931999999999999</v>
      </c>
      <c r="CI39" s="49">
        <v>1.1020000000000001</v>
      </c>
      <c r="CJ39" s="49">
        <v>1.1108</v>
      </c>
      <c r="CK39" s="49">
        <v>1.1195999999999999</v>
      </c>
      <c r="CL39" s="49">
        <v>1.1284000000000001</v>
      </c>
      <c r="CM39" s="49">
        <v>1.1372</v>
      </c>
      <c r="CN39" s="49">
        <v>1.1459999999999999</v>
      </c>
      <c r="CO39" s="49">
        <v>1.1548</v>
      </c>
      <c r="CP39" s="49">
        <v>1.1637</v>
      </c>
      <c r="CQ39" s="49">
        <v>1.1725000000000001</v>
      </c>
      <c r="CR39" s="49">
        <v>1.1814</v>
      </c>
      <c r="CS39" s="49">
        <v>1.1902999999999999</v>
      </c>
      <c r="CT39" s="49">
        <v>1.1992</v>
      </c>
      <c r="CU39" s="49">
        <v>1.2081</v>
      </c>
      <c r="CV39" s="49">
        <v>1.2171000000000001</v>
      </c>
      <c r="CW39" s="49">
        <v>1.226</v>
      </c>
      <c r="CX39" s="49">
        <v>1.2350000000000001</v>
      </c>
      <c r="CY39" s="49">
        <v>1.244</v>
      </c>
      <c r="CZ39" s="49">
        <v>1.2529999999999999</v>
      </c>
      <c r="DA39" s="49">
        <v>1.262</v>
      </c>
      <c r="DB39" s="49">
        <v>1.2710999999999999</v>
      </c>
      <c r="DC39" s="49">
        <v>1.2801</v>
      </c>
      <c r="DD39" s="49">
        <v>1.2891999999999999</v>
      </c>
      <c r="DE39" s="49">
        <v>1.2984</v>
      </c>
      <c r="DF39" s="49">
        <v>1.3075000000000001</v>
      </c>
      <c r="DG39" s="49">
        <v>1.3167</v>
      </c>
      <c r="DH39" s="49">
        <v>1.3259000000000001</v>
      </c>
      <c r="DI39" s="49">
        <v>1.3351999999999999</v>
      </c>
      <c r="DJ39" s="49">
        <v>1.3444</v>
      </c>
      <c r="DK39" s="49">
        <v>1.3536999999999999</v>
      </c>
      <c r="DL39" s="49">
        <v>1.3631</v>
      </c>
      <c r="DM39" s="49">
        <v>1.3725000000000001</v>
      </c>
      <c r="DN39" s="49">
        <v>1.3818999999999999</v>
      </c>
      <c r="DO39" s="49">
        <v>1.3913</v>
      </c>
      <c r="DP39" s="49">
        <v>1.4008</v>
      </c>
      <c r="DQ39" s="49">
        <v>1.4104000000000001</v>
      </c>
      <c r="DR39" s="49">
        <v>1.4198999999999999</v>
      </c>
      <c r="DS39" s="49">
        <v>1.4296</v>
      </c>
      <c r="DT39" s="49">
        <v>1.4393</v>
      </c>
      <c r="DU39" s="49">
        <v>1.4490000000000001</v>
      </c>
      <c r="DV39" s="49">
        <v>1.4588000000000001</v>
      </c>
      <c r="DW39" s="49">
        <v>1.4685999999999999</v>
      </c>
      <c r="DX39" s="49">
        <v>1.4784999999999999</v>
      </c>
      <c r="DY39" s="49">
        <v>1.4884999999999999</v>
      </c>
      <c r="DZ39" s="49">
        <v>1.4984999999999999</v>
      </c>
      <c r="EA39" s="49">
        <v>1.5085999999999999</v>
      </c>
      <c r="EB39" s="49">
        <v>1.5187999999999999</v>
      </c>
      <c r="EC39" s="49">
        <v>1.5289999999999999</v>
      </c>
      <c r="ED39" s="49">
        <v>1.5394000000000001</v>
      </c>
      <c r="EE39" s="49">
        <v>1.5498000000000001</v>
      </c>
      <c r="EF39" s="49">
        <v>1.5603</v>
      </c>
      <c r="EG39" s="49">
        <v>1.5708</v>
      </c>
      <c r="EH39" s="49">
        <v>1.5814999999999999</v>
      </c>
      <c r="EI39" s="49">
        <v>1.5923</v>
      </c>
      <c r="EJ39" s="49">
        <v>1.6031</v>
      </c>
      <c r="EK39" s="49">
        <v>1.6141000000000001</v>
      </c>
      <c r="EL39" s="49">
        <v>1.6252</v>
      </c>
      <c r="EM39" s="49">
        <v>1.6363000000000001</v>
      </c>
      <c r="EN39" s="49">
        <v>1.6476999999999999</v>
      </c>
      <c r="EO39" s="49">
        <v>1.6591</v>
      </c>
      <c r="EP39" s="49">
        <v>1.6706000000000001</v>
      </c>
      <c r="EQ39" s="49">
        <v>1.6822999999999999</v>
      </c>
      <c r="ER39" s="49">
        <v>1.6941999999999999</v>
      </c>
      <c r="ES39" s="49">
        <v>1.7060999999999999</v>
      </c>
      <c r="ET39" s="49">
        <v>1.7182999999999999</v>
      </c>
      <c r="EU39" s="49">
        <v>1.7305999999999999</v>
      </c>
      <c r="EV39" s="49">
        <v>1.7430000000000001</v>
      </c>
      <c r="EW39" s="49">
        <v>1.7556</v>
      </c>
      <c r="EX39" s="49">
        <v>1.7684</v>
      </c>
      <c r="EY39" s="49">
        <v>1.7814000000000001</v>
      </c>
      <c r="EZ39" s="49">
        <v>1.7946</v>
      </c>
      <c r="FA39" s="49">
        <v>1.8080000000000001</v>
      </c>
      <c r="FB39" s="49">
        <v>1.8203</v>
      </c>
      <c r="FC39" s="49">
        <v>1.8319000000000001</v>
      </c>
      <c r="FE39" s="50">
        <f t="shared" ca="1" si="4"/>
        <v>1.4705775772407463</v>
      </c>
      <c r="FF39" s="50">
        <f t="shared" ca="1" si="5"/>
        <v>1.4643703941044537</v>
      </c>
      <c r="FG39" s="50">
        <f t="shared" ca="1" si="6"/>
        <v>1.4580567785234899</v>
      </c>
      <c r="FH39" s="50">
        <f t="shared" ca="1" si="7"/>
        <v>1.4514795973154362</v>
      </c>
      <c r="FK39" s="50">
        <f t="shared" ca="1" si="8"/>
        <v>1.4643703941044537</v>
      </c>
      <c r="FL39" s="50"/>
      <c r="FM39" s="50"/>
      <c r="FN39" s="50"/>
    </row>
    <row r="40" spans="2:170" ht="17.100000000000001" customHeight="1">
      <c r="B40" s="119"/>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121"/>
      <c r="AC40" s="27"/>
      <c r="AD40" s="115" t="s">
        <v>297</v>
      </c>
      <c r="AE40" s="41"/>
      <c r="AF40" s="42"/>
      <c r="AG40" s="97"/>
      <c r="AW40" s="46">
        <v>1.288</v>
      </c>
      <c r="AX40" s="49">
        <v>0.7802</v>
      </c>
      <c r="AY40" s="49">
        <v>0.78879999999999995</v>
      </c>
      <c r="AZ40" s="49">
        <v>0.7974</v>
      </c>
      <c r="BA40" s="49">
        <v>0.80600000000000005</v>
      </c>
      <c r="BB40" s="49">
        <v>0.81459999999999999</v>
      </c>
      <c r="BC40" s="49">
        <v>0.82320000000000004</v>
      </c>
      <c r="BD40" s="49">
        <v>0.83169999999999999</v>
      </c>
      <c r="BE40" s="49">
        <v>0.84030000000000005</v>
      </c>
      <c r="BF40" s="49">
        <v>0.84889999999999999</v>
      </c>
      <c r="BG40" s="49">
        <v>0.85760000000000003</v>
      </c>
      <c r="BH40" s="49">
        <v>0.86619999999999997</v>
      </c>
      <c r="BI40" s="49">
        <v>0.87480000000000002</v>
      </c>
      <c r="BJ40" s="49">
        <v>0.88339999999999996</v>
      </c>
      <c r="BK40" s="49">
        <v>0.89200000000000002</v>
      </c>
      <c r="BL40" s="49">
        <v>0.90059999999999996</v>
      </c>
      <c r="BM40" s="49">
        <v>0.90920000000000001</v>
      </c>
      <c r="BN40" s="49">
        <v>0.91790000000000005</v>
      </c>
      <c r="BO40" s="49">
        <v>0.92649999999999999</v>
      </c>
      <c r="BP40" s="49">
        <v>0.93510000000000004</v>
      </c>
      <c r="BQ40" s="49">
        <v>0.94379999999999997</v>
      </c>
      <c r="BR40" s="49">
        <v>0.95240000000000002</v>
      </c>
      <c r="BS40" s="49">
        <v>0.96099999999999997</v>
      </c>
      <c r="BT40" s="49">
        <v>0.96970000000000001</v>
      </c>
      <c r="BU40" s="49">
        <v>0.97829999999999995</v>
      </c>
      <c r="BV40" s="49">
        <v>0.98699999999999999</v>
      </c>
      <c r="BW40" s="49">
        <v>0.99570000000000003</v>
      </c>
      <c r="BX40" s="49">
        <v>1.0043</v>
      </c>
      <c r="BY40" s="49">
        <v>1.0129999999999999</v>
      </c>
      <c r="BZ40" s="49">
        <v>1.0217000000000001</v>
      </c>
      <c r="CA40" s="49">
        <v>1.0304</v>
      </c>
      <c r="CB40" s="49">
        <v>1.0390999999999999</v>
      </c>
      <c r="CC40" s="49">
        <v>1.0478000000000001</v>
      </c>
      <c r="CD40" s="49">
        <v>1.0565</v>
      </c>
      <c r="CE40" s="49">
        <v>1.0651999999999999</v>
      </c>
      <c r="CF40" s="49">
        <v>1.0739000000000001</v>
      </c>
      <c r="CG40" s="49">
        <v>1.0827</v>
      </c>
      <c r="CH40" s="49">
        <v>1.0913999999999999</v>
      </c>
      <c r="CI40" s="49">
        <v>1.1002000000000001</v>
      </c>
      <c r="CJ40" s="49">
        <v>1.1089</v>
      </c>
      <c r="CK40" s="49">
        <v>1.1176999999999999</v>
      </c>
      <c r="CL40" s="49">
        <v>1.1265000000000001</v>
      </c>
      <c r="CM40" s="49">
        <v>1.1353</v>
      </c>
      <c r="CN40" s="49">
        <v>1.1440999999999999</v>
      </c>
      <c r="CO40" s="49">
        <v>1.1529</v>
      </c>
      <c r="CP40" s="49">
        <v>1.1617</v>
      </c>
      <c r="CQ40" s="49">
        <v>1.1706000000000001</v>
      </c>
      <c r="CR40" s="49">
        <v>1.1794</v>
      </c>
      <c r="CS40" s="49">
        <v>1.1882999999999999</v>
      </c>
      <c r="CT40" s="49">
        <v>1.1972</v>
      </c>
      <c r="CU40" s="49">
        <v>1.2060999999999999</v>
      </c>
      <c r="CV40" s="49">
        <v>1.2150000000000001</v>
      </c>
      <c r="CW40" s="49">
        <v>1.224</v>
      </c>
      <c r="CX40" s="49">
        <v>1.2329000000000001</v>
      </c>
      <c r="CY40" s="49">
        <v>1.2419</v>
      </c>
      <c r="CZ40" s="49">
        <v>1.2508999999999999</v>
      </c>
      <c r="DA40" s="49">
        <v>1.2599</v>
      </c>
      <c r="DB40" s="49">
        <v>1.2688999999999999</v>
      </c>
      <c r="DC40" s="49">
        <v>1.278</v>
      </c>
      <c r="DD40" s="49">
        <v>1.2870999999999999</v>
      </c>
      <c r="DE40" s="49">
        <v>1.2962</v>
      </c>
      <c r="DF40" s="49">
        <v>1.3052999999999999</v>
      </c>
      <c r="DG40" s="49">
        <v>1.3145</v>
      </c>
      <c r="DH40" s="49">
        <v>1.3237000000000001</v>
      </c>
      <c r="DI40" s="49">
        <v>1.3329</v>
      </c>
      <c r="DJ40" s="49">
        <v>1.3422000000000001</v>
      </c>
      <c r="DK40" s="49">
        <v>1.3514999999999999</v>
      </c>
      <c r="DL40" s="49">
        <v>1.3608</v>
      </c>
      <c r="DM40" s="49">
        <v>1.3702000000000001</v>
      </c>
      <c r="DN40" s="49">
        <v>1.3795999999999999</v>
      </c>
      <c r="DO40" s="49">
        <v>1.389</v>
      </c>
      <c r="DP40" s="49">
        <v>1.3985000000000001</v>
      </c>
      <c r="DQ40" s="49">
        <v>1.4079999999999999</v>
      </c>
      <c r="DR40" s="49">
        <v>1.4176</v>
      </c>
      <c r="DS40" s="49">
        <v>1.4272</v>
      </c>
      <c r="DT40" s="49">
        <v>1.4369000000000001</v>
      </c>
      <c r="DU40" s="49">
        <v>1.4466000000000001</v>
      </c>
      <c r="DV40" s="49">
        <v>1.4562999999999999</v>
      </c>
      <c r="DW40" s="49">
        <v>1.4661999999999999</v>
      </c>
      <c r="DX40" s="49">
        <v>1.4761</v>
      </c>
      <c r="DY40" s="49">
        <v>1.486</v>
      </c>
      <c r="DZ40" s="49">
        <v>1.496</v>
      </c>
      <c r="EA40" s="49">
        <v>1.5061</v>
      </c>
      <c r="EB40" s="49">
        <v>1.5163</v>
      </c>
      <c r="EC40" s="49">
        <v>1.5265</v>
      </c>
      <c r="ED40" s="49">
        <v>1.5367999999999999</v>
      </c>
      <c r="EE40" s="49">
        <v>1.5471999999999999</v>
      </c>
      <c r="EF40" s="49">
        <v>1.5577000000000001</v>
      </c>
      <c r="EG40" s="49">
        <v>1.5682</v>
      </c>
      <c r="EH40" s="49">
        <v>1.5789</v>
      </c>
      <c r="EI40" s="49">
        <v>1.5895999999999999</v>
      </c>
      <c r="EJ40" s="49">
        <v>1.6004</v>
      </c>
      <c r="EK40" s="49">
        <v>1.6113999999999999</v>
      </c>
      <c r="EL40" s="49">
        <v>1.6225000000000001</v>
      </c>
      <c r="EM40" s="49">
        <v>1.6335999999999999</v>
      </c>
      <c r="EN40" s="49">
        <v>1.6449</v>
      </c>
      <c r="EO40" s="49">
        <v>1.6563000000000001</v>
      </c>
      <c r="EP40" s="49">
        <v>1.6678999999999999</v>
      </c>
      <c r="EQ40" s="49">
        <v>1.6795</v>
      </c>
      <c r="ER40" s="49">
        <v>1.6913</v>
      </c>
      <c r="ES40" s="49">
        <v>1.7033</v>
      </c>
      <c r="ET40" s="49">
        <v>1.7154</v>
      </c>
      <c r="EU40" s="49">
        <v>1.7277</v>
      </c>
      <c r="EV40" s="49">
        <v>1.7401</v>
      </c>
      <c r="EW40" s="49">
        <v>1.7526999999999999</v>
      </c>
      <c r="EX40" s="49">
        <v>1.7655000000000001</v>
      </c>
      <c r="EY40" s="49">
        <v>1.7784</v>
      </c>
      <c r="EZ40" s="49">
        <v>1.7916000000000001</v>
      </c>
      <c r="FA40" s="49">
        <v>1.8048999999999999</v>
      </c>
      <c r="FB40" s="49">
        <v>1.8185</v>
      </c>
      <c r="FC40" s="49">
        <v>1.8319000000000001</v>
      </c>
      <c r="FE40" s="50">
        <f t="shared" ca="1" si="4"/>
        <v>1.4681775772407464</v>
      </c>
      <c r="FF40" s="50">
        <f t="shared" ca="1" si="5"/>
        <v>1.4619272348606216</v>
      </c>
      <c r="FG40" s="50">
        <f t="shared" ca="1" si="6"/>
        <v>1.4555643624161072</v>
      </c>
      <c r="FH40" s="50">
        <f t="shared" ca="1" si="7"/>
        <v>1.4490542953020134</v>
      </c>
      <c r="FK40" s="50">
        <f t="shared" ca="1" si="8"/>
        <v>1.4619272348606216</v>
      </c>
      <c r="FL40" s="50"/>
      <c r="FM40" s="50"/>
      <c r="FN40" s="50"/>
    </row>
    <row r="41" spans="2:170" ht="17.100000000000001" customHeight="1">
      <c r="B41" s="119"/>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120"/>
      <c r="AC41" s="27"/>
      <c r="AD41" s="114">
        <f>MATCH(J33,$AD$19:$AD$20,0)</f>
        <v>2</v>
      </c>
      <c r="AE41" s="114">
        <f>MATCH(L33,$AD$19:$AD$20,0)</f>
        <v>2</v>
      </c>
      <c r="AF41" s="114">
        <f>MATCH(N33,$AD$19:$AD$20,0)</f>
        <v>1</v>
      </c>
      <c r="AG41" s="114">
        <f>MATCH(P33,$AD$19:$AD$20,0)</f>
        <v>1</v>
      </c>
      <c r="AP41" s="45"/>
      <c r="AW41" s="46">
        <v>1.38</v>
      </c>
      <c r="AX41" s="49">
        <v>0.77890000000000004</v>
      </c>
      <c r="AY41" s="49">
        <v>0.78749999999999998</v>
      </c>
      <c r="AZ41" s="49">
        <v>0.79610000000000003</v>
      </c>
      <c r="BA41" s="49">
        <v>0.80459999999999998</v>
      </c>
      <c r="BB41" s="49">
        <v>0.81320000000000003</v>
      </c>
      <c r="BC41" s="49">
        <v>0.82179999999999997</v>
      </c>
      <c r="BD41" s="49">
        <v>0.83040000000000003</v>
      </c>
      <c r="BE41" s="49">
        <v>0.83899999999999997</v>
      </c>
      <c r="BF41" s="49">
        <v>0.84760000000000002</v>
      </c>
      <c r="BG41" s="49">
        <v>0.85609999999999997</v>
      </c>
      <c r="BH41" s="49">
        <v>0.86470000000000002</v>
      </c>
      <c r="BI41" s="49">
        <v>0.87329999999999997</v>
      </c>
      <c r="BJ41" s="49">
        <v>0.88190000000000002</v>
      </c>
      <c r="BK41" s="49">
        <v>0.89049999999999996</v>
      </c>
      <c r="BL41" s="49">
        <v>0.89910000000000001</v>
      </c>
      <c r="BM41" s="49">
        <v>0.90769999999999995</v>
      </c>
      <c r="BN41" s="49">
        <v>0.9163</v>
      </c>
      <c r="BO41" s="49">
        <v>0.92500000000000004</v>
      </c>
      <c r="BP41" s="49">
        <v>0.93359999999999999</v>
      </c>
      <c r="BQ41" s="49">
        <v>0.94220000000000004</v>
      </c>
      <c r="BR41" s="49">
        <v>0.95079999999999998</v>
      </c>
      <c r="BS41" s="49">
        <v>0.95950000000000002</v>
      </c>
      <c r="BT41" s="49">
        <v>0.96809999999999996</v>
      </c>
      <c r="BU41" s="49">
        <v>0.97670000000000001</v>
      </c>
      <c r="BV41" s="49">
        <v>0.98540000000000005</v>
      </c>
      <c r="BW41" s="49">
        <v>0.99399999999999999</v>
      </c>
      <c r="BX41" s="49">
        <v>1.0026999999999999</v>
      </c>
      <c r="BY41" s="49">
        <v>1.0113000000000001</v>
      </c>
      <c r="BZ41" s="49">
        <v>1.02</v>
      </c>
      <c r="CA41" s="49">
        <v>1.0286999999999999</v>
      </c>
      <c r="CB41" s="49">
        <v>1.0374000000000001</v>
      </c>
      <c r="CC41" s="49">
        <v>1.0461</v>
      </c>
      <c r="CD41" s="49">
        <v>1.0548</v>
      </c>
      <c r="CE41" s="49">
        <v>1.0634999999999999</v>
      </c>
      <c r="CF41" s="49">
        <v>1.0722</v>
      </c>
      <c r="CG41" s="49">
        <v>1.0809</v>
      </c>
      <c r="CH41" s="49">
        <v>1.0895999999999999</v>
      </c>
      <c r="CI41" s="49">
        <v>1.0984</v>
      </c>
      <c r="CJ41" s="49">
        <v>1.1071</v>
      </c>
      <c r="CK41" s="49">
        <v>1.1158999999999999</v>
      </c>
      <c r="CL41" s="49">
        <v>1.1246</v>
      </c>
      <c r="CM41" s="49">
        <v>1.1334</v>
      </c>
      <c r="CN41" s="49">
        <v>1.1422000000000001</v>
      </c>
      <c r="CO41" s="49">
        <v>1.151</v>
      </c>
      <c r="CP41" s="49">
        <v>1.1597999999999999</v>
      </c>
      <c r="CQ41" s="49">
        <v>1.1687000000000001</v>
      </c>
      <c r="CR41" s="49">
        <v>1.1775</v>
      </c>
      <c r="CS41" s="49">
        <v>1.1863999999999999</v>
      </c>
      <c r="CT41" s="49">
        <v>1.1952</v>
      </c>
      <c r="CU41" s="49">
        <v>1.2040999999999999</v>
      </c>
      <c r="CV41" s="49">
        <v>1.2130000000000001</v>
      </c>
      <c r="CW41" s="49">
        <v>1.2219</v>
      </c>
      <c r="CX41" s="49">
        <v>1.2309000000000001</v>
      </c>
      <c r="CY41" s="49">
        <v>1.2399</v>
      </c>
      <c r="CZ41" s="49">
        <v>1.2487999999999999</v>
      </c>
      <c r="DA41" s="49">
        <v>1.2578</v>
      </c>
      <c r="DB41" s="49">
        <v>1.2668999999999999</v>
      </c>
      <c r="DC41" s="49">
        <v>1.2759</v>
      </c>
      <c r="DD41" s="49">
        <v>1.2849999999999999</v>
      </c>
      <c r="DE41" s="49">
        <v>1.2941</v>
      </c>
      <c r="DF41" s="49">
        <v>1.3031999999999999</v>
      </c>
      <c r="DG41" s="49">
        <v>1.3124</v>
      </c>
      <c r="DH41" s="49">
        <v>1.3214999999999999</v>
      </c>
      <c r="DI41" s="49">
        <v>1.3307</v>
      </c>
      <c r="DJ41" s="49">
        <v>1.34</v>
      </c>
      <c r="DK41" s="49">
        <v>1.3492999999999999</v>
      </c>
      <c r="DL41" s="49">
        <v>1.3586</v>
      </c>
      <c r="DM41" s="49">
        <v>1.3678999999999999</v>
      </c>
      <c r="DN41" s="49">
        <v>1.3773</v>
      </c>
      <c r="DO41" s="49">
        <v>1.3867</v>
      </c>
      <c r="DP41" s="49">
        <v>1.3962000000000001</v>
      </c>
      <c r="DQ41" s="49">
        <v>1.4056999999999999</v>
      </c>
      <c r="DR41" s="49">
        <v>1.4152</v>
      </c>
      <c r="DS41" s="49">
        <v>1.4248000000000001</v>
      </c>
      <c r="DT41" s="49">
        <v>1.4345000000000001</v>
      </c>
      <c r="DU41" s="49">
        <v>1.4441999999999999</v>
      </c>
      <c r="DV41" s="49">
        <v>1.454</v>
      </c>
      <c r="DW41" s="49">
        <v>1.4638</v>
      </c>
      <c r="DX41" s="49">
        <v>1.4736</v>
      </c>
      <c r="DY41" s="49">
        <v>1.4836</v>
      </c>
      <c r="DZ41" s="49">
        <v>1.4936</v>
      </c>
      <c r="EA41" s="49">
        <v>1.5036</v>
      </c>
      <c r="EB41" s="49">
        <v>1.5138</v>
      </c>
      <c r="EC41" s="49">
        <v>1.524</v>
      </c>
      <c r="ED41" s="49">
        <v>1.5343</v>
      </c>
      <c r="EE41" s="49">
        <v>1.5446</v>
      </c>
      <c r="EF41" s="49">
        <v>1.5550999999999999</v>
      </c>
      <c r="EG41" s="49">
        <v>1.5656000000000001</v>
      </c>
      <c r="EH41" s="49">
        <v>1.5763</v>
      </c>
      <c r="EI41" s="49">
        <v>1.587</v>
      </c>
      <c r="EJ41" s="49">
        <v>1.5978000000000001</v>
      </c>
      <c r="EK41" s="49">
        <v>1.6087</v>
      </c>
      <c r="EL41" s="49">
        <v>1.6197999999999999</v>
      </c>
      <c r="EM41" s="49">
        <v>1.6309</v>
      </c>
      <c r="EN41" s="49">
        <v>1.6422000000000001</v>
      </c>
      <c r="EO41" s="49">
        <v>1.6536</v>
      </c>
      <c r="EP41" s="49">
        <v>1.6651</v>
      </c>
      <c r="EQ41" s="49">
        <v>1.6768000000000001</v>
      </c>
      <c r="ER41" s="49">
        <v>1.6886000000000001</v>
      </c>
      <c r="ES41" s="49">
        <v>1.7004999999999999</v>
      </c>
      <c r="ET41" s="49">
        <v>1.7125999999999999</v>
      </c>
      <c r="EU41" s="49">
        <v>1.7248000000000001</v>
      </c>
      <c r="EV41" s="49">
        <v>1.7373000000000001</v>
      </c>
      <c r="EW41" s="49">
        <v>1.7498</v>
      </c>
      <c r="EX41" s="49">
        <v>1.7625999999999999</v>
      </c>
      <c r="EY41" s="49">
        <v>1.7755000000000001</v>
      </c>
      <c r="EZ41" s="49">
        <v>1.7887</v>
      </c>
      <c r="FA41" s="49">
        <v>1.802</v>
      </c>
      <c r="FB41" s="49">
        <v>1.8154999999999999</v>
      </c>
      <c r="FC41" s="49">
        <v>1.8291999999999999</v>
      </c>
      <c r="FE41" s="50">
        <f t="shared" ca="1" si="4"/>
        <v>1.4657576017130622</v>
      </c>
      <c r="FF41" s="50">
        <f t="shared" ca="1" si="5"/>
        <v>1.4595703941044536</v>
      </c>
      <c r="FG41" s="50">
        <f t="shared" ca="1" si="6"/>
        <v>1.45325677852349</v>
      </c>
      <c r="FH41" s="50">
        <f t="shared" ca="1" si="7"/>
        <v>1.4466795973154363</v>
      </c>
      <c r="FK41" s="50">
        <f t="shared" ca="1" si="8"/>
        <v>1.4595703941044536</v>
      </c>
      <c r="FL41" s="50"/>
      <c r="FM41" s="50"/>
      <c r="FN41" s="50"/>
    </row>
    <row r="42" spans="2:170" ht="17.100000000000001" customHeight="1" thickBot="1">
      <c r="B42" s="119"/>
      <c r="C42" s="573" t="s">
        <v>303</v>
      </c>
      <c r="D42" s="574"/>
      <c r="E42" s="574"/>
      <c r="F42" s="574"/>
      <c r="G42" s="574"/>
      <c r="H42" s="574"/>
      <c r="I42" s="574"/>
      <c r="J42" s="574"/>
      <c r="K42" s="574"/>
      <c r="L42" s="574"/>
      <c r="M42" s="574"/>
      <c r="N42" s="574"/>
      <c r="O42" s="574"/>
      <c r="P42" s="574"/>
      <c r="Q42" s="575"/>
      <c r="R42" s="23"/>
      <c r="S42" s="23"/>
      <c r="T42" s="23"/>
      <c r="U42" s="23"/>
      <c r="V42" s="23"/>
      <c r="W42" s="23"/>
      <c r="X42" s="23"/>
      <c r="Y42" s="23"/>
      <c r="Z42" s="23"/>
      <c r="AA42" s="23"/>
      <c r="AB42" s="120"/>
      <c r="AC42" s="27"/>
      <c r="AD42" s="43"/>
      <c r="AE42" s="43"/>
      <c r="AF42" s="43"/>
      <c r="AG42" s="527" t="s">
        <v>656</v>
      </c>
      <c r="AH42" s="527"/>
      <c r="AI42" s="527"/>
      <c r="AJ42" s="527"/>
      <c r="AK42" s="527"/>
      <c r="AL42" s="527"/>
      <c r="AM42" s="527"/>
      <c r="AN42" s="527"/>
      <c r="AO42" s="527"/>
      <c r="AP42" s="527"/>
      <c r="AQ42" s="527"/>
      <c r="AR42" s="527"/>
      <c r="AS42" s="527"/>
      <c r="AT42" s="527"/>
      <c r="AW42" s="46">
        <v>1.4790000000000001</v>
      </c>
      <c r="AX42" s="49">
        <v>0.77769999999999995</v>
      </c>
      <c r="AY42" s="49">
        <v>0.78620000000000001</v>
      </c>
      <c r="AZ42" s="49">
        <v>0.79479999999999995</v>
      </c>
      <c r="BA42" s="49">
        <v>0.80330000000000001</v>
      </c>
      <c r="BB42" s="49">
        <v>0.81189999999999996</v>
      </c>
      <c r="BC42" s="49">
        <v>0.82050000000000001</v>
      </c>
      <c r="BD42" s="49">
        <v>0.82899999999999996</v>
      </c>
      <c r="BE42" s="49">
        <v>0.83760000000000001</v>
      </c>
      <c r="BF42" s="49">
        <v>0.84619999999999995</v>
      </c>
      <c r="BG42" s="49">
        <v>0.85470000000000002</v>
      </c>
      <c r="BH42" s="49">
        <v>0.86329999999999996</v>
      </c>
      <c r="BI42" s="49">
        <v>0.87190000000000001</v>
      </c>
      <c r="BJ42" s="49">
        <v>0.88049999999999995</v>
      </c>
      <c r="BK42" s="49">
        <v>0.8891</v>
      </c>
      <c r="BL42" s="49">
        <v>0.89770000000000005</v>
      </c>
      <c r="BM42" s="49">
        <v>0.90629999999999999</v>
      </c>
      <c r="BN42" s="49">
        <v>0.91490000000000005</v>
      </c>
      <c r="BO42" s="49">
        <v>0.92349999999999999</v>
      </c>
      <c r="BP42" s="49">
        <v>0.93210000000000004</v>
      </c>
      <c r="BQ42" s="49">
        <v>0.94069999999999998</v>
      </c>
      <c r="BR42" s="49">
        <v>0.94930000000000003</v>
      </c>
      <c r="BS42" s="49">
        <v>0.95789999999999997</v>
      </c>
      <c r="BT42" s="49">
        <v>0.96650000000000003</v>
      </c>
      <c r="BU42" s="49">
        <v>0.97509999999999997</v>
      </c>
      <c r="BV42" s="49">
        <v>0.98380000000000001</v>
      </c>
      <c r="BW42" s="49">
        <v>0.99239999999999995</v>
      </c>
      <c r="BX42" s="49">
        <v>1.0011000000000001</v>
      </c>
      <c r="BY42" s="49">
        <v>1.0097</v>
      </c>
      <c r="BZ42" s="49">
        <v>1.0184</v>
      </c>
      <c r="CA42" s="49">
        <v>1.0269999999999999</v>
      </c>
      <c r="CB42" s="49">
        <v>1.0357000000000001</v>
      </c>
      <c r="CC42" s="49">
        <v>1.0444</v>
      </c>
      <c r="CD42" s="49">
        <v>1.0529999999999999</v>
      </c>
      <c r="CE42" s="49">
        <v>1.0617000000000001</v>
      </c>
      <c r="CF42" s="49">
        <v>1.0704</v>
      </c>
      <c r="CG42" s="49">
        <v>1.0790999999999999</v>
      </c>
      <c r="CH42" s="49">
        <v>1.0878000000000001</v>
      </c>
      <c r="CI42" s="49">
        <v>1.0966</v>
      </c>
      <c r="CJ42" s="49">
        <v>1.1052999999999999</v>
      </c>
      <c r="CK42" s="49">
        <v>1.1141000000000001</v>
      </c>
      <c r="CL42" s="49">
        <v>1.1228</v>
      </c>
      <c r="CM42" s="49">
        <v>1.1315999999999999</v>
      </c>
      <c r="CN42" s="49">
        <v>1.1403000000000001</v>
      </c>
      <c r="CO42" s="49">
        <v>1.1491</v>
      </c>
      <c r="CP42" s="49">
        <v>1.1578999999999999</v>
      </c>
      <c r="CQ42" s="49">
        <v>1.1668000000000001</v>
      </c>
      <c r="CR42" s="49">
        <v>1.1756</v>
      </c>
      <c r="CS42" s="49">
        <v>1.1843999999999999</v>
      </c>
      <c r="CT42" s="49">
        <v>1.1933</v>
      </c>
      <c r="CU42" s="49">
        <v>1.2021999999999999</v>
      </c>
      <c r="CV42" s="49">
        <v>1.2111000000000001</v>
      </c>
      <c r="CW42" s="49">
        <v>1.22</v>
      </c>
      <c r="CX42" s="49">
        <v>1.2289000000000001</v>
      </c>
      <c r="CY42" s="49">
        <v>1.2378</v>
      </c>
      <c r="CZ42" s="49">
        <v>1.2467999999999999</v>
      </c>
      <c r="DA42" s="49">
        <v>1.2558</v>
      </c>
      <c r="DB42" s="49">
        <v>1.2647999999999999</v>
      </c>
      <c r="DC42" s="49">
        <v>1.2738</v>
      </c>
      <c r="DD42" s="49">
        <v>1.2828999999999999</v>
      </c>
      <c r="DE42" s="49">
        <v>1.292</v>
      </c>
      <c r="DF42" s="49">
        <v>1.3010999999999999</v>
      </c>
      <c r="DG42" s="49">
        <v>1.3102</v>
      </c>
      <c r="DH42" s="49">
        <v>1.3193999999999999</v>
      </c>
      <c r="DI42" s="49">
        <v>1.3286</v>
      </c>
      <c r="DJ42" s="49">
        <v>1.3378000000000001</v>
      </c>
      <c r="DK42" s="49">
        <v>1.3471</v>
      </c>
      <c r="DL42" s="49">
        <v>1.3564000000000001</v>
      </c>
      <c r="DM42" s="49">
        <v>1.3656999999999999</v>
      </c>
      <c r="DN42" s="49">
        <v>1.3751</v>
      </c>
      <c r="DO42" s="49">
        <v>1.3845000000000001</v>
      </c>
      <c r="DP42" s="49">
        <v>1.3938999999999999</v>
      </c>
      <c r="DQ42" s="49">
        <v>1.4034</v>
      </c>
      <c r="DR42" s="49">
        <v>1.4129</v>
      </c>
      <c r="DS42" s="49">
        <v>1.4225000000000001</v>
      </c>
      <c r="DT42" s="49">
        <v>1.4321999999999999</v>
      </c>
      <c r="DU42" s="49">
        <v>1.4418</v>
      </c>
      <c r="DV42" s="49">
        <v>1.4516</v>
      </c>
      <c r="DW42" s="49">
        <v>1.4614</v>
      </c>
      <c r="DX42" s="49">
        <v>1.4712000000000001</v>
      </c>
      <c r="DY42" s="49">
        <v>1.4812000000000001</v>
      </c>
      <c r="DZ42" s="49">
        <v>1.4911000000000001</v>
      </c>
      <c r="EA42" s="49">
        <v>1.5012000000000001</v>
      </c>
      <c r="EB42" s="49">
        <v>1.5113000000000001</v>
      </c>
      <c r="EC42" s="49">
        <v>1.5215000000000001</v>
      </c>
      <c r="ED42" s="49">
        <v>1.5318000000000001</v>
      </c>
      <c r="EE42" s="49">
        <v>1.5421</v>
      </c>
      <c r="EF42" s="49">
        <v>1.5526</v>
      </c>
      <c r="EG42" s="49">
        <v>1.5630999999999999</v>
      </c>
      <c r="EH42" s="49">
        <v>1.5737000000000001</v>
      </c>
      <c r="EI42" s="49">
        <v>1.5844</v>
      </c>
      <c r="EJ42" s="49">
        <v>1.5952</v>
      </c>
      <c r="EK42" s="49">
        <v>1.6061000000000001</v>
      </c>
      <c r="EL42" s="49">
        <v>1.6171</v>
      </c>
      <c r="EM42" s="49">
        <v>1.6283000000000001</v>
      </c>
      <c r="EN42" s="49">
        <v>1.6395</v>
      </c>
      <c r="EO42" s="49">
        <v>1.6509</v>
      </c>
      <c r="EP42" s="49">
        <v>1.6624000000000001</v>
      </c>
      <c r="EQ42" s="49">
        <v>1.6739999999999999</v>
      </c>
      <c r="ER42" s="49">
        <v>1.6858</v>
      </c>
      <c r="ES42" s="49">
        <v>1.6977</v>
      </c>
      <c r="ET42" s="49">
        <v>1.7098</v>
      </c>
      <c r="EU42" s="49">
        <v>1.722</v>
      </c>
      <c r="EV42" s="49">
        <v>1.7343999999999999</v>
      </c>
      <c r="EW42" s="49">
        <v>1.7470000000000001</v>
      </c>
      <c r="EX42" s="49">
        <v>1.7597</v>
      </c>
      <c r="EY42" s="49">
        <v>1.7726</v>
      </c>
      <c r="EZ42" s="49">
        <v>1.7857000000000001</v>
      </c>
      <c r="FA42" s="49">
        <v>1.7989999999999999</v>
      </c>
      <c r="FB42" s="49">
        <v>1.8126</v>
      </c>
      <c r="FC42" s="49">
        <v>1.8263</v>
      </c>
      <c r="FE42" s="50">
        <f t="shared" ca="1" si="4"/>
        <v>1.4633576017130621</v>
      </c>
      <c r="FF42" s="50">
        <f t="shared" ca="1" si="5"/>
        <v>1.4571703941044538</v>
      </c>
      <c r="FG42" s="50">
        <f t="shared" ca="1" si="6"/>
        <v>1.4508567785234898</v>
      </c>
      <c r="FH42" s="50">
        <f t="shared" ca="1" si="7"/>
        <v>1.4442795973154361</v>
      </c>
      <c r="FK42" s="50">
        <f t="shared" ca="1" si="8"/>
        <v>1.4571703941044538</v>
      </c>
      <c r="FL42" s="50"/>
      <c r="FM42" s="50"/>
      <c r="FN42" s="50"/>
    </row>
    <row r="43" spans="2:170" ht="17.100000000000001" customHeight="1">
      <c r="B43" s="119"/>
      <c r="C43" s="595" t="s">
        <v>294</v>
      </c>
      <c r="D43" s="596"/>
      <c r="E43" s="596"/>
      <c r="F43" s="596"/>
      <c r="G43" s="596"/>
      <c r="H43" s="596"/>
      <c r="I43" s="596"/>
      <c r="J43" s="607" t="str">
        <f>IF(L11=AD10,"I","ANY")</f>
        <v>I</v>
      </c>
      <c r="K43" s="607"/>
      <c r="L43" s="607" t="s">
        <v>41</v>
      </c>
      <c r="M43" s="607"/>
      <c r="N43" s="607" t="s">
        <v>42</v>
      </c>
      <c r="O43" s="607"/>
      <c r="P43" s="607" t="s">
        <v>43</v>
      </c>
      <c r="Q43" s="661"/>
      <c r="R43" s="23"/>
      <c r="S43" s="23"/>
      <c r="T43" s="23"/>
      <c r="U43" s="23"/>
      <c r="V43" s="23"/>
      <c r="W43" s="23"/>
      <c r="X43" s="23"/>
      <c r="Y43" s="23"/>
      <c r="Z43" s="23"/>
      <c r="AA43" s="23"/>
      <c r="AB43" s="120"/>
      <c r="AC43" s="27"/>
      <c r="AD43" s="43"/>
      <c r="AE43" s="43"/>
      <c r="AF43" s="43"/>
      <c r="AG43" s="65"/>
      <c r="AH43" s="78"/>
      <c r="AI43" s="541" t="s">
        <v>71</v>
      </c>
      <c r="AJ43" s="541"/>
      <c r="AK43" s="541" t="s">
        <v>79</v>
      </c>
      <c r="AL43" s="541"/>
      <c r="AM43" s="541"/>
      <c r="AN43" s="541"/>
      <c r="AO43" s="541" t="s">
        <v>81</v>
      </c>
      <c r="AP43" s="541"/>
      <c r="AQ43" s="541"/>
      <c r="AR43" s="66"/>
      <c r="AS43" s="66"/>
      <c r="AT43" s="68"/>
      <c r="AW43" s="46">
        <v>1.585</v>
      </c>
      <c r="AX43" s="49">
        <v>0.77639999999999998</v>
      </c>
      <c r="AY43" s="49">
        <v>0.78500000000000003</v>
      </c>
      <c r="AZ43" s="49">
        <v>0.79349999999999998</v>
      </c>
      <c r="BA43" s="49">
        <v>0.80200000000000005</v>
      </c>
      <c r="BB43" s="49">
        <v>0.81059999999999999</v>
      </c>
      <c r="BC43" s="49">
        <v>0.81910000000000005</v>
      </c>
      <c r="BD43" s="49">
        <v>0.82769999999999999</v>
      </c>
      <c r="BE43" s="49">
        <v>0.83630000000000004</v>
      </c>
      <c r="BF43" s="49">
        <v>0.8448</v>
      </c>
      <c r="BG43" s="49">
        <v>0.85340000000000005</v>
      </c>
      <c r="BH43" s="49">
        <v>0.8619</v>
      </c>
      <c r="BI43" s="49">
        <v>0.87050000000000005</v>
      </c>
      <c r="BJ43" s="49">
        <v>0.87909999999999999</v>
      </c>
      <c r="BK43" s="49">
        <v>0.88759999999999994</v>
      </c>
      <c r="BL43" s="49">
        <v>0.8962</v>
      </c>
      <c r="BM43" s="49">
        <v>0.90480000000000005</v>
      </c>
      <c r="BN43" s="49">
        <v>0.91339999999999999</v>
      </c>
      <c r="BO43" s="49">
        <v>0.92200000000000004</v>
      </c>
      <c r="BP43" s="49">
        <v>0.93059999999999998</v>
      </c>
      <c r="BQ43" s="49">
        <v>0.93920000000000003</v>
      </c>
      <c r="BR43" s="49">
        <v>0.94779999999999998</v>
      </c>
      <c r="BS43" s="49">
        <v>0.95640000000000003</v>
      </c>
      <c r="BT43" s="49">
        <v>0.96499999999999997</v>
      </c>
      <c r="BU43" s="49">
        <v>0.97360000000000002</v>
      </c>
      <c r="BV43" s="49">
        <v>0.98219999999999996</v>
      </c>
      <c r="BW43" s="49">
        <v>0.99080000000000001</v>
      </c>
      <c r="BX43" s="49">
        <v>0.99939999999999996</v>
      </c>
      <c r="BY43" s="49">
        <v>1.0081</v>
      </c>
      <c r="BZ43" s="49">
        <v>1.0166999999999999</v>
      </c>
      <c r="CA43" s="49">
        <v>1.0254000000000001</v>
      </c>
      <c r="CB43" s="49">
        <v>1.034</v>
      </c>
      <c r="CC43" s="49">
        <v>1.0427</v>
      </c>
      <c r="CD43" s="49">
        <v>1.0513999999999999</v>
      </c>
      <c r="CE43" s="49">
        <v>1.06</v>
      </c>
      <c r="CF43" s="49">
        <v>1.0687</v>
      </c>
      <c r="CG43" s="49">
        <v>1.0773999999999999</v>
      </c>
      <c r="CH43" s="49">
        <v>1.0861000000000001</v>
      </c>
      <c r="CI43" s="49">
        <v>1.0948</v>
      </c>
      <c r="CJ43" s="49">
        <v>1.1034999999999999</v>
      </c>
      <c r="CK43" s="49">
        <v>1.1123000000000001</v>
      </c>
      <c r="CL43" s="49">
        <v>1.121</v>
      </c>
      <c r="CM43" s="49">
        <v>1.1297999999999999</v>
      </c>
      <c r="CN43" s="49">
        <v>1.1385000000000001</v>
      </c>
      <c r="CO43" s="49">
        <v>1.1473</v>
      </c>
      <c r="CP43" s="49">
        <v>1.1560999999999999</v>
      </c>
      <c r="CQ43" s="49">
        <v>1.1649</v>
      </c>
      <c r="CR43" s="49">
        <v>1.1737</v>
      </c>
      <c r="CS43" s="49">
        <v>1.1825000000000001</v>
      </c>
      <c r="CT43" s="49">
        <v>1.1914</v>
      </c>
      <c r="CU43" s="49">
        <v>1.2001999999999999</v>
      </c>
      <c r="CV43" s="49">
        <v>1.2091000000000001</v>
      </c>
      <c r="CW43" s="49">
        <v>1.218</v>
      </c>
      <c r="CX43" s="49">
        <v>1.2269000000000001</v>
      </c>
      <c r="CY43" s="49">
        <v>1.2358</v>
      </c>
      <c r="CZ43" s="49">
        <v>1.2447999999999999</v>
      </c>
      <c r="DA43" s="49">
        <v>1.2538</v>
      </c>
      <c r="DB43" s="49">
        <v>1.2627999999999999</v>
      </c>
      <c r="DC43" s="49">
        <v>1.2718</v>
      </c>
      <c r="DD43" s="49">
        <v>1.2807999999999999</v>
      </c>
      <c r="DE43" s="49">
        <v>1.2899</v>
      </c>
      <c r="DF43" s="49">
        <v>1.2989999999999999</v>
      </c>
      <c r="DG43" s="49">
        <v>1.3081</v>
      </c>
      <c r="DH43" s="49">
        <v>1.3172999999999999</v>
      </c>
      <c r="DI43" s="49">
        <v>1.3264</v>
      </c>
      <c r="DJ43" s="49">
        <v>1.3357000000000001</v>
      </c>
      <c r="DK43" s="49">
        <v>1.3449</v>
      </c>
      <c r="DL43" s="49">
        <v>1.3542000000000001</v>
      </c>
      <c r="DM43" s="49">
        <v>1.3634999999999999</v>
      </c>
      <c r="DN43" s="49">
        <v>1.3728</v>
      </c>
      <c r="DO43" s="49">
        <v>1.3822000000000001</v>
      </c>
      <c r="DP43" s="49">
        <v>1.3916999999999999</v>
      </c>
      <c r="DQ43" s="49">
        <v>1.4012</v>
      </c>
      <c r="DR43" s="49">
        <v>1.4107000000000001</v>
      </c>
      <c r="DS43" s="49">
        <v>1.4201999999999999</v>
      </c>
      <c r="DT43" s="49">
        <v>1.4298999999999999</v>
      </c>
      <c r="DU43" s="49">
        <v>1.4395</v>
      </c>
      <c r="DV43" s="49">
        <v>1.4493</v>
      </c>
      <c r="DW43" s="49">
        <v>1.4590000000000001</v>
      </c>
      <c r="DX43" s="49">
        <v>1.4689000000000001</v>
      </c>
      <c r="DY43" s="49">
        <v>1.4787999999999999</v>
      </c>
      <c r="DZ43" s="49">
        <v>1.4886999999999999</v>
      </c>
      <c r="EA43" s="49">
        <v>1.4987999999999999</v>
      </c>
      <c r="EB43" s="49">
        <v>1.5088999999999999</v>
      </c>
      <c r="EC43" s="49">
        <v>1.5190999999999999</v>
      </c>
      <c r="ED43" s="49">
        <v>1.5293000000000001</v>
      </c>
      <c r="EE43" s="49">
        <v>1.5396000000000001</v>
      </c>
      <c r="EF43" s="49">
        <v>1.5501</v>
      </c>
      <c r="EG43" s="49">
        <v>1.5606</v>
      </c>
      <c r="EH43" s="49">
        <v>1.5711999999999999</v>
      </c>
      <c r="EI43" s="49">
        <v>1.5819000000000001</v>
      </c>
      <c r="EJ43" s="49">
        <v>1.5927</v>
      </c>
      <c r="EK43" s="49">
        <v>1.6034999999999999</v>
      </c>
      <c r="EL43" s="49">
        <v>1.6146</v>
      </c>
      <c r="EM43" s="49">
        <v>1.6256999999999999</v>
      </c>
      <c r="EN43" s="49">
        <v>1.6369</v>
      </c>
      <c r="EO43" s="49">
        <v>1.6483000000000001</v>
      </c>
      <c r="EP43" s="49">
        <v>1.6597</v>
      </c>
      <c r="EQ43" s="49">
        <v>1.6714</v>
      </c>
      <c r="ER43" s="49">
        <v>1.6831</v>
      </c>
      <c r="ES43" s="49">
        <v>1.6950000000000001</v>
      </c>
      <c r="ET43" s="49">
        <v>1.7071000000000001</v>
      </c>
      <c r="EU43" s="49">
        <v>1.7193000000000001</v>
      </c>
      <c r="EV43" s="49">
        <v>1.7316</v>
      </c>
      <c r="EW43" s="49">
        <v>1.7442</v>
      </c>
      <c r="EX43" s="49">
        <v>1.7568999999999999</v>
      </c>
      <c r="EY43" s="49">
        <v>1.7698</v>
      </c>
      <c r="EZ43" s="49">
        <v>1.7828999999999999</v>
      </c>
      <c r="FA43" s="49">
        <v>1.7962</v>
      </c>
      <c r="FB43" s="49">
        <v>1.8096000000000001</v>
      </c>
      <c r="FC43" s="49">
        <v>1.8232999999999999</v>
      </c>
      <c r="FE43" s="50">
        <f t="shared" ca="1" si="4"/>
        <v>1.4609775772407465</v>
      </c>
      <c r="FF43" s="50">
        <f t="shared" ca="1" si="5"/>
        <v>1.454813553348286</v>
      </c>
      <c r="FG43" s="50">
        <f t="shared" ca="1" si="6"/>
        <v>1.4485567785234899</v>
      </c>
      <c r="FH43" s="50">
        <f t="shared" ca="1" si="7"/>
        <v>1.4419795973154361</v>
      </c>
      <c r="FK43" s="50">
        <f t="shared" ca="1" si="8"/>
        <v>1.454813553348286</v>
      </c>
      <c r="FL43" s="50"/>
      <c r="FM43" s="50"/>
      <c r="FN43" s="50"/>
    </row>
    <row r="44" spans="2:170" ht="17.100000000000001" customHeight="1">
      <c r="B44" s="119"/>
      <c r="C44" s="536" t="s">
        <v>334</v>
      </c>
      <c r="D44" s="537"/>
      <c r="E44" s="537"/>
      <c r="F44" s="537"/>
      <c r="G44" s="537"/>
      <c r="H44" s="537"/>
      <c r="I44" s="537"/>
      <c r="J44" s="532">
        <f>IF($L$10=$AD$8,"-",VLOOKUP(TRUE,$AL$35:$AM$37,2,FALSE))</f>
        <v>1.047266573487418</v>
      </c>
      <c r="K44" s="532"/>
      <c r="L44" s="532">
        <f>IF(OR($L$11=$AD$11,$L$10=$AD$8),"-",J44)</f>
        <v>1.047266573487418</v>
      </c>
      <c r="M44" s="532"/>
      <c r="N44" s="532">
        <f>IF(OR($L$11=$AD$11,$L$10=$AD$8),"-",J44)</f>
        <v>1.047266573487418</v>
      </c>
      <c r="O44" s="532"/>
      <c r="P44" s="532">
        <f>IF(OR($L$11=$AD$11,$L$10=$AD$8),"-",J44)</f>
        <v>1.047266573487418</v>
      </c>
      <c r="Q44" s="564"/>
      <c r="R44" s="23"/>
      <c r="S44" s="23"/>
      <c r="T44" s="23"/>
      <c r="U44" s="23"/>
      <c r="V44" s="23"/>
      <c r="W44" s="23"/>
      <c r="X44" s="23"/>
      <c r="Y44" s="23"/>
      <c r="Z44" s="23"/>
      <c r="AA44" s="23"/>
      <c r="AB44" s="120"/>
      <c r="AC44" s="27"/>
      <c r="AD44" s="43"/>
      <c r="AE44" s="43"/>
      <c r="AF44" s="43"/>
      <c r="AG44" s="71"/>
      <c r="AH44" s="70"/>
      <c r="AI44" s="542" t="b">
        <f>IF(Database!O9=1,TRUE,FALSE)</f>
        <v>1</v>
      </c>
      <c r="AJ44" s="542"/>
      <c r="AK44" s="79"/>
      <c r="AL44" s="542" t="b">
        <f>AND(Database!O9=2,Database!O14=1)</f>
        <v>0</v>
      </c>
      <c r="AM44" s="542"/>
      <c r="AN44" s="79"/>
      <c r="AO44" s="542" t="b">
        <f>AND(Database!O9=2,Database!O14=2)</f>
        <v>0</v>
      </c>
      <c r="AP44" s="542"/>
      <c r="AQ44" s="70"/>
      <c r="AR44" s="70"/>
      <c r="AS44" s="70"/>
      <c r="AT44" s="80"/>
      <c r="AW44" s="46">
        <v>1.698</v>
      </c>
      <c r="AX44" s="49">
        <v>0.7752</v>
      </c>
      <c r="AY44" s="49">
        <v>0.78369999999999995</v>
      </c>
      <c r="AZ44" s="49">
        <v>0.79220000000000002</v>
      </c>
      <c r="BA44" s="49">
        <v>0.80079999999999996</v>
      </c>
      <c r="BB44" s="49">
        <v>0.80930000000000002</v>
      </c>
      <c r="BC44" s="49">
        <v>0.81779999999999997</v>
      </c>
      <c r="BD44" s="49">
        <v>0.82640000000000002</v>
      </c>
      <c r="BE44" s="49">
        <v>0.83489999999999998</v>
      </c>
      <c r="BF44" s="49">
        <v>0.84350000000000003</v>
      </c>
      <c r="BG44" s="49">
        <v>0.85199999999999998</v>
      </c>
      <c r="BH44" s="49">
        <v>0.86060000000000003</v>
      </c>
      <c r="BI44" s="49">
        <v>0.86909999999999998</v>
      </c>
      <c r="BJ44" s="49">
        <v>0.87770000000000004</v>
      </c>
      <c r="BK44" s="49">
        <v>0.88619999999999999</v>
      </c>
      <c r="BL44" s="49">
        <v>0.89480000000000004</v>
      </c>
      <c r="BM44" s="49">
        <v>0.90339999999999998</v>
      </c>
      <c r="BN44" s="49">
        <v>0.91190000000000004</v>
      </c>
      <c r="BO44" s="49">
        <v>0.92049999999999998</v>
      </c>
      <c r="BP44" s="49">
        <v>0.92910000000000004</v>
      </c>
      <c r="BQ44" s="49">
        <v>0.93769999999999998</v>
      </c>
      <c r="BR44" s="49">
        <v>0.94630000000000003</v>
      </c>
      <c r="BS44" s="49">
        <v>0.95479999999999998</v>
      </c>
      <c r="BT44" s="49">
        <v>0.96340000000000003</v>
      </c>
      <c r="BU44" s="49">
        <v>0.97199999999999998</v>
      </c>
      <c r="BV44" s="49">
        <v>0.98060000000000003</v>
      </c>
      <c r="BW44" s="49">
        <v>0.98919999999999997</v>
      </c>
      <c r="BX44" s="49">
        <v>0.99790000000000001</v>
      </c>
      <c r="BY44" s="49">
        <v>1.0065</v>
      </c>
      <c r="BZ44" s="49">
        <v>1.0150999999999999</v>
      </c>
      <c r="CA44" s="49">
        <v>1.0237000000000001</v>
      </c>
      <c r="CB44" s="49">
        <v>1.0324</v>
      </c>
      <c r="CC44" s="49">
        <v>1.0409999999999999</v>
      </c>
      <c r="CD44" s="49">
        <v>1.0497000000000001</v>
      </c>
      <c r="CE44" s="49">
        <v>1.0583</v>
      </c>
      <c r="CF44" s="49">
        <v>1.0669999999999999</v>
      </c>
      <c r="CG44" s="49">
        <v>1.0757000000000001</v>
      </c>
      <c r="CH44" s="49">
        <v>1.0844</v>
      </c>
      <c r="CI44" s="49">
        <v>1.0931</v>
      </c>
      <c r="CJ44" s="49">
        <v>1.1017999999999999</v>
      </c>
      <c r="CK44" s="49">
        <v>1.1105</v>
      </c>
      <c r="CL44" s="49">
        <v>1.1192</v>
      </c>
      <c r="CM44" s="49">
        <v>1.1279999999999999</v>
      </c>
      <c r="CN44" s="49">
        <v>1.1367</v>
      </c>
      <c r="CO44" s="49">
        <v>1.1455</v>
      </c>
      <c r="CP44" s="49">
        <v>1.1541999999999999</v>
      </c>
      <c r="CQ44" s="49">
        <v>1.163</v>
      </c>
      <c r="CR44" s="49">
        <v>1.1718</v>
      </c>
      <c r="CS44" s="49">
        <v>1.1806000000000001</v>
      </c>
      <c r="CT44" s="49">
        <v>1.1895</v>
      </c>
      <c r="CU44" s="49">
        <v>1.1982999999999999</v>
      </c>
      <c r="CV44" s="49">
        <v>1.2072000000000001</v>
      </c>
      <c r="CW44" s="49">
        <v>1.2161</v>
      </c>
      <c r="CX44" s="49">
        <v>1.2250000000000001</v>
      </c>
      <c r="CY44" s="49">
        <v>1.2339</v>
      </c>
      <c r="CZ44" s="49">
        <v>1.2427999999999999</v>
      </c>
      <c r="DA44" s="49">
        <v>1.2518</v>
      </c>
      <c r="DB44" s="49">
        <v>1.2607999999999999</v>
      </c>
      <c r="DC44" s="49">
        <v>1.2698</v>
      </c>
      <c r="DD44" s="49">
        <v>1.2787999999999999</v>
      </c>
      <c r="DE44" s="49">
        <v>1.2879</v>
      </c>
      <c r="DF44" s="49">
        <v>1.2968999999999999</v>
      </c>
      <c r="DG44" s="49">
        <v>1.306</v>
      </c>
      <c r="DH44" s="49">
        <v>1.3151999999999999</v>
      </c>
      <c r="DI44" s="49">
        <v>1.3243</v>
      </c>
      <c r="DJ44" s="49">
        <v>1.3334999999999999</v>
      </c>
      <c r="DK44" s="49">
        <v>1.3428</v>
      </c>
      <c r="DL44" s="49">
        <v>1.3520000000000001</v>
      </c>
      <c r="DM44" s="49">
        <v>1.3613</v>
      </c>
      <c r="DN44" s="49">
        <v>1.3707</v>
      </c>
      <c r="DO44" s="49">
        <v>1.38</v>
      </c>
      <c r="DP44" s="49">
        <v>1.3895</v>
      </c>
      <c r="DQ44" s="49">
        <v>1.3989</v>
      </c>
      <c r="DR44" s="49">
        <v>1.4084000000000001</v>
      </c>
      <c r="DS44" s="49">
        <v>1.4179999999999999</v>
      </c>
      <c r="DT44" s="49">
        <v>1.4276</v>
      </c>
      <c r="DU44" s="49">
        <v>1.4372</v>
      </c>
      <c r="DV44" s="49">
        <v>1.4470000000000001</v>
      </c>
      <c r="DW44" s="49">
        <v>1.4567000000000001</v>
      </c>
      <c r="DX44" s="49">
        <v>1.4664999999999999</v>
      </c>
      <c r="DY44" s="49">
        <v>1.4763999999999999</v>
      </c>
      <c r="DZ44" s="49">
        <v>1.4863999999999999</v>
      </c>
      <c r="EA44" s="49">
        <v>1.4964</v>
      </c>
      <c r="EB44" s="49">
        <v>1.5065</v>
      </c>
      <c r="EC44" s="49">
        <v>1.5166999999999999</v>
      </c>
      <c r="ED44" s="49">
        <v>1.5268999999999999</v>
      </c>
      <c r="EE44" s="49">
        <v>1.5371999999999999</v>
      </c>
      <c r="EF44" s="49">
        <v>1.5476000000000001</v>
      </c>
      <c r="EG44" s="49">
        <v>1.5581</v>
      </c>
      <c r="EH44" s="49">
        <v>1.5687</v>
      </c>
      <c r="EI44" s="49">
        <v>1.5793999999999999</v>
      </c>
      <c r="EJ44" s="49">
        <v>1.5901000000000001</v>
      </c>
      <c r="EK44" s="49">
        <v>1.601</v>
      </c>
      <c r="EL44" s="49">
        <v>1.6120000000000001</v>
      </c>
      <c r="EM44" s="49">
        <v>1.6231</v>
      </c>
      <c r="EN44" s="49">
        <v>1.6343000000000001</v>
      </c>
      <c r="EO44" s="49">
        <v>1.6456</v>
      </c>
      <c r="EP44" s="49">
        <v>1.6571</v>
      </c>
      <c r="EQ44" s="49">
        <v>1.6687000000000001</v>
      </c>
      <c r="ER44" s="49">
        <v>1.6803999999999999</v>
      </c>
      <c r="ES44" s="49">
        <v>1.6922999999999999</v>
      </c>
      <c r="ET44" s="49">
        <v>1.7043999999999999</v>
      </c>
      <c r="EU44" s="49">
        <v>1.7164999999999999</v>
      </c>
      <c r="EV44" s="49">
        <v>1.7289000000000001</v>
      </c>
      <c r="EW44" s="49">
        <v>1.7414000000000001</v>
      </c>
      <c r="EX44" s="49">
        <v>1.7541</v>
      </c>
      <c r="EY44" s="49">
        <v>1.7669999999999999</v>
      </c>
      <c r="EZ44" s="49">
        <v>1.78</v>
      </c>
      <c r="FA44" s="49">
        <v>1.7932999999999999</v>
      </c>
      <c r="FB44" s="49">
        <v>1.8068</v>
      </c>
      <c r="FC44" s="49">
        <v>1.8204</v>
      </c>
      <c r="FE44" s="50">
        <f t="shared" ca="1" si="4"/>
        <v>1.4586576017130621</v>
      </c>
      <c r="FF44" s="50">
        <f t="shared" ca="1" si="5"/>
        <v>1.452513553348286</v>
      </c>
      <c r="FG44" s="50">
        <f t="shared" ca="1" si="6"/>
        <v>1.4462567785234899</v>
      </c>
      <c r="FH44" s="50">
        <f t="shared" ca="1" si="7"/>
        <v>1.4396795973154362</v>
      </c>
      <c r="FK44" s="50">
        <f t="shared" ca="1" si="8"/>
        <v>1.452513553348286</v>
      </c>
      <c r="FL44" s="50"/>
      <c r="FM44" s="50"/>
      <c r="FN44" s="50"/>
    </row>
    <row r="45" spans="2:170" ht="17.100000000000001" customHeight="1" thickBot="1">
      <c r="B45" s="119"/>
      <c r="C45" s="536" t="s">
        <v>310</v>
      </c>
      <c r="D45" s="537"/>
      <c r="E45" s="537"/>
      <c r="F45" s="537"/>
      <c r="G45" s="537"/>
      <c r="H45" s="537"/>
      <c r="I45" s="537"/>
      <c r="J45" s="532">
        <f ca="1">IF($L$10=$AD$8,"-",FORECAST(AD$36,OFFSET(FE$3,MATCH(AD$36,$AW$3:$AW$103,1)-1,0,2),OFFSET($AW$3,MATCH(AD$36,$AW$3:$AW$103,1)-1,0,2)))</f>
        <v>1.3618557260750463</v>
      </c>
      <c r="K45" s="532"/>
      <c r="L45" s="532">
        <f ca="1">IF(OR(OR($L$11=$AD$11,$L$10=$AD$8),$L$10=$AD$8),"-",FORECAST(AE$36,OFFSET(FF$3,MATCH(AE$36,$AW$3:$AW$103,1)-1,0,2),OFFSET($AW$3,MATCH(AE$36,$AW$3:$AW$103,1)-1,0,2)))</f>
        <v>1.3669288288697115</v>
      </c>
      <c r="M45" s="532"/>
      <c r="N45" s="532">
        <f ca="1">IF(OR($L$11=$AD$11,$L$10=$AD$8),"-",FORECAST(AF$36,OFFSET(FG$3,MATCH(AF$36,$AW$3:$AW$103,1)-1,0,2),OFFSET($AW$3,MATCH(AF$36,$AW$3:$AW$103,1)-1,0,2)))</f>
        <v>1.4921130393096838</v>
      </c>
      <c r="O45" s="532"/>
      <c r="P45" s="532">
        <f ca="1">IF(OR($L$11=$AD$11,$L$10=$AD$8),"-",FORECAST(AG$36,OFFSET(FH$3,MATCH(AG$36,$AW$3:$AW$103,1)-1,0,2),OFFSET($AW$3,MATCH(AG$36,$AW$3:$AW$103,1)-1,0,2)))</f>
        <v>1.3441940396651839</v>
      </c>
      <c r="Q45" s="564"/>
      <c r="R45" s="23"/>
      <c r="S45" s="23"/>
      <c r="T45" s="23"/>
      <c r="U45" s="23"/>
      <c r="V45" s="23"/>
      <c r="W45" s="23"/>
      <c r="X45" s="23"/>
      <c r="Y45" s="23"/>
      <c r="Z45" s="23"/>
      <c r="AA45" s="23"/>
      <c r="AB45" s="120"/>
      <c r="AC45" s="27"/>
      <c r="AD45" s="43"/>
      <c r="AE45" s="43"/>
      <c r="AF45" s="43"/>
      <c r="AG45" s="81"/>
      <c r="AH45" s="70"/>
      <c r="AI45" s="82" t="s">
        <v>74</v>
      </c>
      <c r="AJ45" s="183" t="s">
        <v>75</v>
      </c>
      <c r="AK45" s="70"/>
      <c r="AL45" s="82" t="s">
        <v>74</v>
      </c>
      <c r="AM45" s="183" t="s">
        <v>75</v>
      </c>
      <c r="AN45" s="70"/>
      <c r="AO45" s="82" t="s">
        <v>74</v>
      </c>
      <c r="AP45" s="183" t="s">
        <v>75</v>
      </c>
      <c r="AQ45" s="70"/>
      <c r="AR45" s="70"/>
      <c r="AS45" s="70"/>
      <c r="AT45" s="80"/>
      <c r="AW45" s="46">
        <v>1.82</v>
      </c>
      <c r="AX45" s="49">
        <v>0.77400000000000002</v>
      </c>
      <c r="AY45" s="49">
        <v>0.78249999999999997</v>
      </c>
      <c r="AZ45" s="49">
        <v>0.79100000000000004</v>
      </c>
      <c r="BA45" s="49">
        <v>0.79949999999999999</v>
      </c>
      <c r="BB45" s="49">
        <v>0.80800000000000005</v>
      </c>
      <c r="BC45" s="49">
        <v>0.81659999999999999</v>
      </c>
      <c r="BD45" s="49">
        <v>0.82509999999999994</v>
      </c>
      <c r="BE45" s="49">
        <v>0.83360000000000001</v>
      </c>
      <c r="BF45" s="49">
        <v>0.84209999999999996</v>
      </c>
      <c r="BG45" s="49">
        <v>0.85070000000000001</v>
      </c>
      <c r="BH45" s="49">
        <v>0.85919999999999996</v>
      </c>
      <c r="BI45" s="49">
        <v>0.86780000000000002</v>
      </c>
      <c r="BJ45" s="49">
        <v>0.87629999999999997</v>
      </c>
      <c r="BK45" s="49">
        <v>0.88480000000000003</v>
      </c>
      <c r="BL45" s="49">
        <v>0.89339999999999997</v>
      </c>
      <c r="BM45" s="49">
        <v>0.90190000000000003</v>
      </c>
      <c r="BN45" s="49">
        <v>0.91049999999999998</v>
      </c>
      <c r="BO45" s="49">
        <v>0.91910000000000003</v>
      </c>
      <c r="BP45" s="49">
        <v>0.92759999999999998</v>
      </c>
      <c r="BQ45" s="49">
        <v>0.93620000000000003</v>
      </c>
      <c r="BR45" s="49">
        <v>0.94479999999999997</v>
      </c>
      <c r="BS45" s="49">
        <v>0.95330000000000004</v>
      </c>
      <c r="BT45" s="49">
        <v>0.96189999999999998</v>
      </c>
      <c r="BU45" s="49">
        <v>0.97050000000000003</v>
      </c>
      <c r="BV45" s="49">
        <v>0.97909999999999997</v>
      </c>
      <c r="BW45" s="49">
        <v>0.98770000000000002</v>
      </c>
      <c r="BX45" s="49">
        <v>0.99629999999999996</v>
      </c>
      <c r="BY45" s="49">
        <v>1.0048999999999999</v>
      </c>
      <c r="BZ45" s="49">
        <v>1.0135000000000001</v>
      </c>
      <c r="CA45" s="49">
        <v>1.0221</v>
      </c>
      <c r="CB45" s="49">
        <v>1.0307999999999999</v>
      </c>
      <c r="CC45" s="49">
        <v>1.0394000000000001</v>
      </c>
      <c r="CD45" s="49">
        <v>1.048</v>
      </c>
      <c r="CE45" s="49">
        <v>1.0567</v>
      </c>
      <c r="CF45" s="49">
        <v>1.0652999999999999</v>
      </c>
      <c r="CG45" s="49">
        <v>1.0740000000000001</v>
      </c>
      <c r="CH45" s="49">
        <v>1.0827</v>
      </c>
      <c r="CI45" s="49">
        <v>1.0913999999999999</v>
      </c>
      <c r="CJ45" s="49">
        <v>1.1001000000000001</v>
      </c>
      <c r="CK45" s="49">
        <v>1.1088</v>
      </c>
      <c r="CL45" s="49">
        <v>1.1174999999999999</v>
      </c>
      <c r="CM45" s="49">
        <v>1.1262000000000001</v>
      </c>
      <c r="CN45" s="49">
        <v>1.1349</v>
      </c>
      <c r="CO45" s="49">
        <v>1.1436999999999999</v>
      </c>
      <c r="CP45" s="49">
        <v>1.1524000000000001</v>
      </c>
      <c r="CQ45" s="49">
        <v>1.1612</v>
      </c>
      <c r="CR45" s="49">
        <v>1.17</v>
      </c>
      <c r="CS45" s="49">
        <v>1.1788000000000001</v>
      </c>
      <c r="CT45" s="49">
        <v>1.1876</v>
      </c>
      <c r="CU45" s="49">
        <v>1.1963999999999999</v>
      </c>
      <c r="CV45" s="49">
        <v>1.2053</v>
      </c>
      <c r="CW45" s="49">
        <v>1.2141999999999999</v>
      </c>
      <c r="CX45" s="49">
        <v>1.2230000000000001</v>
      </c>
      <c r="CY45" s="49">
        <v>1.232</v>
      </c>
      <c r="CZ45" s="49">
        <v>1.2408999999999999</v>
      </c>
      <c r="DA45" s="49">
        <v>1.2498</v>
      </c>
      <c r="DB45" s="49">
        <v>1.2587999999999999</v>
      </c>
      <c r="DC45" s="49">
        <v>1.2678</v>
      </c>
      <c r="DD45" s="49">
        <v>1.2767999999999999</v>
      </c>
      <c r="DE45" s="49">
        <v>1.2858000000000001</v>
      </c>
      <c r="DF45" s="49">
        <v>1.2948999999999999</v>
      </c>
      <c r="DG45" s="49">
        <v>1.304</v>
      </c>
      <c r="DH45" s="49">
        <v>1.3130999999999999</v>
      </c>
      <c r="DI45" s="49">
        <v>1.3223</v>
      </c>
      <c r="DJ45" s="49">
        <v>1.3313999999999999</v>
      </c>
      <c r="DK45" s="49">
        <v>1.3407</v>
      </c>
      <c r="DL45" s="49">
        <v>1.3499000000000001</v>
      </c>
      <c r="DM45" s="49">
        <v>1.3592</v>
      </c>
      <c r="DN45" s="49">
        <v>1.3685</v>
      </c>
      <c r="DO45" s="49">
        <v>1.3778999999999999</v>
      </c>
      <c r="DP45" s="49">
        <v>1.3873</v>
      </c>
      <c r="DQ45" s="49">
        <v>1.3967000000000001</v>
      </c>
      <c r="DR45" s="49">
        <v>1.4061999999999999</v>
      </c>
      <c r="DS45" s="49">
        <v>1.4157999999999999</v>
      </c>
      <c r="DT45" s="49">
        <v>1.4254</v>
      </c>
      <c r="DU45" s="49">
        <v>1.4350000000000001</v>
      </c>
      <c r="DV45" s="49">
        <v>1.4447000000000001</v>
      </c>
      <c r="DW45" s="49">
        <v>1.4543999999999999</v>
      </c>
      <c r="DX45" s="49">
        <v>1.4641999999999999</v>
      </c>
      <c r="DY45" s="49">
        <v>1.4741</v>
      </c>
      <c r="DZ45" s="49">
        <v>1.4841</v>
      </c>
      <c r="EA45" s="49">
        <v>1.4941</v>
      </c>
      <c r="EB45" s="49">
        <v>1.5041</v>
      </c>
      <c r="EC45" s="49">
        <v>1.5143</v>
      </c>
      <c r="ED45" s="49">
        <v>1.5245</v>
      </c>
      <c r="EE45" s="49">
        <v>1.5347999999999999</v>
      </c>
      <c r="EF45" s="49">
        <v>1.5451999999999999</v>
      </c>
      <c r="EG45" s="49">
        <v>1.5557000000000001</v>
      </c>
      <c r="EH45" s="49">
        <v>1.5662</v>
      </c>
      <c r="EI45" s="49">
        <v>1.5769</v>
      </c>
      <c r="EJ45" s="49">
        <v>1.5875999999999999</v>
      </c>
      <c r="EK45" s="49">
        <v>1.5985</v>
      </c>
      <c r="EL45" s="49">
        <v>1.6094999999999999</v>
      </c>
      <c r="EM45" s="49">
        <v>1.6205000000000001</v>
      </c>
      <c r="EN45" s="49">
        <v>1.6316999999999999</v>
      </c>
      <c r="EO45" s="49">
        <v>1.6431</v>
      </c>
      <c r="EP45" s="49">
        <v>1.6545000000000001</v>
      </c>
      <c r="EQ45" s="49">
        <v>1.6660999999999999</v>
      </c>
      <c r="ER45" s="49">
        <v>1.6778</v>
      </c>
      <c r="ES45" s="49">
        <v>1.6897</v>
      </c>
      <c r="ET45" s="49">
        <v>1.7017</v>
      </c>
      <c r="EU45" s="49">
        <v>1.7138</v>
      </c>
      <c r="EV45" s="49">
        <v>1.7262</v>
      </c>
      <c r="EW45" s="49">
        <v>1.7386999999999999</v>
      </c>
      <c r="EX45" s="49">
        <v>1.7514000000000001</v>
      </c>
      <c r="EY45" s="49">
        <v>1.7642</v>
      </c>
      <c r="EZ45" s="49">
        <v>1.7773000000000001</v>
      </c>
      <c r="FA45" s="49">
        <v>1.7905</v>
      </c>
      <c r="FB45" s="49">
        <v>1.8039000000000001</v>
      </c>
      <c r="FC45" s="49">
        <v>1.8176000000000001</v>
      </c>
      <c r="FE45" s="50">
        <f t="shared" ca="1" si="4"/>
        <v>1.4563576017130619</v>
      </c>
      <c r="FF45" s="50">
        <f t="shared" ca="1" si="5"/>
        <v>1.4502135533482858</v>
      </c>
      <c r="FG45" s="50">
        <f t="shared" ca="1" si="6"/>
        <v>1.4439643624161074</v>
      </c>
      <c r="FH45" s="50">
        <f t="shared" ca="1" si="7"/>
        <v>1.4374542953020133</v>
      </c>
      <c r="FK45" s="50">
        <f t="shared" ca="1" si="8"/>
        <v>1.4502135533482858</v>
      </c>
      <c r="FL45" s="50"/>
      <c r="FM45" s="50"/>
      <c r="FN45" s="50"/>
    </row>
    <row r="46" spans="2:170" ht="17.100000000000001" customHeight="1" thickBot="1">
      <c r="B46" s="119"/>
      <c r="C46" s="536" t="s">
        <v>336</v>
      </c>
      <c r="D46" s="537"/>
      <c r="E46" s="537"/>
      <c r="F46" s="537"/>
      <c r="G46" s="537"/>
      <c r="H46" s="537"/>
      <c r="I46" s="537"/>
      <c r="J46" s="532">
        <f ca="1">IF($L$10=$AD$8,"-",VLOOKUP($AD$41,$AN$3:$AR$4,2,FALSE))</f>
        <v>0.88410825230261592</v>
      </c>
      <c r="K46" s="532"/>
      <c r="L46" s="532">
        <f ca="1">IF(OR($L$11=$AD$11,$L$10=$AD$8),"-",VLOOKUP($AE$41,$AN$3:$AR$4,3,FALSE))</f>
        <v>0.88265615255773844</v>
      </c>
      <c r="M46" s="532"/>
      <c r="N46" s="532">
        <f>IF(OR($L$11=$AD$11,$L$10=$AD$8),"-",VLOOKUP($AF$41,$AN$3:$AR$4,4,FALSE))</f>
        <v>1</v>
      </c>
      <c r="O46" s="532"/>
      <c r="P46" s="532">
        <f>IF(OR($L$11=$AD$11,$L$10=$AD$8),"-",VLOOKUP($AG$41,$AN$3:$AR$4,5,FALSE))</f>
        <v>1</v>
      </c>
      <c r="Q46" s="564"/>
      <c r="R46" s="23"/>
      <c r="S46" s="23"/>
      <c r="T46" s="23"/>
      <c r="U46" s="23"/>
      <c r="V46" s="23"/>
      <c r="W46" s="23"/>
      <c r="X46" s="23"/>
      <c r="Y46" s="23"/>
      <c r="Z46" s="23"/>
      <c r="AA46" s="23"/>
      <c r="AB46" s="120"/>
      <c r="AC46" s="27"/>
      <c r="AD46" s="43"/>
      <c r="AE46" s="43"/>
      <c r="AF46" s="43"/>
      <c r="AG46" s="69"/>
      <c r="AH46" s="83" t="s">
        <v>82</v>
      </c>
      <c r="AI46" s="84" t="b">
        <f>AND(Z11/Z12&gt;=-1.5,Z11/Z12&lt;=0,0&lt;=82/Z16,82/Z16&lt;=2)</f>
        <v>1</v>
      </c>
      <c r="AJ46" s="82" t="b">
        <f>OR(Z11/Z12&lt;-1.5,82/Z16&gt;2)</f>
        <v>0</v>
      </c>
      <c r="AK46" s="85"/>
      <c r="AL46" s="183" t="b">
        <f>AND(0.1&lt;=Z11/Z16,Z11/Z16&lt;=3.5,0&lt;=82/Z16,82/Z16&lt;=2)</f>
        <v>0</v>
      </c>
      <c r="AM46" s="183" t="b">
        <f>AND(0&lt;=Z11/Z16,Z11/Z16&lt;=0.1)</f>
        <v>0</v>
      </c>
      <c r="AN46" s="70"/>
      <c r="AO46" s="70" t="b">
        <f>AND(0&lt;=Z11/Z13,Z11/Z13&lt;=2,0&lt;=82/Z16,82/Z16&lt;=2)</f>
        <v>0</v>
      </c>
      <c r="AP46" s="70" t="b">
        <f>OR(Z11/Z13&gt;2,82/Z16&gt;2)</f>
        <v>0</v>
      </c>
      <c r="AQ46" s="70"/>
      <c r="AR46" s="186" t="s">
        <v>85</v>
      </c>
      <c r="AS46" s="86" t="s">
        <v>64</v>
      </c>
      <c r="AT46" s="87">
        <f>VLOOKUP(1,AR47:AS52,2,FALSE)</f>
        <v>7.8777622479030196E-2</v>
      </c>
      <c r="AW46" s="46">
        <v>1.95</v>
      </c>
      <c r="AX46" s="49">
        <v>0.77280000000000004</v>
      </c>
      <c r="AY46" s="49">
        <v>0.78129999999999999</v>
      </c>
      <c r="AZ46" s="49">
        <v>0.78979999999999995</v>
      </c>
      <c r="BA46" s="49">
        <v>0.79830000000000001</v>
      </c>
      <c r="BB46" s="49">
        <v>0.80679999999999996</v>
      </c>
      <c r="BC46" s="49">
        <v>0.81530000000000002</v>
      </c>
      <c r="BD46" s="49">
        <v>0.82379999999999998</v>
      </c>
      <c r="BE46" s="49">
        <v>0.83230000000000004</v>
      </c>
      <c r="BF46" s="49">
        <v>0.84079999999999999</v>
      </c>
      <c r="BG46" s="49">
        <v>0.84940000000000004</v>
      </c>
      <c r="BH46" s="49">
        <v>0.8579</v>
      </c>
      <c r="BI46" s="49">
        <v>0.86639999999999995</v>
      </c>
      <c r="BJ46" s="49">
        <v>0.87490000000000001</v>
      </c>
      <c r="BK46" s="49">
        <v>0.88349999999999995</v>
      </c>
      <c r="BL46" s="49">
        <v>0.89200000000000002</v>
      </c>
      <c r="BM46" s="49">
        <v>0.90059999999999996</v>
      </c>
      <c r="BN46" s="49">
        <v>0.90910000000000002</v>
      </c>
      <c r="BO46" s="49">
        <v>0.91759999999999997</v>
      </c>
      <c r="BP46" s="49">
        <v>0.92620000000000002</v>
      </c>
      <c r="BQ46" s="49">
        <v>0.93469999999999998</v>
      </c>
      <c r="BR46" s="49">
        <v>0.94330000000000003</v>
      </c>
      <c r="BS46" s="49">
        <v>0.95189999999999997</v>
      </c>
      <c r="BT46" s="49">
        <v>0.96040000000000003</v>
      </c>
      <c r="BU46" s="49">
        <v>0.96899999999999997</v>
      </c>
      <c r="BV46" s="49">
        <v>0.97760000000000002</v>
      </c>
      <c r="BW46" s="49">
        <v>0.98619999999999997</v>
      </c>
      <c r="BX46" s="49">
        <v>0.99480000000000002</v>
      </c>
      <c r="BY46" s="49">
        <v>1.0033000000000001</v>
      </c>
      <c r="BZ46" s="49">
        <v>1.0119</v>
      </c>
      <c r="CA46" s="49">
        <v>1.0206</v>
      </c>
      <c r="CB46" s="49">
        <v>1.0291999999999999</v>
      </c>
      <c r="CC46" s="49">
        <v>1.0378000000000001</v>
      </c>
      <c r="CD46" s="49">
        <v>1.0464</v>
      </c>
      <c r="CE46" s="49">
        <v>1.0549999999999999</v>
      </c>
      <c r="CF46" s="49">
        <v>1.0637000000000001</v>
      </c>
      <c r="CG46" s="49">
        <v>1.0723</v>
      </c>
      <c r="CH46" s="49">
        <v>1.081</v>
      </c>
      <c r="CI46" s="49">
        <v>1.0896999999999999</v>
      </c>
      <c r="CJ46" s="49">
        <v>1.0983000000000001</v>
      </c>
      <c r="CK46" s="49">
        <v>1.107</v>
      </c>
      <c r="CL46" s="49">
        <v>1.1156999999999999</v>
      </c>
      <c r="CM46" s="49">
        <v>1.1244000000000001</v>
      </c>
      <c r="CN46" s="49">
        <v>1.1332</v>
      </c>
      <c r="CO46" s="49">
        <v>1.1418999999999999</v>
      </c>
      <c r="CP46" s="49">
        <v>1.1506000000000001</v>
      </c>
      <c r="CQ46" s="49">
        <v>1.1594</v>
      </c>
      <c r="CR46" s="49">
        <v>1.1681999999999999</v>
      </c>
      <c r="CS46" s="49">
        <v>1.177</v>
      </c>
      <c r="CT46" s="49">
        <v>1.1858</v>
      </c>
      <c r="CU46" s="49">
        <v>1.1946000000000001</v>
      </c>
      <c r="CV46" s="49">
        <v>1.2034</v>
      </c>
      <c r="CW46" s="49">
        <v>1.2122999999999999</v>
      </c>
      <c r="CX46" s="49">
        <v>1.2212000000000001</v>
      </c>
      <c r="CY46" s="49">
        <v>1.23</v>
      </c>
      <c r="CZ46" s="49">
        <v>1.2390000000000001</v>
      </c>
      <c r="DA46" s="49">
        <v>1.2479</v>
      </c>
      <c r="DB46" s="49">
        <v>1.2567999999999999</v>
      </c>
      <c r="DC46" s="49">
        <v>1.2658</v>
      </c>
      <c r="DD46" s="49">
        <v>1.2747999999999999</v>
      </c>
      <c r="DE46" s="49">
        <v>1.2838000000000001</v>
      </c>
      <c r="DF46" s="49">
        <v>1.2928999999999999</v>
      </c>
      <c r="DG46" s="49">
        <v>1.302</v>
      </c>
      <c r="DH46" s="49">
        <v>1.3110999999999999</v>
      </c>
      <c r="DI46" s="49">
        <v>1.3202</v>
      </c>
      <c r="DJ46" s="49">
        <v>1.3293999999999999</v>
      </c>
      <c r="DK46" s="49">
        <v>1.3386</v>
      </c>
      <c r="DL46" s="49">
        <v>1.3478000000000001</v>
      </c>
      <c r="DM46" s="49">
        <v>1.3571</v>
      </c>
      <c r="DN46" s="49">
        <v>1.3664000000000001</v>
      </c>
      <c r="DO46" s="49">
        <v>1.3756999999999999</v>
      </c>
      <c r="DP46" s="49">
        <v>1.3851</v>
      </c>
      <c r="DQ46" s="49">
        <v>1.3946000000000001</v>
      </c>
      <c r="DR46" s="49">
        <v>1.4039999999999999</v>
      </c>
      <c r="DS46" s="49">
        <v>1.4136</v>
      </c>
      <c r="DT46" s="49">
        <v>1.4231</v>
      </c>
      <c r="DU46" s="49">
        <v>1.4328000000000001</v>
      </c>
      <c r="DV46" s="49">
        <v>1.4423999999999999</v>
      </c>
      <c r="DW46" s="49">
        <v>1.4521999999999999</v>
      </c>
      <c r="DX46" s="49">
        <v>1.462</v>
      </c>
      <c r="DY46" s="49">
        <v>1.4718</v>
      </c>
      <c r="DZ46" s="49">
        <v>1.4818</v>
      </c>
      <c r="EA46" s="49">
        <v>1.4917</v>
      </c>
      <c r="EB46" s="49">
        <v>1.5018</v>
      </c>
      <c r="EC46" s="49">
        <v>1.5119</v>
      </c>
      <c r="ED46" s="49">
        <v>1.5221</v>
      </c>
      <c r="EE46" s="49">
        <v>1.5324</v>
      </c>
      <c r="EF46" s="49">
        <v>1.5427999999999999</v>
      </c>
      <c r="EG46" s="49">
        <v>1.5531999999999999</v>
      </c>
      <c r="EH46" s="49">
        <v>1.5638000000000001</v>
      </c>
      <c r="EI46" s="49">
        <v>1.5744</v>
      </c>
      <c r="EJ46" s="49">
        <v>1.5851999999999999</v>
      </c>
      <c r="EK46" s="49">
        <v>1.5960000000000001</v>
      </c>
      <c r="EL46" s="49">
        <v>1.607</v>
      </c>
      <c r="EM46" s="49">
        <v>1.6180000000000001</v>
      </c>
      <c r="EN46" s="49">
        <v>1.6292</v>
      </c>
      <c r="EO46" s="49">
        <v>1.6405000000000001</v>
      </c>
      <c r="EP46" s="49">
        <v>1.6518999999999999</v>
      </c>
      <c r="EQ46" s="49">
        <v>1.6635</v>
      </c>
      <c r="ER46" s="49">
        <v>1.6752</v>
      </c>
      <c r="ES46" s="49">
        <v>1.6870000000000001</v>
      </c>
      <c r="ET46" s="49">
        <v>1.6990000000000001</v>
      </c>
      <c r="EU46" s="49">
        <v>1.7112000000000001</v>
      </c>
      <c r="EV46" s="49">
        <v>1.7235</v>
      </c>
      <c r="EW46" s="49">
        <v>1.736</v>
      </c>
      <c r="EX46" s="49">
        <v>1.7485999999999999</v>
      </c>
      <c r="EY46" s="49">
        <v>1.7615000000000001</v>
      </c>
      <c r="EZ46" s="49">
        <v>1.7745</v>
      </c>
      <c r="FA46" s="49">
        <v>1.7877000000000001</v>
      </c>
      <c r="FB46" s="49">
        <v>1.8010999999999999</v>
      </c>
      <c r="FC46" s="49">
        <v>1.8148</v>
      </c>
      <c r="FE46" s="50">
        <f t="shared" ca="1" si="4"/>
        <v>1.4541576017130622</v>
      </c>
      <c r="FF46" s="50">
        <f t="shared" ca="1" si="5"/>
        <v>1.4479703941044535</v>
      </c>
      <c r="FG46" s="50">
        <f t="shared" ca="1" si="6"/>
        <v>1.4416719463087246</v>
      </c>
      <c r="FH46" s="50">
        <f t="shared" ca="1" si="7"/>
        <v>1.4352289932885907</v>
      </c>
      <c r="FK46" s="50">
        <f t="shared" ca="1" si="8"/>
        <v>1.4479703941044535</v>
      </c>
      <c r="FL46" s="50"/>
      <c r="FM46" s="50"/>
      <c r="FN46" s="50"/>
    </row>
    <row r="47" spans="2:170" ht="17.100000000000001" customHeight="1">
      <c r="B47" s="119"/>
      <c r="C47" s="536" t="s">
        <v>335</v>
      </c>
      <c r="D47" s="537"/>
      <c r="E47" s="537"/>
      <c r="F47" s="537"/>
      <c r="G47" s="537"/>
      <c r="H47" s="537"/>
      <c r="I47" s="537"/>
      <c r="J47" s="532">
        <f ca="1">IF($L$10=$AD$8,"-",FORECAST(AD$36,OFFSET(FE$212,MATCH(AD$36,$AW$212:$AW$312,1)-1,0,2),OFFSET($AW$212,MATCH(AD$36,$AW$212:$AW$312,1)-1,0,2)))</f>
        <v>0.13094031814010401</v>
      </c>
      <c r="K47" s="532"/>
      <c r="L47" s="532">
        <f ca="1">IF(OR($L$11=$AD$11,$L$10=$AD$8),"-",FORECAST(AE$36,OFFSET(FF$212,MATCH(AE$36,$AW$212:$AW$312,1)-1,0,2),OFFSET($AW$212,MATCH(AE$36,$AW$212:$AW$312,1)-1,0,2)))</f>
        <v>0.13176107016981739</v>
      </c>
      <c r="M47" s="532"/>
      <c r="N47" s="532">
        <f ca="1">IF(OR($L$11=$AD$11,$L$10=$AD$8),"-",FORECAST(AF$36,OFFSET(FG$212,MATCH(AF$36,$AW$212:$AW$312,1)-1,0,2),OFFSET($AW$212,MATCH(AF$36,$AW$212:$AW$312,1)-1,0,2)))</f>
        <v>0.10289365292425694</v>
      </c>
      <c r="O47" s="532"/>
      <c r="P47" s="532">
        <f ca="1">IF(OR($L$11=$AD$11,$L$10=$AD$8),"-",FORECAST(AG$36,OFFSET(FH$212,MATCH(AG$36,$AW$212:$AW$312,1)-1,0,2),OFFSET($AW$212,MATCH(AG$36,$AW$212:$AW$312,1)-1,0,2)))</f>
        <v>0.13339637583892616</v>
      </c>
      <c r="Q47" s="564"/>
      <c r="R47" s="23"/>
      <c r="S47" s="23"/>
      <c r="T47" s="23"/>
      <c r="U47" s="23"/>
      <c r="V47" s="23"/>
      <c r="W47" s="23"/>
      <c r="X47" s="23"/>
      <c r="Y47" s="23"/>
      <c r="Z47" s="23"/>
      <c r="AA47" s="23"/>
      <c r="AB47" s="120"/>
      <c r="AC47" s="27"/>
      <c r="AD47" s="43"/>
      <c r="AE47" s="43"/>
      <c r="AF47" s="43"/>
      <c r="AG47" s="69"/>
      <c r="AH47" s="88"/>
      <c r="AI47" s="88"/>
      <c r="AJ47" s="70"/>
      <c r="AK47" s="70"/>
      <c r="AL47" s="183"/>
      <c r="AM47" s="183" t="b">
        <f>OR(82/Z13&gt;3.5,82/Z16&gt;2)</f>
        <v>0</v>
      </c>
      <c r="AN47" s="70"/>
      <c r="AO47" s="70"/>
      <c r="AP47" s="70"/>
      <c r="AQ47" s="70"/>
      <c r="AR47" s="186">
        <f>IF(AI51=TRUE,1,0)</f>
        <v>1</v>
      </c>
      <c r="AS47" s="89">
        <f>+AI52</f>
        <v>7.8777622479030196E-2</v>
      </c>
      <c r="AT47" s="80"/>
      <c r="AW47" s="46">
        <v>2.089</v>
      </c>
      <c r="AX47" s="49">
        <v>0.77159999999999995</v>
      </c>
      <c r="AY47" s="49">
        <v>0.78010000000000002</v>
      </c>
      <c r="AZ47" s="49">
        <v>0.78859999999999997</v>
      </c>
      <c r="BA47" s="49">
        <v>0.79710000000000003</v>
      </c>
      <c r="BB47" s="49">
        <v>0.80549999999999999</v>
      </c>
      <c r="BC47" s="49">
        <v>0.81399999999999995</v>
      </c>
      <c r="BD47" s="49">
        <v>0.82250000000000001</v>
      </c>
      <c r="BE47" s="49">
        <v>0.83109999999999995</v>
      </c>
      <c r="BF47" s="49">
        <v>0.83960000000000001</v>
      </c>
      <c r="BG47" s="49">
        <v>0.84809999999999997</v>
      </c>
      <c r="BH47" s="49">
        <v>0.85660000000000003</v>
      </c>
      <c r="BI47" s="49">
        <v>0.86509999999999998</v>
      </c>
      <c r="BJ47" s="49">
        <v>0.87360000000000004</v>
      </c>
      <c r="BK47" s="49">
        <v>0.8821</v>
      </c>
      <c r="BL47" s="49">
        <v>0.89059999999999995</v>
      </c>
      <c r="BM47" s="49">
        <v>0.8992</v>
      </c>
      <c r="BN47" s="49">
        <v>0.90769999999999995</v>
      </c>
      <c r="BO47" s="49">
        <v>0.91620000000000001</v>
      </c>
      <c r="BP47" s="49">
        <v>0.92479999999999996</v>
      </c>
      <c r="BQ47" s="49">
        <v>0.93330000000000002</v>
      </c>
      <c r="BR47" s="49">
        <v>0.94189999999999996</v>
      </c>
      <c r="BS47" s="49">
        <v>0.95040000000000002</v>
      </c>
      <c r="BT47" s="49">
        <v>0.95899999999999996</v>
      </c>
      <c r="BU47" s="49">
        <v>0.96750000000000003</v>
      </c>
      <c r="BV47" s="49">
        <v>0.97609999999999997</v>
      </c>
      <c r="BW47" s="49">
        <v>0.98470000000000002</v>
      </c>
      <c r="BX47" s="49">
        <v>0.99319999999999997</v>
      </c>
      <c r="BY47" s="49">
        <v>1.0018</v>
      </c>
      <c r="BZ47" s="49">
        <v>1.0104</v>
      </c>
      <c r="CA47" s="49">
        <v>1.0189999999999999</v>
      </c>
      <c r="CB47" s="49">
        <v>1.0276000000000001</v>
      </c>
      <c r="CC47" s="49">
        <v>1.0362</v>
      </c>
      <c r="CD47" s="49">
        <v>1.0448</v>
      </c>
      <c r="CE47" s="49">
        <v>1.0533999999999999</v>
      </c>
      <c r="CF47" s="49">
        <v>1.0621</v>
      </c>
      <c r="CG47" s="49">
        <v>1.0707</v>
      </c>
      <c r="CH47" s="49">
        <v>1.0792999999999999</v>
      </c>
      <c r="CI47" s="49">
        <v>1.0880000000000001</v>
      </c>
      <c r="CJ47" s="49">
        <v>1.0967</v>
      </c>
      <c r="CK47" s="49">
        <v>1.1052999999999999</v>
      </c>
      <c r="CL47" s="49">
        <v>1.1140000000000001</v>
      </c>
      <c r="CM47" s="49">
        <v>1.1227</v>
      </c>
      <c r="CN47" s="49">
        <v>1.1314</v>
      </c>
      <c r="CO47" s="49">
        <v>1.1402000000000001</v>
      </c>
      <c r="CP47" s="49">
        <v>1.1489</v>
      </c>
      <c r="CQ47" s="49">
        <v>1.1576</v>
      </c>
      <c r="CR47" s="49">
        <v>1.1664000000000001</v>
      </c>
      <c r="CS47" s="49">
        <v>1.1752</v>
      </c>
      <c r="CT47" s="49">
        <v>1.1839999999999999</v>
      </c>
      <c r="CU47" s="49">
        <v>1.1928000000000001</v>
      </c>
      <c r="CV47" s="49">
        <v>1.2016</v>
      </c>
      <c r="CW47" s="49">
        <v>1.2103999999999999</v>
      </c>
      <c r="CX47" s="49">
        <v>1.2193000000000001</v>
      </c>
      <c r="CY47" s="49">
        <v>1.2282</v>
      </c>
      <c r="CZ47" s="49">
        <v>1.2371000000000001</v>
      </c>
      <c r="DA47" s="49">
        <v>1.246</v>
      </c>
      <c r="DB47" s="49">
        <v>1.2548999999999999</v>
      </c>
      <c r="DC47" s="49">
        <v>1.2639</v>
      </c>
      <c r="DD47" s="49">
        <v>1.2728999999999999</v>
      </c>
      <c r="DE47" s="49">
        <v>1.2819</v>
      </c>
      <c r="DF47" s="49">
        <v>1.2908999999999999</v>
      </c>
      <c r="DG47" s="49">
        <v>1.3</v>
      </c>
      <c r="DH47" s="49">
        <v>1.3090999999999999</v>
      </c>
      <c r="DI47" s="49">
        <v>1.3182</v>
      </c>
      <c r="DJ47" s="49">
        <v>1.3272999999999999</v>
      </c>
      <c r="DK47" s="49">
        <v>1.3365</v>
      </c>
      <c r="DL47" s="49">
        <v>1.3458000000000001</v>
      </c>
      <c r="DM47" s="49">
        <v>1.355</v>
      </c>
      <c r="DN47" s="49">
        <v>1.3643000000000001</v>
      </c>
      <c r="DO47" s="49">
        <v>1.3735999999999999</v>
      </c>
      <c r="DP47" s="49">
        <v>1.383</v>
      </c>
      <c r="DQ47" s="49">
        <v>1.3924000000000001</v>
      </c>
      <c r="DR47" s="49">
        <v>1.4018999999999999</v>
      </c>
      <c r="DS47" s="49">
        <v>1.4114</v>
      </c>
      <c r="DT47" s="49">
        <v>1.421</v>
      </c>
      <c r="DU47" s="49">
        <v>1.4306000000000001</v>
      </c>
      <c r="DV47" s="49">
        <v>1.4401999999999999</v>
      </c>
      <c r="DW47" s="49">
        <v>1.45</v>
      </c>
      <c r="DX47" s="49">
        <v>1.4597</v>
      </c>
      <c r="DY47" s="49">
        <v>1.4696</v>
      </c>
      <c r="DZ47" s="49">
        <v>1.4795</v>
      </c>
      <c r="EA47" s="49">
        <v>1.4895</v>
      </c>
      <c r="EB47" s="49">
        <v>1.4995000000000001</v>
      </c>
      <c r="EC47" s="49">
        <v>1.5096000000000001</v>
      </c>
      <c r="ED47" s="49">
        <v>1.5198</v>
      </c>
      <c r="EE47" s="49">
        <v>1.5301</v>
      </c>
      <c r="EF47" s="49">
        <v>1.5404</v>
      </c>
      <c r="EG47" s="49">
        <v>1.5508999999999999</v>
      </c>
      <c r="EH47" s="49">
        <v>1.5613999999999999</v>
      </c>
      <c r="EI47" s="49">
        <v>1.5720000000000001</v>
      </c>
      <c r="EJ47" s="49">
        <v>1.5827</v>
      </c>
      <c r="EK47" s="49">
        <v>1.5935999999999999</v>
      </c>
      <c r="EL47" s="49">
        <v>1.6045</v>
      </c>
      <c r="EM47" s="49">
        <v>1.6154999999999999</v>
      </c>
      <c r="EN47" s="49">
        <v>1.6267</v>
      </c>
      <c r="EO47" s="49">
        <v>1.6379999999999999</v>
      </c>
      <c r="EP47" s="49">
        <v>1.6494</v>
      </c>
      <c r="EQ47" s="49">
        <v>1.661</v>
      </c>
      <c r="ER47" s="49">
        <v>1.6726000000000001</v>
      </c>
      <c r="ES47" s="49">
        <v>1.6845000000000001</v>
      </c>
      <c r="ET47" s="49">
        <v>1.6963999999999999</v>
      </c>
      <c r="EU47" s="49">
        <v>1.7085999999999999</v>
      </c>
      <c r="EV47" s="49">
        <v>1.7209000000000001</v>
      </c>
      <c r="EW47" s="49">
        <v>1.7333000000000001</v>
      </c>
      <c r="EX47" s="49">
        <v>1.746</v>
      </c>
      <c r="EY47" s="49">
        <v>1.7587999999999999</v>
      </c>
      <c r="EZ47" s="49">
        <v>1.7718</v>
      </c>
      <c r="FA47" s="49">
        <v>1.7849999999999999</v>
      </c>
      <c r="FB47" s="49">
        <v>1.7984</v>
      </c>
      <c r="FC47" s="49">
        <v>1.8120000000000001</v>
      </c>
      <c r="FE47" s="50">
        <f t="shared" ca="1" si="4"/>
        <v>1.4519376261853778</v>
      </c>
      <c r="FF47" s="50">
        <f t="shared" ca="1" si="5"/>
        <v>1.4457703941044537</v>
      </c>
      <c r="FG47" s="50">
        <f t="shared" ca="1" si="6"/>
        <v>1.4394719463087247</v>
      </c>
      <c r="FH47" s="50">
        <f t="shared" ca="1" si="7"/>
        <v>1.4330289932885907</v>
      </c>
      <c r="FK47" s="50">
        <f t="shared" ca="1" si="8"/>
        <v>1.4457703941044537</v>
      </c>
      <c r="FL47" s="50"/>
      <c r="FM47" s="50"/>
      <c r="FN47" s="50"/>
    </row>
    <row r="48" spans="2:170" ht="17.100000000000001" customHeight="1">
      <c r="B48" s="119"/>
      <c r="C48" s="536" t="s">
        <v>337</v>
      </c>
      <c r="D48" s="537"/>
      <c r="E48" s="537"/>
      <c r="F48" s="537"/>
      <c r="G48" s="537"/>
      <c r="H48" s="537"/>
      <c r="I48" s="537"/>
      <c r="J48" s="532">
        <f ca="1">IF($L$10=$AD$8,"-",VLOOKUP($AD$41,$AN$5:$AR$6,2,FALSE))</f>
        <v>1.4648841251799545</v>
      </c>
      <c r="K48" s="532"/>
      <c r="L48" s="532">
        <f ca="1">IF(OR($L$11=$AD$11,$L$10=$AD$8),"-",VLOOKUP($AE$41,$AN$5:$AR$6,3,FALSE))</f>
        <v>1.4694245271672861</v>
      </c>
      <c r="M48" s="532"/>
      <c r="N48" s="532">
        <f>IF(OR($L$11=$AD$11,$L$10=$AD$8),"-",VLOOKUP($AF$41,$AN$5:$AR$6,4,FALSE))</f>
        <v>1</v>
      </c>
      <c r="O48" s="532"/>
      <c r="P48" s="532">
        <f>IF(OR($L$11=$AD$11,$L$10=$AD$8),"-",VLOOKUP($AG$41,$AN$5:$AR$6,5,FALSE))</f>
        <v>1</v>
      </c>
      <c r="Q48" s="564"/>
      <c r="R48" s="23"/>
      <c r="S48" s="23"/>
      <c r="T48" s="23"/>
      <c r="U48" s="23"/>
      <c r="V48" s="23"/>
      <c r="W48" s="23"/>
      <c r="X48" s="23"/>
      <c r="Y48" s="23"/>
      <c r="Z48" s="23"/>
      <c r="AA48" s="23"/>
      <c r="AB48" s="121"/>
      <c r="AC48" s="27"/>
      <c r="AD48" s="43"/>
      <c r="AE48" s="43"/>
      <c r="AF48" s="43"/>
      <c r="AG48" s="69"/>
      <c r="AH48" s="183" t="s">
        <v>76</v>
      </c>
      <c r="AI48" s="90">
        <f>0.1552*(82/Z16)^4-0.8575*(82/Z16)^3+1.8133*(82/Z16)^2-1.9115*82/Z16+1.0124</f>
        <v>9.491595443199996E-2</v>
      </c>
      <c r="AJ48" s="183"/>
      <c r="AK48" s="70"/>
      <c r="AL48" s="90">
        <f>-1.342*(LOG(82/Z16))^3-0.8222*(LOG(82/Z16))^2+0.4609*LOG(82/Z16)-0.0791</f>
        <v>-3.1337738768486265E-2</v>
      </c>
      <c r="AM48" s="90"/>
      <c r="AN48" s="70"/>
      <c r="AO48" s="90">
        <f>0.1552*(82/Z16)^4-0.8575*(82/Z16)^3+1.8133*(82/Z16)^2-1.9115*(82/Z16)+1.0124</f>
        <v>9.491595443199996E-2</v>
      </c>
      <c r="AP48" s="90"/>
      <c r="AQ48" s="70"/>
      <c r="AR48" s="186">
        <f>IF(AJ51=TRUE,1,0)</f>
        <v>0</v>
      </c>
      <c r="AS48" s="89">
        <f>+AJ52</f>
        <v>0</v>
      </c>
      <c r="AT48" s="80"/>
      <c r="AW48" s="46">
        <v>2.2389999999999999</v>
      </c>
      <c r="AX48" s="49">
        <v>0.77039999999999997</v>
      </c>
      <c r="AY48" s="49">
        <v>0.77890000000000004</v>
      </c>
      <c r="AZ48" s="49">
        <v>0.78739999999999999</v>
      </c>
      <c r="BA48" s="49">
        <v>0.79579999999999995</v>
      </c>
      <c r="BB48" s="49">
        <v>0.80430000000000001</v>
      </c>
      <c r="BC48" s="49">
        <v>0.81279999999999997</v>
      </c>
      <c r="BD48" s="49">
        <v>0.82130000000000003</v>
      </c>
      <c r="BE48" s="49">
        <v>0.82979999999999998</v>
      </c>
      <c r="BF48" s="49">
        <v>0.83830000000000005</v>
      </c>
      <c r="BG48" s="49">
        <v>0.8468</v>
      </c>
      <c r="BH48" s="49">
        <v>0.85529999999999995</v>
      </c>
      <c r="BI48" s="49">
        <v>0.86380000000000001</v>
      </c>
      <c r="BJ48" s="49">
        <v>0.87229999999999996</v>
      </c>
      <c r="BK48" s="49">
        <v>0.88080000000000003</v>
      </c>
      <c r="BL48" s="49">
        <v>0.88929999999999998</v>
      </c>
      <c r="BM48" s="49">
        <v>0.89780000000000004</v>
      </c>
      <c r="BN48" s="49">
        <v>0.90629999999999999</v>
      </c>
      <c r="BO48" s="49">
        <v>0.91479999999999995</v>
      </c>
      <c r="BP48" s="49">
        <v>0.9234</v>
      </c>
      <c r="BQ48" s="49">
        <v>0.93189999999999995</v>
      </c>
      <c r="BR48" s="49">
        <v>0.94040000000000001</v>
      </c>
      <c r="BS48" s="49">
        <v>0.94899999999999995</v>
      </c>
      <c r="BT48" s="49">
        <v>0.95750000000000002</v>
      </c>
      <c r="BU48" s="49">
        <v>0.96609999999999996</v>
      </c>
      <c r="BV48" s="49">
        <v>0.97460000000000002</v>
      </c>
      <c r="BW48" s="49">
        <v>0.98319999999999996</v>
      </c>
      <c r="BX48" s="49">
        <v>0.99170000000000003</v>
      </c>
      <c r="BY48" s="49">
        <v>1.0003</v>
      </c>
      <c r="BZ48" s="49">
        <v>1.0088999999999999</v>
      </c>
      <c r="CA48" s="49">
        <v>1.0174000000000001</v>
      </c>
      <c r="CB48" s="49">
        <v>1.026</v>
      </c>
      <c r="CC48" s="49">
        <v>1.0346</v>
      </c>
      <c r="CD48" s="49">
        <v>1.0431999999999999</v>
      </c>
      <c r="CE48" s="49">
        <v>1.0518000000000001</v>
      </c>
      <c r="CF48" s="49">
        <v>1.0604</v>
      </c>
      <c r="CG48" s="49">
        <v>1.0690999999999999</v>
      </c>
      <c r="CH48" s="49">
        <v>1.0777000000000001</v>
      </c>
      <c r="CI48" s="49">
        <v>1.0864</v>
      </c>
      <c r="CJ48" s="49">
        <v>1.095</v>
      </c>
      <c r="CK48" s="49">
        <v>1.1036999999999999</v>
      </c>
      <c r="CL48" s="49">
        <v>1.1123000000000001</v>
      </c>
      <c r="CM48" s="49">
        <v>1.121</v>
      </c>
      <c r="CN48" s="49">
        <v>1.1296999999999999</v>
      </c>
      <c r="CO48" s="49">
        <v>1.1384000000000001</v>
      </c>
      <c r="CP48" s="49">
        <v>1.1471</v>
      </c>
      <c r="CQ48" s="49">
        <v>1.1558999999999999</v>
      </c>
      <c r="CR48" s="49">
        <v>1.1646000000000001</v>
      </c>
      <c r="CS48" s="49">
        <v>1.1734</v>
      </c>
      <c r="CT48" s="49">
        <v>1.1821999999999999</v>
      </c>
      <c r="CU48" s="49">
        <v>1.1910000000000001</v>
      </c>
      <c r="CV48" s="49">
        <v>1.1998</v>
      </c>
      <c r="CW48" s="49">
        <v>1.2085999999999999</v>
      </c>
      <c r="CX48" s="49">
        <v>1.2174</v>
      </c>
      <c r="CY48" s="49">
        <v>1.2262999999999999</v>
      </c>
      <c r="CZ48" s="49">
        <v>1.2352000000000001</v>
      </c>
      <c r="DA48" s="49">
        <v>1.2441</v>
      </c>
      <c r="DB48" s="49">
        <v>1.2529999999999999</v>
      </c>
      <c r="DC48" s="49">
        <v>1.262</v>
      </c>
      <c r="DD48" s="49">
        <v>1.2708999999999999</v>
      </c>
      <c r="DE48" s="49">
        <v>1.2799</v>
      </c>
      <c r="DF48" s="49">
        <v>1.2889999999999999</v>
      </c>
      <c r="DG48" s="49">
        <v>1.298</v>
      </c>
      <c r="DH48" s="49">
        <v>1.3070999999999999</v>
      </c>
      <c r="DI48" s="49">
        <v>1.3162</v>
      </c>
      <c r="DJ48" s="49">
        <v>1.3252999999999999</v>
      </c>
      <c r="DK48" s="49">
        <v>1.3345</v>
      </c>
      <c r="DL48" s="49">
        <v>1.3436999999999999</v>
      </c>
      <c r="DM48" s="49">
        <v>1.353</v>
      </c>
      <c r="DN48" s="49">
        <v>1.3622000000000001</v>
      </c>
      <c r="DO48" s="49">
        <v>1.3715999999999999</v>
      </c>
      <c r="DP48" s="49">
        <v>1.3809</v>
      </c>
      <c r="DQ48" s="49">
        <v>1.3903000000000001</v>
      </c>
      <c r="DR48" s="49">
        <v>1.3997999999999999</v>
      </c>
      <c r="DS48" s="49">
        <v>1.4093</v>
      </c>
      <c r="DT48" s="49">
        <v>1.4188000000000001</v>
      </c>
      <c r="DU48" s="49">
        <v>1.4283999999999999</v>
      </c>
      <c r="DV48" s="49">
        <v>1.4380999999999999</v>
      </c>
      <c r="DW48" s="49">
        <v>1.4478</v>
      </c>
      <c r="DX48" s="49">
        <v>1.4575</v>
      </c>
      <c r="DY48" s="49">
        <v>1.4674</v>
      </c>
      <c r="DZ48" s="49">
        <v>1.4772000000000001</v>
      </c>
      <c r="EA48" s="49">
        <v>1.4872000000000001</v>
      </c>
      <c r="EB48" s="49">
        <v>1.4972000000000001</v>
      </c>
      <c r="EC48" s="49">
        <v>1.5073000000000001</v>
      </c>
      <c r="ED48" s="49">
        <v>1.5175000000000001</v>
      </c>
      <c r="EE48" s="49">
        <v>1.5278</v>
      </c>
      <c r="EF48" s="49">
        <v>1.5381</v>
      </c>
      <c r="EG48" s="49">
        <v>1.5485</v>
      </c>
      <c r="EH48" s="49">
        <v>1.5589999999999999</v>
      </c>
      <c r="EI48" s="49">
        <v>1.5696000000000001</v>
      </c>
      <c r="EJ48" s="49">
        <v>1.5803</v>
      </c>
      <c r="EK48" s="49">
        <v>1.5911999999999999</v>
      </c>
      <c r="EL48" s="49">
        <v>1.6021000000000001</v>
      </c>
      <c r="EM48" s="49">
        <v>1.6131</v>
      </c>
      <c r="EN48" s="49">
        <v>1.6242000000000001</v>
      </c>
      <c r="EO48" s="49">
        <v>1.6355</v>
      </c>
      <c r="EP48" s="49">
        <v>1.6469</v>
      </c>
      <c r="EQ48" s="49">
        <v>1.6584000000000001</v>
      </c>
      <c r="ER48" s="49">
        <v>1.6700999999999999</v>
      </c>
      <c r="ES48" s="49">
        <v>1.6819</v>
      </c>
      <c r="ET48" s="49">
        <v>1.6939</v>
      </c>
      <c r="EU48" s="49">
        <v>1.706</v>
      </c>
      <c r="EV48" s="49">
        <v>1.7182999999999999</v>
      </c>
      <c r="EW48" s="49">
        <v>1.7306999999999999</v>
      </c>
      <c r="EX48" s="49">
        <v>1.7433000000000001</v>
      </c>
      <c r="EY48" s="49">
        <v>1.7561</v>
      </c>
      <c r="EZ48" s="49">
        <v>1.7690999999999999</v>
      </c>
      <c r="FA48" s="49">
        <v>1.7823</v>
      </c>
      <c r="FB48" s="49">
        <v>1.7957000000000001</v>
      </c>
      <c r="FC48" s="49">
        <v>1.8091999999999999</v>
      </c>
      <c r="FE48" s="50">
        <f t="shared" ca="1" si="4"/>
        <v>1.4497376261853776</v>
      </c>
      <c r="FF48" s="50">
        <f t="shared" ca="1" si="5"/>
        <v>1.4436135533482859</v>
      </c>
      <c r="FG48" s="50">
        <f t="shared" ca="1" si="6"/>
        <v>1.4373643624161072</v>
      </c>
      <c r="FH48" s="50">
        <f t="shared" ca="1" si="7"/>
        <v>1.4308542953020131</v>
      </c>
      <c r="FK48" s="50">
        <f t="shared" ca="1" si="8"/>
        <v>1.4436135533482859</v>
      </c>
      <c r="FL48" s="50"/>
      <c r="FM48" s="50"/>
      <c r="FN48" s="50"/>
    </row>
    <row r="49" spans="2:170" ht="17.100000000000001" customHeight="1">
      <c r="B49" s="119"/>
      <c r="C49" s="536" t="s">
        <v>338</v>
      </c>
      <c r="D49" s="537"/>
      <c r="E49" s="537"/>
      <c r="F49" s="537"/>
      <c r="G49" s="537"/>
      <c r="H49" s="537"/>
      <c r="I49" s="537"/>
      <c r="J49" s="532">
        <f ca="1">FORECAST(AD$36,OFFSET(FE$108,MATCH(AD$36,$AW$108:$AW$208,1)-1,0,2),OFFSET($AW$108,MATCH(AD$36,$AW$108:$AW$208,1)-1,0,2))</f>
        <v>3.5975060071744216</v>
      </c>
      <c r="K49" s="532"/>
      <c r="L49" s="532">
        <f ca="1">IF($L$11=$AD$11,"-",FORECAST(AE$36,OFFSET(FF$108,MATCH(AE$36,$AW$108:$AW$208,1)-1,0,2),OFFSET($AW$108,MATCH(AE$36,$AW$108:$AW$208,1)-1,0,2)))</f>
        <v>3.6368520695649504</v>
      </c>
      <c r="M49" s="532"/>
      <c r="N49" s="532">
        <f ca="1">IF($L$11=$AD$11,"-",FORECAST(AF$36,OFFSET(FG$108,MATCH(AF$36,$AW$108:$AW$208,1)-1,0,2),OFFSET($AW$108,MATCH(AF$36,$AW$108:$AW$208,1)-1,0,2)))</f>
        <v>3.8128756375838924</v>
      </c>
      <c r="O49" s="532"/>
      <c r="P49" s="532">
        <f ca="1">IF($L$11=$AD$11,"-",FORECAST(AG$36,OFFSET(FG$108,MATCH(AG$36,$AW$108:$AW$208,1)-1,0,2),OFFSET($AW$108,MATCH(AG$36,$AW$108:$AW$208,1)-1,0,2)))</f>
        <v>3.5614223924791997</v>
      </c>
      <c r="Q49" s="564"/>
      <c r="R49" s="23"/>
      <c r="S49" s="23"/>
      <c r="T49" s="23"/>
      <c r="U49" s="23"/>
      <c r="V49" s="23"/>
      <c r="W49" s="23"/>
      <c r="X49" s="23"/>
      <c r="Y49" s="23"/>
      <c r="Z49" s="23"/>
      <c r="AA49" s="23"/>
      <c r="AB49" s="121"/>
      <c r="AC49" s="27"/>
      <c r="AD49" s="24"/>
      <c r="AE49" s="24"/>
      <c r="AG49" s="69"/>
      <c r="AH49" s="183" t="s">
        <v>77</v>
      </c>
      <c r="AI49" s="90">
        <f>0.3542*(82/Z16)^2-1.0577*82/Z16+2.6456</f>
        <v>1.8636283199999997</v>
      </c>
      <c r="AJ49" s="183"/>
      <c r="AK49" s="70"/>
      <c r="AL49" s="90">
        <f>-1.0196*(LOG(82/Z16))^3-0.891*(LOG(82/Z16))^2+0.5343*LOG(82/Z16)-0.1156</f>
        <v>-5.2046706600278173E-2</v>
      </c>
      <c r="AM49" s="90"/>
      <c r="AN49" s="70"/>
      <c r="AO49" s="90">
        <f>-0.3056*(82/Z16)^2+1.0212*(82/Z16)-1.7637</f>
        <v>-0.91087375999999987</v>
      </c>
      <c r="AP49" s="90"/>
      <c r="AQ49" s="70"/>
      <c r="AR49" s="186">
        <f>IF(AL51=TRUE,1,0)</f>
        <v>0</v>
      </c>
      <c r="AS49" s="89" t="e">
        <f>+AL52</f>
        <v>#NUM!</v>
      </c>
      <c r="AT49" s="80"/>
      <c r="AW49" s="46">
        <v>2.399</v>
      </c>
      <c r="AX49" s="49">
        <v>0.76929999999999998</v>
      </c>
      <c r="AY49" s="49">
        <v>0.77769999999999995</v>
      </c>
      <c r="AZ49" s="49">
        <v>0.78620000000000001</v>
      </c>
      <c r="BA49" s="49">
        <v>0.79469999999999996</v>
      </c>
      <c r="BB49" s="49">
        <v>0.80310000000000004</v>
      </c>
      <c r="BC49" s="49">
        <v>0.81159999999999999</v>
      </c>
      <c r="BD49" s="49">
        <v>0.82010000000000005</v>
      </c>
      <c r="BE49" s="49">
        <v>0.82850000000000001</v>
      </c>
      <c r="BF49" s="49">
        <v>0.83699999999999997</v>
      </c>
      <c r="BG49" s="49">
        <v>0.84550000000000003</v>
      </c>
      <c r="BH49" s="49">
        <v>0.85399999999999998</v>
      </c>
      <c r="BI49" s="49">
        <v>0.86250000000000004</v>
      </c>
      <c r="BJ49" s="49">
        <v>0.871</v>
      </c>
      <c r="BK49" s="49">
        <v>0.87949999999999995</v>
      </c>
      <c r="BL49" s="49">
        <v>0.88800000000000001</v>
      </c>
      <c r="BM49" s="49">
        <v>0.89649999999999996</v>
      </c>
      <c r="BN49" s="49">
        <v>0.90500000000000003</v>
      </c>
      <c r="BO49" s="49">
        <v>0.91349999999999998</v>
      </c>
      <c r="BP49" s="49">
        <v>0.92200000000000004</v>
      </c>
      <c r="BQ49" s="49">
        <v>0.93049999999999999</v>
      </c>
      <c r="BR49" s="49">
        <v>0.93899999999999995</v>
      </c>
      <c r="BS49" s="49">
        <v>0.94750000000000001</v>
      </c>
      <c r="BT49" s="49">
        <v>0.95609999999999995</v>
      </c>
      <c r="BU49" s="49">
        <v>0.96460000000000001</v>
      </c>
      <c r="BV49" s="49">
        <v>0.97309999999999997</v>
      </c>
      <c r="BW49" s="49">
        <v>0.98170000000000002</v>
      </c>
      <c r="BX49" s="49">
        <v>0.99019999999999997</v>
      </c>
      <c r="BY49" s="49">
        <v>0.99880000000000002</v>
      </c>
      <c r="BZ49" s="49">
        <v>1.0074000000000001</v>
      </c>
      <c r="CA49" s="49">
        <v>1.0159</v>
      </c>
      <c r="CB49" s="49">
        <v>1.0245</v>
      </c>
      <c r="CC49" s="49">
        <v>1.0330999999999999</v>
      </c>
      <c r="CD49" s="49">
        <v>1.0417000000000001</v>
      </c>
      <c r="CE49" s="49">
        <v>1.0503</v>
      </c>
      <c r="CF49" s="49">
        <v>1.0589</v>
      </c>
      <c r="CG49" s="49">
        <v>1.0674999999999999</v>
      </c>
      <c r="CH49" s="49">
        <v>1.0761000000000001</v>
      </c>
      <c r="CI49" s="49">
        <v>1.0847</v>
      </c>
      <c r="CJ49" s="49">
        <v>1.0933999999999999</v>
      </c>
      <c r="CK49" s="49">
        <v>1.1020000000000001</v>
      </c>
      <c r="CL49" s="49">
        <v>1.1107</v>
      </c>
      <c r="CM49" s="49">
        <v>1.1193</v>
      </c>
      <c r="CN49" s="49">
        <v>1.1279999999999999</v>
      </c>
      <c r="CO49" s="49">
        <v>1.1367</v>
      </c>
      <c r="CP49" s="49">
        <v>1.1454</v>
      </c>
      <c r="CQ49" s="49">
        <v>1.1540999999999999</v>
      </c>
      <c r="CR49" s="49">
        <v>1.1629</v>
      </c>
      <c r="CS49" s="49">
        <v>1.1716</v>
      </c>
      <c r="CT49" s="49">
        <v>1.1803999999999999</v>
      </c>
      <c r="CU49" s="49">
        <v>1.1892</v>
      </c>
      <c r="CV49" s="49">
        <v>1.198</v>
      </c>
      <c r="CW49" s="49">
        <v>1.2068000000000001</v>
      </c>
      <c r="CX49" s="49">
        <v>1.2156</v>
      </c>
      <c r="CY49" s="49">
        <v>1.2244999999999999</v>
      </c>
      <c r="CZ49" s="49">
        <v>1.2333000000000001</v>
      </c>
      <c r="DA49" s="49">
        <v>1.2422</v>
      </c>
      <c r="DB49" s="49">
        <v>1.2511000000000001</v>
      </c>
      <c r="DC49" s="49">
        <v>1.2601</v>
      </c>
      <c r="DD49" s="49">
        <v>1.2689999999999999</v>
      </c>
      <c r="DE49" s="49">
        <v>1.278</v>
      </c>
      <c r="DF49" s="49">
        <v>1.2869999999999999</v>
      </c>
      <c r="DG49" s="49">
        <v>1.2961</v>
      </c>
      <c r="DH49" s="49">
        <v>1.3050999999999999</v>
      </c>
      <c r="DI49" s="49">
        <v>1.3142</v>
      </c>
      <c r="DJ49" s="49">
        <v>1.3232999999999999</v>
      </c>
      <c r="DK49" s="49">
        <v>1.3325</v>
      </c>
      <c r="DL49" s="49">
        <v>1.3416999999999999</v>
      </c>
      <c r="DM49" s="49">
        <v>1.3509</v>
      </c>
      <c r="DN49" s="49">
        <v>1.3602000000000001</v>
      </c>
      <c r="DO49" s="49">
        <v>1.3694999999999999</v>
      </c>
      <c r="DP49" s="49">
        <v>1.3789</v>
      </c>
      <c r="DQ49" s="49">
        <v>1.3882000000000001</v>
      </c>
      <c r="DR49" s="49">
        <v>1.3976999999999999</v>
      </c>
      <c r="DS49" s="49">
        <v>1.4072</v>
      </c>
      <c r="DT49" s="49">
        <v>1.4167000000000001</v>
      </c>
      <c r="DU49" s="49">
        <v>1.4262999999999999</v>
      </c>
      <c r="DV49" s="49">
        <v>1.4359</v>
      </c>
      <c r="DW49" s="49">
        <v>1.4456</v>
      </c>
      <c r="DX49" s="49">
        <v>1.4553</v>
      </c>
      <c r="DY49" s="49">
        <v>1.4652000000000001</v>
      </c>
      <c r="DZ49" s="49">
        <v>1.4750000000000001</v>
      </c>
      <c r="EA49" s="49">
        <v>1.4850000000000001</v>
      </c>
      <c r="EB49" s="49">
        <v>1.4950000000000001</v>
      </c>
      <c r="EC49" s="49">
        <v>1.5051000000000001</v>
      </c>
      <c r="ED49" s="49">
        <v>1.5152000000000001</v>
      </c>
      <c r="EE49" s="49">
        <v>1.5255000000000001</v>
      </c>
      <c r="EF49" s="49">
        <v>1.5358000000000001</v>
      </c>
      <c r="EG49" s="49">
        <v>1.5462</v>
      </c>
      <c r="EH49" s="49">
        <v>1.5567</v>
      </c>
      <c r="EI49" s="49">
        <v>1.5672999999999999</v>
      </c>
      <c r="EJ49" s="49">
        <v>1.5780000000000001</v>
      </c>
      <c r="EK49" s="49">
        <v>1.5888</v>
      </c>
      <c r="EL49" s="49">
        <v>1.5996999999999999</v>
      </c>
      <c r="EM49" s="49">
        <v>1.6107</v>
      </c>
      <c r="EN49" s="49">
        <v>1.6217999999999999</v>
      </c>
      <c r="EO49" s="49">
        <v>1.6331</v>
      </c>
      <c r="EP49" s="49">
        <v>1.6444000000000001</v>
      </c>
      <c r="EQ49" s="49">
        <v>1.6559999999999999</v>
      </c>
      <c r="ER49" s="49">
        <v>1.6676</v>
      </c>
      <c r="ES49" s="49">
        <v>1.6794</v>
      </c>
      <c r="ET49" s="49">
        <v>1.6913</v>
      </c>
      <c r="EU49" s="49">
        <v>1.7034</v>
      </c>
      <c r="EV49" s="49">
        <v>1.7157</v>
      </c>
      <c r="EW49" s="49">
        <v>1.7281</v>
      </c>
      <c r="EX49" s="49">
        <v>1.7406999999999999</v>
      </c>
      <c r="EY49" s="49">
        <v>1.7535000000000001</v>
      </c>
      <c r="EZ49" s="49">
        <v>1.7664</v>
      </c>
      <c r="FA49" s="49">
        <v>1.7796000000000001</v>
      </c>
      <c r="FB49" s="49">
        <v>1.7929999999999999</v>
      </c>
      <c r="FC49" s="49">
        <v>1.8065</v>
      </c>
      <c r="FE49" s="50">
        <f t="shared" ca="1" si="4"/>
        <v>1.4475376261853778</v>
      </c>
      <c r="FF49" s="50">
        <f t="shared" ca="1" si="5"/>
        <v>1.4414135533482857</v>
      </c>
      <c r="FG49" s="50">
        <f t="shared" ca="1" si="6"/>
        <v>1.4351719463087247</v>
      </c>
      <c r="FH49" s="50">
        <f t="shared" ca="1" si="7"/>
        <v>1.4287289932885905</v>
      </c>
      <c r="FK49" s="50">
        <f t="shared" ca="1" si="8"/>
        <v>1.4414135533482857</v>
      </c>
      <c r="FL49" s="50"/>
      <c r="FM49" s="50"/>
      <c r="FN49" s="50"/>
    </row>
    <row r="50" spans="2:170" ht="17.100000000000001" customHeight="1">
      <c r="B50" s="119"/>
      <c r="C50" s="536" t="s">
        <v>339</v>
      </c>
      <c r="D50" s="537"/>
      <c r="E50" s="537"/>
      <c r="F50" s="537"/>
      <c r="G50" s="537"/>
      <c r="H50" s="537"/>
      <c r="I50" s="537"/>
      <c r="J50" s="532">
        <f ca="1">VLOOKUP($AD$41,$AN$7:$AR$8,2,FALSE)</f>
        <v>1.0009999999999999</v>
      </c>
      <c r="K50" s="532"/>
      <c r="L50" s="532">
        <f ca="1">IF($L$11=$AD$11,"-",VLOOKUP($AE$41,$AN$7:$AR$8,3,FALSE))</f>
        <v>1.0009999999999999</v>
      </c>
      <c r="M50" s="532"/>
      <c r="N50" s="532">
        <f>IF($L$11=$AD$11,"-",VLOOKUP($AF$41,$AN$7:$AR$8,4,FALSE))</f>
        <v>1</v>
      </c>
      <c r="O50" s="532"/>
      <c r="P50" s="532">
        <f>IF($L$11=$AD$11,"-",VLOOKUP($AG$41,$AN$7:$AR$8,5,FALSE))</f>
        <v>1</v>
      </c>
      <c r="Q50" s="564"/>
      <c r="R50" s="23"/>
      <c r="S50" s="23"/>
      <c r="T50" s="23"/>
      <c r="U50" s="23"/>
      <c r="V50" s="23"/>
      <c r="W50" s="23"/>
      <c r="X50" s="23"/>
      <c r="Y50" s="23"/>
      <c r="Z50" s="23"/>
      <c r="AA50" s="23"/>
      <c r="AB50" s="121"/>
      <c r="AC50" s="27"/>
      <c r="AD50" s="24"/>
      <c r="AE50" s="24"/>
      <c r="AG50" s="69"/>
      <c r="AH50" s="183" t="s">
        <v>80</v>
      </c>
      <c r="AI50" s="183"/>
      <c r="AJ50" s="183"/>
      <c r="AK50" s="183"/>
      <c r="AL50" s="90">
        <f>0.803*(LOG(82/Z16))^3+0.4236*(LOG(82/Z16))^2-0.5738*LOG(82/Z16)+0.1606</f>
        <v>6.4838216843516094E-2</v>
      </c>
      <c r="AM50" s="90"/>
      <c r="AN50" s="70"/>
      <c r="AO50" s="90"/>
      <c r="AP50" s="90"/>
      <c r="AQ50" s="70"/>
      <c r="AR50" s="186">
        <f>IF(AM51=TRUE,1,0)</f>
        <v>0</v>
      </c>
      <c r="AS50" s="89">
        <f>+AM52</f>
        <v>-3.1337738768486265E-2</v>
      </c>
      <c r="AT50" s="80"/>
      <c r="AW50" s="46">
        <v>2.57</v>
      </c>
      <c r="AX50" s="49">
        <v>0.7681</v>
      </c>
      <c r="AY50" s="49">
        <v>0.77659999999999996</v>
      </c>
      <c r="AZ50" s="49">
        <v>0.78500000000000003</v>
      </c>
      <c r="BA50" s="49">
        <v>0.79349999999999998</v>
      </c>
      <c r="BB50" s="49">
        <v>0.80189999999999995</v>
      </c>
      <c r="BC50" s="49">
        <v>0.81040000000000001</v>
      </c>
      <c r="BD50" s="49">
        <v>0.81889999999999996</v>
      </c>
      <c r="BE50" s="49">
        <v>0.82730000000000004</v>
      </c>
      <c r="BF50" s="49">
        <v>0.83579999999999999</v>
      </c>
      <c r="BG50" s="49">
        <v>0.84430000000000005</v>
      </c>
      <c r="BH50" s="49">
        <v>0.85270000000000001</v>
      </c>
      <c r="BI50" s="49">
        <v>0.86119999999999997</v>
      </c>
      <c r="BJ50" s="49">
        <v>0.86970000000000003</v>
      </c>
      <c r="BK50" s="49">
        <v>0.87819999999999998</v>
      </c>
      <c r="BL50" s="49">
        <v>0.88670000000000004</v>
      </c>
      <c r="BM50" s="49">
        <v>0.89510000000000001</v>
      </c>
      <c r="BN50" s="49">
        <v>0.90359999999999996</v>
      </c>
      <c r="BO50" s="49">
        <v>0.91210000000000002</v>
      </c>
      <c r="BP50" s="49">
        <v>0.92059999999999997</v>
      </c>
      <c r="BQ50" s="49">
        <v>0.92910000000000004</v>
      </c>
      <c r="BR50" s="49">
        <v>0.93759999999999999</v>
      </c>
      <c r="BS50" s="49">
        <v>0.94610000000000005</v>
      </c>
      <c r="BT50" s="49">
        <v>0.95469999999999999</v>
      </c>
      <c r="BU50" s="49">
        <v>0.96319999999999995</v>
      </c>
      <c r="BV50" s="49">
        <v>0.97170000000000001</v>
      </c>
      <c r="BW50" s="49">
        <v>0.98019999999999996</v>
      </c>
      <c r="BX50" s="49">
        <v>0.98880000000000001</v>
      </c>
      <c r="BY50" s="49">
        <v>0.99729999999999996</v>
      </c>
      <c r="BZ50" s="49">
        <v>1.0059</v>
      </c>
      <c r="CA50" s="49">
        <v>1.0144</v>
      </c>
      <c r="CB50" s="49">
        <v>1.0229999999999999</v>
      </c>
      <c r="CC50" s="49">
        <v>1.0315000000000001</v>
      </c>
      <c r="CD50" s="49">
        <v>1.0401</v>
      </c>
      <c r="CE50" s="49">
        <v>1.0487</v>
      </c>
      <c r="CF50" s="49">
        <v>1.0572999999999999</v>
      </c>
      <c r="CG50" s="49">
        <v>1.0659000000000001</v>
      </c>
      <c r="CH50" s="49">
        <v>1.0745</v>
      </c>
      <c r="CI50" s="49">
        <v>1.0831</v>
      </c>
      <c r="CJ50" s="49">
        <v>1.0916999999999999</v>
      </c>
      <c r="CK50" s="49">
        <v>1.1004</v>
      </c>
      <c r="CL50" s="49">
        <v>1.109</v>
      </c>
      <c r="CM50" s="49">
        <v>1.1176999999999999</v>
      </c>
      <c r="CN50" s="49">
        <v>1.1264000000000001</v>
      </c>
      <c r="CO50" s="49">
        <v>1.135</v>
      </c>
      <c r="CP50" s="49">
        <v>1.1436999999999999</v>
      </c>
      <c r="CQ50" s="49">
        <v>1.1524000000000001</v>
      </c>
      <c r="CR50" s="49">
        <v>1.1612</v>
      </c>
      <c r="CS50" s="49">
        <v>1.1698999999999999</v>
      </c>
      <c r="CT50" s="49">
        <v>1.1786000000000001</v>
      </c>
      <c r="CU50" s="49">
        <v>1.1874</v>
      </c>
      <c r="CV50" s="49">
        <v>1.1961999999999999</v>
      </c>
      <c r="CW50" s="49">
        <v>1.2050000000000001</v>
      </c>
      <c r="CX50" s="49">
        <v>1.2138</v>
      </c>
      <c r="CY50" s="49">
        <v>1.2225999999999999</v>
      </c>
      <c r="CZ50" s="49">
        <v>1.2315</v>
      </c>
      <c r="DA50" s="49">
        <v>1.2403999999999999</v>
      </c>
      <c r="DB50" s="49">
        <v>1.2493000000000001</v>
      </c>
      <c r="DC50" s="49">
        <v>1.2582</v>
      </c>
      <c r="DD50" s="49">
        <v>1.2672000000000001</v>
      </c>
      <c r="DE50" s="49">
        <v>1.2761</v>
      </c>
      <c r="DF50" s="49">
        <v>1.2850999999999999</v>
      </c>
      <c r="DG50" s="49">
        <v>1.2941</v>
      </c>
      <c r="DH50" s="49">
        <v>1.3031999999999999</v>
      </c>
      <c r="DI50" s="49">
        <v>1.3123</v>
      </c>
      <c r="DJ50" s="49">
        <v>1.3213999999999999</v>
      </c>
      <c r="DK50" s="49">
        <v>1.3305</v>
      </c>
      <c r="DL50" s="49">
        <v>1.3396999999999999</v>
      </c>
      <c r="DM50" s="49">
        <v>1.3489</v>
      </c>
      <c r="DN50" s="49">
        <v>1.3582000000000001</v>
      </c>
      <c r="DO50" s="49">
        <v>1.3674999999999999</v>
      </c>
      <c r="DP50" s="49">
        <v>1.3768</v>
      </c>
      <c r="DQ50" s="49">
        <v>1.3862000000000001</v>
      </c>
      <c r="DR50" s="49">
        <v>1.3956</v>
      </c>
      <c r="DS50" s="49">
        <v>1.4051</v>
      </c>
      <c r="DT50" s="49">
        <v>1.4146000000000001</v>
      </c>
      <c r="DU50" s="49">
        <v>1.4241999999999999</v>
      </c>
      <c r="DV50" s="49">
        <v>1.4338</v>
      </c>
      <c r="DW50" s="49">
        <v>1.4435</v>
      </c>
      <c r="DX50" s="49">
        <v>1.4532</v>
      </c>
      <c r="DY50" s="49">
        <v>1.4630000000000001</v>
      </c>
      <c r="DZ50" s="49">
        <v>1.4728000000000001</v>
      </c>
      <c r="EA50" s="49">
        <v>1.4827999999999999</v>
      </c>
      <c r="EB50" s="49">
        <v>1.4927999999999999</v>
      </c>
      <c r="EC50" s="49">
        <v>1.5027999999999999</v>
      </c>
      <c r="ED50" s="49">
        <v>1.5129999999999999</v>
      </c>
      <c r="EE50" s="49">
        <v>1.5232000000000001</v>
      </c>
      <c r="EF50" s="49">
        <v>1.5335000000000001</v>
      </c>
      <c r="EG50" s="49">
        <v>1.5439000000000001</v>
      </c>
      <c r="EH50" s="49">
        <v>1.5544</v>
      </c>
      <c r="EI50" s="49">
        <v>1.5649999999999999</v>
      </c>
      <c r="EJ50" s="49">
        <v>1.5755999999999999</v>
      </c>
      <c r="EK50" s="49">
        <v>1.5864</v>
      </c>
      <c r="EL50" s="49">
        <v>1.5972999999999999</v>
      </c>
      <c r="EM50" s="49">
        <v>1.6083000000000001</v>
      </c>
      <c r="EN50" s="49">
        <v>1.6194</v>
      </c>
      <c r="EO50" s="49">
        <v>1.6307</v>
      </c>
      <c r="EP50" s="49">
        <v>1.6419999999999999</v>
      </c>
      <c r="EQ50" s="49">
        <v>1.6535</v>
      </c>
      <c r="ER50" s="49">
        <v>1.6651</v>
      </c>
      <c r="ES50" s="49">
        <v>1.6769000000000001</v>
      </c>
      <c r="ET50" s="49">
        <v>1.6888000000000001</v>
      </c>
      <c r="EU50" s="49">
        <v>1.7009000000000001</v>
      </c>
      <c r="EV50" s="49">
        <v>1.7131000000000001</v>
      </c>
      <c r="EW50" s="49">
        <v>1.7256</v>
      </c>
      <c r="EX50" s="49">
        <v>1.7381</v>
      </c>
      <c r="EY50" s="49">
        <v>1.7508999999999999</v>
      </c>
      <c r="EZ50" s="49">
        <v>1.7638</v>
      </c>
      <c r="FA50" s="49">
        <v>1.7769999999999999</v>
      </c>
      <c r="FB50" s="49">
        <v>1.7903</v>
      </c>
      <c r="FC50" s="49">
        <v>1.8039000000000001</v>
      </c>
      <c r="FE50" s="50">
        <f t="shared" ca="1" si="4"/>
        <v>1.4454376261853779</v>
      </c>
      <c r="FF50" s="50">
        <f t="shared" ca="1" si="5"/>
        <v>1.4393135533482857</v>
      </c>
      <c r="FG50" s="50">
        <f t="shared" ca="1" si="6"/>
        <v>1.4330719463087247</v>
      </c>
      <c r="FH50" s="50">
        <f t="shared" ca="1" si="7"/>
        <v>1.4266289932885905</v>
      </c>
      <c r="FK50" s="50">
        <f t="shared" ca="1" si="8"/>
        <v>1.4393135533482857</v>
      </c>
      <c r="FL50" s="50"/>
      <c r="FM50" s="50"/>
      <c r="FN50" s="50"/>
    </row>
    <row r="51" spans="2:170" ht="17.100000000000001" customHeight="1">
      <c r="B51" s="119"/>
      <c r="C51" s="659" t="s">
        <v>632</v>
      </c>
      <c r="D51" s="660"/>
      <c r="E51" s="660"/>
      <c r="F51" s="660"/>
      <c r="G51" s="660"/>
      <c r="H51" s="660"/>
      <c r="I51" s="660"/>
      <c r="J51" s="538">
        <f ca="1">IF($L$10=$AD$8,J49*J50*0.613*J27^2/1000,IF(J39&lt;=50,J49*J50*((J44+0.6)/1.6)^2*0.613*J27^2/1000,(1+3*J47*J48/J44)^2*0.613*(J45*J46*J44*J27)^2/1000))</f>
        <v>0.87724236138359413</v>
      </c>
      <c r="K51" s="538"/>
      <c r="L51" s="538">
        <f ca="1">IF($L$11=$AD$11,"-",IF($L$10=$AD$8,L49*L50*0.613*L27^2/1000,IF(L39&lt;=50,L49*L50*((L44+0.6)/1.6)^2*0.613*L27^2/1000,(1+3*L47*L48/L44)^2*0.613*(L45*L46*L44*L27)^2/1000)))</f>
        <v>0.79375999889186033</v>
      </c>
      <c r="M51" s="538"/>
      <c r="N51" s="538">
        <f ca="1">IF($L$11=$AD$11,"-",IF($L$10=$AD$8,N49*N50*0.613*N27^2/1000,IF(N39&lt;=50,N49*N50*((N44+0.6)/1.6)^2*0.613*N27^2/1000,(1+3*N47*N48/N44)^2*0.613*(N45*N46*N44*N27)^2/1000)))</f>
        <v>1.3090515643719545</v>
      </c>
      <c r="O51" s="538"/>
      <c r="P51" s="538">
        <f ca="1">IF($L$11=$AD$11,"-",IF($L$10=$AD$8,P49*P50*0.613*P27^2/1000,IF(P39&lt;=50,P49*P50*((P44+0.6)/1.6)^2*0.613*P27^2/1000,(1+3*P47*P48/P44)^2*0.613*(P45*P46*P44*P27)^2/1000)))</f>
        <v>1.2477557063630123</v>
      </c>
      <c r="Q51" s="658"/>
      <c r="R51" s="23"/>
      <c r="S51" s="23"/>
      <c r="T51" s="23"/>
      <c r="U51" s="23"/>
      <c r="V51" s="23"/>
      <c r="W51" s="23"/>
      <c r="X51" s="23"/>
      <c r="Y51" s="23"/>
      <c r="Z51" s="23"/>
      <c r="AA51" s="23"/>
      <c r="AB51" s="121"/>
      <c r="AC51" s="27"/>
      <c r="AD51" s="24"/>
      <c r="AE51" s="24"/>
      <c r="AG51" s="69"/>
      <c r="AH51" s="79" t="s">
        <v>83</v>
      </c>
      <c r="AI51" s="70" t="b">
        <f>AND(AI44=TRUE,AI46=TRUE)</f>
        <v>1</v>
      </c>
      <c r="AJ51" s="70" t="b">
        <f>AND(AI44=TRUE,AJ46=TRUE)</f>
        <v>0</v>
      </c>
      <c r="AK51" s="70"/>
      <c r="AL51" s="70" t="b">
        <f>AND(AL44=TRUE,AL46=TRUE)</f>
        <v>0</v>
      </c>
      <c r="AM51" s="70" t="b">
        <f>AND(AL44=TRUE,AM46=TRUE)</f>
        <v>0</v>
      </c>
      <c r="AN51" s="70"/>
      <c r="AO51" s="70" t="b">
        <f>AND(AO44=TRUE,AO46=TRUE)</f>
        <v>0</v>
      </c>
      <c r="AP51" s="70" t="b">
        <f>AND(AO44=TRUE,AP46=TRUE)</f>
        <v>0</v>
      </c>
      <c r="AQ51" s="70"/>
      <c r="AR51" s="186">
        <f>IF(AO51=TRUE,1,0)</f>
        <v>0</v>
      </c>
      <c r="AS51" s="89">
        <f>+AO52</f>
        <v>0.10396758686890258</v>
      </c>
      <c r="AT51" s="80"/>
      <c r="AW51" s="46">
        <v>2.754</v>
      </c>
      <c r="AX51" s="49">
        <v>0.76700000000000002</v>
      </c>
      <c r="AY51" s="49">
        <v>0.77539999999999998</v>
      </c>
      <c r="AZ51" s="49">
        <v>0.78390000000000004</v>
      </c>
      <c r="BA51" s="49">
        <v>0.7923</v>
      </c>
      <c r="BB51" s="49">
        <v>0.80079999999999996</v>
      </c>
      <c r="BC51" s="49">
        <v>0.80920000000000003</v>
      </c>
      <c r="BD51" s="49">
        <v>0.81769999999999998</v>
      </c>
      <c r="BE51" s="49">
        <v>0.82609999999999995</v>
      </c>
      <c r="BF51" s="49">
        <v>0.83460000000000001</v>
      </c>
      <c r="BG51" s="49">
        <v>0.84299999999999997</v>
      </c>
      <c r="BH51" s="49">
        <v>0.85150000000000003</v>
      </c>
      <c r="BI51" s="49">
        <v>0.8599</v>
      </c>
      <c r="BJ51" s="49">
        <v>0.86839999999999995</v>
      </c>
      <c r="BK51" s="49">
        <v>0.87690000000000001</v>
      </c>
      <c r="BL51" s="49">
        <v>0.88539999999999996</v>
      </c>
      <c r="BM51" s="49">
        <v>0.89380000000000004</v>
      </c>
      <c r="BN51" s="49">
        <v>0.90229999999999999</v>
      </c>
      <c r="BO51" s="49">
        <v>0.91080000000000005</v>
      </c>
      <c r="BP51" s="49">
        <v>0.91930000000000001</v>
      </c>
      <c r="BQ51" s="49">
        <v>0.92779999999999996</v>
      </c>
      <c r="BR51" s="49">
        <v>0.93630000000000002</v>
      </c>
      <c r="BS51" s="49">
        <v>0.94479999999999997</v>
      </c>
      <c r="BT51" s="49">
        <v>0.95330000000000004</v>
      </c>
      <c r="BU51" s="49">
        <v>0.96179999999999999</v>
      </c>
      <c r="BV51" s="49">
        <v>0.97030000000000005</v>
      </c>
      <c r="BW51" s="49">
        <v>0.9788</v>
      </c>
      <c r="BX51" s="49">
        <v>0.98729999999999996</v>
      </c>
      <c r="BY51" s="49">
        <v>0.99590000000000001</v>
      </c>
      <c r="BZ51" s="49">
        <v>1.0044</v>
      </c>
      <c r="CA51" s="49">
        <v>1.0128999999999999</v>
      </c>
      <c r="CB51" s="49">
        <v>1.0215000000000001</v>
      </c>
      <c r="CC51" s="49">
        <v>1.03</v>
      </c>
      <c r="CD51" s="49">
        <v>1.0386</v>
      </c>
      <c r="CE51" s="49">
        <v>1.0471999999999999</v>
      </c>
      <c r="CF51" s="49">
        <v>1.0557000000000001</v>
      </c>
      <c r="CG51" s="49">
        <v>1.0643</v>
      </c>
      <c r="CH51" s="49">
        <v>1.0729</v>
      </c>
      <c r="CI51" s="49">
        <v>1.0814999999999999</v>
      </c>
      <c r="CJ51" s="49">
        <v>1.0901000000000001</v>
      </c>
      <c r="CK51" s="49">
        <v>1.0988</v>
      </c>
      <c r="CL51" s="49">
        <v>1.1073999999999999</v>
      </c>
      <c r="CM51" s="49">
        <v>1.1161000000000001</v>
      </c>
      <c r="CN51" s="49">
        <v>1.1247</v>
      </c>
      <c r="CO51" s="49">
        <v>1.1334</v>
      </c>
      <c r="CP51" s="49">
        <v>1.1420999999999999</v>
      </c>
      <c r="CQ51" s="49">
        <v>1.1508</v>
      </c>
      <c r="CR51" s="49">
        <v>1.1595</v>
      </c>
      <c r="CS51" s="49">
        <v>1.1681999999999999</v>
      </c>
      <c r="CT51" s="49">
        <v>1.1769000000000001</v>
      </c>
      <c r="CU51" s="49">
        <v>1.1857</v>
      </c>
      <c r="CV51" s="49">
        <v>1.1943999999999999</v>
      </c>
      <c r="CW51" s="49">
        <v>1.2032</v>
      </c>
      <c r="CX51" s="49">
        <v>1.212</v>
      </c>
      <c r="CY51" s="49">
        <v>1.2209000000000001</v>
      </c>
      <c r="CZ51" s="49">
        <v>1.2297</v>
      </c>
      <c r="DA51" s="49">
        <v>1.2385999999999999</v>
      </c>
      <c r="DB51" s="49">
        <v>1.2475000000000001</v>
      </c>
      <c r="DC51" s="49">
        <v>1.2564</v>
      </c>
      <c r="DD51" s="49">
        <v>1.2653000000000001</v>
      </c>
      <c r="DE51" s="49">
        <v>1.2743</v>
      </c>
      <c r="DF51" s="49">
        <v>1.2831999999999999</v>
      </c>
      <c r="DG51" s="49">
        <v>1.2922</v>
      </c>
      <c r="DH51" s="49">
        <v>1.3012999999999999</v>
      </c>
      <c r="DI51" s="49">
        <v>1.3104</v>
      </c>
      <c r="DJ51" s="49">
        <v>1.3194999999999999</v>
      </c>
      <c r="DK51" s="49">
        <v>1.3286</v>
      </c>
      <c r="DL51" s="49">
        <v>1.3378000000000001</v>
      </c>
      <c r="DM51" s="49">
        <v>1.347</v>
      </c>
      <c r="DN51" s="49">
        <v>1.3562000000000001</v>
      </c>
      <c r="DO51" s="49">
        <v>1.3654999999999999</v>
      </c>
      <c r="DP51" s="49">
        <v>1.3748</v>
      </c>
      <c r="DQ51" s="49">
        <v>1.3842000000000001</v>
      </c>
      <c r="DR51" s="49">
        <v>1.3935999999999999</v>
      </c>
      <c r="DS51" s="49">
        <v>1.403</v>
      </c>
      <c r="DT51" s="49">
        <v>1.4125000000000001</v>
      </c>
      <c r="DU51" s="49">
        <v>1.4220999999999999</v>
      </c>
      <c r="DV51" s="49">
        <v>1.4317</v>
      </c>
      <c r="DW51" s="49">
        <v>1.4413</v>
      </c>
      <c r="DX51" s="49">
        <v>1.4511000000000001</v>
      </c>
      <c r="DY51" s="49">
        <v>1.4608000000000001</v>
      </c>
      <c r="DZ51" s="49">
        <v>1.4706999999999999</v>
      </c>
      <c r="EA51" s="49">
        <v>1.4805999999999999</v>
      </c>
      <c r="EB51" s="49">
        <v>1.4905999999999999</v>
      </c>
      <c r="EC51" s="49">
        <v>1.5005999999999999</v>
      </c>
      <c r="ED51" s="49">
        <v>1.5107999999999999</v>
      </c>
      <c r="EE51" s="49">
        <v>1.5209999999999999</v>
      </c>
      <c r="EF51" s="49">
        <v>1.5313000000000001</v>
      </c>
      <c r="EG51" s="49">
        <v>1.5416000000000001</v>
      </c>
      <c r="EH51" s="49">
        <v>1.5521</v>
      </c>
      <c r="EI51" s="49">
        <v>1.5627</v>
      </c>
      <c r="EJ51" s="49">
        <v>1.5732999999999999</v>
      </c>
      <c r="EK51" s="49">
        <v>1.5841000000000001</v>
      </c>
      <c r="EL51" s="49">
        <v>1.595</v>
      </c>
      <c r="EM51" s="49">
        <v>1.6060000000000001</v>
      </c>
      <c r="EN51" s="49">
        <v>1.617</v>
      </c>
      <c r="EO51" s="49">
        <v>1.6283000000000001</v>
      </c>
      <c r="EP51" s="49">
        <v>1.6395999999999999</v>
      </c>
      <c r="EQ51" s="49">
        <v>1.6511</v>
      </c>
      <c r="ER51" s="49">
        <v>1.6627000000000001</v>
      </c>
      <c r="ES51" s="49">
        <v>1.6745000000000001</v>
      </c>
      <c r="ET51" s="49">
        <v>1.6863999999999999</v>
      </c>
      <c r="EU51" s="49">
        <v>1.6983999999999999</v>
      </c>
      <c r="EV51" s="49">
        <v>1.7105999999999999</v>
      </c>
      <c r="EW51" s="49">
        <v>1.7230000000000001</v>
      </c>
      <c r="EX51" s="49">
        <v>1.7356</v>
      </c>
      <c r="EY51" s="49">
        <v>1.7483</v>
      </c>
      <c r="EZ51" s="49">
        <v>1.7613000000000001</v>
      </c>
      <c r="FA51" s="49">
        <v>1.7744</v>
      </c>
      <c r="FB51" s="49">
        <v>1.7877000000000001</v>
      </c>
      <c r="FC51" s="49">
        <v>1.8011999999999999</v>
      </c>
      <c r="FE51" s="50">
        <f t="shared" ca="1" si="4"/>
        <v>1.4432576017130623</v>
      </c>
      <c r="FF51" s="50">
        <f t="shared" ca="1" si="5"/>
        <v>1.4371567125921181</v>
      </c>
      <c r="FG51" s="50">
        <f t="shared" ca="1" si="6"/>
        <v>1.4309719463087247</v>
      </c>
      <c r="FH51" s="50">
        <f t="shared" ca="1" si="7"/>
        <v>1.4245289932885905</v>
      </c>
      <c r="FK51" s="50">
        <f t="shared" ca="1" si="8"/>
        <v>1.4371567125921181</v>
      </c>
      <c r="FL51" s="50"/>
      <c r="FM51" s="50"/>
      <c r="FN51" s="50"/>
    </row>
    <row r="52" spans="2:170" ht="17.100000000000001" customHeight="1">
      <c r="B52" s="119"/>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121"/>
      <c r="AC52" s="27"/>
      <c r="AD52" s="24"/>
      <c r="AE52" s="24"/>
      <c r="AG52" s="69"/>
      <c r="AH52" s="91" t="s">
        <v>64</v>
      </c>
      <c r="AI52" s="92">
        <f>+AI48*EXP(AI49*$Z$11/$Z$12)</f>
        <v>7.8777622479030196E-2</v>
      </c>
      <c r="AJ52" s="92">
        <v>0</v>
      </c>
      <c r="AK52" s="93"/>
      <c r="AL52" s="92" t="e">
        <f>+AL48*(LOG($Z$11/$Z$16))^2+AL49*(LOG($Z$11/$Z$16))+AL50</f>
        <v>#NUM!</v>
      </c>
      <c r="AM52" s="92">
        <f>IF(AM47=TRUE,0,AL48)</f>
        <v>-3.1337738768486265E-2</v>
      </c>
      <c r="AN52" s="70"/>
      <c r="AO52" s="89">
        <f>+AO48*EXP(AO49*$Z$11/$Z$13)</f>
        <v>0.10396758686890258</v>
      </c>
      <c r="AP52" s="89">
        <v>0</v>
      </c>
      <c r="AQ52" s="70"/>
      <c r="AR52" s="186">
        <f>IF(AP51=TRUE,1,0)</f>
        <v>0</v>
      </c>
      <c r="AS52" s="89">
        <f>+AP52</f>
        <v>0</v>
      </c>
      <c r="AT52" s="80"/>
      <c r="AW52" s="46">
        <v>2.9510000000000001</v>
      </c>
      <c r="AX52" s="49">
        <v>0.76590000000000003</v>
      </c>
      <c r="AY52" s="49">
        <v>0.77429999999999999</v>
      </c>
      <c r="AZ52" s="49">
        <v>0.78269999999999995</v>
      </c>
      <c r="BA52" s="49">
        <v>0.79120000000000001</v>
      </c>
      <c r="BB52" s="49">
        <v>0.79959999999999998</v>
      </c>
      <c r="BC52" s="49">
        <v>0.80800000000000005</v>
      </c>
      <c r="BD52" s="49">
        <v>0.8165</v>
      </c>
      <c r="BE52" s="49">
        <v>0.82489999999999997</v>
      </c>
      <c r="BF52" s="49">
        <v>0.83340000000000003</v>
      </c>
      <c r="BG52" s="49">
        <v>0.84179999999999999</v>
      </c>
      <c r="BH52" s="49">
        <v>0.85029999999999994</v>
      </c>
      <c r="BI52" s="49">
        <v>0.85870000000000002</v>
      </c>
      <c r="BJ52" s="49">
        <v>0.86719999999999997</v>
      </c>
      <c r="BK52" s="49">
        <v>0.87560000000000004</v>
      </c>
      <c r="BL52" s="49">
        <v>0.8841</v>
      </c>
      <c r="BM52" s="49">
        <v>0.89249999999999996</v>
      </c>
      <c r="BN52" s="49">
        <v>0.90100000000000002</v>
      </c>
      <c r="BO52" s="49">
        <v>0.90949999999999998</v>
      </c>
      <c r="BP52" s="49">
        <v>0.91790000000000005</v>
      </c>
      <c r="BQ52" s="49">
        <v>0.9264</v>
      </c>
      <c r="BR52" s="49">
        <v>0.93489999999999995</v>
      </c>
      <c r="BS52" s="49">
        <v>0.94340000000000002</v>
      </c>
      <c r="BT52" s="49">
        <v>0.95189999999999997</v>
      </c>
      <c r="BU52" s="49">
        <v>0.96040000000000003</v>
      </c>
      <c r="BV52" s="49">
        <v>0.96889999999999998</v>
      </c>
      <c r="BW52" s="49">
        <v>0.97740000000000005</v>
      </c>
      <c r="BX52" s="49">
        <v>0.9859</v>
      </c>
      <c r="BY52" s="49">
        <v>0.99439999999999995</v>
      </c>
      <c r="BZ52" s="49">
        <v>1.0028999999999999</v>
      </c>
      <c r="CA52" s="49">
        <v>1.0115000000000001</v>
      </c>
      <c r="CB52" s="49">
        <v>1.02</v>
      </c>
      <c r="CC52" s="49">
        <v>1.0285</v>
      </c>
      <c r="CD52" s="49">
        <v>1.0370999999999999</v>
      </c>
      <c r="CE52" s="49">
        <v>1.0457000000000001</v>
      </c>
      <c r="CF52" s="49">
        <v>1.0542</v>
      </c>
      <c r="CG52" s="49">
        <v>1.0628</v>
      </c>
      <c r="CH52" s="49">
        <v>1.0713999999999999</v>
      </c>
      <c r="CI52" s="49">
        <v>1.08</v>
      </c>
      <c r="CJ52" s="49">
        <v>1.0886</v>
      </c>
      <c r="CK52" s="49">
        <v>1.0972</v>
      </c>
      <c r="CL52" s="49">
        <v>1.1057999999999999</v>
      </c>
      <c r="CM52" s="49">
        <v>1.1144000000000001</v>
      </c>
      <c r="CN52" s="49">
        <v>1.1231</v>
      </c>
      <c r="CO52" s="49">
        <v>1.1316999999999999</v>
      </c>
      <c r="CP52" s="49">
        <v>1.1404000000000001</v>
      </c>
      <c r="CQ52" s="49">
        <v>1.1491</v>
      </c>
      <c r="CR52" s="49">
        <v>1.1577999999999999</v>
      </c>
      <c r="CS52" s="49">
        <v>1.1665000000000001</v>
      </c>
      <c r="CT52" s="49">
        <v>1.1752</v>
      </c>
      <c r="CU52" s="49">
        <v>1.1839999999999999</v>
      </c>
      <c r="CV52" s="49">
        <v>1.1927000000000001</v>
      </c>
      <c r="CW52" s="49">
        <v>1.2015</v>
      </c>
      <c r="CX52" s="49">
        <v>1.2102999999999999</v>
      </c>
      <c r="CY52" s="49">
        <v>1.2191000000000001</v>
      </c>
      <c r="CZ52" s="49">
        <v>1.2279</v>
      </c>
      <c r="DA52" s="49">
        <v>1.2367999999999999</v>
      </c>
      <c r="DB52" s="49">
        <v>1.2457</v>
      </c>
      <c r="DC52" s="49">
        <v>1.2544999999999999</v>
      </c>
      <c r="DD52" s="49">
        <v>1.2635000000000001</v>
      </c>
      <c r="DE52" s="49">
        <v>1.2724</v>
      </c>
      <c r="DF52" s="49">
        <v>1.2814000000000001</v>
      </c>
      <c r="DG52" s="49">
        <v>1.2904</v>
      </c>
      <c r="DH52" s="49">
        <v>1.2994000000000001</v>
      </c>
      <c r="DI52" s="49">
        <v>1.3085</v>
      </c>
      <c r="DJ52" s="49">
        <v>1.3174999999999999</v>
      </c>
      <c r="DK52" s="49">
        <v>1.3267</v>
      </c>
      <c r="DL52" s="49">
        <v>1.3358000000000001</v>
      </c>
      <c r="DM52" s="49">
        <v>1.345</v>
      </c>
      <c r="DN52" s="49">
        <v>1.3542000000000001</v>
      </c>
      <c r="DO52" s="49">
        <v>1.3634999999999999</v>
      </c>
      <c r="DP52" s="49">
        <v>1.3728</v>
      </c>
      <c r="DQ52" s="49">
        <v>1.3822000000000001</v>
      </c>
      <c r="DR52" s="49">
        <v>1.3915999999999999</v>
      </c>
      <c r="DS52" s="49">
        <v>1.401</v>
      </c>
      <c r="DT52" s="49">
        <v>1.4105000000000001</v>
      </c>
      <c r="DU52" s="49">
        <v>1.42</v>
      </c>
      <c r="DV52" s="49">
        <v>1.4296</v>
      </c>
      <c r="DW52" s="49">
        <v>1.4393</v>
      </c>
      <c r="DX52" s="49">
        <v>1.4490000000000001</v>
      </c>
      <c r="DY52" s="49">
        <v>1.4587000000000001</v>
      </c>
      <c r="DZ52" s="49">
        <v>1.4685999999999999</v>
      </c>
      <c r="EA52" s="49">
        <v>1.4784999999999999</v>
      </c>
      <c r="EB52" s="49">
        <v>1.4883999999999999</v>
      </c>
      <c r="EC52" s="49">
        <v>1.4984999999999999</v>
      </c>
      <c r="ED52" s="49">
        <v>1.5085999999999999</v>
      </c>
      <c r="EE52" s="49">
        <v>1.5187999999999999</v>
      </c>
      <c r="EF52" s="49">
        <v>1.5290999999999999</v>
      </c>
      <c r="EG52" s="49">
        <v>1.5394000000000001</v>
      </c>
      <c r="EH52" s="49">
        <v>1.5499000000000001</v>
      </c>
      <c r="EI52" s="49">
        <v>1.5604</v>
      </c>
      <c r="EJ52" s="49">
        <v>1.5710999999999999</v>
      </c>
      <c r="EK52" s="49">
        <v>1.5818000000000001</v>
      </c>
      <c r="EL52" s="49">
        <v>1.5927</v>
      </c>
      <c r="EM52" s="49">
        <v>1.6035999999999999</v>
      </c>
      <c r="EN52" s="49">
        <v>1.6147</v>
      </c>
      <c r="EO52" s="49">
        <v>1.6258999999999999</v>
      </c>
      <c r="EP52" s="49">
        <v>1.6372</v>
      </c>
      <c r="EQ52" s="49">
        <v>1.6487000000000001</v>
      </c>
      <c r="ER52" s="49">
        <v>1.6603000000000001</v>
      </c>
      <c r="ES52" s="49">
        <v>1.6719999999999999</v>
      </c>
      <c r="ET52" s="49">
        <v>1.6839</v>
      </c>
      <c r="EU52" s="49">
        <v>1.696</v>
      </c>
      <c r="EV52" s="49">
        <v>1.7081999999999999</v>
      </c>
      <c r="EW52" s="49">
        <v>1.7204999999999999</v>
      </c>
      <c r="EX52" s="49">
        <v>1.7331000000000001</v>
      </c>
      <c r="EY52" s="49">
        <v>1.7458</v>
      </c>
      <c r="EZ52" s="49">
        <v>1.7586999999999999</v>
      </c>
      <c r="FA52" s="49">
        <v>1.7718</v>
      </c>
      <c r="FB52" s="49">
        <v>1.7850999999999999</v>
      </c>
      <c r="FC52" s="49">
        <v>1.7986</v>
      </c>
      <c r="FE52" s="50">
        <f t="shared" ca="1" si="4"/>
        <v>1.4412376261853779</v>
      </c>
      <c r="FF52" s="50">
        <f t="shared" ca="1" si="5"/>
        <v>1.4351135533482857</v>
      </c>
      <c r="FG52" s="50">
        <f t="shared" ca="1" si="6"/>
        <v>1.4288719463087247</v>
      </c>
      <c r="FH52" s="50">
        <f t="shared" ca="1" si="7"/>
        <v>1.4224289932885905</v>
      </c>
      <c r="FK52" s="50">
        <f t="shared" ca="1" si="8"/>
        <v>1.4351135533482857</v>
      </c>
      <c r="FL52" s="50"/>
      <c r="FM52" s="50"/>
      <c r="FN52" s="50"/>
    </row>
    <row r="53" spans="2:170" ht="17.100000000000001" customHeight="1" thickBot="1">
      <c r="B53" s="119"/>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121"/>
      <c r="AC53" s="27"/>
      <c r="AD53" s="24"/>
      <c r="AE53" s="24"/>
      <c r="AG53" s="69"/>
      <c r="AH53" s="70"/>
      <c r="AI53" s="183">
        <v>1</v>
      </c>
      <c r="AJ53" s="183">
        <v>2</v>
      </c>
      <c r="AK53" s="183"/>
      <c r="AL53" s="183">
        <v>3</v>
      </c>
      <c r="AM53" s="183">
        <v>4</v>
      </c>
      <c r="AN53" s="183"/>
      <c r="AO53" s="183">
        <v>5</v>
      </c>
      <c r="AP53" s="183">
        <v>6</v>
      </c>
      <c r="AQ53" s="70"/>
      <c r="AR53" s="70"/>
      <c r="AS53" s="70"/>
      <c r="AT53" s="80"/>
      <c r="AW53" s="46">
        <v>3.1619999999999999</v>
      </c>
      <c r="AX53" s="49">
        <v>0.76480000000000004</v>
      </c>
      <c r="AY53" s="49">
        <v>0.7732</v>
      </c>
      <c r="AZ53" s="49">
        <v>0.78159999999999996</v>
      </c>
      <c r="BA53" s="49">
        <v>0.79</v>
      </c>
      <c r="BB53" s="49">
        <v>0.79849999999999999</v>
      </c>
      <c r="BC53" s="49">
        <v>0.80689999999999995</v>
      </c>
      <c r="BD53" s="49">
        <v>0.81530000000000002</v>
      </c>
      <c r="BE53" s="49">
        <v>0.82369999999999999</v>
      </c>
      <c r="BF53" s="49">
        <v>0.83220000000000005</v>
      </c>
      <c r="BG53" s="49">
        <v>0.84060000000000001</v>
      </c>
      <c r="BH53" s="49">
        <v>0.84899999999999998</v>
      </c>
      <c r="BI53" s="49">
        <v>0.85750000000000004</v>
      </c>
      <c r="BJ53" s="49">
        <v>0.8659</v>
      </c>
      <c r="BK53" s="49">
        <v>0.87439999999999996</v>
      </c>
      <c r="BL53" s="49">
        <v>0.88280000000000003</v>
      </c>
      <c r="BM53" s="49">
        <v>0.89129999999999998</v>
      </c>
      <c r="BN53" s="49">
        <v>0.89970000000000006</v>
      </c>
      <c r="BO53" s="49">
        <v>0.90820000000000001</v>
      </c>
      <c r="BP53" s="49">
        <v>0.91659999999999997</v>
      </c>
      <c r="BQ53" s="49">
        <v>0.92510000000000003</v>
      </c>
      <c r="BR53" s="49">
        <v>0.93359999999999999</v>
      </c>
      <c r="BS53" s="49">
        <v>0.94199999999999995</v>
      </c>
      <c r="BT53" s="49">
        <v>0.95050000000000001</v>
      </c>
      <c r="BU53" s="49">
        <v>0.95899999999999996</v>
      </c>
      <c r="BV53" s="49">
        <v>0.96750000000000003</v>
      </c>
      <c r="BW53" s="49">
        <v>0.97599999999999998</v>
      </c>
      <c r="BX53" s="49">
        <v>0.98450000000000004</v>
      </c>
      <c r="BY53" s="49">
        <v>0.99299999999999999</v>
      </c>
      <c r="BZ53" s="49">
        <v>1.0015000000000001</v>
      </c>
      <c r="CA53" s="49">
        <v>1.01</v>
      </c>
      <c r="CB53" s="49">
        <v>1.0185</v>
      </c>
      <c r="CC53" s="49">
        <v>1.0270999999999999</v>
      </c>
      <c r="CD53" s="49">
        <v>1.0356000000000001</v>
      </c>
      <c r="CE53" s="49">
        <v>1.0442</v>
      </c>
      <c r="CF53" s="49">
        <v>1.0527</v>
      </c>
      <c r="CG53" s="49">
        <v>1.0612999999999999</v>
      </c>
      <c r="CH53" s="49">
        <v>1.0698000000000001</v>
      </c>
      <c r="CI53" s="49">
        <v>1.0784</v>
      </c>
      <c r="CJ53" s="49">
        <v>1.087</v>
      </c>
      <c r="CK53" s="49">
        <v>1.0955999999999999</v>
      </c>
      <c r="CL53" s="49">
        <v>1.1042000000000001</v>
      </c>
      <c r="CM53" s="49">
        <v>1.1128</v>
      </c>
      <c r="CN53" s="49">
        <v>1.1214999999999999</v>
      </c>
      <c r="CO53" s="49">
        <v>1.1301000000000001</v>
      </c>
      <c r="CP53" s="49">
        <v>1.1388</v>
      </c>
      <c r="CQ53" s="49">
        <v>1.1474</v>
      </c>
      <c r="CR53" s="49">
        <v>1.1560999999999999</v>
      </c>
      <c r="CS53" s="49">
        <v>1.1648000000000001</v>
      </c>
      <c r="CT53" s="49">
        <v>1.1735</v>
      </c>
      <c r="CU53" s="49">
        <v>1.1822999999999999</v>
      </c>
      <c r="CV53" s="49">
        <v>1.1910000000000001</v>
      </c>
      <c r="CW53" s="49">
        <v>1.1998</v>
      </c>
      <c r="CX53" s="49">
        <v>1.2085999999999999</v>
      </c>
      <c r="CY53" s="49">
        <v>1.2174</v>
      </c>
      <c r="CZ53" s="49">
        <v>1.2262</v>
      </c>
      <c r="DA53" s="49">
        <v>1.2350000000000001</v>
      </c>
      <c r="DB53" s="49">
        <v>1.2439</v>
      </c>
      <c r="DC53" s="49">
        <v>1.2527999999999999</v>
      </c>
      <c r="DD53" s="49">
        <v>1.2617</v>
      </c>
      <c r="DE53" s="49">
        <v>1.2706</v>
      </c>
      <c r="DF53" s="49">
        <v>1.2796000000000001</v>
      </c>
      <c r="DG53" s="49">
        <v>1.2885</v>
      </c>
      <c r="DH53" s="49">
        <v>1.2975000000000001</v>
      </c>
      <c r="DI53" s="49">
        <v>1.3066</v>
      </c>
      <c r="DJ53" s="49">
        <v>1.3157000000000001</v>
      </c>
      <c r="DK53" s="49">
        <v>1.3248</v>
      </c>
      <c r="DL53" s="49">
        <v>1.3339000000000001</v>
      </c>
      <c r="DM53" s="49">
        <v>1.3431</v>
      </c>
      <c r="DN53" s="49">
        <v>1.3523000000000001</v>
      </c>
      <c r="DO53" s="49">
        <v>1.3615999999999999</v>
      </c>
      <c r="DP53" s="49">
        <v>1.3708</v>
      </c>
      <c r="DQ53" s="49">
        <v>1.3802000000000001</v>
      </c>
      <c r="DR53" s="49">
        <v>1.3895999999999999</v>
      </c>
      <c r="DS53" s="49">
        <v>1.399</v>
      </c>
      <c r="DT53" s="49">
        <v>1.4085000000000001</v>
      </c>
      <c r="DU53" s="49">
        <v>1.4179999999999999</v>
      </c>
      <c r="DV53" s="49">
        <v>1.4276</v>
      </c>
      <c r="DW53" s="49">
        <v>1.4372</v>
      </c>
      <c r="DX53" s="49">
        <v>1.4469000000000001</v>
      </c>
      <c r="DY53" s="49">
        <v>1.4565999999999999</v>
      </c>
      <c r="DZ53" s="49">
        <v>1.4664999999999999</v>
      </c>
      <c r="EA53" s="49">
        <v>1.4762999999999999</v>
      </c>
      <c r="EB53" s="49">
        <v>1.4863</v>
      </c>
      <c r="EC53" s="49">
        <v>1.4963</v>
      </c>
      <c r="ED53" s="49">
        <v>1.5064</v>
      </c>
      <c r="EE53" s="49">
        <v>1.5165999999999999</v>
      </c>
      <c r="EF53" s="49">
        <v>1.5268999999999999</v>
      </c>
      <c r="EG53" s="49">
        <v>1.5371999999999999</v>
      </c>
      <c r="EH53" s="49">
        <v>1.5477000000000001</v>
      </c>
      <c r="EI53" s="49">
        <v>1.5582</v>
      </c>
      <c r="EJ53" s="49">
        <v>1.5688</v>
      </c>
      <c r="EK53" s="49">
        <v>1.5794999999999999</v>
      </c>
      <c r="EL53" s="49">
        <v>1.5904</v>
      </c>
      <c r="EM53" s="49">
        <v>1.6012999999999999</v>
      </c>
      <c r="EN53" s="49">
        <v>1.6124000000000001</v>
      </c>
      <c r="EO53" s="49">
        <v>1.6235999999999999</v>
      </c>
      <c r="EP53" s="49">
        <v>1.6349</v>
      </c>
      <c r="EQ53" s="49">
        <v>1.6463000000000001</v>
      </c>
      <c r="ER53" s="49">
        <v>1.6578999999999999</v>
      </c>
      <c r="ES53" s="49">
        <v>1.6696</v>
      </c>
      <c r="ET53" s="49">
        <v>1.6815</v>
      </c>
      <c r="EU53" s="49">
        <v>1.6935</v>
      </c>
      <c r="EV53" s="49">
        <v>1.7057</v>
      </c>
      <c r="EW53" s="49">
        <v>1.7181</v>
      </c>
      <c r="EX53" s="49">
        <v>1.7305999999999999</v>
      </c>
      <c r="EY53" s="49">
        <v>1.7433000000000001</v>
      </c>
      <c r="EZ53" s="49">
        <v>1.7562</v>
      </c>
      <c r="FA53" s="49">
        <v>1.7693000000000001</v>
      </c>
      <c r="FB53" s="49">
        <v>1.7826</v>
      </c>
      <c r="FC53" s="49">
        <v>1.7961</v>
      </c>
      <c r="FE53" s="50">
        <f t="shared" ca="1" si="4"/>
        <v>1.4391376261853779</v>
      </c>
      <c r="FF53" s="50">
        <f t="shared" ca="1" si="5"/>
        <v>1.4330567125921179</v>
      </c>
      <c r="FG53" s="50">
        <f t="shared" ca="1" si="6"/>
        <v>1.4268719463087249</v>
      </c>
      <c r="FH53" s="50">
        <f t="shared" ca="1" si="7"/>
        <v>1.4204289932885907</v>
      </c>
      <c r="FK53" s="50">
        <f t="shared" ca="1" si="8"/>
        <v>1.4330567125921179</v>
      </c>
      <c r="FL53" s="50"/>
      <c r="FM53" s="50"/>
      <c r="FN53" s="50"/>
    </row>
    <row r="54" spans="2:170" ht="17.100000000000001" customHeight="1" thickBot="1">
      <c r="B54" s="119"/>
      <c r="C54" s="601" t="s">
        <v>262</v>
      </c>
      <c r="D54" s="602"/>
      <c r="E54" s="602"/>
      <c r="F54" s="602"/>
      <c r="G54" s="602"/>
      <c r="H54" s="602"/>
      <c r="I54" s="602"/>
      <c r="J54" s="602"/>
      <c r="K54" s="602"/>
      <c r="L54" s="602"/>
      <c r="M54" s="602"/>
      <c r="N54" s="602"/>
      <c r="O54" s="602"/>
      <c r="P54" s="602"/>
      <c r="Q54" s="602"/>
      <c r="R54" s="602"/>
      <c r="S54" s="602"/>
      <c r="T54" s="602"/>
      <c r="U54" s="602"/>
      <c r="V54" s="602"/>
      <c r="W54" s="602"/>
      <c r="X54" s="602"/>
      <c r="Y54" s="602"/>
      <c r="Z54" s="602"/>
      <c r="AA54" s="603"/>
      <c r="AB54" s="121"/>
      <c r="AC54" s="27"/>
      <c r="AD54" s="24"/>
      <c r="AE54" s="24"/>
      <c r="AG54" s="74"/>
      <c r="AH54" s="94" t="s">
        <v>84</v>
      </c>
      <c r="AI54" s="75" t="b">
        <f>AND(Database!O9=1,Z11&lt;0)</f>
        <v>1</v>
      </c>
      <c r="AJ54" s="75" t="b">
        <f>AND(Database!O9=2,Z11&gt;=0)</f>
        <v>0</v>
      </c>
      <c r="AK54" s="75" t="b">
        <f>AND(AI54=FALSE,AJ54=FALSE)</f>
        <v>0</v>
      </c>
      <c r="AL54" s="75"/>
      <c r="AM54" s="95" t="b">
        <f>+Database!U22</f>
        <v>0</v>
      </c>
      <c r="AN54" s="75"/>
      <c r="AO54" s="75"/>
      <c r="AP54" s="75"/>
      <c r="AQ54" s="75"/>
      <c r="AR54" s="75"/>
      <c r="AS54" s="75"/>
      <c r="AT54" s="96"/>
      <c r="AW54" s="46">
        <v>3.3879999999999999</v>
      </c>
      <c r="AX54" s="49">
        <v>0.76370000000000005</v>
      </c>
      <c r="AY54" s="49">
        <v>0.77210000000000001</v>
      </c>
      <c r="AZ54" s="49">
        <v>0.78049999999999997</v>
      </c>
      <c r="BA54" s="49">
        <v>0.78890000000000005</v>
      </c>
      <c r="BB54" s="49">
        <v>0.79730000000000001</v>
      </c>
      <c r="BC54" s="49">
        <v>0.80569999999999997</v>
      </c>
      <c r="BD54" s="49">
        <v>0.81420000000000003</v>
      </c>
      <c r="BE54" s="49">
        <v>0.8226</v>
      </c>
      <c r="BF54" s="49">
        <v>0.83099999999999996</v>
      </c>
      <c r="BG54" s="49">
        <v>0.83940000000000003</v>
      </c>
      <c r="BH54" s="49">
        <v>0.8478</v>
      </c>
      <c r="BI54" s="49">
        <v>0.85629999999999995</v>
      </c>
      <c r="BJ54" s="49">
        <v>0.86470000000000002</v>
      </c>
      <c r="BK54" s="49">
        <v>0.87309999999999999</v>
      </c>
      <c r="BL54" s="49">
        <v>0.88160000000000005</v>
      </c>
      <c r="BM54" s="49">
        <v>0.89</v>
      </c>
      <c r="BN54" s="49">
        <v>0.89839999999999998</v>
      </c>
      <c r="BO54" s="49">
        <v>0.90690000000000004</v>
      </c>
      <c r="BP54" s="49">
        <v>0.9153</v>
      </c>
      <c r="BQ54" s="49">
        <v>0.92379999999999995</v>
      </c>
      <c r="BR54" s="49">
        <v>0.93230000000000002</v>
      </c>
      <c r="BS54" s="49">
        <v>0.94069999999999998</v>
      </c>
      <c r="BT54" s="49">
        <v>0.94920000000000004</v>
      </c>
      <c r="BU54" s="49">
        <v>0.9577</v>
      </c>
      <c r="BV54" s="49">
        <v>0.96609999999999996</v>
      </c>
      <c r="BW54" s="49">
        <v>0.97460000000000002</v>
      </c>
      <c r="BX54" s="49">
        <v>0.98309999999999997</v>
      </c>
      <c r="BY54" s="49">
        <v>0.99160000000000004</v>
      </c>
      <c r="BZ54" s="49">
        <v>1.0001</v>
      </c>
      <c r="CA54" s="49">
        <v>1.0085999999999999</v>
      </c>
      <c r="CB54" s="49">
        <v>1.0170999999999999</v>
      </c>
      <c r="CC54" s="49">
        <v>1.0256000000000001</v>
      </c>
      <c r="CD54" s="49">
        <v>1.0342</v>
      </c>
      <c r="CE54" s="49">
        <v>1.0427</v>
      </c>
      <c r="CF54" s="49">
        <v>1.0511999999999999</v>
      </c>
      <c r="CG54" s="49">
        <v>1.0598000000000001</v>
      </c>
      <c r="CH54" s="49">
        <v>1.0683</v>
      </c>
      <c r="CI54" s="49">
        <v>1.0769</v>
      </c>
      <c r="CJ54" s="49">
        <v>1.0854999999999999</v>
      </c>
      <c r="CK54" s="49">
        <v>1.0941000000000001</v>
      </c>
      <c r="CL54" s="49">
        <v>1.1027</v>
      </c>
      <c r="CM54" s="49">
        <v>1.1113</v>
      </c>
      <c r="CN54" s="49">
        <v>1.1198999999999999</v>
      </c>
      <c r="CO54" s="49">
        <v>1.1285000000000001</v>
      </c>
      <c r="CP54" s="49">
        <v>1.1372</v>
      </c>
      <c r="CQ54" s="49">
        <v>1.1457999999999999</v>
      </c>
      <c r="CR54" s="49">
        <v>1.1545000000000001</v>
      </c>
      <c r="CS54" s="49">
        <v>1.1632</v>
      </c>
      <c r="CT54" s="49">
        <v>1.1718999999999999</v>
      </c>
      <c r="CU54" s="49">
        <v>1.1806000000000001</v>
      </c>
      <c r="CV54" s="49">
        <v>1.1893</v>
      </c>
      <c r="CW54" s="49">
        <v>1.1980999999999999</v>
      </c>
      <c r="CX54" s="49">
        <v>1.2068000000000001</v>
      </c>
      <c r="CY54" s="49">
        <v>1.2156</v>
      </c>
      <c r="CZ54" s="49">
        <v>1.2243999999999999</v>
      </c>
      <c r="DA54" s="49">
        <v>1.2333000000000001</v>
      </c>
      <c r="DB54" s="49">
        <v>1.2421</v>
      </c>
      <c r="DC54" s="49">
        <v>1.2509999999999999</v>
      </c>
      <c r="DD54" s="49">
        <v>1.2599</v>
      </c>
      <c r="DE54" s="49">
        <v>1.2687999999999999</v>
      </c>
      <c r="DF54" s="49">
        <v>1.2777000000000001</v>
      </c>
      <c r="DG54" s="49">
        <v>1.2867</v>
      </c>
      <c r="DH54" s="49">
        <v>1.2957000000000001</v>
      </c>
      <c r="DI54" s="49">
        <v>1.3047</v>
      </c>
      <c r="DJ54" s="49">
        <v>1.3138000000000001</v>
      </c>
      <c r="DK54" s="49">
        <v>1.3229</v>
      </c>
      <c r="DL54" s="49">
        <v>1.3320000000000001</v>
      </c>
      <c r="DM54" s="49">
        <v>1.3411999999999999</v>
      </c>
      <c r="DN54" s="49">
        <v>1.3504</v>
      </c>
      <c r="DO54" s="49">
        <v>1.3595999999999999</v>
      </c>
      <c r="DP54" s="49">
        <v>1.3689</v>
      </c>
      <c r="DQ54" s="49">
        <v>1.3782000000000001</v>
      </c>
      <c r="DR54" s="49">
        <v>1.3875999999999999</v>
      </c>
      <c r="DS54" s="49">
        <v>1.397</v>
      </c>
      <c r="DT54" s="49">
        <v>1.4065000000000001</v>
      </c>
      <c r="DU54" s="49">
        <v>1.4159999999999999</v>
      </c>
      <c r="DV54" s="49">
        <v>1.4256</v>
      </c>
      <c r="DW54" s="49">
        <v>1.4352</v>
      </c>
      <c r="DX54" s="49">
        <v>1.4449000000000001</v>
      </c>
      <c r="DY54" s="49">
        <v>1.4545999999999999</v>
      </c>
      <c r="DZ54" s="49">
        <v>1.4643999999999999</v>
      </c>
      <c r="EA54" s="49">
        <v>1.4742999999999999</v>
      </c>
      <c r="EB54" s="49">
        <v>1.4842</v>
      </c>
      <c r="EC54" s="49">
        <v>1.4942</v>
      </c>
      <c r="ED54" s="49">
        <v>1.5043</v>
      </c>
      <c r="EE54" s="49">
        <v>1.5145</v>
      </c>
      <c r="EF54" s="49">
        <v>1.5246999999999999</v>
      </c>
      <c r="EG54" s="49">
        <v>1.5349999999999999</v>
      </c>
      <c r="EH54" s="49">
        <v>1.5455000000000001</v>
      </c>
      <c r="EI54" s="49">
        <v>1.556</v>
      </c>
      <c r="EJ54" s="49">
        <v>1.5666</v>
      </c>
      <c r="EK54" s="49">
        <v>1.5772999999999999</v>
      </c>
      <c r="EL54" s="49">
        <v>1.5881000000000001</v>
      </c>
      <c r="EM54" s="49">
        <v>1.5991</v>
      </c>
      <c r="EN54" s="49">
        <v>1.6101000000000001</v>
      </c>
      <c r="EO54" s="49">
        <v>1.6213</v>
      </c>
      <c r="EP54" s="49">
        <v>1.6326000000000001</v>
      </c>
      <c r="EQ54" s="49">
        <v>1.6439999999999999</v>
      </c>
      <c r="ER54" s="49">
        <v>1.6556</v>
      </c>
      <c r="ES54" s="49">
        <v>1.6673</v>
      </c>
      <c r="ET54" s="49">
        <v>1.6791</v>
      </c>
      <c r="EU54" s="49">
        <v>1.6911</v>
      </c>
      <c r="EV54" s="49">
        <v>1.7033</v>
      </c>
      <c r="EW54" s="49">
        <v>1.7156</v>
      </c>
      <c r="EX54" s="49">
        <v>1.7282</v>
      </c>
      <c r="EY54" s="49">
        <v>1.7407999999999999</v>
      </c>
      <c r="EZ54" s="49">
        <v>1.7537</v>
      </c>
      <c r="FA54" s="49">
        <v>1.7667999999999999</v>
      </c>
      <c r="FB54" s="49">
        <v>1.78</v>
      </c>
      <c r="FC54" s="49">
        <v>1.7935000000000001</v>
      </c>
      <c r="FE54" s="50">
        <f t="shared" ca="1" si="4"/>
        <v>1.4371376261853777</v>
      </c>
      <c r="FF54" s="50">
        <f t="shared" ca="1" si="5"/>
        <v>1.4310567125921181</v>
      </c>
      <c r="FG54" s="50">
        <f t="shared" ca="1" si="6"/>
        <v>1.4248719463087247</v>
      </c>
      <c r="FH54" s="50">
        <f t="shared" ca="1" si="7"/>
        <v>1.4184289932885905</v>
      </c>
      <c r="FK54" s="50">
        <f t="shared" ca="1" si="8"/>
        <v>1.4310567125921181</v>
      </c>
      <c r="FL54" s="50"/>
      <c r="FM54" s="50"/>
      <c r="FN54" s="50"/>
    </row>
    <row r="55" spans="2:170" ht="17.100000000000001" customHeight="1">
      <c r="B55" s="119"/>
      <c r="C55" s="522"/>
      <c r="D55" s="523"/>
      <c r="E55" s="523"/>
      <c r="F55" s="523"/>
      <c r="G55" s="523"/>
      <c r="H55" s="523"/>
      <c r="I55" s="523"/>
      <c r="J55" s="523"/>
      <c r="K55" s="523"/>
      <c r="L55" s="523"/>
      <c r="M55" s="523"/>
      <c r="N55" s="523"/>
      <c r="O55" s="523"/>
      <c r="P55" s="523"/>
      <c r="Q55" s="523"/>
      <c r="R55" s="523"/>
      <c r="S55" s="523"/>
      <c r="T55" s="523"/>
      <c r="U55" s="523"/>
      <c r="V55" s="523"/>
      <c r="W55" s="523"/>
      <c r="X55" s="523"/>
      <c r="Y55" s="523"/>
      <c r="Z55" s="523"/>
      <c r="AA55" s="524"/>
      <c r="AB55" s="121"/>
      <c r="AC55" s="27"/>
      <c r="AD55" s="24"/>
      <c r="AE55" s="24"/>
      <c r="AW55" s="46">
        <v>3.6309999999999998</v>
      </c>
      <c r="AX55" s="49">
        <v>0.76259999999999994</v>
      </c>
      <c r="AY55" s="49">
        <v>0.77100000000000002</v>
      </c>
      <c r="AZ55" s="49">
        <v>0.77939999999999998</v>
      </c>
      <c r="BA55" s="49">
        <v>0.78779999999999994</v>
      </c>
      <c r="BB55" s="49">
        <v>0.79620000000000002</v>
      </c>
      <c r="BC55" s="49">
        <v>0.80459999999999998</v>
      </c>
      <c r="BD55" s="49">
        <v>0.81299999999999994</v>
      </c>
      <c r="BE55" s="49">
        <v>0.82140000000000002</v>
      </c>
      <c r="BF55" s="49">
        <v>0.82979999999999998</v>
      </c>
      <c r="BG55" s="49">
        <v>0.83819999999999995</v>
      </c>
      <c r="BH55" s="49">
        <v>0.84670000000000001</v>
      </c>
      <c r="BI55" s="49">
        <v>0.85509999999999997</v>
      </c>
      <c r="BJ55" s="49">
        <v>0.86350000000000005</v>
      </c>
      <c r="BK55" s="49">
        <v>0.87190000000000001</v>
      </c>
      <c r="BL55" s="49">
        <v>0.88029999999999997</v>
      </c>
      <c r="BM55" s="49">
        <v>0.88880000000000003</v>
      </c>
      <c r="BN55" s="49">
        <v>0.8972</v>
      </c>
      <c r="BO55" s="49">
        <v>0.90559999999999996</v>
      </c>
      <c r="BP55" s="49">
        <v>0.91410000000000002</v>
      </c>
      <c r="BQ55" s="49">
        <v>0.92249999999999999</v>
      </c>
      <c r="BR55" s="49">
        <v>0.93089999999999995</v>
      </c>
      <c r="BS55" s="49">
        <v>0.93940000000000001</v>
      </c>
      <c r="BT55" s="49">
        <v>0.94789999999999996</v>
      </c>
      <c r="BU55" s="49">
        <v>0.95630000000000004</v>
      </c>
      <c r="BV55" s="49">
        <v>0.96479999999999999</v>
      </c>
      <c r="BW55" s="49">
        <v>0.97319999999999995</v>
      </c>
      <c r="BX55" s="49">
        <v>0.98170000000000002</v>
      </c>
      <c r="BY55" s="49">
        <v>0.99019999999999997</v>
      </c>
      <c r="BZ55" s="49">
        <v>0.99870000000000003</v>
      </c>
      <c r="CA55" s="49">
        <v>1.0072000000000001</v>
      </c>
      <c r="CB55" s="49">
        <v>1.0157</v>
      </c>
      <c r="CC55" s="49">
        <v>1.0242</v>
      </c>
      <c r="CD55" s="49">
        <v>1.0327</v>
      </c>
      <c r="CE55" s="49">
        <v>1.0411999999999999</v>
      </c>
      <c r="CF55" s="49">
        <v>1.0498000000000001</v>
      </c>
      <c r="CG55" s="49">
        <v>1.0583</v>
      </c>
      <c r="CH55" s="49">
        <v>1.0668</v>
      </c>
      <c r="CI55" s="49">
        <v>1.0753999999999999</v>
      </c>
      <c r="CJ55" s="49">
        <v>1.0840000000000001</v>
      </c>
      <c r="CK55" s="49">
        <v>1.0925</v>
      </c>
      <c r="CL55" s="49">
        <v>1.1011</v>
      </c>
      <c r="CM55" s="49">
        <v>1.1096999999999999</v>
      </c>
      <c r="CN55" s="49">
        <v>1.1183000000000001</v>
      </c>
      <c r="CO55" s="49">
        <v>1.1269</v>
      </c>
      <c r="CP55" s="49">
        <v>1.1355999999999999</v>
      </c>
      <c r="CQ55" s="49">
        <v>1.1442000000000001</v>
      </c>
      <c r="CR55" s="49">
        <v>1.1529</v>
      </c>
      <c r="CS55" s="49">
        <v>1.1616</v>
      </c>
      <c r="CT55" s="49">
        <v>1.1701999999999999</v>
      </c>
      <c r="CU55" s="49">
        <v>1.1789000000000001</v>
      </c>
      <c r="CV55" s="49">
        <v>1.1877</v>
      </c>
      <c r="CW55" s="49">
        <v>1.1963999999999999</v>
      </c>
      <c r="CX55" s="49">
        <v>1.2052</v>
      </c>
      <c r="CY55" s="49">
        <v>1.2139</v>
      </c>
      <c r="CZ55" s="49">
        <v>1.2226999999999999</v>
      </c>
      <c r="DA55" s="49">
        <v>1.2315</v>
      </c>
      <c r="DB55" s="49">
        <v>1.2403999999999999</v>
      </c>
      <c r="DC55" s="49">
        <v>1.2492000000000001</v>
      </c>
      <c r="DD55" s="49">
        <v>1.2581</v>
      </c>
      <c r="DE55" s="49">
        <v>1.2669999999999999</v>
      </c>
      <c r="DF55" s="49">
        <v>1.276</v>
      </c>
      <c r="DG55" s="49">
        <v>1.2848999999999999</v>
      </c>
      <c r="DH55" s="49">
        <v>1.2939000000000001</v>
      </c>
      <c r="DI55" s="49">
        <v>1.3028999999999999</v>
      </c>
      <c r="DJ55" s="49">
        <v>1.3120000000000001</v>
      </c>
      <c r="DK55" s="49">
        <v>1.3210999999999999</v>
      </c>
      <c r="DL55" s="49">
        <v>1.3302</v>
      </c>
      <c r="DM55" s="49">
        <v>1.3392999999999999</v>
      </c>
      <c r="DN55" s="49">
        <v>1.3485</v>
      </c>
      <c r="DO55" s="49">
        <v>1.3576999999999999</v>
      </c>
      <c r="DP55" s="49">
        <v>1.367</v>
      </c>
      <c r="DQ55" s="49">
        <v>1.3763000000000001</v>
      </c>
      <c r="DR55" s="49">
        <v>1.3856999999999999</v>
      </c>
      <c r="DS55" s="49">
        <v>1.3951</v>
      </c>
      <c r="DT55" s="49">
        <v>1.4045000000000001</v>
      </c>
      <c r="DU55" s="49">
        <v>1.4139999999999999</v>
      </c>
      <c r="DV55" s="49">
        <v>1.4236</v>
      </c>
      <c r="DW55" s="49">
        <v>1.4332</v>
      </c>
      <c r="DX55" s="49">
        <v>1.4428000000000001</v>
      </c>
      <c r="DY55" s="49">
        <v>1.4525999999999999</v>
      </c>
      <c r="DZ55" s="49">
        <v>1.4622999999999999</v>
      </c>
      <c r="EA55" s="49">
        <v>1.4722</v>
      </c>
      <c r="EB55" s="49">
        <v>1.4821</v>
      </c>
      <c r="EC55" s="49">
        <v>1.4921</v>
      </c>
      <c r="ED55" s="49">
        <v>1.5022</v>
      </c>
      <c r="EE55" s="49">
        <v>1.5123</v>
      </c>
      <c r="EF55" s="49">
        <v>1.5226</v>
      </c>
      <c r="EG55" s="49">
        <v>1.5328999999999999</v>
      </c>
      <c r="EH55" s="49">
        <v>1.5432999999999999</v>
      </c>
      <c r="EI55" s="49">
        <v>1.5538000000000001</v>
      </c>
      <c r="EJ55" s="49">
        <v>1.5644</v>
      </c>
      <c r="EK55" s="49">
        <v>1.5750999999999999</v>
      </c>
      <c r="EL55" s="49">
        <v>1.5859000000000001</v>
      </c>
      <c r="EM55" s="49">
        <v>1.5968</v>
      </c>
      <c r="EN55" s="49">
        <v>1.6079000000000001</v>
      </c>
      <c r="EO55" s="49">
        <v>1.619</v>
      </c>
      <c r="EP55" s="49">
        <v>1.6303000000000001</v>
      </c>
      <c r="EQ55" s="49">
        <v>1.6416999999999999</v>
      </c>
      <c r="ER55" s="49">
        <v>1.6533</v>
      </c>
      <c r="ES55" s="49">
        <v>1.665</v>
      </c>
      <c r="ET55" s="49">
        <v>1.6768000000000001</v>
      </c>
      <c r="EU55" s="49">
        <v>1.6888000000000001</v>
      </c>
      <c r="EV55" s="49">
        <v>1.7009000000000001</v>
      </c>
      <c r="EW55" s="49">
        <v>1.7132000000000001</v>
      </c>
      <c r="EX55" s="49">
        <v>1.7257</v>
      </c>
      <c r="EY55" s="49">
        <v>1.7383999999999999</v>
      </c>
      <c r="EZ55" s="49">
        <v>1.7513000000000001</v>
      </c>
      <c r="FA55" s="49">
        <v>1.7643</v>
      </c>
      <c r="FB55" s="49">
        <v>1.7776000000000001</v>
      </c>
      <c r="FC55" s="49">
        <v>1.7909999999999999</v>
      </c>
      <c r="FE55" s="50">
        <f t="shared" ca="1" si="4"/>
        <v>1.4351176506576937</v>
      </c>
      <c r="FF55" s="50">
        <f t="shared" ca="1" si="5"/>
        <v>1.4290567125921179</v>
      </c>
      <c r="FG55" s="50">
        <f t="shared" ca="1" si="6"/>
        <v>1.4228719463087249</v>
      </c>
      <c r="FH55" s="50">
        <f t="shared" ca="1" si="7"/>
        <v>1.4164289932885907</v>
      </c>
      <c r="FK55" s="50">
        <f t="shared" ca="1" si="8"/>
        <v>1.4290567125921179</v>
      </c>
      <c r="FL55" s="50"/>
      <c r="FM55" s="50"/>
      <c r="FN55" s="50"/>
    </row>
    <row r="56" spans="2:170" ht="17.100000000000001" customHeight="1" thickBot="1">
      <c r="B56" s="119"/>
      <c r="C56" s="522"/>
      <c r="D56" s="523"/>
      <c r="E56" s="523"/>
      <c r="F56" s="523"/>
      <c r="G56" s="523"/>
      <c r="H56" s="523"/>
      <c r="I56" s="523"/>
      <c r="J56" s="523"/>
      <c r="K56" s="523"/>
      <c r="L56" s="523"/>
      <c r="M56" s="523"/>
      <c r="N56" s="523"/>
      <c r="O56" s="523"/>
      <c r="P56" s="523"/>
      <c r="Q56" s="523"/>
      <c r="R56" s="523"/>
      <c r="S56" s="523"/>
      <c r="T56" s="523"/>
      <c r="U56" s="523"/>
      <c r="V56" s="523"/>
      <c r="W56" s="523"/>
      <c r="X56" s="523"/>
      <c r="Y56" s="523"/>
      <c r="Z56" s="523"/>
      <c r="AA56" s="524"/>
      <c r="AB56" s="121"/>
      <c r="AC56" s="27"/>
      <c r="AD56" s="24"/>
      <c r="AE56" s="24"/>
      <c r="AG56" s="527" t="s">
        <v>657</v>
      </c>
      <c r="AH56" s="527"/>
      <c r="AI56" s="527"/>
      <c r="AJ56" s="527"/>
      <c r="AK56" s="527"/>
      <c r="AL56" s="527"/>
      <c r="AM56" s="527"/>
      <c r="AN56" s="527"/>
      <c r="AO56" s="527"/>
      <c r="AP56" s="527"/>
      <c r="AQ56" s="527"/>
      <c r="AR56" s="527"/>
      <c r="AS56" s="527"/>
      <c r="AT56" s="527"/>
      <c r="AW56" s="46">
        <v>3.89</v>
      </c>
      <c r="AX56" s="49">
        <v>0.76160000000000005</v>
      </c>
      <c r="AY56" s="49">
        <v>0.77</v>
      </c>
      <c r="AZ56" s="49">
        <v>0.77829999999999999</v>
      </c>
      <c r="BA56" s="49">
        <v>0.78669999999999995</v>
      </c>
      <c r="BB56" s="49">
        <v>0.79510000000000003</v>
      </c>
      <c r="BC56" s="49">
        <v>0.80349999999999999</v>
      </c>
      <c r="BD56" s="49">
        <v>0.81189999999999996</v>
      </c>
      <c r="BE56" s="49">
        <v>0.82030000000000003</v>
      </c>
      <c r="BF56" s="49">
        <v>0.82869999999999999</v>
      </c>
      <c r="BG56" s="49">
        <v>0.83709999999999996</v>
      </c>
      <c r="BH56" s="49">
        <v>0.84550000000000003</v>
      </c>
      <c r="BI56" s="49">
        <v>0.85389999999999999</v>
      </c>
      <c r="BJ56" s="49">
        <v>0.86229999999999996</v>
      </c>
      <c r="BK56" s="49">
        <v>0.87070000000000003</v>
      </c>
      <c r="BL56" s="49">
        <v>0.87909999999999999</v>
      </c>
      <c r="BM56" s="49">
        <v>0.88749999999999996</v>
      </c>
      <c r="BN56" s="49">
        <v>0.89590000000000003</v>
      </c>
      <c r="BO56" s="49">
        <v>0.90439999999999998</v>
      </c>
      <c r="BP56" s="49">
        <v>0.91279999999999994</v>
      </c>
      <c r="BQ56" s="49">
        <v>0.92120000000000002</v>
      </c>
      <c r="BR56" s="49">
        <v>0.92969999999999997</v>
      </c>
      <c r="BS56" s="49">
        <v>0.93810000000000004</v>
      </c>
      <c r="BT56" s="49">
        <v>0.94650000000000001</v>
      </c>
      <c r="BU56" s="49">
        <v>0.95499999999999996</v>
      </c>
      <c r="BV56" s="49">
        <v>0.96340000000000003</v>
      </c>
      <c r="BW56" s="49">
        <v>0.97189999999999999</v>
      </c>
      <c r="BX56" s="49">
        <v>0.98040000000000005</v>
      </c>
      <c r="BY56" s="49">
        <v>0.98880000000000001</v>
      </c>
      <c r="BZ56" s="49">
        <v>0.99729999999999996</v>
      </c>
      <c r="CA56" s="49">
        <v>1.0058</v>
      </c>
      <c r="CB56" s="49">
        <v>1.0143</v>
      </c>
      <c r="CC56" s="49">
        <v>1.0227999999999999</v>
      </c>
      <c r="CD56" s="49">
        <v>1.0313000000000001</v>
      </c>
      <c r="CE56" s="49">
        <v>1.0398000000000001</v>
      </c>
      <c r="CF56" s="49">
        <v>1.0483</v>
      </c>
      <c r="CG56" s="49">
        <v>1.0568</v>
      </c>
      <c r="CH56" s="49">
        <v>1.0653999999999999</v>
      </c>
      <c r="CI56" s="49">
        <v>1.0739000000000001</v>
      </c>
      <c r="CJ56" s="49">
        <v>1.0825</v>
      </c>
      <c r="CK56" s="49">
        <v>1.091</v>
      </c>
      <c r="CL56" s="49">
        <v>1.0995999999999999</v>
      </c>
      <c r="CM56" s="49">
        <v>1.1082000000000001</v>
      </c>
      <c r="CN56" s="49">
        <v>1.1168</v>
      </c>
      <c r="CO56" s="49">
        <v>1.1254</v>
      </c>
      <c r="CP56" s="49">
        <v>1.1339999999999999</v>
      </c>
      <c r="CQ56" s="49">
        <v>1.1426000000000001</v>
      </c>
      <c r="CR56" s="49">
        <v>1.1513</v>
      </c>
      <c r="CS56" s="49">
        <v>1.1598999999999999</v>
      </c>
      <c r="CT56" s="49">
        <v>1.1686000000000001</v>
      </c>
      <c r="CU56" s="49">
        <v>1.1773</v>
      </c>
      <c r="CV56" s="49">
        <v>1.1859999999999999</v>
      </c>
      <c r="CW56" s="49">
        <v>1.1948000000000001</v>
      </c>
      <c r="CX56" s="49">
        <v>1.2035</v>
      </c>
      <c r="CY56" s="49">
        <v>1.2122999999999999</v>
      </c>
      <c r="CZ56" s="49">
        <v>1.2210000000000001</v>
      </c>
      <c r="DA56" s="49">
        <v>1.2298</v>
      </c>
      <c r="DB56" s="49">
        <v>1.2386999999999999</v>
      </c>
      <c r="DC56" s="49">
        <v>1.2475000000000001</v>
      </c>
      <c r="DD56" s="49">
        <v>1.2564</v>
      </c>
      <c r="DE56" s="49">
        <v>1.2653000000000001</v>
      </c>
      <c r="DF56" s="49">
        <v>1.2742</v>
      </c>
      <c r="DG56" s="49">
        <v>1.2830999999999999</v>
      </c>
      <c r="DH56" s="49">
        <v>1.2921</v>
      </c>
      <c r="DI56" s="49">
        <v>1.3010999999999999</v>
      </c>
      <c r="DJ56" s="49">
        <v>1.3102</v>
      </c>
      <c r="DK56" s="49">
        <v>1.3191999999999999</v>
      </c>
      <c r="DL56" s="49">
        <v>1.3283</v>
      </c>
      <c r="DM56" s="49">
        <v>1.3374999999999999</v>
      </c>
      <c r="DN56" s="49">
        <v>1.3466</v>
      </c>
      <c r="DO56" s="49">
        <v>1.3559000000000001</v>
      </c>
      <c r="DP56" s="49">
        <v>1.3651</v>
      </c>
      <c r="DQ56" s="49">
        <v>1.3744000000000001</v>
      </c>
      <c r="DR56" s="49">
        <v>1.3836999999999999</v>
      </c>
      <c r="DS56" s="49">
        <v>1.3931</v>
      </c>
      <c r="DT56" s="49">
        <v>1.4026000000000001</v>
      </c>
      <c r="DU56" s="49">
        <v>1.4120999999999999</v>
      </c>
      <c r="DV56" s="49">
        <v>1.4216</v>
      </c>
      <c r="DW56" s="49">
        <v>1.4312</v>
      </c>
      <c r="DX56" s="49">
        <v>1.4408000000000001</v>
      </c>
      <c r="DY56" s="49">
        <v>1.4505999999999999</v>
      </c>
      <c r="DZ56" s="49">
        <v>1.4602999999999999</v>
      </c>
      <c r="EA56" s="49">
        <v>1.4702</v>
      </c>
      <c r="EB56" s="49">
        <v>1.4801</v>
      </c>
      <c r="EC56" s="49">
        <v>1.4901</v>
      </c>
      <c r="ED56" s="49">
        <v>1.5001</v>
      </c>
      <c r="EE56" s="49">
        <v>1.5103</v>
      </c>
      <c r="EF56" s="49">
        <v>1.5205</v>
      </c>
      <c r="EG56" s="49">
        <v>1.5307999999999999</v>
      </c>
      <c r="EH56" s="49">
        <v>1.5411999999999999</v>
      </c>
      <c r="EI56" s="49">
        <v>1.5517000000000001</v>
      </c>
      <c r="EJ56" s="49">
        <v>1.5622</v>
      </c>
      <c r="EK56" s="49">
        <v>1.5729</v>
      </c>
      <c r="EL56" s="49">
        <v>1.5837000000000001</v>
      </c>
      <c r="EM56" s="49">
        <v>1.5946</v>
      </c>
      <c r="EN56" s="49">
        <v>1.6056999999999999</v>
      </c>
      <c r="EO56" s="49">
        <v>1.6168</v>
      </c>
      <c r="EP56" s="49">
        <v>1.6281000000000001</v>
      </c>
      <c r="EQ56" s="49">
        <v>1.6395</v>
      </c>
      <c r="ER56" s="49">
        <v>1.651</v>
      </c>
      <c r="ES56" s="49">
        <v>1.6627000000000001</v>
      </c>
      <c r="ET56" s="49">
        <v>1.6745000000000001</v>
      </c>
      <c r="EU56" s="49">
        <v>1.6863999999999999</v>
      </c>
      <c r="EV56" s="49">
        <v>1.6986000000000001</v>
      </c>
      <c r="EW56" s="49">
        <v>1.7109000000000001</v>
      </c>
      <c r="EX56" s="49">
        <v>1.7234</v>
      </c>
      <c r="EY56" s="49">
        <v>1.736</v>
      </c>
      <c r="EZ56" s="49">
        <v>1.7487999999999999</v>
      </c>
      <c r="FA56" s="49">
        <v>1.7619</v>
      </c>
      <c r="FB56" s="49">
        <v>1.7750999999999999</v>
      </c>
      <c r="FC56" s="49">
        <v>1.7885</v>
      </c>
      <c r="FE56" s="50">
        <f t="shared" ca="1" si="4"/>
        <v>1.4331176506576935</v>
      </c>
      <c r="FF56" s="50">
        <f t="shared" ca="1" si="5"/>
        <v>1.4270567125921181</v>
      </c>
      <c r="FG56" s="50">
        <f t="shared" ca="1" si="6"/>
        <v>1.4208795302013424</v>
      </c>
      <c r="FH56" s="50">
        <f t="shared" ca="1" si="7"/>
        <v>1.4145036912751678</v>
      </c>
      <c r="FK56" s="50">
        <f t="shared" ca="1" si="8"/>
        <v>1.4270567125921181</v>
      </c>
      <c r="FL56" s="50"/>
      <c r="FM56" s="50"/>
      <c r="FN56" s="50"/>
    </row>
    <row r="57" spans="2:170" ht="17.100000000000001" customHeight="1">
      <c r="B57" s="119"/>
      <c r="C57" s="522"/>
      <c r="D57" s="523"/>
      <c r="E57" s="523"/>
      <c r="F57" s="523"/>
      <c r="G57" s="523"/>
      <c r="H57" s="523"/>
      <c r="I57" s="523"/>
      <c r="J57" s="523"/>
      <c r="K57" s="523"/>
      <c r="L57" s="523"/>
      <c r="M57" s="523"/>
      <c r="N57" s="523"/>
      <c r="O57" s="523"/>
      <c r="P57" s="523"/>
      <c r="Q57" s="523"/>
      <c r="R57" s="523"/>
      <c r="S57" s="523"/>
      <c r="T57" s="523"/>
      <c r="U57" s="523"/>
      <c r="V57" s="523"/>
      <c r="W57" s="523"/>
      <c r="X57" s="523"/>
      <c r="Y57" s="523"/>
      <c r="Z57" s="523"/>
      <c r="AA57" s="524"/>
      <c r="AB57" s="121"/>
      <c r="AC57" s="27"/>
      <c r="AD57" s="28"/>
      <c r="AE57" s="28"/>
      <c r="AG57" s="65"/>
      <c r="AH57" s="78"/>
      <c r="AI57" s="541" t="s">
        <v>71</v>
      </c>
      <c r="AJ57" s="541"/>
      <c r="AK57" s="541" t="s">
        <v>79</v>
      </c>
      <c r="AL57" s="541"/>
      <c r="AM57" s="541"/>
      <c r="AN57" s="541"/>
      <c r="AO57" s="541" t="s">
        <v>81</v>
      </c>
      <c r="AP57" s="541"/>
      <c r="AQ57" s="541"/>
      <c r="AR57" s="66"/>
      <c r="AS57" s="66"/>
      <c r="AT57" s="68"/>
      <c r="AW57" s="46">
        <v>4.1689999999999996</v>
      </c>
      <c r="AX57" s="49">
        <v>0.76049999999999995</v>
      </c>
      <c r="AY57" s="49">
        <v>0.76890000000000003</v>
      </c>
      <c r="AZ57" s="49">
        <v>0.77729999999999999</v>
      </c>
      <c r="BA57" s="49">
        <v>0.78569999999999995</v>
      </c>
      <c r="BB57" s="49">
        <v>0.79400000000000004</v>
      </c>
      <c r="BC57" s="49">
        <v>0.8024</v>
      </c>
      <c r="BD57" s="49">
        <v>0.81079999999999997</v>
      </c>
      <c r="BE57" s="49">
        <v>0.81920000000000004</v>
      </c>
      <c r="BF57" s="49">
        <v>0.8276</v>
      </c>
      <c r="BG57" s="49">
        <v>0.83589999999999998</v>
      </c>
      <c r="BH57" s="49">
        <v>0.84430000000000005</v>
      </c>
      <c r="BI57" s="49">
        <v>0.85270000000000001</v>
      </c>
      <c r="BJ57" s="49">
        <v>0.86109999999999998</v>
      </c>
      <c r="BK57" s="49">
        <v>0.86950000000000005</v>
      </c>
      <c r="BL57" s="49">
        <v>0.87790000000000001</v>
      </c>
      <c r="BM57" s="49">
        <v>0.88629999999999998</v>
      </c>
      <c r="BN57" s="49">
        <v>0.89470000000000005</v>
      </c>
      <c r="BO57" s="49">
        <v>0.90310000000000001</v>
      </c>
      <c r="BP57" s="49">
        <v>0.91159999999999997</v>
      </c>
      <c r="BQ57" s="49">
        <v>0.92</v>
      </c>
      <c r="BR57" s="49">
        <v>0.9284</v>
      </c>
      <c r="BS57" s="49">
        <v>0.93679999999999997</v>
      </c>
      <c r="BT57" s="49">
        <v>0.94530000000000003</v>
      </c>
      <c r="BU57" s="49">
        <v>0.95369999999999999</v>
      </c>
      <c r="BV57" s="49">
        <v>0.96209999999999996</v>
      </c>
      <c r="BW57" s="49">
        <v>0.97060000000000002</v>
      </c>
      <c r="BX57" s="49">
        <v>0.97899999999999998</v>
      </c>
      <c r="BY57" s="49">
        <v>0.98750000000000004</v>
      </c>
      <c r="BZ57" s="49">
        <v>0.99590000000000001</v>
      </c>
      <c r="CA57" s="49">
        <v>1.0044</v>
      </c>
      <c r="CB57" s="49">
        <v>1.0128999999999999</v>
      </c>
      <c r="CC57" s="49">
        <v>1.0214000000000001</v>
      </c>
      <c r="CD57" s="49">
        <v>1.0299</v>
      </c>
      <c r="CE57" s="49">
        <v>1.0384</v>
      </c>
      <c r="CF57" s="49">
        <v>1.0468999999999999</v>
      </c>
      <c r="CG57" s="49">
        <v>1.0553999999999999</v>
      </c>
      <c r="CH57" s="49">
        <v>1.0639000000000001</v>
      </c>
      <c r="CI57" s="49">
        <v>1.0724</v>
      </c>
      <c r="CJ57" s="49">
        <v>1.081</v>
      </c>
      <c r="CK57" s="49">
        <v>1.0894999999999999</v>
      </c>
      <c r="CL57" s="49">
        <v>1.0981000000000001</v>
      </c>
      <c r="CM57" s="49">
        <v>1.1067</v>
      </c>
      <c r="CN57" s="49">
        <v>1.1153</v>
      </c>
      <c r="CO57" s="49">
        <v>1.1238999999999999</v>
      </c>
      <c r="CP57" s="49">
        <v>1.1325000000000001</v>
      </c>
      <c r="CQ57" s="49">
        <v>1.1411</v>
      </c>
      <c r="CR57" s="49">
        <v>1.1496999999999999</v>
      </c>
      <c r="CS57" s="49">
        <v>1.1584000000000001</v>
      </c>
      <c r="CT57" s="49">
        <v>1.167</v>
      </c>
      <c r="CU57" s="49">
        <v>1.1757</v>
      </c>
      <c r="CV57" s="49">
        <v>1.1843999999999999</v>
      </c>
      <c r="CW57" s="49">
        <v>1.1931</v>
      </c>
      <c r="CX57" s="49">
        <v>1.2018</v>
      </c>
      <c r="CY57" s="49">
        <v>1.2105999999999999</v>
      </c>
      <c r="CZ57" s="49">
        <v>1.2194</v>
      </c>
      <c r="DA57" s="49">
        <v>1.2282</v>
      </c>
      <c r="DB57" s="49">
        <v>1.2370000000000001</v>
      </c>
      <c r="DC57" s="49">
        <v>1.2458</v>
      </c>
      <c r="DD57" s="49">
        <v>1.2546999999999999</v>
      </c>
      <c r="DE57" s="49">
        <v>1.2635000000000001</v>
      </c>
      <c r="DF57" s="49">
        <v>1.2725</v>
      </c>
      <c r="DG57" s="49">
        <v>1.2814000000000001</v>
      </c>
      <c r="DH57" s="49">
        <v>1.2903</v>
      </c>
      <c r="DI57" s="49">
        <v>1.2992999999999999</v>
      </c>
      <c r="DJ57" s="49">
        <v>1.3084</v>
      </c>
      <c r="DK57" s="49">
        <v>1.3173999999999999</v>
      </c>
      <c r="DL57" s="49">
        <v>1.3265</v>
      </c>
      <c r="DM57" s="49">
        <v>1.3355999999999999</v>
      </c>
      <c r="DN57" s="49">
        <v>1.3448</v>
      </c>
      <c r="DO57" s="49">
        <v>1.3540000000000001</v>
      </c>
      <c r="DP57" s="49">
        <v>1.3632</v>
      </c>
      <c r="DQ57" s="49">
        <v>1.3725000000000001</v>
      </c>
      <c r="DR57" s="49">
        <v>1.3818999999999999</v>
      </c>
      <c r="DS57" s="49">
        <v>1.3912</v>
      </c>
      <c r="DT57" s="49">
        <v>1.4006000000000001</v>
      </c>
      <c r="DU57" s="49">
        <v>1.4100999999999999</v>
      </c>
      <c r="DV57" s="49">
        <v>1.4196</v>
      </c>
      <c r="DW57" s="49">
        <v>1.4292</v>
      </c>
      <c r="DX57" s="49">
        <v>1.4389000000000001</v>
      </c>
      <c r="DY57" s="49">
        <v>1.4486000000000001</v>
      </c>
      <c r="DZ57" s="49">
        <v>1.4582999999999999</v>
      </c>
      <c r="EA57" s="49">
        <v>1.4681999999999999</v>
      </c>
      <c r="EB57" s="49">
        <v>1.4781</v>
      </c>
      <c r="EC57" s="49">
        <v>1.488</v>
      </c>
      <c r="ED57" s="49">
        <v>1.4981</v>
      </c>
      <c r="EE57" s="49">
        <v>1.5082</v>
      </c>
      <c r="EF57" s="49">
        <v>1.5184</v>
      </c>
      <c r="EG57" s="49">
        <v>1.5286999999999999</v>
      </c>
      <c r="EH57" s="49">
        <v>1.5390999999999999</v>
      </c>
      <c r="EI57" s="49">
        <v>1.5495000000000001</v>
      </c>
      <c r="EJ57" s="49">
        <v>1.5601</v>
      </c>
      <c r="EK57" s="49">
        <v>1.5708</v>
      </c>
      <c r="EL57" s="49">
        <v>1.5815999999999999</v>
      </c>
      <c r="EM57" s="49">
        <v>1.5925</v>
      </c>
      <c r="EN57" s="49">
        <v>1.6034999999999999</v>
      </c>
      <c r="EO57" s="49">
        <v>1.6146</v>
      </c>
      <c r="EP57" s="49">
        <v>1.6257999999999999</v>
      </c>
      <c r="EQ57" s="49">
        <v>1.6372</v>
      </c>
      <c r="ER57" s="49">
        <v>1.6487000000000001</v>
      </c>
      <c r="ES57" s="49">
        <v>1.6604000000000001</v>
      </c>
      <c r="ET57" s="49">
        <v>1.6721999999999999</v>
      </c>
      <c r="EU57" s="49">
        <v>1.6840999999999999</v>
      </c>
      <c r="EV57" s="49">
        <v>1.6962999999999999</v>
      </c>
      <c r="EW57" s="49">
        <v>1.7084999999999999</v>
      </c>
      <c r="EX57" s="49">
        <v>1.7210000000000001</v>
      </c>
      <c r="EY57" s="49">
        <v>1.7336</v>
      </c>
      <c r="EZ57" s="49">
        <v>1.7464</v>
      </c>
      <c r="FA57" s="49">
        <v>1.7595000000000001</v>
      </c>
      <c r="FB57" s="49">
        <v>1.7726999999999999</v>
      </c>
      <c r="FC57" s="49">
        <v>1.7861</v>
      </c>
      <c r="FE57" s="50">
        <f t="shared" ca="1" si="4"/>
        <v>1.4311376261853779</v>
      </c>
      <c r="FF57" s="50">
        <f t="shared" ca="1" si="5"/>
        <v>1.4250567125921179</v>
      </c>
      <c r="FG57" s="50">
        <f t="shared" ca="1" si="6"/>
        <v>1.4188795302013424</v>
      </c>
      <c r="FH57" s="50">
        <f t="shared" ca="1" si="7"/>
        <v>1.4125036912751678</v>
      </c>
      <c r="FK57" s="50">
        <f t="shared" ca="1" si="8"/>
        <v>1.4250567125921179</v>
      </c>
      <c r="FL57" s="50"/>
      <c r="FM57" s="50"/>
      <c r="FN57" s="50"/>
    </row>
    <row r="58" spans="2:170" ht="17.100000000000001" customHeight="1">
      <c r="B58" s="119"/>
      <c r="C58" s="522"/>
      <c r="D58" s="523"/>
      <c r="E58" s="523"/>
      <c r="F58" s="523"/>
      <c r="G58" s="523"/>
      <c r="H58" s="523"/>
      <c r="I58" s="523"/>
      <c r="J58" s="523"/>
      <c r="K58" s="523"/>
      <c r="L58" s="523"/>
      <c r="M58" s="523"/>
      <c r="N58" s="523"/>
      <c r="O58" s="523"/>
      <c r="P58" s="523"/>
      <c r="Q58" s="523"/>
      <c r="R58" s="523"/>
      <c r="S58" s="523"/>
      <c r="T58" s="523"/>
      <c r="U58" s="523"/>
      <c r="V58" s="523"/>
      <c r="W58" s="523"/>
      <c r="X58" s="523"/>
      <c r="Y58" s="523"/>
      <c r="Z58" s="523"/>
      <c r="AA58" s="524"/>
      <c r="AB58" s="121"/>
      <c r="AC58" s="27"/>
      <c r="AD58" s="28"/>
      <c r="AE58" s="28"/>
      <c r="AG58" s="71"/>
      <c r="AH58" s="70"/>
      <c r="AI58" s="542" t="b">
        <f>IF(Database!O9=1,TRUE,FALSE)</f>
        <v>1</v>
      </c>
      <c r="AJ58" s="542"/>
      <c r="AK58" s="79"/>
      <c r="AL58" s="542" t="b">
        <f>AND(Database!O9=2,Database!O14=1)</f>
        <v>0</v>
      </c>
      <c r="AM58" s="542"/>
      <c r="AN58" s="79"/>
      <c r="AO58" s="542" t="b">
        <f>AND(Database!O9=2,Database!O14=2)</f>
        <v>0</v>
      </c>
      <c r="AP58" s="542"/>
      <c r="AQ58" s="70"/>
      <c r="AR58" s="70"/>
      <c r="AS58" s="70"/>
      <c r="AT58" s="80"/>
      <c r="AW58" s="46">
        <v>4.4669999999999996</v>
      </c>
      <c r="AX58" s="49">
        <v>0.75949999999999995</v>
      </c>
      <c r="AY58" s="49">
        <v>0.76790000000000003</v>
      </c>
      <c r="AZ58" s="49">
        <v>0.7762</v>
      </c>
      <c r="BA58" s="49">
        <v>0.78459999999999996</v>
      </c>
      <c r="BB58" s="49">
        <v>0.79300000000000004</v>
      </c>
      <c r="BC58" s="49">
        <v>0.80130000000000001</v>
      </c>
      <c r="BD58" s="49">
        <v>0.80969999999999998</v>
      </c>
      <c r="BE58" s="49">
        <v>0.81810000000000005</v>
      </c>
      <c r="BF58" s="49">
        <v>0.82640000000000002</v>
      </c>
      <c r="BG58" s="49">
        <v>0.83479999999999999</v>
      </c>
      <c r="BH58" s="49">
        <v>0.84319999999999995</v>
      </c>
      <c r="BI58" s="49">
        <v>0.85160000000000002</v>
      </c>
      <c r="BJ58" s="49">
        <v>0.86</v>
      </c>
      <c r="BK58" s="49">
        <v>0.86829999999999996</v>
      </c>
      <c r="BL58" s="49">
        <v>0.87670000000000003</v>
      </c>
      <c r="BM58" s="49">
        <v>0.8851</v>
      </c>
      <c r="BN58" s="49">
        <v>0.89349999999999996</v>
      </c>
      <c r="BO58" s="49">
        <v>0.90190000000000003</v>
      </c>
      <c r="BP58" s="49">
        <v>0.9103</v>
      </c>
      <c r="BQ58" s="49">
        <v>0.91869999999999996</v>
      </c>
      <c r="BR58" s="49">
        <v>0.92710000000000004</v>
      </c>
      <c r="BS58" s="49">
        <v>0.93559999999999999</v>
      </c>
      <c r="BT58" s="49">
        <v>0.94399999999999995</v>
      </c>
      <c r="BU58" s="49">
        <v>0.95240000000000002</v>
      </c>
      <c r="BV58" s="49">
        <v>0.96079999999999999</v>
      </c>
      <c r="BW58" s="49">
        <v>0.96930000000000005</v>
      </c>
      <c r="BX58" s="49">
        <v>0.97770000000000001</v>
      </c>
      <c r="BY58" s="49">
        <v>0.98619999999999997</v>
      </c>
      <c r="BZ58" s="49">
        <v>0.99460000000000004</v>
      </c>
      <c r="CA58" s="49">
        <v>1.0031000000000001</v>
      </c>
      <c r="CB58" s="49">
        <v>1.0115000000000001</v>
      </c>
      <c r="CC58" s="49">
        <v>1.02</v>
      </c>
      <c r="CD58" s="49">
        <v>1.0285</v>
      </c>
      <c r="CE58" s="49">
        <v>1.0369999999999999</v>
      </c>
      <c r="CF58" s="49">
        <v>1.0455000000000001</v>
      </c>
      <c r="CG58" s="49">
        <v>1.054</v>
      </c>
      <c r="CH58" s="49">
        <v>1.0625</v>
      </c>
      <c r="CI58" s="49">
        <v>1.071</v>
      </c>
      <c r="CJ58" s="49">
        <v>1.0794999999999999</v>
      </c>
      <c r="CK58" s="49">
        <v>1.0881000000000001</v>
      </c>
      <c r="CL58" s="49">
        <v>1.0966</v>
      </c>
      <c r="CM58" s="49">
        <v>1.1052</v>
      </c>
      <c r="CN58" s="49">
        <v>1.1136999999999999</v>
      </c>
      <c r="CO58" s="49">
        <v>1.1223000000000001</v>
      </c>
      <c r="CP58" s="49">
        <v>1.1309</v>
      </c>
      <c r="CQ58" s="49">
        <v>1.1395</v>
      </c>
      <c r="CR58" s="49">
        <v>1.1482000000000001</v>
      </c>
      <c r="CS58" s="49">
        <v>1.1568000000000001</v>
      </c>
      <c r="CT58" s="49">
        <v>1.1655</v>
      </c>
      <c r="CU58" s="49">
        <v>1.1740999999999999</v>
      </c>
      <c r="CV58" s="49">
        <v>1.1828000000000001</v>
      </c>
      <c r="CW58" s="49">
        <v>1.1915</v>
      </c>
      <c r="CX58" s="49">
        <v>1.2001999999999999</v>
      </c>
      <c r="CY58" s="49">
        <v>1.2090000000000001</v>
      </c>
      <c r="CZ58" s="49">
        <v>1.2177</v>
      </c>
      <c r="DA58" s="49">
        <v>1.2264999999999999</v>
      </c>
      <c r="DB58" s="49">
        <v>1.2353000000000001</v>
      </c>
      <c r="DC58" s="49">
        <v>1.2441</v>
      </c>
      <c r="DD58" s="49">
        <v>1.2529999999999999</v>
      </c>
      <c r="DE58" s="49">
        <v>1.2618</v>
      </c>
      <c r="DF58" s="49">
        <v>1.2706999999999999</v>
      </c>
      <c r="DG58" s="49">
        <v>1.2797000000000001</v>
      </c>
      <c r="DH58" s="49">
        <v>1.2886</v>
      </c>
      <c r="DI58" s="49">
        <v>1.2976000000000001</v>
      </c>
      <c r="DJ58" s="49">
        <v>1.3066</v>
      </c>
      <c r="DK58" s="49">
        <v>1.3156000000000001</v>
      </c>
      <c r="DL58" s="49">
        <v>1.3247</v>
      </c>
      <c r="DM58" s="49">
        <v>1.3338000000000001</v>
      </c>
      <c r="DN58" s="49">
        <v>1.343</v>
      </c>
      <c r="DO58" s="49">
        <v>1.3522000000000001</v>
      </c>
      <c r="DP58" s="49">
        <v>1.3613999999999999</v>
      </c>
      <c r="DQ58" s="49">
        <v>1.3707</v>
      </c>
      <c r="DR58" s="49">
        <v>1.38</v>
      </c>
      <c r="DS58" s="49">
        <v>1.3893</v>
      </c>
      <c r="DT58" s="49">
        <v>1.3988</v>
      </c>
      <c r="DU58" s="49">
        <v>1.4081999999999999</v>
      </c>
      <c r="DV58" s="49">
        <v>1.4177</v>
      </c>
      <c r="DW58" s="49">
        <v>1.4273</v>
      </c>
      <c r="DX58" s="49">
        <v>1.4369000000000001</v>
      </c>
      <c r="DY58" s="49">
        <v>1.4466000000000001</v>
      </c>
      <c r="DZ58" s="49">
        <v>1.4563999999999999</v>
      </c>
      <c r="EA58" s="49">
        <v>1.4661999999999999</v>
      </c>
      <c r="EB58" s="49">
        <v>1.4761</v>
      </c>
      <c r="EC58" s="49">
        <v>1.486</v>
      </c>
      <c r="ED58" s="49">
        <v>1.496</v>
      </c>
      <c r="EE58" s="49">
        <v>1.5062</v>
      </c>
      <c r="EF58" s="49">
        <v>1.5163</v>
      </c>
      <c r="EG58" s="49">
        <v>1.5266</v>
      </c>
      <c r="EH58" s="49">
        <v>1.5369999999999999</v>
      </c>
      <c r="EI58" s="49">
        <v>1.5474000000000001</v>
      </c>
      <c r="EJ58" s="49">
        <v>1.5580000000000001</v>
      </c>
      <c r="EK58" s="49">
        <v>1.5687</v>
      </c>
      <c r="EL58" s="49">
        <v>1.5793999999999999</v>
      </c>
      <c r="EM58" s="49">
        <v>1.5903</v>
      </c>
      <c r="EN58" s="49">
        <v>1.6012999999999999</v>
      </c>
      <c r="EO58" s="49">
        <v>1.6124000000000001</v>
      </c>
      <c r="EP58" s="49">
        <v>1.6235999999999999</v>
      </c>
      <c r="EQ58" s="49">
        <v>1.635</v>
      </c>
      <c r="ER58" s="49">
        <v>1.6465000000000001</v>
      </c>
      <c r="ES58" s="49">
        <v>1.6580999999999999</v>
      </c>
      <c r="ET58" s="49">
        <v>1.6698999999999999</v>
      </c>
      <c r="EU58" s="49">
        <v>1.6819</v>
      </c>
      <c r="EV58" s="49">
        <v>1.694</v>
      </c>
      <c r="EW58" s="49">
        <v>1.7061999999999999</v>
      </c>
      <c r="EX58" s="49">
        <v>1.7186999999999999</v>
      </c>
      <c r="EY58" s="49">
        <v>1.7313000000000001</v>
      </c>
      <c r="EZ58" s="49">
        <v>1.7441</v>
      </c>
      <c r="FA58" s="49">
        <v>1.7571000000000001</v>
      </c>
      <c r="FB58" s="49">
        <v>1.7703</v>
      </c>
      <c r="FC58" s="49">
        <v>1.7837000000000001</v>
      </c>
      <c r="FE58" s="50">
        <f t="shared" ca="1" si="4"/>
        <v>1.4292176506576937</v>
      </c>
      <c r="FF58" s="50">
        <f t="shared" ca="1" si="5"/>
        <v>1.4231567125921178</v>
      </c>
      <c r="FG58" s="50">
        <f t="shared" ca="1" si="6"/>
        <v>1.4169795302013424</v>
      </c>
      <c r="FH58" s="50">
        <f t="shared" ca="1" si="7"/>
        <v>1.4106036912751678</v>
      </c>
      <c r="FK58" s="50">
        <f t="shared" ca="1" si="8"/>
        <v>1.4231567125921178</v>
      </c>
      <c r="FL58" s="50"/>
      <c r="FM58" s="50"/>
      <c r="FN58" s="50"/>
    </row>
    <row r="59" spans="2:170" ht="17.100000000000001" customHeight="1" thickBot="1">
      <c r="B59" s="119"/>
      <c r="C59" s="604"/>
      <c r="D59" s="605"/>
      <c r="E59" s="605"/>
      <c r="F59" s="605"/>
      <c r="G59" s="605"/>
      <c r="H59" s="605"/>
      <c r="I59" s="605"/>
      <c r="J59" s="605"/>
      <c r="K59" s="605"/>
      <c r="L59" s="605"/>
      <c r="M59" s="605"/>
      <c r="N59" s="605"/>
      <c r="O59" s="605"/>
      <c r="P59" s="605"/>
      <c r="Q59" s="605"/>
      <c r="R59" s="605"/>
      <c r="S59" s="605"/>
      <c r="T59" s="605"/>
      <c r="U59" s="605"/>
      <c r="V59" s="605"/>
      <c r="W59" s="605"/>
      <c r="X59" s="605"/>
      <c r="Y59" s="605"/>
      <c r="Z59" s="605"/>
      <c r="AA59" s="606"/>
      <c r="AB59" s="120"/>
      <c r="AC59" s="27"/>
      <c r="AD59" s="28"/>
      <c r="AE59" s="28"/>
      <c r="AG59" s="81"/>
      <c r="AH59" s="70"/>
      <c r="AI59" s="82" t="s">
        <v>74</v>
      </c>
      <c r="AJ59" s="429" t="s">
        <v>75</v>
      </c>
      <c r="AK59" s="70"/>
      <c r="AL59" s="82" t="s">
        <v>74</v>
      </c>
      <c r="AM59" s="429" t="s">
        <v>75</v>
      </c>
      <c r="AN59" s="70"/>
      <c r="AO59" s="82" t="s">
        <v>74</v>
      </c>
      <c r="AP59" s="429" t="s">
        <v>75</v>
      </c>
      <c r="AQ59" s="70"/>
      <c r="AR59" s="70"/>
      <c r="AS59" s="70"/>
      <c r="AT59" s="80"/>
      <c r="AW59" s="46">
        <v>4.7859999999999996</v>
      </c>
      <c r="AX59" s="49">
        <v>0.75849999999999995</v>
      </c>
      <c r="AY59" s="49">
        <v>0.76680000000000004</v>
      </c>
      <c r="AZ59" s="49">
        <v>0.7752</v>
      </c>
      <c r="BA59" s="49">
        <v>0.78349999999999997</v>
      </c>
      <c r="BB59" s="49">
        <v>0.79190000000000005</v>
      </c>
      <c r="BC59" s="49">
        <v>0.80030000000000001</v>
      </c>
      <c r="BD59" s="49">
        <v>0.80859999999999999</v>
      </c>
      <c r="BE59" s="49">
        <v>0.81699999999999995</v>
      </c>
      <c r="BF59" s="49">
        <v>0.82530000000000003</v>
      </c>
      <c r="BG59" s="49">
        <v>0.8337</v>
      </c>
      <c r="BH59" s="49">
        <v>0.84209999999999996</v>
      </c>
      <c r="BI59" s="49">
        <v>0.85040000000000004</v>
      </c>
      <c r="BJ59" s="49">
        <v>0.85880000000000001</v>
      </c>
      <c r="BK59" s="49">
        <v>0.86719999999999997</v>
      </c>
      <c r="BL59" s="49">
        <v>0.87560000000000004</v>
      </c>
      <c r="BM59" s="49">
        <v>0.88390000000000002</v>
      </c>
      <c r="BN59" s="49">
        <v>0.89229999999999998</v>
      </c>
      <c r="BO59" s="49">
        <v>0.90069999999999995</v>
      </c>
      <c r="BP59" s="49">
        <v>0.90910000000000002</v>
      </c>
      <c r="BQ59" s="49">
        <v>0.91749999999999998</v>
      </c>
      <c r="BR59" s="49">
        <v>0.92589999999999995</v>
      </c>
      <c r="BS59" s="49">
        <v>0.93430000000000002</v>
      </c>
      <c r="BT59" s="49">
        <v>0.94269999999999998</v>
      </c>
      <c r="BU59" s="49">
        <v>0.95109999999999995</v>
      </c>
      <c r="BV59" s="49">
        <v>0.95950000000000002</v>
      </c>
      <c r="BW59" s="49">
        <v>0.96799999999999997</v>
      </c>
      <c r="BX59" s="49">
        <v>0.97640000000000005</v>
      </c>
      <c r="BY59" s="49">
        <v>0.98480000000000001</v>
      </c>
      <c r="BZ59" s="49">
        <v>0.99329999999999996</v>
      </c>
      <c r="CA59" s="49">
        <v>1.0017</v>
      </c>
      <c r="CB59" s="49">
        <v>1.0102</v>
      </c>
      <c r="CC59" s="49">
        <v>1.0185999999999999</v>
      </c>
      <c r="CD59" s="49">
        <v>1.0270999999999999</v>
      </c>
      <c r="CE59" s="49">
        <v>1.0356000000000001</v>
      </c>
      <c r="CF59" s="49">
        <v>1.0441</v>
      </c>
      <c r="CG59" s="49">
        <v>1.0526</v>
      </c>
      <c r="CH59" s="49">
        <v>1.0610999999999999</v>
      </c>
      <c r="CI59" s="49">
        <v>1.0696000000000001</v>
      </c>
      <c r="CJ59" s="49">
        <v>1.0781000000000001</v>
      </c>
      <c r="CK59" s="49">
        <v>1.0866</v>
      </c>
      <c r="CL59" s="49">
        <v>1.0951</v>
      </c>
      <c r="CM59" s="49">
        <v>1.1036999999999999</v>
      </c>
      <c r="CN59" s="49">
        <v>1.1123000000000001</v>
      </c>
      <c r="CO59" s="49">
        <v>1.1208</v>
      </c>
      <c r="CP59" s="49">
        <v>1.1294</v>
      </c>
      <c r="CQ59" s="49">
        <v>1.1379999999999999</v>
      </c>
      <c r="CR59" s="49">
        <v>1.1466000000000001</v>
      </c>
      <c r="CS59" s="49">
        <v>1.1553</v>
      </c>
      <c r="CT59" s="49">
        <v>1.1638999999999999</v>
      </c>
      <c r="CU59" s="49">
        <v>1.1726000000000001</v>
      </c>
      <c r="CV59" s="49">
        <v>1.1812</v>
      </c>
      <c r="CW59" s="49">
        <v>1.1899</v>
      </c>
      <c r="CX59" s="49">
        <v>1.1986000000000001</v>
      </c>
      <c r="CY59" s="49">
        <v>1.2073</v>
      </c>
      <c r="CZ59" s="49">
        <v>1.2161</v>
      </c>
      <c r="DA59" s="49">
        <v>1.2249000000000001</v>
      </c>
      <c r="DB59" s="49">
        <v>1.2336</v>
      </c>
      <c r="DC59" s="49">
        <v>1.2424999999999999</v>
      </c>
      <c r="DD59" s="49">
        <v>1.2513000000000001</v>
      </c>
      <c r="DE59" s="49">
        <v>1.2601</v>
      </c>
      <c r="DF59" s="49">
        <v>1.2689999999999999</v>
      </c>
      <c r="DG59" s="49">
        <v>1.2779</v>
      </c>
      <c r="DH59" s="49">
        <v>1.2868999999999999</v>
      </c>
      <c r="DI59" s="49">
        <v>1.2959000000000001</v>
      </c>
      <c r="DJ59" s="49">
        <v>1.3048999999999999</v>
      </c>
      <c r="DK59" s="49">
        <v>1.3139000000000001</v>
      </c>
      <c r="DL59" s="49">
        <v>1.3229</v>
      </c>
      <c r="DM59" s="49">
        <v>1.3320000000000001</v>
      </c>
      <c r="DN59" s="49">
        <v>1.3411999999999999</v>
      </c>
      <c r="DO59" s="49">
        <v>1.3504</v>
      </c>
      <c r="DP59" s="49">
        <v>1.3595999999999999</v>
      </c>
      <c r="DQ59" s="49">
        <v>1.3688</v>
      </c>
      <c r="DR59" s="49">
        <v>1.3781000000000001</v>
      </c>
      <c r="DS59" s="49">
        <v>1.3875</v>
      </c>
      <c r="DT59" s="49">
        <v>1.3969</v>
      </c>
      <c r="DU59" s="49">
        <v>1.4063000000000001</v>
      </c>
      <c r="DV59" s="49">
        <v>1.4157999999999999</v>
      </c>
      <c r="DW59" s="49">
        <v>1.4254</v>
      </c>
      <c r="DX59" s="49">
        <v>1.4350000000000001</v>
      </c>
      <c r="DY59" s="49">
        <v>1.4447000000000001</v>
      </c>
      <c r="DZ59" s="49">
        <v>1.4543999999999999</v>
      </c>
      <c r="EA59" s="49">
        <v>1.4641999999999999</v>
      </c>
      <c r="EB59" s="49">
        <v>1.4741</v>
      </c>
      <c r="EC59" s="49">
        <v>1.484</v>
      </c>
      <c r="ED59" s="49">
        <v>1.494</v>
      </c>
      <c r="EE59" s="49">
        <v>1.5041</v>
      </c>
      <c r="EF59" s="49">
        <v>1.5143</v>
      </c>
      <c r="EG59" s="49">
        <v>1.5246</v>
      </c>
      <c r="EH59" s="49">
        <v>1.5348999999999999</v>
      </c>
      <c r="EI59" s="49">
        <v>1.5454000000000001</v>
      </c>
      <c r="EJ59" s="49">
        <v>1.5559000000000001</v>
      </c>
      <c r="EK59" s="49">
        <v>1.5666</v>
      </c>
      <c r="EL59" s="49">
        <v>1.5772999999999999</v>
      </c>
      <c r="EM59" s="49">
        <v>1.5882000000000001</v>
      </c>
      <c r="EN59" s="49">
        <v>1.5991</v>
      </c>
      <c r="EO59" s="49">
        <v>1.6102000000000001</v>
      </c>
      <c r="EP59" s="49">
        <v>1.6214999999999999</v>
      </c>
      <c r="EQ59" s="49">
        <v>1.6328</v>
      </c>
      <c r="ER59" s="49">
        <v>1.6443000000000001</v>
      </c>
      <c r="ES59" s="49">
        <v>1.6558999999999999</v>
      </c>
      <c r="ET59" s="49">
        <v>1.6677</v>
      </c>
      <c r="EU59" s="49">
        <v>1.6796</v>
      </c>
      <c r="EV59" s="49">
        <v>1.6917</v>
      </c>
      <c r="EW59" s="49">
        <v>1.704</v>
      </c>
      <c r="EX59" s="49">
        <v>1.7163999999999999</v>
      </c>
      <c r="EY59" s="49">
        <v>1.7290000000000001</v>
      </c>
      <c r="EZ59" s="49">
        <v>1.7418</v>
      </c>
      <c r="FA59" s="49">
        <v>1.7546999999999999</v>
      </c>
      <c r="FB59" s="49">
        <v>1.7679</v>
      </c>
      <c r="FC59" s="49">
        <v>1.7813000000000001</v>
      </c>
      <c r="FE59" s="50">
        <f t="shared" ca="1" si="4"/>
        <v>1.4273176506576937</v>
      </c>
      <c r="FF59" s="50">
        <f t="shared" ca="1" si="5"/>
        <v>1.4212567125921178</v>
      </c>
      <c r="FG59" s="50">
        <f t="shared" ca="1" si="6"/>
        <v>1.4150795302013421</v>
      </c>
      <c r="FH59" s="50">
        <f t="shared" ca="1" si="7"/>
        <v>1.4087036912751676</v>
      </c>
      <c r="FK59" s="50">
        <f t="shared" ca="1" si="8"/>
        <v>1.4212567125921178</v>
      </c>
      <c r="FL59" s="50"/>
      <c r="FM59" s="50"/>
      <c r="FN59" s="50"/>
    </row>
    <row r="60" spans="2:170" ht="17.100000000000001" customHeight="1" thickBot="1">
      <c r="B60" s="119"/>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120"/>
      <c r="AC60" s="27"/>
      <c r="AD60" s="28"/>
      <c r="AE60" s="28"/>
      <c r="AG60" s="69"/>
      <c r="AH60" s="83" t="s">
        <v>82</v>
      </c>
      <c r="AI60" s="84" t="b">
        <f>AND(Z11/Z12&gt;=-1.5,Z11/Z12&lt;=0,0&lt;=AN23/Z16,AN23/Z16&lt;=2)</f>
        <v>1</v>
      </c>
      <c r="AJ60" s="82" t="b">
        <f>OR(Z11/Z12&lt;-1.5,AN23/Z16&gt;2)</f>
        <v>0</v>
      </c>
      <c r="AK60" s="85"/>
      <c r="AL60" s="429" t="b">
        <f>AND(0.1&lt;=Z11/Z16,Z11/Z16&lt;=3.5,0&lt;=AN23/Z16,AN23/Z16&lt;=2)</f>
        <v>0</v>
      </c>
      <c r="AM60" s="429" t="b">
        <f>AND(0&lt;=Z11/Z16,Z11/Z16&lt;=0.1)</f>
        <v>0</v>
      </c>
      <c r="AN60" s="70"/>
      <c r="AO60" s="70" t="b">
        <f>AND(0&lt;=Z11/Z13,Z11/Z13&lt;=2,0&lt;=AN23/Z16,AN23/Z16&lt;=2)</f>
        <v>0</v>
      </c>
      <c r="AP60" s="70" t="b">
        <f>OR(Z11/Z13&gt;2,AN23/Z16&gt;2)</f>
        <v>0</v>
      </c>
      <c r="AQ60" s="70"/>
      <c r="AR60" s="430" t="s">
        <v>85</v>
      </c>
      <c r="AS60" s="86" t="s">
        <v>64</v>
      </c>
      <c r="AT60" s="87">
        <f>VLOOKUP(1,AR61:AS66,2,FALSE)</f>
        <v>8.3730100819785283E-2</v>
      </c>
      <c r="AW60" s="46">
        <v>5.1289999999999996</v>
      </c>
      <c r="AX60" s="49">
        <v>0.75749999999999995</v>
      </c>
      <c r="AY60" s="49">
        <v>0.76580000000000004</v>
      </c>
      <c r="AZ60" s="49">
        <v>0.7742</v>
      </c>
      <c r="BA60" s="49">
        <v>0.78249999999999997</v>
      </c>
      <c r="BB60" s="49">
        <v>0.79090000000000005</v>
      </c>
      <c r="BC60" s="49">
        <v>0.79920000000000002</v>
      </c>
      <c r="BD60" s="49">
        <v>0.8075</v>
      </c>
      <c r="BE60" s="49">
        <v>0.81589999999999996</v>
      </c>
      <c r="BF60" s="49">
        <v>0.82420000000000004</v>
      </c>
      <c r="BG60" s="49">
        <v>0.83260000000000001</v>
      </c>
      <c r="BH60" s="49">
        <v>0.84089999999999998</v>
      </c>
      <c r="BI60" s="49">
        <v>0.84930000000000005</v>
      </c>
      <c r="BJ60" s="49">
        <v>0.85770000000000002</v>
      </c>
      <c r="BK60" s="49">
        <v>0.86599999999999999</v>
      </c>
      <c r="BL60" s="49">
        <v>0.87439999999999996</v>
      </c>
      <c r="BM60" s="49">
        <v>0.88280000000000003</v>
      </c>
      <c r="BN60" s="49">
        <v>0.8911</v>
      </c>
      <c r="BO60" s="49">
        <v>0.89949999999999997</v>
      </c>
      <c r="BP60" s="49">
        <v>0.90790000000000004</v>
      </c>
      <c r="BQ60" s="49">
        <v>0.9163</v>
      </c>
      <c r="BR60" s="49">
        <v>0.92469999999999997</v>
      </c>
      <c r="BS60" s="49">
        <v>0.93310000000000004</v>
      </c>
      <c r="BT60" s="49">
        <v>0.9415</v>
      </c>
      <c r="BU60" s="49">
        <v>0.94989999999999997</v>
      </c>
      <c r="BV60" s="49">
        <v>0.95830000000000004</v>
      </c>
      <c r="BW60" s="49">
        <v>0.9667</v>
      </c>
      <c r="BX60" s="49">
        <v>0.97509999999999997</v>
      </c>
      <c r="BY60" s="49">
        <v>0.98350000000000004</v>
      </c>
      <c r="BZ60" s="49">
        <v>0.99199999999999999</v>
      </c>
      <c r="CA60" s="49">
        <v>1.0004</v>
      </c>
      <c r="CB60" s="49">
        <v>1.0087999999999999</v>
      </c>
      <c r="CC60" s="49">
        <v>1.0173000000000001</v>
      </c>
      <c r="CD60" s="49">
        <v>1.0257000000000001</v>
      </c>
      <c r="CE60" s="49">
        <v>1.0342</v>
      </c>
      <c r="CF60" s="49">
        <v>1.0427</v>
      </c>
      <c r="CG60" s="49">
        <v>1.0511999999999999</v>
      </c>
      <c r="CH60" s="49">
        <v>1.0597000000000001</v>
      </c>
      <c r="CI60" s="49">
        <v>1.0681</v>
      </c>
      <c r="CJ60" s="49">
        <v>1.0767</v>
      </c>
      <c r="CK60" s="49">
        <v>1.0851999999999999</v>
      </c>
      <c r="CL60" s="49">
        <v>1.0936999999999999</v>
      </c>
      <c r="CM60" s="49">
        <v>1.1022000000000001</v>
      </c>
      <c r="CN60" s="49">
        <v>1.1108</v>
      </c>
      <c r="CO60" s="49">
        <v>1.1194</v>
      </c>
      <c r="CP60" s="49">
        <v>1.1278999999999999</v>
      </c>
      <c r="CQ60" s="49">
        <v>1.1365000000000001</v>
      </c>
      <c r="CR60" s="49">
        <v>1.1451</v>
      </c>
      <c r="CS60" s="49">
        <v>1.1536999999999999</v>
      </c>
      <c r="CT60" s="49">
        <v>1.1624000000000001</v>
      </c>
      <c r="CU60" s="49">
        <v>1.171</v>
      </c>
      <c r="CV60" s="49">
        <v>1.1797</v>
      </c>
      <c r="CW60" s="49">
        <v>1.1882999999999999</v>
      </c>
      <c r="CX60" s="49">
        <v>1.1970000000000001</v>
      </c>
      <c r="CY60" s="49">
        <v>1.2058</v>
      </c>
      <c r="CZ60" s="49">
        <v>1.2144999999999999</v>
      </c>
      <c r="DA60" s="49">
        <v>1.2232000000000001</v>
      </c>
      <c r="DB60" s="49">
        <v>1.232</v>
      </c>
      <c r="DC60" s="49">
        <v>1.2407999999999999</v>
      </c>
      <c r="DD60" s="49">
        <v>1.2496</v>
      </c>
      <c r="DE60" s="49">
        <v>1.2585</v>
      </c>
      <c r="DF60" s="49">
        <v>1.2674000000000001</v>
      </c>
      <c r="DG60" s="49">
        <v>1.2763</v>
      </c>
      <c r="DH60" s="49">
        <v>1.2851999999999999</v>
      </c>
      <c r="DI60" s="49">
        <v>1.2941</v>
      </c>
      <c r="DJ60" s="49">
        <v>1.3030999999999999</v>
      </c>
      <c r="DK60" s="49">
        <v>1.3121</v>
      </c>
      <c r="DL60" s="49">
        <v>1.3211999999999999</v>
      </c>
      <c r="DM60" s="49">
        <v>1.3303</v>
      </c>
      <c r="DN60" s="49">
        <v>1.3393999999999999</v>
      </c>
      <c r="DO60" s="49">
        <v>1.3486</v>
      </c>
      <c r="DP60" s="49">
        <v>1.3577999999999999</v>
      </c>
      <c r="DQ60" s="49">
        <v>1.367</v>
      </c>
      <c r="DR60" s="49">
        <v>1.3763000000000001</v>
      </c>
      <c r="DS60" s="49">
        <v>1.3856999999999999</v>
      </c>
      <c r="DT60" s="49">
        <v>1.395</v>
      </c>
      <c r="DU60" s="49">
        <v>1.4045000000000001</v>
      </c>
      <c r="DV60" s="49">
        <v>1.4139999999999999</v>
      </c>
      <c r="DW60" s="49">
        <v>1.4235</v>
      </c>
      <c r="DX60" s="49">
        <v>1.4331</v>
      </c>
      <c r="DY60" s="49">
        <v>1.4428000000000001</v>
      </c>
      <c r="DZ60" s="49">
        <v>1.4524999999999999</v>
      </c>
      <c r="EA60" s="49">
        <v>1.4622999999999999</v>
      </c>
      <c r="EB60" s="49">
        <v>1.4721</v>
      </c>
      <c r="EC60" s="49">
        <v>1.4821</v>
      </c>
      <c r="ED60" s="49">
        <v>1.4921</v>
      </c>
      <c r="EE60" s="49">
        <v>1.5022</v>
      </c>
      <c r="EF60" s="49">
        <v>1.5123</v>
      </c>
      <c r="EG60" s="49">
        <v>1.5226</v>
      </c>
      <c r="EH60" s="49">
        <v>1.5328999999999999</v>
      </c>
      <c r="EI60" s="49">
        <v>1.5432999999999999</v>
      </c>
      <c r="EJ60" s="49">
        <v>1.5539000000000001</v>
      </c>
      <c r="EK60" s="49">
        <v>1.5645</v>
      </c>
      <c r="EL60" s="49">
        <v>1.5751999999999999</v>
      </c>
      <c r="EM60" s="49">
        <v>1.5861000000000001</v>
      </c>
      <c r="EN60" s="49">
        <v>1.597</v>
      </c>
      <c r="EO60" s="49">
        <v>1.6081000000000001</v>
      </c>
      <c r="EP60" s="49">
        <v>1.6193</v>
      </c>
      <c r="EQ60" s="49">
        <v>1.6307</v>
      </c>
      <c r="ER60" s="49">
        <v>1.6420999999999999</v>
      </c>
      <c r="ES60" s="49">
        <v>1.6536999999999999</v>
      </c>
      <c r="ET60" s="49">
        <v>1.6655</v>
      </c>
      <c r="EU60" s="49">
        <v>1.6774</v>
      </c>
      <c r="EV60" s="49">
        <v>1.6895</v>
      </c>
      <c r="EW60" s="49">
        <v>1.7017</v>
      </c>
      <c r="EX60" s="49">
        <v>1.7141</v>
      </c>
      <c r="EY60" s="49">
        <v>1.7266999999999999</v>
      </c>
      <c r="EZ60" s="49">
        <v>1.7395</v>
      </c>
      <c r="FA60" s="49">
        <v>1.7524</v>
      </c>
      <c r="FB60" s="49">
        <v>1.7656000000000001</v>
      </c>
      <c r="FC60" s="49">
        <v>1.7788999999999999</v>
      </c>
      <c r="FE60" s="50">
        <f t="shared" ca="1" si="4"/>
        <v>1.4254176506576937</v>
      </c>
      <c r="FF60" s="50">
        <f t="shared" ca="1" si="5"/>
        <v>1.41939987183595</v>
      </c>
      <c r="FG60" s="50">
        <f t="shared" ca="1" si="6"/>
        <v>1.4132795302013423</v>
      </c>
      <c r="FH60" s="50">
        <f t="shared" ca="1" si="7"/>
        <v>1.4069036912751678</v>
      </c>
      <c r="FK60" s="50">
        <f t="shared" ca="1" si="8"/>
        <v>1.41939987183595</v>
      </c>
      <c r="FL60" s="50"/>
      <c r="FM60" s="50"/>
      <c r="FN60" s="50"/>
    </row>
    <row r="61" spans="2:170" ht="17.100000000000001" customHeight="1" thickBot="1">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409" t="s">
        <v>395</v>
      </c>
      <c r="AB61" s="126"/>
      <c r="AC61" s="27"/>
      <c r="AD61" s="28"/>
      <c r="AE61" s="28"/>
      <c r="AG61" s="69"/>
      <c r="AH61" s="88"/>
      <c r="AI61" s="88"/>
      <c r="AJ61" s="70"/>
      <c r="AK61" s="70"/>
      <c r="AL61" s="429"/>
      <c r="AM61" s="429" t="b">
        <f>OR(AN23/Z13&gt;3.5,AN23/Z16&gt;2)</f>
        <v>0</v>
      </c>
      <c r="AN61" s="70"/>
      <c r="AO61" s="70"/>
      <c r="AP61" s="70"/>
      <c r="AQ61" s="70"/>
      <c r="AR61" s="430">
        <f>IF(AI65=TRUE,1,0)</f>
        <v>1</v>
      </c>
      <c r="AS61" s="89">
        <f>+AI66</f>
        <v>8.3730100819785283E-2</v>
      </c>
      <c r="AT61" s="80"/>
      <c r="AW61" s="46">
        <v>5.4950000000000001</v>
      </c>
      <c r="AX61" s="49">
        <v>0.75649999999999995</v>
      </c>
      <c r="AY61" s="49">
        <v>0.76480000000000004</v>
      </c>
      <c r="AZ61" s="49">
        <v>0.7732</v>
      </c>
      <c r="BA61" s="49">
        <v>0.78149999999999997</v>
      </c>
      <c r="BB61" s="49">
        <v>0.78979999999999995</v>
      </c>
      <c r="BC61" s="49">
        <v>0.79820000000000002</v>
      </c>
      <c r="BD61" s="49">
        <v>0.80649999999999999</v>
      </c>
      <c r="BE61" s="49">
        <v>0.81479999999999997</v>
      </c>
      <c r="BF61" s="49">
        <v>0.82320000000000004</v>
      </c>
      <c r="BG61" s="49">
        <v>0.83150000000000002</v>
      </c>
      <c r="BH61" s="49">
        <v>0.83979999999999999</v>
      </c>
      <c r="BI61" s="49">
        <v>0.84819999999999995</v>
      </c>
      <c r="BJ61" s="49">
        <v>0.85650000000000004</v>
      </c>
      <c r="BK61" s="49">
        <v>0.8649</v>
      </c>
      <c r="BL61" s="49">
        <v>0.87329999999999997</v>
      </c>
      <c r="BM61" s="49">
        <v>0.88160000000000005</v>
      </c>
      <c r="BN61" s="49">
        <v>0.89</v>
      </c>
      <c r="BO61" s="49">
        <v>0.89829999999999999</v>
      </c>
      <c r="BP61" s="49">
        <v>0.90669999999999995</v>
      </c>
      <c r="BQ61" s="49">
        <v>0.91510000000000002</v>
      </c>
      <c r="BR61" s="49">
        <v>0.92349999999999999</v>
      </c>
      <c r="BS61" s="49">
        <v>0.93179999999999996</v>
      </c>
      <c r="BT61" s="49">
        <v>0.94020000000000004</v>
      </c>
      <c r="BU61" s="49">
        <v>0.9486</v>
      </c>
      <c r="BV61" s="49">
        <v>0.95699999999999996</v>
      </c>
      <c r="BW61" s="49">
        <v>0.96540000000000004</v>
      </c>
      <c r="BX61" s="49">
        <v>0.9738</v>
      </c>
      <c r="BY61" s="49">
        <v>0.98219999999999996</v>
      </c>
      <c r="BZ61" s="49">
        <v>0.99070000000000003</v>
      </c>
      <c r="CA61" s="49">
        <v>0.99909999999999999</v>
      </c>
      <c r="CB61" s="49">
        <v>1.0075000000000001</v>
      </c>
      <c r="CC61" s="49">
        <v>1.016</v>
      </c>
      <c r="CD61" s="49">
        <v>1.0244</v>
      </c>
      <c r="CE61" s="49">
        <v>1.0328999999999999</v>
      </c>
      <c r="CF61" s="49">
        <v>1.0412999999999999</v>
      </c>
      <c r="CG61" s="49">
        <v>1.0498000000000001</v>
      </c>
      <c r="CH61" s="49">
        <v>1.0583</v>
      </c>
      <c r="CI61" s="49">
        <v>1.0668</v>
      </c>
      <c r="CJ61" s="49">
        <v>1.0751999999999999</v>
      </c>
      <c r="CK61" s="49">
        <v>1.0838000000000001</v>
      </c>
      <c r="CL61" s="49">
        <v>1.0923</v>
      </c>
      <c r="CM61" s="49">
        <v>1.1008</v>
      </c>
      <c r="CN61" s="49">
        <v>1.1093</v>
      </c>
      <c r="CO61" s="49">
        <v>1.1178999999999999</v>
      </c>
      <c r="CP61" s="49">
        <v>1.1264000000000001</v>
      </c>
      <c r="CQ61" s="49">
        <v>1.135</v>
      </c>
      <c r="CR61" s="49">
        <v>1.1435999999999999</v>
      </c>
      <c r="CS61" s="49">
        <v>1.1521999999999999</v>
      </c>
      <c r="CT61" s="49">
        <v>1.1608000000000001</v>
      </c>
      <c r="CU61" s="49">
        <v>1.1695</v>
      </c>
      <c r="CV61" s="49">
        <v>1.1780999999999999</v>
      </c>
      <c r="CW61" s="49">
        <v>1.1868000000000001</v>
      </c>
      <c r="CX61" s="49">
        <v>1.1955</v>
      </c>
      <c r="CY61" s="49">
        <v>1.2041999999999999</v>
      </c>
      <c r="CZ61" s="49">
        <v>1.2129000000000001</v>
      </c>
      <c r="DA61" s="49">
        <v>1.2216</v>
      </c>
      <c r="DB61" s="49">
        <v>1.2303999999999999</v>
      </c>
      <c r="DC61" s="49">
        <v>1.2392000000000001</v>
      </c>
      <c r="DD61" s="49">
        <v>1.248</v>
      </c>
      <c r="DE61" s="49">
        <v>1.2567999999999999</v>
      </c>
      <c r="DF61" s="49">
        <v>1.2657</v>
      </c>
      <c r="DG61" s="49">
        <v>1.2746</v>
      </c>
      <c r="DH61" s="49">
        <v>1.2835000000000001</v>
      </c>
      <c r="DI61" s="49">
        <v>1.2924</v>
      </c>
      <c r="DJ61" s="49">
        <v>1.3013999999999999</v>
      </c>
      <c r="DK61" s="49">
        <v>1.3104</v>
      </c>
      <c r="DL61" s="49">
        <v>1.3194999999999999</v>
      </c>
      <c r="DM61" s="49">
        <v>1.3286</v>
      </c>
      <c r="DN61" s="49">
        <v>1.3376999999999999</v>
      </c>
      <c r="DO61" s="49">
        <v>1.3468</v>
      </c>
      <c r="DP61" s="49">
        <v>1.3560000000000001</v>
      </c>
      <c r="DQ61" s="49">
        <v>1.3652</v>
      </c>
      <c r="DR61" s="49">
        <v>1.3745000000000001</v>
      </c>
      <c r="DS61" s="49">
        <v>1.3837999999999999</v>
      </c>
      <c r="DT61" s="49">
        <v>1.3932</v>
      </c>
      <c r="DU61" s="49">
        <v>1.4026000000000001</v>
      </c>
      <c r="DV61" s="49">
        <v>1.4120999999999999</v>
      </c>
      <c r="DW61" s="49">
        <v>1.4216</v>
      </c>
      <c r="DX61" s="49">
        <v>1.4312</v>
      </c>
      <c r="DY61" s="49">
        <v>1.4409000000000001</v>
      </c>
      <c r="DZ61" s="49">
        <v>1.4505999999999999</v>
      </c>
      <c r="EA61" s="49">
        <v>1.4603999999999999</v>
      </c>
      <c r="EB61" s="49">
        <v>1.4702</v>
      </c>
      <c r="EC61" s="49">
        <v>1.4801</v>
      </c>
      <c r="ED61" s="49">
        <v>1.4901</v>
      </c>
      <c r="EE61" s="49">
        <v>1.5002</v>
      </c>
      <c r="EF61" s="49">
        <v>1.5103</v>
      </c>
      <c r="EG61" s="49">
        <v>1.5206</v>
      </c>
      <c r="EH61" s="49">
        <v>1.5308999999999999</v>
      </c>
      <c r="EI61" s="49">
        <v>1.5412999999999999</v>
      </c>
      <c r="EJ61" s="49">
        <v>1.5518000000000001</v>
      </c>
      <c r="EK61" s="49">
        <v>1.5625</v>
      </c>
      <c r="EL61" s="49">
        <v>1.5731999999999999</v>
      </c>
      <c r="EM61" s="49">
        <v>1.5840000000000001</v>
      </c>
      <c r="EN61" s="49">
        <v>1.5949</v>
      </c>
      <c r="EO61" s="49">
        <v>1.6060000000000001</v>
      </c>
      <c r="EP61" s="49">
        <v>1.6172</v>
      </c>
      <c r="EQ61" s="49">
        <v>1.6285000000000001</v>
      </c>
      <c r="ER61" s="49">
        <v>1.64</v>
      </c>
      <c r="ES61" s="49">
        <v>1.6516</v>
      </c>
      <c r="ET61" s="49">
        <v>1.6633</v>
      </c>
      <c r="EU61" s="49">
        <v>1.6752</v>
      </c>
      <c r="EV61" s="49">
        <v>1.6873</v>
      </c>
      <c r="EW61" s="49">
        <v>1.6995</v>
      </c>
      <c r="EX61" s="49">
        <v>1.7119</v>
      </c>
      <c r="EY61" s="49">
        <v>1.7243999999999999</v>
      </c>
      <c r="EZ61" s="49">
        <v>1.7372000000000001</v>
      </c>
      <c r="FA61" s="49">
        <v>1.7501</v>
      </c>
      <c r="FB61" s="49">
        <v>1.7633000000000001</v>
      </c>
      <c r="FC61" s="49">
        <v>1.7766</v>
      </c>
      <c r="FE61" s="50">
        <f t="shared" ca="1" si="4"/>
        <v>1.4235176506576936</v>
      </c>
      <c r="FF61" s="50">
        <f t="shared" ca="1" si="5"/>
        <v>1.4174998718359499</v>
      </c>
      <c r="FG61" s="50">
        <f t="shared" ca="1" si="6"/>
        <v>1.4113795302013423</v>
      </c>
      <c r="FH61" s="50">
        <f t="shared" ca="1" si="7"/>
        <v>1.4050036912751678</v>
      </c>
      <c r="FK61" s="50">
        <f t="shared" ca="1" si="8"/>
        <v>1.4174998718359499</v>
      </c>
      <c r="FL61" s="50"/>
      <c r="FM61" s="50"/>
      <c r="FN61" s="50"/>
    </row>
    <row r="62" spans="2:170">
      <c r="B62" s="31"/>
      <c r="AC62" s="33"/>
      <c r="AD62" s="28"/>
      <c r="AE62" s="28"/>
      <c r="AG62" s="69"/>
      <c r="AH62" s="429" t="s">
        <v>76</v>
      </c>
      <c r="AI62" s="90">
        <f>0.1552*(AN23/Z16)^4-0.8575*(AN23/Z16)^3+1.8133*(AN23/Z16)^2-1.9115*AN23/Z16+1.0124</f>
        <v>0.10084672000000028</v>
      </c>
      <c r="AJ62" s="429"/>
      <c r="AK62" s="70"/>
      <c r="AL62" s="90">
        <f>-1.342*(LOG(AN23/Z16))^3-0.8222*(LOG(AN23/Z16))^2+0.4609*LOG(AN23/Z16)-0.0791</f>
        <v>-3.0691279653606587E-2</v>
      </c>
      <c r="AM62" s="90"/>
      <c r="AN62" s="70"/>
      <c r="AO62" s="90">
        <f>0.1552*(AN23/Z16)^4-0.8575*(AN23/Z16)^3+1.8133*(AN23/Z16)^2-1.9115*(AN23/Z16)+1.0124</f>
        <v>0.10084671999999983</v>
      </c>
      <c r="AP62" s="90"/>
      <c r="AQ62" s="70"/>
      <c r="AR62" s="430">
        <f>IF(AJ65=TRUE,1,0)</f>
        <v>0</v>
      </c>
      <c r="AS62" s="89">
        <f>+AJ66</f>
        <v>0</v>
      </c>
      <c r="AT62" s="80"/>
      <c r="AW62" s="46">
        <v>5.8879999999999999</v>
      </c>
      <c r="AX62" s="49">
        <v>0.75549999999999995</v>
      </c>
      <c r="AY62" s="49">
        <v>0.76380000000000003</v>
      </c>
      <c r="AZ62" s="49">
        <v>0.7722</v>
      </c>
      <c r="BA62" s="49">
        <v>0.78049999999999997</v>
      </c>
      <c r="BB62" s="49">
        <v>0.78879999999999995</v>
      </c>
      <c r="BC62" s="49">
        <v>0.79710000000000003</v>
      </c>
      <c r="BD62" s="49">
        <v>0.8054</v>
      </c>
      <c r="BE62" s="49">
        <v>0.81379999999999997</v>
      </c>
      <c r="BF62" s="49">
        <v>0.82210000000000005</v>
      </c>
      <c r="BG62" s="49">
        <v>0.83040000000000003</v>
      </c>
      <c r="BH62" s="49">
        <v>0.83879999999999999</v>
      </c>
      <c r="BI62" s="49">
        <v>0.84709999999999996</v>
      </c>
      <c r="BJ62" s="49">
        <v>0.85540000000000005</v>
      </c>
      <c r="BK62" s="49">
        <v>0.86380000000000001</v>
      </c>
      <c r="BL62" s="49">
        <v>0.87209999999999999</v>
      </c>
      <c r="BM62" s="49">
        <v>0.88049999999999995</v>
      </c>
      <c r="BN62" s="49">
        <v>0.88880000000000003</v>
      </c>
      <c r="BO62" s="49">
        <v>0.8972</v>
      </c>
      <c r="BP62" s="49">
        <v>0.90549999999999997</v>
      </c>
      <c r="BQ62" s="49">
        <v>0.91390000000000005</v>
      </c>
      <c r="BR62" s="49">
        <v>0.92230000000000001</v>
      </c>
      <c r="BS62" s="49">
        <v>0.93059999999999998</v>
      </c>
      <c r="BT62" s="49">
        <v>0.93899999999999995</v>
      </c>
      <c r="BU62" s="49">
        <v>0.94740000000000002</v>
      </c>
      <c r="BV62" s="49">
        <v>0.95579999999999998</v>
      </c>
      <c r="BW62" s="49">
        <v>0.96419999999999995</v>
      </c>
      <c r="BX62" s="49">
        <v>0.97260000000000002</v>
      </c>
      <c r="BY62" s="49">
        <v>0.98099999999999998</v>
      </c>
      <c r="BZ62" s="49">
        <v>0.98939999999999995</v>
      </c>
      <c r="CA62" s="49">
        <v>0.99780000000000002</v>
      </c>
      <c r="CB62" s="49">
        <v>1.0062</v>
      </c>
      <c r="CC62" s="49">
        <v>1.0145999999999999</v>
      </c>
      <c r="CD62" s="49">
        <v>1.0230999999999999</v>
      </c>
      <c r="CE62" s="49">
        <v>1.0315000000000001</v>
      </c>
      <c r="CF62" s="49">
        <v>1.04</v>
      </c>
      <c r="CG62" s="49">
        <v>1.0484</v>
      </c>
      <c r="CH62" s="49">
        <v>1.0569</v>
      </c>
      <c r="CI62" s="49">
        <v>1.0653999999999999</v>
      </c>
      <c r="CJ62" s="49">
        <v>1.0739000000000001</v>
      </c>
      <c r="CK62" s="49">
        <v>1.0824</v>
      </c>
      <c r="CL62" s="49">
        <v>1.0909</v>
      </c>
      <c r="CM62" s="49">
        <v>1.0993999999999999</v>
      </c>
      <c r="CN62" s="49">
        <v>1.1079000000000001</v>
      </c>
      <c r="CO62" s="49">
        <v>1.1164000000000001</v>
      </c>
      <c r="CP62" s="49">
        <v>1.125</v>
      </c>
      <c r="CQ62" s="49">
        <v>1.1335999999999999</v>
      </c>
      <c r="CR62" s="49">
        <v>1.1420999999999999</v>
      </c>
      <c r="CS62" s="49">
        <v>1.1507000000000001</v>
      </c>
      <c r="CT62" s="49">
        <v>1.1593</v>
      </c>
      <c r="CU62" s="49">
        <v>1.1679999999999999</v>
      </c>
      <c r="CV62" s="49">
        <v>1.1766000000000001</v>
      </c>
      <c r="CW62" s="49">
        <v>1.1853</v>
      </c>
      <c r="CX62" s="49">
        <v>1.1939</v>
      </c>
      <c r="CY62" s="49">
        <v>1.2025999999999999</v>
      </c>
      <c r="CZ62" s="49">
        <v>1.2113</v>
      </c>
      <c r="DA62" s="49">
        <v>1.2201</v>
      </c>
      <c r="DB62" s="49">
        <v>1.2287999999999999</v>
      </c>
      <c r="DC62" s="49">
        <v>1.2376</v>
      </c>
      <c r="DD62" s="49">
        <v>1.2464</v>
      </c>
      <c r="DE62" s="49">
        <v>1.2552000000000001</v>
      </c>
      <c r="DF62" s="49">
        <v>1.2641</v>
      </c>
      <c r="DG62" s="49">
        <v>1.2728999999999999</v>
      </c>
      <c r="DH62" s="49">
        <v>1.2818000000000001</v>
      </c>
      <c r="DI62" s="49">
        <v>1.2907999999999999</v>
      </c>
      <c r="DJ62" s="49">
        <v>1.2997000000000001</v>
      </c>
      <c r="DK62" s="49">
        <v>1.3087</v>
      </c>
      <c r="DL62" s="49">
        <v>1.3178000000000001</v>
      </c>
      <c r="DM62" s="49">
        <v>1.3268</v>
      </c>
      <c r="DN62" s="49">
        <v>1.3359000000000001</v>
      </c>
      <c r="DO62" s="49">
        <v>1.3451</v>
      </c>
      <c r="DP62" s="49">
        <v>1.3543000000000001</v>
      </c>
      <c r="DQ62" s="49">
        <v>1.3634999999999999</v>
      </c>
      <c r="DR62" s="49">
        <v>1.3727</v>
      </c>
      <c r="DS62" s="49">
        <v>1.3821000000000001</v>
      </c>
      <c r="DT62" s="49">
        <v>1.3914</v>
      </c>
      <c r="DU62" s="49">
        <v>1.4008</v>
      </c>
      <c r="DV62" s="49">
        <v>1.4103000000000001</v>
      </c>
      <c r="DW62" s="49">
        <v>1.4198</v>
      </c>
      <c r="DX62" s="49">
        <v>1.4294</v>
      </c>
      <c r="DY62" s="49">
        <v>1.4390000000000001</v>
      </c>
      <c r="DZ62" s="49">
        <v>1.4487000000000001</v>
      </c>
      <c r="EA62" s="49">
        <v>1.4584999999999999</v>
      </c>
      <c r="EB62" s="49">
        <v>1.4682999999999999</v>
      </c>
      <c r="EC62" s="49">
        <v>1.4782</v>
      </c>
      <c r="ED62" s="49">
        <v>1.4882</v>
      </c>
      <c r="EE62" s="49">
        <v>1.4983</v>
      </c>
      <c r="EF62" s="49">
        <v>1.5084</v>
      </c>
      <c r="EG62" s="49">
        <v>1.5185999999999999</v>
      </c>
      <c r="EH62" s="49">
        <v>1.5288999999999999</v>
      </c>
      <c r="EI62" s="49">
        <v>1.5392999999999999</v>
      </c>
      <c r="EJ62" s="49">
        <v>1.5498000000000001</v>
      </c>
      <c r="EK62" s="49">
        <v>1.5604</v>
      </c>
      <c r="EL62" s="49">
        <v>1.5710999999999999</v>
      </c>
      <c r="EM62" s="49">
        <v>1.5820000000000001</v>
      </c>
      <c r="EN62" s="49">
        <v>1.5929</v>
      </c>
      <c r="EO62" s="49">
        <v>1.6039000000000001</v>
      </c>
      <c r="EP62" s="49">
        <v>1.6151</v>
      </c>
      <c r="EQ62" s="49">
        <v>1.6264000000000001</v>
      </c>
      <c r="ER62" s="49">
        <v>1.6378999999999999</v>
      </c>
      <c r="ES62" s="49">
        <v>1.6494</v>
      </c>
      <c r="ET62" s="49">
        <v>1.6612</v>
      </c>
      <c r="EU62" s="49">
        <v>1.673</v>
      </c>
      <c r="EV62" s="49">
        <v>1.6851</v>
      </c>
      <c r="EW62" s="49">
        <v>1.6973</v>
      </c>
      <c r="EX62" s="49">
        <v>1.7097</v>
      </c>
      <c r="EY62" s="49">
        <v>1.7222</v>
      </c>
      <c r="EZ62" s="49">
        <v>1.7349000000000001</v>
      </c>
      <c r="FA62" s="49">
        <v>1.7479</v>
      </c>
      <c r="FB62" s="49">
        <v>1.7609999999999999</v>
      </c>
      <c r="FC62" s="49">
        <v>1.7743</v>
      </c>
      <c r="FE62" s="50">
        <f t="shared" ca="1" si="4"/>
        <v>1.4217176506576934</v>
      </c>
      <c r="FF62" s="50">
        <f t="shared" ca="1" si="5"/>
        <v>1.4156998718359499</v>
      </c>
      <c r="FG62" s="50">
        <f t="shared" ca="1" si="6"/>
        <v>1.4095795302013425</v>
      </c>
      <c r="FH62" s="50">
        <f t="shared" ca="1" si="7"/>
        <v>1.403203691275168</v>
      </c>
      <c r="FK62" s="50">
        <f t="shared" ca="1" si="8"/>
        <v>1.4156998718359499</v>
      </c>
      <c r="FL62" s="50"/>
      <c r="FM62" s="50"/>
      <c r="FN62" s="50"/>
    </row>
    <row r="63" spans="2:170" hidden="1">
      <c r="B63" s="13"/>
      <c r="C63" s="13"/>
      <c r="D63" s="13"/>
      <c r="E63" s="13"/>
      <c r="F63" s="13"/>
      <c r="G63" s="13"/>
      <c r="H63" s="13"/>
      <c r="I63" s="13"/>
      <c r="J63" s="344"/>
      <c r="K63" s="344"/>
      <c r="L63" s="344"/>
      <c r="M63" s="344"/>
      <c r="N63" s="13"/>
      <c r="O63" s="13"/>
      <c r="P63" s="13"/>
      <c r="Q63" s="13"/>
      <c r="R63" s="13"/>
      <c r="S63" s="13"/>
      <c r="T63" s="13"/>
      <c r="U63" s="13"/>
      <c r="V63" s="13"/>
      <c r="W63" s="13"/>
      <c r="X63" s="13"/>
      <c r="Y63" s="13"/>
      <c r="Z63" s="13"/>
      <c r="AA63" s="13"/>
      <c r="AC63" s="33"/>
      <c r="AD63" s="28"/>
      <c r="AE63" s="28"/>
      <c r="AG63" s="69"/>
      <c r="AH63" s="429" t="s">
        <v>77</v>
      </c>
      <c r="AI63" s="90">
        <f>0.3542*(AN23/Z16)^2-1.0577*AN23/Z16+2.6456</f>
        <v>1.8600319999999999</v>
      </c>
      <c r="AJ63" s="429"/>
      <c r="AK63" s="70"/>
      <c r="AL63" s="90">
        <f>-1.0196*(LOG(AN23/Z16))^3-0.891*(LOG(AN23/Z16))^2+0.5343*LOG(AN23/Z16)-0.1156</f>
        <v>-5.2333522742350161E-2</v>
      </c>
      <c r="AM63" s="90"/>
      <c r="AN63" s="70"/>
      <c r="AO63" s="90">
        <f>-0.3056*(AN23/Z16)^2+1.0212*(AN23/Z16)-1.7637</f>
        <v>-0.91211599999999993</v>
      </c>
      <c r="AP63" s="90"/>
      <c r="AQ63" s="70"/>
      <c r="AR63" s="430">
        <f>IF(AL65=TRUE,1,0)</f>
        <v>0</v>
      </c>
      <c r="AS63" s="89" t="e">
        <f>+AL66</f>
        <v>#NUM!</v>
      </c>
      <c r="AT63" s="80"/>
      <c r="AW63" s="46">
        <v>6.31</v>
      </c>
      <c r="AX63" s="49">
        <v>0.75460000000000005</v>
      </c>
      <c r="AY63" s="49">
        <v>0.76290000000000002</v>
      </c>
      <c r="AZ63" s="49">
        <v>0.7712</v>
      </c>
      <c r="BA63" s="49">
        <v>0.77949999999999997</v>
      </c>
      <c r="BB63" s="49">
        <v>0.78779999999999994</v>
      </c>
      <c r="BC63" s="49">
        <v>0.79610000000000003</v>
      </c>
      <c r="BD63" s="49">
        <v>0.8044</v>
      </c>
      <c r="BE63" s="49">
        <v>0.81269999999999998</v>
      </c>
      <c r="BF63" s="49">
        <v>0.82099999999999995</v>
      </c>
      <c r="BG63" s="49">
        <v>0.82940000000000003</v>
      </c>
      <c r="BH63" s="49">
        <v>0.8377</v>
      </c>
      <c r="BI63" s="49">
        <v>0.84599999999999997</v>
      </c>
      <c r="BJ63" s="49">
        <v>0.85429999999999995</v>
      </c>
      <c r="BK63" s="49">
        <v>0.86270000000000002</v>
      </c>
      <c r="BL63" s="49">
        <v>0.871</v>
      </c>
      <c r="BM63" s="49">
        <v>0.87929999999999997</v>
      </c>
      <c r="BN63" s="49">
        <v>0.88770000000000004</v>
      </c>
      <c r="BO63" s="49">
        <v>0.89600000000000002</v>
      </c>
      <c r="BP63" s="49">
        <v>0.90439999999999998</v>
      </c>
      <c r="BQ63" s="49">
        <v>0.91269999999999996</v>
      </c>
      <c r="BR63" s="49">
        <v>0.92110000000000003</v>
      </c>
      <c r="BS63" s="49">
        <v>0.92949999999999999</v>
      </c>
      <c r="BT63" s="49">
        <v>0.93779999999999997</v>
      </c>
      <c r="BU63" s="49">
        <v>0.94620000000000004</v>
      </c>
      <c r="BV63" s="49">
        <v>0.9546</v>
      </c>
      <c r="BW63" s="49">
        <v>0.96289999999999998</v>
      </c>
      <c r="BX63" s="49">
        <v>0.97130000000000005</v>
      </c>
      <c r="BY63" s="49">
        <v>0.97970000000000002</v>
      </c>
      <c r="BZ63" s="49">
        <v>0.98809999999999998</v>
      </c>
      <c r="CA63" s="49">
        <v>0.99650000000000005</v>
      </c>
      <c r="CB63" s="49">
        <v>1.0048999999999999</v>
      </c>
      <c r="CC63" s="49">
        <v>1.0133000000000001</v>
      </c>
      <c r="CD63" s="49">
        <v>1.0218</v>
      </c>
      <c r="CE63" s="49">
        <v>1.0302</v>
      </c>
      <c r="CF63" s="49">
        <v>1.0386</v>
      </c>
      <c r="CG63" s="49">
        <v>1.0470999999999999</v>
      </c>
      <c r="CH63" s="49">
        <v>1.0555000000000001</v>
      </c>
      <c r="CI63" s="49">
        <v>1.0640000000000001</v>
      </c>
      <c r="CJ63" s="49">
        <v>1.0725</v>
      </c>
      <c r="CK63" s="49">
        <v>1.081</v>
      </c>
      <c r="CL63" s="49">
        <v>1.0894999999999999</v>
      </c>
      <c r="CM63" s="49">
        <v>1.0980000000000001</v>
      </c>
      <c r="CN63" s="49">
        <v>1.1065</v>
      </c>
      <c r="CO63" s="49">
        <v>1.115</v>
      </c>
      <c r="CP63" s="49">
        <v>1.1235999999999999</v>
      </c>
      <c r="CQ63" s="49">
        <v>1.1321000000000001</v>
      </c>
      <c r="CR63" s="49">
        <v>1.1407</v>
      </c>
      <c r="CS63" s="49">
        <v>1.1493</v>
      </c>
      <c r="CT63" s="49">
        <v>1.1578999999999999</v>
      </c>
      <c r="CU63" s="49">
        <v>1.1665000000000001</v>
      </c>
      <c r="CV63" s="49">
        <v>1.1751</v>
      </c>
      <c r="CW63" s="49">
        <v>1.1837</v>
      </c>
      <c r="CX63" s="49">
        <v>1.1923999999999999</v>
      </c>
      <c r="CY63" s="49">
        <v>1.2011000000000001</v>
      </c>
      <c r="CZ63" s="49">
        <v>1.2098</v>
      </c>
      <c r="DA63" s="49">
        <v>1.2184999999999999</v>
      </c>
      <c r="DB63" s="49">
        <v>1.2272000000000001</v>
      </c>
      <c r="DC63" s="49">
        <v>1.236</v>
      </c>
      <c r="DD63" s="49">
        <v>1.2447999999999999</v>
      </c>
      <c r="DE63" s="49">
        <v>1.2536</v>
      </c>
      <c r="DF63" s="49">
        <v>1.2624</v>
      </c>
      <c r="DG63" s="49">
        <v>1.2713000000000001</v>
      </c>
      <c r="DH63" s="49">
        <v>1.2802</v>
      </c>
      <c r="DI63" s="49">
        <v>1.2890999999999999</v>
      </c>
      <c r="DJ63" s="49">
        <v>1.2981</v>
      </c>
      <c r="DK63" s="49">
        <v>1.3070999999999999</v>
      </c>
      <c r="DL63" s="49">
        <v>1.3161</v>
      </c>
      <c r="DM63" s="49">
        <v>1.3250999999999999</v>
      </c>
      <c r="DN63" s="49">
        <v>1.3342000000000001</v>
      </c>
      <c r="DO63" s="49">
        <v>1.3433999999999999</v>
      </c>
      <c r="DP63" s="49">
        <v>1.3525</v>
      </c>
      <c r="DQ63" s="49">
        <v>1.3616999999999999</v>
      </c>
      <c r="DR63" s="49">
        <v>1.371</v>
      </c>
      <c r="DS63" s="49">
        <v>1.3803000000000001</v>
      </c>
      <c r="DT63" s="49">
        <v>1.3895999999999999</v>
      </c>
      <c r="DU63" s="49">
        <v>1.399</v>
      </c>
      <c r="DV63" s="49">
        <v>1.4085000000000001</v>
      </c>
      <c r="DW63" s="49">
        <v>1.4179999999999999</v>
      </c>
      <c r="DX63" s="49">
        <v>1.4276</v>
      </c>
      <c r="DY63" s="49">
        <v>1.4372</v>
      </c>
      <c r="DZ63" s="49">
        <v>1.4469000000000001</v>
      </c>
      <c r="EA63" s="49">
        <v>1.4565999999999999</v>
      </c>
      <c r="EB63" s="49">
        <v>1.4663999999999999</v>
      </c>
      <c r="EC63" s="49">
        <v>1.4762999999999999</v>
      </c>
      <c r="ED63" s="49">
        <v>1.4863</v>
      </c>
      <c r="EE63" s="49">
        <v>1.4963</v>
      </c>
      <c r="EF63" s="49">
        <v>1.5065</v>
      </c>
      <c r="EG63" s="49">
        <v>1.5166999999999999</v>
      </c>
      <c r="EH63" s="49">
        <v>1.5269999999999999</v>
      </c>
      <c r="EI63" s="49">
        <v>1.5374000000000001</v>
      </c>
      <c r="EJ63" s="49">
        <v>1.5478000000000001</v>
      </c>
      <c r="EK63" s="49">
        <v>1.5584</v>
      </c>
      <c r="EL63" s="49">
        <v>1.5690999999999999</v>
      </c>
      <c r="EM63" s="49">
        <v>1.5799000000000001</v>
      </c>
      <c r="EN63" s="49">
        <v>1.5908</v>
      </c>
      <c r="EO63" s="49">
        <v>1.6019000000000001</v>
      </c>
      <c r="EP63" s="49">
        <v>1.613</v>
      </c>
      <c r="EQ63" s="49">
        <v>1.6243000000000001</v>
      </c>
      <c r="ER63" s="49">
        <v>1.6357999999999999</v>
      </c>
      <c r="ES63" s="49">
        <v>1.6473</v>
      </c>
      <c r="ET63" s="49">
        <v>1.659</v>
      </c>
      <c r="EU63" s="49">
        <v>1.6709000000000001</v>
      </c>
      <c r="EV63" s="49">
        <v>1.6829000000000001</v>
      </c>
      <c r="EW63" s="49">
        <v>1.6951000000000001</v>
      </c>
      <c r="EX63" s="49">
        <v>1.7075</v>
      </c>
      <c r="EY63" s="49">
        <v>1.72</v>
      </c>
      <c r="EZ63" s="49">
        <v>1.7326999999999999</v>
      </c>
      <c r="FA63" s="49">
        <v>1.7456</v>
      </c>
      <c r="FB63" s="49">
        <v>1.7586999999999999</v>
      </c>
      <c r="FC63" s="49">
        <v>1.772</v>
      </c>
      <c r="FE63" s="50">
        <f t="shared" ca="1" si="4"/>
        <v>1.4199176506576936</v>
      </c>
      <c r="FF63" s="50">
        <f t="shared" ca="1" si="5"/>
        <v>1.4138998718359501</v>
      </c>
      <c r="FG63" s="50">
        <f t="shared" ca="1" si="6"/>
        <v>1.4077795302013425</v>
      </c>
      <c r="FH63" s="50">
        <f t="shared" ca="1" si="7"/>
        <v>1.401403691275168</v>
      </c>
      <c r="FK63" s="50">
        <f t="shared" ca="1" si="8"/>
        <v>1.4138998718359501</v>
      </c>
      <c r="FL63" s="50"/>
      <c r="FM63" s="50"/>
      <c r="FN63" s="50"/>
    </row>
    <row r="64" spans="2:170" hidden="1">
      <c r="B64" s="13"/>
      <c r="R64" s="13"/>
      <c r="S64" s="13"/>
      <c r="T64" s="13"/>
      <c r="U64" s="13"/>
      <c r="V64" s="13"/>
      <c r="W64" s="13"/>
      <c r="X64" s="13"/>
      <c r="Y64" s="13"/>
      <c r="Z64" s="13"/>
      <c r="AA64" s="13"/>
      <c r="AC64" s="32"/>
      <c r="AD64" s="28"/>
      <c r="AE64" s="28"/>
      <c r="AG64" s="69"/>
      <c r="AH64" s="429" t="s">
        <v>80</v>
      </c>
      <c r="AI64" s="429"/>
      <c r="AJ64" s="429"/>
      <c r="AK64" s="429"/>
      <c r="AL64" s="90">
        <f>0.803*(LOG(AN23/Z16))^3+0.4236*(LOG(AN23/Z16))^2-0.5738*LOG(AN23/Z16)+0.1606</f>
        <v>6.7954469991056796E-2</v>
      </c>
      <c r="AM64" s="90"/>
      <c r="AN64" s="70"/>
      <c r="AO64" s="90"/>
      <c r="AP64" s="90"/>
      <c r="AQ64" s="70"/>
      <c r="AR64" s="430">
        <f>IF(AM65=TRUE,1,0)</f>
        <v>0</v>
      </c>
      <c r="AS64" s="89">
        <f>+AM66</f>
        <v>-3.0691279653606587E-2</v>
      </c>
      <c r="AT64" s="80"/>
      <c r="AW64" s="46">
        <v>6.7610000000000001</v>
      </c>
      <c r="AX64" s="49">
        <v>0.75360000000000005</v>
      </c>
      <c r="AY64" s="49">
        <v>0.76190000000000002</v>
      </c>
      <c r="AZ64" s="49">
        <v>0.7702</v>
      </c>
      <c r="BA64" s="49">
        <v>0.77849999999999997</v>
      </c>
      <c r="BB64" s="49">
        <v>0.78680000000000005</v>
      </c>
      <c r="BC64" s="49">
        <v>0.79510000000000003</v>
      </c>
      <c r="BD64" s="49">
        <v>0.8034</v>
      </c>
      <c r="BE64" s="49">
        <v>0.81169999999999998</v>
      </c>
      <c r="BF64" s="49">
        <v>0.82</v>
      </c>
      <c r="BG64" s="49">
        <v>0.82830000000000004</v>
      </c>
      <c r="BH64" s="49">
        <v>0.83660000000000001</v>
      </c>
      <c r="BI64" s="49">
        <v>0.84489999999999998</v>
      </c>
      <c r="BJ64" s="49">
        <v>0.85329999999999995</v>
      </c>
      <c r="BK64" s="49">
        <v>0.86160000000000003</v>
      </c>
      <c r="BL64" s="49">
        <v>0.86990000000000001</v>
      </c>
      <c r="BM64" s="49">
        <v>0.87819999999999998</v>
      </c>
      <c r="BN64" s="49">
        <v>0.88660000000000005</v>
      </c>
      <c r="BO64" s="49">
        <v>0.89490000000000003</v>
      </c>
      <c r="BP64" s="49">
        <v>0.9032</v>
      </c>
      <c r="BQ64" s="49">
        <v>0.91159999999999997</v>
      </c>
      <c r="BR64" s="49">
        <v>0.91990000000000005</v>
      </c>
      <c r="BS64" s="49">
        <v>0.92830000000000001</v>
      </c>
      <c r="BT64" s="49">
        <v>0.93659999999999999</v>
      </c>
      <c r="BU64" s="49">
        <v>0.94499999999999995</v>
      </c>
      <c r="BV64" s="49">
        <v>0.95340000000000003</v>
      </c>
      <c r="BW64" s="49">
        <v>0.9617</v>
      </c>
      <c r="BX64" s="49">
        <v>0.97009999999999996</v>
      </c>
      <c r="BY64" s="49">
        <v>0.97850000000000004</v>
      </c>
      <c r="BZ64" s="49">
        <v>0.9869</v>
      </c>
      <c r="CA64" s="49">
        <v>0.99529999999999996</v>
      </c>
      <c r="CB64" s="49">
        <v>1.0037</v>
      </c>
      <c r="CC64" s="49">
        <v>1.0121</v>
      </c>
      <c r="CD64" s="49">
        <v>1.0205</v>
      </c>
      <c r="CE64" s="49">
        <v>1.0288999999999999</v>
      </c>
      <c r="CF64" s="49">
        <v>1.0373000000000001</v>
      </c>
      <c r="CG64" s="49">
        <v>1.0458000000000001</v>
      </c>
      <c r="CH64" s="49">
        <v>1.0542</v>
      </c>
      <c r="CI64" s="49">
        <v>1.0627</v>
      </c>
      <c r="CJ64" s="49">
        <v>1.0710999999999999</v>
      </c>
      <c r="CK64" s="49">
        <v>1.0795999999999999</v>
      </c>
      <c r="CL64" s="49">
        <v>1.0881000000000001</v>
      </c>
      <c r="CM64" s="49">
        <v>1.0966</v>
      </c>
      <c r="CN64" s="49">
        <v>1.1051</v>
      </c>
      <c r="CO64" s="49">
        <v>1.1135999999999999</v>
      </c>
      <c r="CP64" s="49">
        <v>1.1221000000000001</v>
      </c>
      <c r="CQ64" s="49">
        <v>1.1307</v>
      </c>
      <c r="CR64" s="49">
        <v>1.1392</v>
      </c>
      <c r="CS64" s="49">
        <v>1.1477999999999999</v>
      </c>
      <c r="CT64" s="49">
        <v>1.1564000000000001</v>
      </c>
      <c r="CU64" s="49">
        <v>1.165</v>
      </c>
      <c r="CV64" s="49">
        <v>1.1736</v>
      </c>
      <c r="CW64" s="49">
        <v>1.1821999999999999</v>
      </c>
      <c r="CX64" s="49">
        <v>1.1909000000000001</v>
      </c>
      <c r="CY64" s="49">
        <v>1.1996</v>
      </c>
      <c r="CZ64" s="49">
        <v>1.2081999999999999</v>
      </c>
      <c r="DA64" s="49">
        <v>1.2170000000000001</v>
      </c>
      <c r="DB64" s="49">
        <v>1.2257</v>
      </c>
      <c r="DC64" s="49">
        <v>1.2343999999999999</v>
      </c>
      <c r="DD64" s="49">
        <v>1.2432000000000001</v>
      </c>
      <c r="DE64" s="49">
        <v>1.252</v>
      </c>
      <c r="DF64" s="49">
        <v>1.2607999999999999</v>
      </c>
      <c r="DG64" s="49">
        <v>1.2697000000000001</v>
      </c>
      <c r="DH64" s="49">
        <v>1.2786</v>
      </c>
      <c r="DI64" s="49">
        <v>1.2875000000000001</v>
      </c>
      <c r="DJ64" s="49">
        <v>1.2964</v>
      </c>
      <c r="DK64" s="49">
        <v>1.3053999999999999</v>
      </c>
      <c r="DL64" s="49">
        <v>1.3144</v>
      </c>
      <c r="DM64" s="49">
        <v>1.3234999999999999</v>
      </c>
      <c r="DN64" s="49">
        <v>1.3325</v>
      </c>
      <c r="DO64" s="49">
        <v>1.3416999999999999</v>
      </c>
      <c r="DP64" s="49">
        <v>1.3508</v>
      </c>
      <c r="DQ64" s="49">
        <v>1.36</v>
      </c>
      <c r="DR64" s="49">
        <v>1.3693</v>
      </c>
      <c r="DS64" s="49">
        <v>1.3785000000000001</v>
      </c>
      <c r="DT64" s="49">
        <v>1.3878999999999999</v>
      </c>
      <c r="DU64" s="49">
        <v>1.3973</v>
      </c>
      <c r="DV64" s="49">
        <v>1.4067000000000001</v>
      </c>
      <c r="DW64" s="49">
        <v>1.4161999999999999</v>
      </c>
      <c r="DX64" s="49">
        <v>1.4257</v>
      </c>
      <c r="DY64" s="49">
        <v>1.4354</v>
      </c>
      <c r="DZ64" s="49">
        <v>1.4450000000000001</v>
      </c>
      <c r="EA64" s="49">
        <v>1.4548000000000001</v>
      </c>
      <c r="EB64" s="49">
        <v>1.4645999999999999</v>
      </c>
      <c r="EC64" s="49">
        <v>1.4744999999999999</v>
      </c>
      <c r="ED64" s="49">
        <v>1.4843999999999999</v>
      </c>
      <c r="EE64" s="49">
        <v>1.4944</v>
      </c>
      <c r="EF64" s="49">
        <v>1.5045999999999999</v>
      </c>
      <c r="EG64" s="49">
        <v>1.5147999999999999</v>
      </c>
      <c r="EH64" s="49">
        <v>1.5249999999999999</v>
      </c>
      <c r="EI64" s="49">
        <v>1.5354000000000001</v>
      </c>
      <c r="EJ64" s="49">
        <v>1.5459000000000001</v>
      </c>
      <c r="EK64" s="49">
        <v>1.5565</v>
      </c>
      <c r="EL64" s="49">
        <v>1.5670999999999999</v>
      </c>
      <c r="EM64" s="49">
        <v>1.5779000000000001</v>
      </c>
      <c r="EN64" s="49">
        <v>1.5888</v>
      </c>
      <c r="EO64" s="49">
        <v>1.5999000000000001</v>
      </c>
      <c r="EP64" s="49">
        <v>1.611</v>
      </c>
      <c r="EQ64" s="49">
        <v>1.6223000000000001</v>
      </c>
      <c r="ER64" s="49">
        <v>1.6336999999999999</v>
      </c>
      <c r="ES64" s="49">
        <v>1.6452</v>
      </c>
      <c r="ET64" s="49">
        <v>1.6569</v>
      </c>
      <c r="EU64" s="49">
        <v>1.6688000000000001</v>
      </c>
      <c r="EV64" s="49">
        <v>1.6808000000000001</v>
      </c>
      <c r="EW64" s="49">
        <v>1.6930000000000001</v>
      </c>
      <c r="EX64" s="49">
        <v>1.7053</v>
      </c>
      <c r="EY64" s="49">
        <v>1.7178</v>
      </c>
      <c r="EZ64" s="49">
        <v>1.7304999999999999</v>
      </c>
      <c r="FA64" s="49">
        <v>1.7434000000000001</v>
      </c>
      <c r="FB64" s="49">
        <v>1.7565</v>
      </c>
      <c r="FC64" s="49">
        <v>1.7698</v>
      </c>
      <c r="FE64" s="50">
        <f t="shared" ca="1" si="4"/>
        <v>1.4180976751300092</v>
      </c>
      <c r="FF64" s="50">
        <f t="shared" ca="1" si="5"/>
        <v>1.4120998718359499</v>
      </c>
      <c r="FG64" s="50">
        <f t="shared" ca="1" si="6"/>
        <v>1.4059871140939599</v>
      </c>
      <c r="FH64" s="50">
        <f t="shared" ca="1" si="7"/>
        <v>1.399678389261745</v>
      </c>
      <c r="FK64" s="50">
        <f t="shared" ca="1" si="8"/>
        <v>1.4120998718359499</v>
      </c>
      <c r="FL64" s="50"/>
      <c r="FM64" s="50"/>
      <c r="FN64" s="50"/>
    </row>
    <row r="65" spans="33:170" hidden="1">
      <c r="AG65" s="69"/>
      <c r="AH65" s="79" t="s">
        <v>83</v>
      </c>
      <c r="AI65" s="70" t="b">
        <f>AND(AI58=TRUE,AI60=TRUE)</f>
        <v>1</v>
      </c>
      <c r="AJ65" s="70" t="b">
        <f>AND(AI58=TRUE,AJ60=TRUE)</f>
        <v>0</v>
      </c>
      <c r="AK65" s="70"/>
      <c r="AL65" s="70" t="b">
        <f>AND(AL58=TRUE,AL60=TRUE)</f>
        <v>0</v>
      </c>
      <c r="AM65" s="70" t="b">
        <f>AND(AL58=TRUE,AM60=TRUE)</f>
        <v>0</v>
      </c>
      <c r="AN65" s="70"/>
      <c r="AO65" s="70" t="b">
        <f>AND(AO58=TRUE,AO60=TRUE)</f>
        <v>0</v>
      </c>
      <c r="AP65" s="70" t="b">
        <f>AND(AO58=TRUE,AP60=TRUE)</f>
        <v>0</v>
      </c>
      <c r="AQ65" s="70"/>
      <c r="AR65" s="430">
        <f>IF(AO65=TRUE,1,0)</f>
        <v>0</v>
      </c>
      <c r="AS65" s="89">
        <f>+AO66</f>
        <v>0.11047766129798957</v>
      </c>
      <c r="AT65" s="80"/>
      <c r="AW65" s="46">
        <v>7.2439999999999998</v>
      </c>
      <c r="AX65" s="49">
        <v>0.75270000000000004</v>
      </c>
      <c r="AY65" s="49">
        <v>0.76090000000000002</v>
      </c>
      <c r="AZ65" s="49">
        <v>0.76919999999999999</v>
      </c>
      <c r="BA65" s="49">
        <v>0.77749999999999997</v>
      </c>
      <c r="BB65" s="49">
        <v>0.78580000000000005</v>
      </c>
      <c r="BC65" s="49">
        <v>0.79410000000000003</v>
      </c>
      <c r="BD65" s="49">
        <v>0.8024</v>
      </c>
      <c r="BE65" s="49">
        <v>0.81069999999999998</v>
      </c>
      <c r="BF65" s="49">
        <v>0.81899999999999995</v>
      </c>
      <c r="BG65" s="49">
        <v>0.82730000000000004</v>
      </c>
      <c r="BH65" s="49">
        <v>0.83560000000000001</v>
      </c>
      <c r="BI65" s="49">
        <v>0.84389999999999998</v>
      </c>
      <c r="BJ65" s="49">
        <v>0.85219999999999996</v>
      </c>
      <c r="BK65" s="49">
        <v>0.86050000000000004</v>
      </c>
      <c r="BL65" s="49">
        <v>0.86880000000000002</v>
      </c>
      <c r="BM65" s="49">
        <v>0.87709999999999999</v>
      </c>
      <c r="BN65" s="49">
        <v>0.88549999999999995</v>
      </c>
      <c r="BO65" s="49">
        <v>0.89380000000000004</v>
      </c>
      <c r="BP65" s="49">
        <v>0.90210000000000001</v>
      </c>
      <c r="BQ65" s="49">
        <v>0.91039999999999999</v>
      </c>
      <c r="BR65" s="49">
        <v>0.91879999999999995</v>
      </c>
      <c r="BS65" s="49">
        <v>0.92710000000000004</v>
      </c>
      <c r="BT65" s="49">
        <v>0.9355</v>
      </c>
      <c r="BU65" s="49">
        <v>0.94379999999999997</v>
      </c>
      <c r="BV65" s="49">
        <v>0.95220000000000005</v>
      </c>
      <c r="BW65" s="49">
        <v>0.96050000000000002</v>
      </c>
      <c r="BX65" s="49">
        <v>0.96889999999999998</v>
      </c>
      <c r="BY65" s="49">
        <v>0.97729999999999995</v>
      </c>
      <c r="BZ65" s="49">
        <v>0.98560000000000003</v>
      </c>
      <c r="CA65" s="49">
        <v>0.99399999999999999</v>
      </c>
      <c r="CB65" s="49">
        <v>1.0024</v>
      </c>
      <c r="CC65" s="49">
        <v>1.0107999999999999</v>
      </c>
      <c r="CD65" s="49">
        <v>1.0192000000000001</v>
      </c>
      <c r="CE65" s="49">
        <v>1.0276000000000001</v>
      </c>
      <c r="CF65" s="49">
        <v>1.036</v>
      </c>
      <c r="CG65" s="49">
        <v>1.0445</v>
      </c>
      <c r="CH65" s="49">
        <v>1.0528999999999999</v>
      </c>
      <c r="CI65" s="49">
        <v>1.0612999999999999</v>
      </c>
      <c r="CJ65" s="49">
        <v>1.0698000000000001</v>
      </c>
      <c r="CK65" s="49">
        <v>1.0783</v>
      </c>
      <c r="CL65" s="49">
        <v>1.0867</v>
      </c>
      <c r="CM65" s="49">
        <v>1.0952</v>
      </c>
      <c r="CN65" s="49">
        <v>1.1036999999999999</v>
      </c>
      <c r="CO65" s="49">
        <v>1.1122000000000001</v>
      </c>
      <c r="CP65" s="49">
        <v>1.1207</v>
      </c>
      <c r="CQ65" s="49">
        <v>1.1293</v>
      </c>
      <c r="CR65" s="49">
        <v>1.1377999999999999</v>
      </c>
      <c r="CS65" s="49">
        <v>1.1464000000000001</v>
      </c>
      <c r="CT65" s="49">
        <v>1.1549</v>
      </c>
      <c r="CU65" s="49">
        <v>1.1635</v>
      </c>
      <c r="CV65" s="49">
        <v>1.1720999999999999</v>
      </c>
      <c r="CW65" s="49">
        <v>1.1808000000000001</v>
      </c>
      <c r="CX65" s="49">
        <v>1.1894</v>
      </c>
      <c r="CY65" s="49">
        <v>1.1980999999999999</v>
      </c>
      <c r="CZ65" s="49">
        <v>1.2067000000000001</v>
      </c>
      <c r="DA65" s="49">
        <v>1.2154</v>
      </c>
      <c r="DB65" s="49">
        <v>1.2242</v>
      </c>
      <c r="DC65" s="49">
        <v>1.2329000000000001</v>
      </c>
      <c r="DD65" s="49">
        <v>1.2417</v>
      </c>
      <c r="DE65" s="49">
        <v>1.2504999999999999</v>
      </c>
      <c r="DF65" s="49">
        <v>1.2593000000000001</v>
      </c>
      <c r="DG65" s="49">
        <v>1.2681</v>
      </c>
      <c r="DH65" s="49">
        <v>1.2769999999999999</v>
      </c>
      <c r="DI65" s="49">
        <v>1.2859</v>
      </c>
      <c r="DJ65" s="49">
        <v>1.2948</v>
      </c>
      <c r="DK65" s="49">
        <v>1.3038000000000001</v>
      </c>
      <c r="DL65" s="49">
        <v>1.3128</v>
      </c>
      <c r="DM65" s="49">
        <v>1.3218000000000001</v>
      </c>
      <c r="DN65" s="49">
        <v>1.3309</v>
      </c>
      <c r="DO65" s="49">
        <v>1.34</v>
      </c>
      <c r="DP65" s="49">
        <v>1.3491</v>
      </c>
      <c r="DQ65" s="49">
        <v>1.3583000000000001</v>
      </c>
      <c r="DR65" s="49">
        <v>1.3674999999999999</v>
      </c>
      <c r="DS65" s="49">
        <v>1.3768</v>
      </c>
      <c r="DT65" s="49">
        <v>1.3861000000000001</v>
      </c>
      <c r="DU65" s="49">
        <v>1.3955</v>
      </c>
      <c r="DV65" s="49">
        <v>1.4049</v>
      </c>
      <c r="DW65" s="49">
        <v>1.4144000000000001</v>
      </c>
      <c r="DX65" s="49">
        <v>1.4239999999999999</v>
      </c>
      <c r="DY65" s="49">
        <v>1.4336</v>
      </c>
      <c r="DZ65" s="49">
        <v>1.4432</v>
      </c>
      <c r="EA65" s="49">
        <v>1.4530000000000001</v>
      </c>
      <c r="EB65" s="49">
        <v>1.4626999999999999</v>
      </c>
      <c r="EC65" s="49">
        <v>1.4725999999999999</v>
      </c>
      <c r="ED65" s="49">
        <v>1.4825999999999999</v>
      </c>
      <c r="EE65" s="49">
        <v>1.4925999999999999</v>
      </c>
      <c r="EF65" s="49">
        <v>1.5026999999999999</v>
      </c>
      <c r="EG65" s="49">
        <v>1.5128999999999999</v>
      </c>
      <c r="EH65" s="49">
        <v>1.5230999999999999</v>
      </c>
      <c r="EI65" s="49">
        <v>1.5335000000000001</v>
      </c>
      <c r="EJ65" s="49">
        <v>1.544</v>
      </c>
      <c r="EK65" s="49">
        <v>1.5545</v>
      </c>
      <c r="EL65" s="49">
        <v>1.5651999999999999</v>
      </c>
      <c r="EM65" s="49">
        <v>1.5760000000000001</v>
      </c>
      <c r="EN65" s="49">
        <v>1.5868</v>
      </c>
      <c r="EO65" s="49">
        <v>1.5979000000000001</v>
      </c>
      <c r="EP65" s="49">
        <v>1.609</v>
      </c>
      <c r="EQ65" s="49">
        <v>1.6203000000000001</v>
      </c>
      <c r="ER65" s="49">
        <v>1.6315999999999999</v>
      </c>
      <c r="ES65" s="49">
        <v>1.6432</v>
      </c>
      <c r="ET65" s="49">
        <v>1.6549</v>
      </c>
      <c r="EU65" s="49">
        <v>1.6667000000000001</v>
      </c>
      <c r="EV65" s="49">
        <v>1.6787000000000001</v>
      </c>
      <c r="EW65" s="49">
        <v>1.6908000000000001</v>
      </c>
      <c r="EX65" s="49">
        <v>1.7032</v>
      </c>
      <c r="EY65" s="49">
        <v>1.7157</v>
      </c>
      <c r="EZ65" s="49">
        <v>1.7283999999999999</v>
      </c>
      <c r="FA65" s="49">
        <v>1.7412000000000001</v>
      </c>
      <c r="FB65" s="49">
        <v>1.7543</v>
      </c>
      <c r="FC65" s="49">
        <v>1.7676000000000001</v>
      </c>
      <c r="FE65" s="50">
        <f t="shared" ca="1" si="4"/>
        <v>1.4163176506576935</v>
      </c>
      <c r="FF65" s="50">
        <f t="shared" ca="1" si="5"/>
        <v>1.4102998718359503</v>
      </c>
      <c r="FG65" s="50">
        <f t="shared" ca="1" si="6"/>
        <v>1.4041871140939597</v>
      </c>
      <c r="FH65" s="50">
        <f t="shared" ca="1" si="7"/>
        <v>1.397878389261745</v>
      </c>
      <c r="FK65" s="50">
        <f t="shared" ca="1" si="8"/>
        <v>1.4102998718359503</v>
      </c>
      <c r="FL65" s="50"/>
      <c r="FM65" s="50"/>
      <c r="FN65" s="50"/>
    </row>
    <row r="66" spans="33:170" hidden="1">
      <c r="AG66" s="69"/>
      <c r="AH66" s="91" t="s">
        <v>64</v>
      </c>
      <c r="AI66" s="92">
        <f>+AI62*EXP(AI63*$Z$11/$Z$12)</f>
        <v>8.3730100819785283E-2</v>
      </c>
      <c r="AJ66" s="92">
        <v>0</v>
      </c>
      <c r="AK66" s="93"/>
      <c r="AL66" s="92" t="e">
        <f>+AL62*(LOG($Z$11/$Z$16))^2+AL63*(LOG($Z$11/$Z$16))+AL64</f>
        <v>#NUM!</v>
      </c>
      <c r="AM66" s="92">
        <f>IF(AM61=TRUE,0,AL62)</f>
        <v>-3.0691279653606587E-2</v>
      </c>
      <c r="AN66" s="70"/>
      <c r="AO66" s="89">
        <f>+AO62*EXP(AO63*$Z$11/$Z$13)</f>
        <v>0.11047766129798957</v>
      </c>
      <c r="AP66" s="89">
        <v>0</v>
      </c>
      <c r="AQ66" s="70"/>
      <c r="AR66" s="430">
        <f>IF(AP65=TRUE,1,0)</f>
        <v>0</v>
      </c>
      <c r="AS66" s="89">
        <f>+AP66</f>
        <v>0</v>
      </c>
      <c r="AT66" s="80"/>
      <c r="AW66" s="46">
        <v>7.7619999999999996</v>
      </c>
      <c r="AX66" s="49">
        <v>0.75170000000000003</v>
      </c>
      <c r="AY66" s="49">
        <v>0.76</v>
      </c>
      <c r="AZ66" s="49">
        <v>0.76829999999999998</v>
      </c>
      <c r="BA66" s="49">
        <v>0.77659999999999996</v>
      </c>
      <c r="BB66" s="49">
        <v>0.78480000000000005</v>
      </c>
      <c r="BC66" s="49">
        <v>0.79310000000000003</v>
      </c>
      <c r="BD66" s="49">
        <v>0.8014</v>
      </c>
      <c r="BE66" s="49">
        <v>0.80969999999999998</v>
      </c>
      <c r="BF66" s="49">
        <v>0.81799999999999995</v>
      </c>
      <c r="BG66" s="49">
        <v>0.82630000000000003</v>
      </c>
      <c r="BH66" s="49">
        <v>0.83450000000000002</v>
      </c>
      <c r="BI66" s="49">
        <v>0.84279999999999999</v>
      </c>
      <c r="BJ66" s="49">
        <v>0.85109999999999997</v>
      </c>
      <c r="BK66" s="49">
        <v>0.85940000000000005</v>
      </c>
      <c r="BL66" s="49">
        <v>0.86770000000000003</v>
      </c>
      <c r="BM66" s="49">
        <v>0.87609999999999999</v>
      </c>
      <c r="BN66" s="49">
        <v>0.88439999999999996</v>
      </c>
      <c r="BO66" s="49">
        <v>0.89270000000000005</v>
      </c>
      <c r="BP66" s="49">
        <v>0.90100000000000002</v>
      </c>
      <c r="BQ66" s="49">
        <v>0.9093</v>
      </c>
      <c r="BR66" s="49">
        <v>0.91759999999999997</v>
      </c>
      <c r="BS66" s="49">
        <v>0.92600000000000005</v>
      </c>
      <c r="BT66" s="49">
        <v>0.93430000000000002</v>
      </c>
      <c r="BU66" s="49">
        <v>0.94259999999999999</v>
      </c>
      <c r="BV66" s="49">
        <v>0.95099999999999996</v>
      </c>
      <c r="BW66" s="49">
        <v>0.95930000000000004</v>
      </c>
      <c r="BX66" s="49">
        <v>0.9677</v>
      </c>
      <c r="BY66" s="49">
        <v>0.97599999999999998</v>
      </c>
      <c r="BZ66" s="49">
        <v>0.98440000000000005</v>
      </c>
      <c r="CA66" s="49">
        <v>0.99280000000000002</v>
      </c>
      <c r="CB66" s="49">
        <v>1.0012000000000001</v>
      </c>
      <c r="CC66" s="49">
        <v>1.0095000000000001</v>
      </c>
      <c r="CD66" s="49">
        <v>1.0179</v>
      </c>
      <c r="CE66" s="49">
        <v>1.0263</v>
      </c>
      <c r="CF66" s="49">
        <v>1.0347</v>
      </c>
      <c r="CG66" s="49">
        <v>1.0431999999999999</v>
      </c>
      <c r="CH66" s="49">
        <v>1.0516000000000001</v>
      </c>
      <c r="CI66" s="49">
        <v>1.06</v>
      </c>
      <c r="CJ66" s="49">
        <v>1.0685</v>
      </c>
      <c r="CK66" s="49">
        <v>1.0769</v>
      </c>
      <c r="CL66" s="49">
        <v>1.0853999999999999</v>
      </c>
      <c r="CM66" s="49">
        <v>1.0939000000000001</v>
      </c>
      <c r="CN66" s="49">
        <v>1.1023000000000001</v>
      </c>
      <c r="CO66" s="49">
        <v>1.1108</v>
      </c>
      <c r="CP66" s="49">
        <v>1.1193</v>
      </c>
      <c r="CQ66" s="49">
        <v>1.1278999999999999</v>
      </c>
      <c r="CR66" s="49">
        <v>1.1364000000000001</v>
      </c>
      <c r="CS66" s="49">
        <v>1.1449</v>
      </c>
      <c r="CT66" s="49">
        <v>1.1535</v>
      </c>
      <c r="CU66" s="49">
        <v>1.1620999999999999</v>
      </c>
      <c r="CV66" s="49">
        <v>1.1707000000000001</v>
      </c>
      <c r="CW66" s="49">
        <v>1.1793</v>
      </c>
      <c r="CX66" s="49">
        <v>1.1879</v>
      </c>
      <c r="CY66" s="49">
        <v>1.1966000000000001</v>
      </c>
      <c r="CZ66" s="49">
        <v>1.2052</v>
      </c>
      <c r="DA66" s="49">
        <v>1.2139</v>
      </c>
      <c r="DB66" s="49">
        <v>1.2225999999999999</v>
      </c>
      <c r="DC66" s="49">
        <v>1.2314000000000001</v>
      </c>
      <c r="DD66" s="49">
        <v>1.2401</v>
      </c>
      <c r="DE66" s="49">
        <v>1.2488999999999999</v>
      </c>
      <c r="DF66" s="49">
        <v>1.2577</v>
      </c>
      <c r="DG66" s="49">
        <v>1.2665</v>
      </c>
      <c r="DH66" s="49">
        <v>1.2754000000000001</v>
      </c>
      <c r="DI66" s="49">
        <v>1.2843</v>
      </c>
      <c r="DJ66" s="49">
        <v>1.2931999999999999</v>
      </c>
      <c r="DK66" s="49">
        <v>1.3022</v>
      </c>
      <c r="DL66" s="49">
        <v>1.3110999999999999</v>
      </c>
      <c r="DM66" s="49">
        <v>1.3202</v>
      </c>
      <c r="DN66" s="49">
        <v>1.3291999999999999</v>
      </c>
      <c r="DO66" s="49">
        <v>1.3383</v>
      </c>
      <c r="DP66" s="49">
        <v>1.3474999999999999</v>
      </c>
      <c r="DQ66" s="49">
        <v>1.3566</v>
      </c>
      <c r="DR66" s="49">
        <v>1.3657999999999999</v>
      </c>
      <c r="DS66" s="49">
        <v>1.3751</v>
      </c>
      <c r="DT66" s="49">
        <v>1.3844000000000001</v>
      </c>
      <c r="DU66" s="49">
        <v>1.3937999999999999</v>
      </c>
      <c r="DV66" s="49">
        <v>1.4032</v>
      </c>
      <c r="DW66" s="49">
        <v>1.4127000000000001</v>
      </c>
      <c r="DX66" s="49">
        <v>1.4221999999999999</v>
      </c>
      <c r="DY66" s="49">
        <v>1.4318</v>
      </c>
      <c r="DZ66" s="49">
        <v>1.4414</v>
      </c>
      <c r="EA66" s="49">
        <v>1.4512</v>
      </c>
      <c r="EB66" s="49">
        <v>1.4609000000000001</v>
      </c>
      <c r="EC66" s="49">
        <v>1.4708000000000001</v>
      </c>
      <c r="ED66" s="49">
        <v>1.4806999999999999</v>
      </c>
      <c r="EE66" s="49">
        <v>1.4906999999999999</v>
      </c>
      <c r="EF66" s="49">
        <v>1.5007999999999999</v>
      </c>
      <c r="EG66" s="49">
        <v>1.5109999999999999</v>
      </c>
      <c r="EH66" s="49">
        <v>1.5212000000000001</v>
      </c>
      <c r="EI66" s="49">
        <v>1.5316000000000001</v>
      </c>
      <c r="EJ66" s="49">
        <v>1.542</v>
      </c>
      <c r="EK66" s="49">
        <v>1.5526</v>
      </c>
      <c r="EL66" s="49">
        <v>1.5631999999999999</v>
      </c>
      <c r="EM66" s="49">
        <v>1.5740000000000001</v>
      </c>
      <c r="EN66" s="49">
        <v>1.5849</v>
      </c>
      <c r="EO66" s="49">
        <v>1.5959000000000001</v>
      </c>
      <c r="EP66" s="49">
        <v>1.607</v>
      </c>
      <c r="EQ66" s="49">
        <v>1.6182000000000001</v>
      </c>
      <c r="ER66" s="49">
        <v>1.6295999999999999</v>
      </c>
      <c r="ES66" s="49">
        <v>1.6411</v>
      </c>
      <c r="ET66" s="49">
        <v>1.6528</v>
      </c>
      <c r="EU66" s="49">
        <v>1.6646000000000001</v>
      </c>
      <c r="EV66" s="49">
        <v>1.6766000000000001</v>
      </c>
      <c r="EW66" s="49">
        <v>1.6888000000000001</v>
      </c>
      <c r="EX66" s="49">
        <v>1.7011000000000001</v>
      </c>
      <c r="EY66" s="49">
        <v>1.7135</v>
      </c>
      <c r="EZ66" s="49">
        <v>1.7262</v>
      </c>
      <c r="FA66" s="49">
        <v>1.7391000000000001</v>
      </c>
      <c r="FB66" s="49">
        <v>1.7521</v>
      </c>
      <c r="FC66" s="49">
        <v>1.7654000000000001</v>
      </c>
      <c r="FE66" s="50">
        <f t="shared" ca="1" si="4"/>
        <v>1.4145976751300093</v>
      </c>
      <c r="FF66" s="50">
        <f t="shared" ca="1" si="5"/>
        <v>1.4085998718359503</v>
      </c>
      <c r="FG66" s="50">
        <f t="shared" ca="1" si="6"/>
        <v>1.4024871140939597</v>
      </c>
      <c r="FH66" s="50">
        <f t="shared" ca="1" si="7"/>
        <v>1.396178389261745</v>
      </c>
      <c r="FK66" s="50">
        <f t="shared" ca="1" si="8"/>
        <v>1.4085998718359503</v>
      </c>
      <c r="FL66" s="50"/>
      <c r="FM66" s="50"/>
      <c r="FN66" s="50"/>
    </row>
    <row r="67" spans="33:170" ht="15.75" hidden="1" thickBot="1">
      <c r="AG67" s="69"/>
      <c r="AH67" s="70"/>
      <c r="AI67" s="429">
        <v>1</v>
      </c>
      <c r="AJ67" s="429">
        <v>2</v>
      </c>
      <c r="AK67" s="429"/>
      <c r="AL67" s="429">
        <v>3</v>
      </c>
      <c r="AM67" s="429">
        <v>4</v>
      </c>
      <c r="AN67" s="429"/>
      <c r="AO67" s="429">
        <v>5</v>
      </c>
      <c r="AP67" s="429">
        <v>6</v>
      </c>
      <c r="AQ67" s="70"/>
      <c r="AR67" s="70"/>
      <c r="AS67" s="70"/>
      <c r="AT67" s="80"/>
      <c r="AW67" s="46">
        <v>8.3179999999999996</v>
      </c>
      <c r="AX67" s="49">
        <v>0.75080000000000002</v>
      </c>
      <c r="AY67" s="49">
        <v>0.7591</v>
      </c>
      <c r="AZ67" s="49">
        <v>0.76729999999999998</v>
      </c>
      <c r="BA67" s="49">
        <v>0.77559999999999996</v>
      </c>
      <c r="BB67" s="49">
        <v>0.78390000000000004</v>
      </c>
      <c r="BC67" s="49">
        <v>0.79210000000000003</v>
      </c>
      <c r="BD67" s="49">
        <v>0.8004</v>
      </c>
      <c r="BE67" s="49">
        <v>0.80869999999999997</v>
      </c>
      <c r="BF67" s="49">
        <v>0.81699999999999995</v>
      </c>
      <c r="BG67" s="49">
        <v>0.82520000000000004</v>
      </c>
      <c r="BH67" s="49">
        <v>0.83350000000000002</v>
      </c>
      <c r="BI67" s="49">
        <v>0.84179999999999999</v>
      </c>
      <c r="BJ67" s="49">
        <v>0.85009999999999997</v>
      </c>
      <c r="BK67" s="49">
        <v>0.85840000000000005</v>
      </c>
      <c r="BL67" s="49">
        <v>0.86670000000000003</v>
      </c>
      <c r="BM67" s="49">
        <v>0.875</v>
      </c>
      <c r="BN67" s="49">
        <v>0.88329999999999997</v>
      </c>
      <c r="BO67" s="49">
        <v>0.89159999999999995</v>
      </c>
      <c r="BP67" s="49">
        <v>0.89990000000000003</v>
      </c>
      <c r="BQ67" s="49">
        <v>0.90820000000000001</v>
      </c>
      <c r="BR67" s="49">
        <v>0.91649999999999998</v>
      </c>
      <c r="BS67" s="49">
        <v>0.92479999999999996</v>
      </c>
      <c r="BT67" s="49">
        <v>0.93320000000000003</v>
      </c>
      <c r="BU67" s="49">
        <v>0.9415</v>
      </c>
      <c r="BV67" s="49">
        <v>0.94979999999999998</v>
      </c>
      <c r="BW67" s="49">
        <v>0.95820000000000005</v>
      </c>
      <c r="BX67" s="49">
        <v>0.96650000000000003</v>
      </c>
      <c r="BY67" s="49">
        <v>0.97489999999999999</v>
      </c>
      <c r="BZ67" s="49">
        <v>0.98319999999999996</v>
      </c>
      <c r="CA67" s="49">
        <v>0.99160000000000004</v>
      </c>
      <c r="CB67" s="49">
        <v>0.99990000000000001</v>
      </c>
      <c r="CC67" s="49">
        <v>1.0083</v>
      </c>
      <c r="CD67" s="49">
        <v>1.0166999999999999</v>
      </c>
      <c r="CE67" s="49">
        <v>1.0250999999999999</v>
      </c>
      <c r="CF67" s="49">
        <v>1.0335000000000001</v>
      </c>
      <c r="CG67" s="49">
        <v>1.0419</v>
      </c>
      <c r="CH67" s="49">
        <v>1.0503</v>
      </c>
      <c r="CI67" s="49">
        <v>1.0587</v>
      </c>
      <c r="CJ67" s="49">
        <v>1.0671999999999999</v>
      </c>
      <c r="CK67" s="49">
        <v>1.0755999999999999</v>
      </c>
      <c r="CL67" s="49">
        <v>1.0840000000000001</v>
      </c>
      <c r="CM67" s="49">
        <v>1.0925</v>
      </c>
      <c r="CN67" s="49">
        <v>1.101</v>
      </c>
      <c r="CO67" s="49">
        <v>1.1094999999999999</v>
      </c>
      <c r="CP67" s="49">
        <v>1.1180000000000001</v>
      </c>
      <c r="CQ67" s="49">
        <v>1.1265000000000001</v>
      </c>
      <c r="CR67" s="49">
        <v>1.135</v>
      </c>
      <c r="CS67" s="49">
        <v>1.1435</v>
      </c>
      <c r="CT67" s="49">
        <v>1.1520999999999999</v>
      </c>
      <c r="CU67" s="49">
        <v>1.1607000000000001</v>
      </c>
      <c r="CV67" s="49">
        <v>1.1693</v>
      </c>
      <c r="CW67" s="49">
        <v>1.1778999999999999</v>
      </c>
      <c r="CX67" s="49">
        <v>1.1865000000000001</v>
      </c>
      <c r="CY67" s="49">
        <v>1.1951000000000001</v>
      </c>
      <c r="CZ67" s="49">
        <v>1.2038</v>
      </c>
      <c r="DA67" s="49">
        <v>1.2123999999999999</v>
      </c>
      <c r="DB67" s="49">
        <v>1.2211000000000001</v>
      </c>
      <c r="DC67" s="49">
        <v>1.2299</v>
      </c>
      <c r="DD67" s="49">
        <v>1.2385999999999999</v>
      </c>
      <c r="DE67" s="49">
        <v>1.2474000000000001</v>
      </c>
      <c r="DF67" s="49">
        <v>1.2562</v>
      </c>
      <c r="DG67" s="49">
        <v>1.2649999999999999</v>
      </c>
      <c r="DH67" s="49">
        <v>1.2738</v>
      </c>
      <c r="DI67" s="49">
        <v>1.2827</v>
      </c>
      <c r="DJ67" s="49">
        <v>1.2916000000000001</v>
      </c>
      <c r="DK67" s="49">
        <v>1.3006</v>
      </c>
      <c r="DL67" s="49">
        <v>1.3095000000000001</v>
      </c>
      <c r="DM67" s="49">
        <v>1.3185</v>
      </c>
      <c r="DN67" s="49">
        <v>1.3275999999999999</v>
      </c>
      <c r="DO67" s="49">
        <v>1.3367</v>
      </c>
      <c r="DP67" s="49">
        <v>1.3458000000000001</v>
      </c>
      <c r="DQ67" s="49">
        <v>1.355</v>
      </c>
      <c r="DR67" s="49">
        <v>1.3642000000000001</v>
      </c>
      <c r="DS67" s="49">
        <v>1.3734</v>
      </c>
      <c r="DT67" s="49">
        <v>1.3827</v>
      </c>
      <c r="DU67" s="49">
        <v>1.3920999999999999</v>
      </c>
      <c r="DV67" s="49">
        <v>1.4015</v>
      </c>
      <c r="DW67" s="49">
        <v>1.4109</v>
      </c>
      <c r="DX67" s="49">
        <v>1.4205000000000001</v>
      </c>
      <c r="DY67" s="49">
        <v>1.43</v>
      </c>
      <c r="DZ67" s="49">
        <v>1.4397</v>
      </c>
      <c r="EA67" s="49">
        <v>1.4494</v>
      </c>
      <c r="EB67" s="49">
        <v>1.4591000000000001</v>
      </c>
      <c r="EC67" s="49">
        <v>1.4690000000000001</v>
      </c>
      <c r="ED67" s="49">
        <v>1.4789000000000001</v>
      </c>
      <c r="EE67" s="49">
        <v>1.4888999999999999</v>
      </c>
      <c r="EF67" s="49">
        <v>1.4990000000000001</v>
      </c>
      <c r="EG67" s="49">
        <v>1.5091000000000001</v>
      </c>
      <c r="EH67" s="49">
        <v>1.5194000000000001</v>
      </c>
      <c r="EI67" s="49">
        <v>1.5297000000000001</v>
      </c>
      <c r="EJ67" s="49">
        <v>1.5402</v>
      </c>
      <c r="EK67" s="49">
        <v>1.5507</v>
      </c>
      <c r="EL67" s="49">
        <v>1.5612999999999999</v>
      </c>
      <c r="EM67" s="49">
        <v>1.5721000000000001</v>
      </c>
      <c r="EN67" s="49">
        <v>1.5829</v>
      </c>
      <c r="EO67" s="49">
        <v>1.5939000000000001</v>
      </c>
      <c r="EP67" s="49">
        <v>1.605</v>
      </c>
      <c r="EQ67" s="49">
        <v>1.6163000000000001</v>
      </c>
      <c r="ER67" s="49">
        <v>1.6275999999999999</v>
      </c>
      <c r="ES67" s="49">
        <v>1.6391</v>
      </c>
      <c r="ET67" s="49">
        <v>1.6508</v>
      </c>
      <c r="EU67" s="49">
        <v>1.6626000000000001</v>
      </c>
      <c r="EV67" s="49">
        <v>1.6746000000000001</v>
      </c>
      <c r="EW67" s="49">
        <v>1.6867000000000001</v>
      </c>
      <c r="EX67" s="49">
        <v>1.6990000000000001</v>
      </c>
      <c r="EY67" s="49">
        <v>1.7115</v>
      </c>
      <c r="EZ67" s="49">
        <v>1.7241</v>
      </c>
      <c r="FA67" s="49">
        <v>1.7369000000000001</v>
      </c>
      <c r="FB67" s="49">
        <v>1.75</v>
      </c>
      <c r="FC67" s="49">
        <v>1.7632000000000001</v>
      </c>
      <c r="FE67" s="50">
        <f t="shared" ca="1" si="4"/>
        <v>1.4128176506576937</v>
      </c>
      <c r="FF67" s="50">
        <f t="shared" ref="FF67:FF103" ca="1" si="9">FORECAST(L$39,OFFSET($AX67,0,MATCH(L$39,$AX$2:$FC$2,1)-1,1,2),OFFSET($AX$2,0,MATCH(L$39,$AX$2:$FC$2,1)-1,1,2))</f>
        <v>1.4068430310797821</v>
      </c>
      <c r="FG67" s="50">
        <f t="shared" ref="FG67:FG103" ca="1" si="10">FORECAST(N$39,OFFSET($AX67,0,MATCH(N$39,$AX$2:$FC$2,1)-1,1,2),OFFSET($AX$2,0,MATCH(N$39,$AX$2:$FC$2,1)-1,1,2))</f>
        <v>1.4007871140939596</v>
      </c>
      <c r="FH67" s="50">
        <f t="shared" ref="FH67:FH103" ca="1" si="11">FORECAST(P$39,OFFSET($AX67,0,MATCH(P$39,$AX$2:$FC$2,1)-1,1,2),OFFSET($AX$2,0,MATCH(P$39,$AX$2:$FC$2,1)-1,1,2))</f>
        <v>1.3944783892617449</v>
      </c>
      <c r="FK67" s="50">
        <f t="shared" ref="FK67:FK103" ca="1" si="12">FORECAST(AN$22,OFFSET($AX67,0,MATCH(AN$22,$AX$2:$FC$2,1)-1,1,2),OFFSET($AX$2,0,MATCH(AN$22,$AX$2:$FC$2,1)-1,1,2))</f>
        <v>1.4068430310797821</v>
      </c>
      <c r="FL67" s="50"/>
      <c r="FM67" s="50"/>
      <c r="FN67" s="50"/>
    </row>
    <row r="68" spans="33:170" ht="15.75" hidden="1" thickBot="1">
      <c r="AG68" s="74"/>
      <c r="AH68" s="94" t="s">
        <v>84</v>
      </c>
      <c r="AI68" s="75" t="b">
        <f>AND(Database!O9=1,Z11&lt;0)</f>
        <v>1</v>
      </c>
      <c r="AJ68" s="75" t="b">
        <f>AND(Database!O9=2,Z11&gt;=0)</f>
        <v>0</v>
      </c>
      <c r="AK68" s="75" t="b">
        <f>AND(AI68=FALSE,AJ68=FALSE)</f>
        <v>0</v>
      </c>
      <c r="AL68" s="75"/>
      <c r="AM68" s="95" t="b">
        <f>+Database!U22</f>
        <v>0</v>
      </c>
      <c r="AN68" s="75"/>
      <c r="AO68" s="75"/>
      <c r="AP68" s="75"/>
      <c r="AQ68" s="75"/>
      <c r="AR68" s="75"/>
      <c r="AS68" s="75"/>
      <c r="AT68" s="96"/>
      <c r="AW68" s="46">
        <v>8.9130000000000003</v>
      </c>
      <c r="AX68" s="49">
        <v>0.74990000000000001</v>
      </c>
      <c r="AY68" s="49">
        <v>0.75819999999999999</v>
      </c>
      <c r="AZ68" s="49">
        <v>0.76639999999999997</v>
      </c>
      <c r="BA68" s="49">
        <v>0.77470000000000006</v>
      </c>
      <c r="BB68" s="49">
        <v>0.78290000000000004</v>
      </c>
      <c r="BC68" s="49">
        <v>0.79120000000000001</v>
      </c>
      <c r="BD68" s="49">
        <v>0.7994</v>
      </c>
      <c r="BE68" s="49">
        <v>0.80769999999999997</v>
      </c>
      <c r="BF68" s="49">
        <v>0.81599999999999995</v>
      </c>
      <c r="BG68" s="49">
        <v>0.82420000000000004</v>
      </c>
      <c r="BH68" s="49">
        <v>0.83250000000000002</v>
      </c>
      <c r="BI68" s="49">
        <v>0.84079999999999999</v>
      </c>
      <c r="BJ68" s="49">
        <v>0.84909999999999997</v>
      </c>
      <c r="BK68" s="49">
        <v>0.85729999999999995</v>
      </c>
      <c r="BL68" s="49">
        <v>0.86560000000000004</v>
      </c>
      <c r="BM68" s="49">
        <v>0.87390000000000001</v>
      </c>
      <c r="BN68" s="49">
        <v>0.88219999999999998</v>
      </c>
      <c r="BO68" s="49">
        <v>0.89049999999999996</v>
      </c>
      <c r="BP68" s="49">
        <v>0.89880000000000004</v>
      </c>
      <c r="BQ68" s="49">
        <v>0.90710000000000002</v>
      </c>
      <c r="BR68" s="49">
        <v>0.91539999999999999</v>
      </c>
      <c r="BS68" s="49">
        <v>0.92369999999999997</v>
      </c>
      <c r="BT68" s="49">
        <v>0.93200000000000005</v>
      </c>
      <c r="BU68" s="49">
        <v>0.94030000000000002</v>
      </c>
      <c r="BV68" s="49">
        <v>0.94869999999999999</v>
      </c>
      <c r="BW68" s="49">
        <v>0.95699999999999996</v>
      </c>
      <c r="BX68" s="49">
        <v>0.96530000000000005</v>
      </c>
      <c r="BY68" s="49">
        <v>0.97370000000000001</v>
      </c>
      <c r="BZ68" s="49">
        <v>0.98199999999999998</v>
      </c>
      <c r="CA68" s="49">
        <v>0.99039999999999995</v>
      </c>
      <c r="CB68" s="49">
        <v>0.99870000000000003</v>
      </c>
      <c r="CC68" s="49">
        <v>1.0071000000000001</v>
      </c>
      <c r="CD68" s="49">
        <v>1.0155000000000001</v>
      </c>
      <c r="CE68" s="49">
        <v>1.0238</v>
      </c>
      <c r="CF68" s="49">
        <v>1.0322</v>
      </c>
      <c r="CG68" s="49">
        <v>1.0406</v>
      </c>
      <c r="CH68" s="49">
        <v>1.0489999999999999</v>
      </c>
      <c r="CI68" s="49">
        <v>1.0573999999999999</v>
      </c>
      <c r="CJ68" s="49">
        <v>1.0659000000000001</v>
      </c>
      <c r="CK68" s="49">
        <v>1.0743</v>
      </c>
      <c r="CL68" s="49">
        <v>1.0827</v>
      </c>
      <c r="CM68" s="49">
        <v>1.0911999999999999</v>
      </c>
      <c r="CN68" s="49">
        <v>1.0996999999999999</v>
      </c>
      <c r="CO68" s="49">
        <v>1.1081000000000001</v>
      </c>
      <c r="CP68" s="49">
        <v>1.1166</v>
      </c>
      <c r="CQ68" s="49">
        <v>1.1251</v>
      </c>
      <c r="CR68" s="49">
        <v>1.1335999999999999</v>
      </c>
      <c r="CS68" s="49">
        <v>1.1422000000000001</v>
      </c>
      <c r="CT68" s="49">
        <v>1.1507000000000001</v>
      </c>
      <c r="CU68" s="49">
        <v>1.1593</v>
      </c>
      <c r="CV68" s="49">
        <v>1.1677999999999999</v>
      </c>
      <c r="CW68" s="49">
        <v>1.1763999999999999</v>
      </c>
      <c r="CX68" s="49">
        <v>1.1850000000000001</v>
      </c>
      <c r="CY68" s="49">
        <v>1.1937</v>
      </c>
      <c r="CZ68" s="49">
        <v>1.2022999999999999</v>
      </c>
      <c r="DA68" s="49">
        <v>1.2110000000000001</v>
      </c>
      <c r="DB68" s="49">
        <v>1.2197</v>
      </c>
      <c r="DC68" s="49">
        <v>1.2283999999999999</v>
      </c>
      <c r="DD68" s="49">
        <v>1.2371000000000001</v>
      </c>
      <c r="DE68" s="49">
        <v>1.2459</v>
      </c>
      <c r="DF68" s="49">
        <v>1.2545999999999999</v>
      </c>
      <c r="DG68" s="49">
        <v>1.2635000000000001</v>
      </c>
      <c r="DH68" s="49">
        <v>1.2723</v>
      </c>
      <c r="DI68" s="49">
        <v>1.2811999999999999</v>
      </c>
      <c r="DJ68" s="49">
        <v>1.2901</v>
      </c>
      <c r="DK68" s="49">
        <v>1.2989999999999999</v>
      </c>
      <c r="DL68" s="49">
        <v>1.3080000000000001</v>
      </c>
      <c r="DM68" s="49">
        <v>1.3169999999999999</v>
      </c>
      <c r="DN68" s="49">
        <v>1.3260000000000001</v>
      </c>
      <c r="DO68" s="49">
        <v>1.3351</v>
      </c>
      <c r="DP68" s="49">
        <v>1.3442000000000001</v>
      </c>
      <c r="DQ68" s="49">
        <v>1.3532999999999999</v>
      </c>
      <c r="DR68" s="49">
        <v>1.3625</v>
      </c>
      <c r="DS68" s="49">
        <v>1.3717999999999999</v>
      </c>
      <c r="DT68" s="49">
        <v>1.3811</v>
      </c>
      <c r="DU68" s="49">
        <v>1.3904000000000001</v>
      </c>
      <c r="DV68" s="49">
        <v>1.3997999999999999</v>
      </c>
      <c r="DW68" s="49">
        <v>1.4092</v>
      </c>
      <c r="DX68" s="49">
        <v>1.4187000000000001</v>
      </c>
      <c r="DY68" s="49">
        <v>1.4282999999999999</v>
      </c>
      <c r="DZ68" s="49">
        <v>1.4379</v>
      </c>
      <c r="EA68" s="49">
        <v>1.4476</v>
      </c>
      <c r="EB68" s="49">
        <v>1.4574</v>
      </c>
      <c r="EC68" s="49">
        <v>1.4672000000000001</v>
      </c>
      <c r="ED68" s="49">
        <v>1.4771000000000001</v>
      </c>
      <c r="EE68" s="49">
        <v>1.4871000000000001</v>
      </c>
      <c r="EF68" s="49">
        <v>1.4972000000000001</v>
      </c>
      <c r="EG68" s="49">
        <v>1.5073000000000001</v>
      </c>
      <c r="EH68" s="49">
        <v>1.5175000000000001</v>
      </c>
      <c r="EI68" s="49">
        <v>1.5279</v>
      </c>
      <c r="EJ68" s="49">
        <v>1.5383</v>
      </c>
      <c r="EK68" s="49">
        <v>1.5488</v>
      </c>
      <c r="EL68" s="49">
        <v>1.5593999999999999</v>
      </c>
      <c r="EM68" s="49">
        <v>1.5702</v>
      </c>
      <c r="EN68" s="49">
        <v>1.581</v>
      </c>
      <c r="EO68" s="49">
        <v>1.5920000000000001</v>
      </c>
      <c r="EP68" s="49">
        <v>1.6031</v>
      </c>
      <c r="EQ68" s="49">
        <v>1.6143000000000001</v>
      </c>
      <c r="ER68" s="49">
        <v>1.6256999999999999</v>
      </c>
      <c r="ES68" s="49">
        <v>1.6372</v>
      </c>
      <c r="ET68" s="49">
        <v>1.6488</v>
      </c>
      <c r="EU68" s="49">
        <v>1.6606000000000001</v>
      </c>
      <c r="EV68" s="49">
        <v>1.6725000000000001</v>
      </c>
      <c r="EW68" s="49">
        <v>1.6846000000000001</v>
      </c>
      <c r="EX68" s="49">
        <v>1.6969000000000001</v>
      </c>
      <c r="EY68" s="49">
        <v>1.7094</v>
      </c>
      <c r="EZ68" s="49">
        <v>1.722</v>
      </c>
      <c r="FA68" s="49">
        <v>1.7347999999999999</v>
      </c>
      <c r="FB68" s="49">
        <v>1.7479</v>
      </c>
      <c r="FC68" s="49">
        <v>1.7611000000000001</v>
      </c>
      <c r="FE68" s="50">
        <f t="shared" ref="FE68:FE103" ca="1" si="13">FORECAST(J$39,OFFSET($AX68,0,MATCH(J$39,$AX$2:$FC$2,1)-1,1,2),OFFSET($AX$2,0,MATCH(J$39,$AX$2:$FC$2,1)-1,1,2))</f>
        <v>1.4110976751300093</v>
      </c>
      <c r="FF68" s="50">
        <f t="shared" ca="1" si="9"/>
        <v>1.4051430310797821</v>
      </c>
      <c r="FG68" s="50">
        <f t="shared" ca="1" si="10"/>
        <v>1.3990871140939596</v>
      </c>
      <c r="FH68" s="50">
        <f t="shared" ca="1" si="11"/>
        <v>1.3927783892617449</v>
      </c>
      <c r="FK68" s="50">
        <f t="shared" ca="1" si="12"/>
        <v>1.4051430310797821</v>
      </c>
      <c r="FL68" s="50"/>
      <c r="FM68" s="50"/>
      <c r="FN68" s="50"/>
    </row>
    <row r="69" spans="33:170" hidden="1">
      <c r="AW69" s="46">
        <v>9.5500000000000007</v>
      </c>
      <c r="AX69" s="49">
        <v>0.749</v>
      </c>
      <c r="AY69" s="49">
        <v>0.75719999999999998</v>
      </c>
      <c r="AZ69" s="49">
        <v>0.76549999999999996</v>
      </c>
      <c r="BA69" s="49">
        <v>0.77370000000000005</v>
      </c>
      <c r="BB69" s="49">
        <v>0.78200000000000003</v>
      </c>
      <c r="BC69" s="49">
        <v>0.79020000000000001</v>
      </c>
      <c r="BD69" s="49">
        <v>0.79849999999999999</v>
      </c>
      <c r="BE69" s="49">
        <v>0.80669999999999997</v>
      </c>
      <c r="BF69" s="49">
        <v>0.81499999999999995</v>
      </c>
      <c r="BG69" s="49">
        <v>0.82330000000000003</v>
      </c>
      <c r="BH69" s="49">
        <v>0.83150000000000002</v>
      </c>
      <c r="BI69" s="49">
        <v>0.83979999999999999</v>
      </c>
      <c r="BJ69" s="49">
        <v>0.84799999999999998</v>
      </c>
      <c r="BK69" s="49">
        <v>0.85629999999999995</v>
      </c>
      <c r="BL69" s="49">
        <v>0.86460000000000004</v>
      </c>
      <c r="BM69" s="49">
        <v>0.87290000000000001</v>
      </c>
      <c r="BN69" s="49">
        <v>0.88109999999999999</v>
      </c>
      <c r="BO69" s="49">
        <v>0.88939999999999997</v>
      </c>
      <c r="BP69" s="49">
        <v>0.89770000000000005</v>
      </c>
      <c r="BQ69" s="49">
        <v>0.90600000000000003</v>
      </c>
      <c r="BR69" s="49">
        <v>0.9143</v>
      </c>
      <c r="BS69" s="49">
        <v>0.92259999999999998</v>
      </c>
      <c r="BT69" s="49">
        <v>0.93089999999999995</v>
      </c>
      <c r="BU69" s="49">
        <v>0.93920000000000003</v>
      </c>
      <c r="BV69" s="49">
        <v>0.94750000000000001</v>
      </c>
      <c r="BW69" s="49">
        <v>0.95579999999999998</v>
      </c>
      <c r="BX69" s="49">
        <v>0.96419999999999995</v>
      </c>
      <c r="BY69" s="49">
        <v>0.97250000000000003</v>
      </c>
      <c r="BZ69" s="49">
        <v>0.98080000000000001</v>
      </c>
      <c r="CA69" s="49">
        <v>0.98919999999999997</v>
      </c>
      <c r="CB69" s="49">
        <v>0.99750000000000005</v>
      </c>
      <c r="CC69" s="49">
        <v>1.0059</v>
      </c>
      <c r="CD69" s="49">
        <v>1.0142</v>
      </c>
      <c r="CE69" s="49">
        <v>1.0226</v>
      </c>
      <c r="CF69" s="49">
        <v>1.0309999999999999</v>
      </c>
      <c r="CG69" s="49">
        <v>1.0394000000000001</v>
      </c>
      <c r="CH69" s="49">
        <v>1.0478000000000001</v>
      </c>
      <c r="CI69" s="49">
        <v>1.0562</v>
      </c>
      <c r="CJ69" s="49">
        <v>1.0646</v>
      </c>
      <c r="CK69" s="49">
        <v>1.073</v>
      </c>
      <c r="CL69" s="49">
        <v>1.0813999999999999</v>
      </c>
      <c r="CM69" s="49">
        <v>1.0899000000000001</v>
      </c>
      <c r="CN69" s="49">
        <v>1.0983000000000001</v>
      </c>
      <c r="CO69" s="49">
        <v>1.1068</v>
      </c>
      <c r="CP69" s="49">
        <v>1.1153</v>
      </c>
      <c r="CQ69" s="49">
        <v>1.1237999999999999</v>
      </c>
      <c r="CR69" s="49">
        <v>1.1323000000000001</v>
      </c>
      <c r="CS69" s="49">
        <v>1.1408</v>
      </c>
      <c r="CT69" s="49">
        <v>1.1493</v>
      </c>
      <c r="CU69" s="49">
        <v>1.1578999999999999</v>
      </c>
      <c r="CV69" s="49">
        <v>1.1664000000000001</v>
      </c>
      <c r="CW69" s="49">
        <v>1.175</v>
      </c>
      <c r="CX69" s="49">
        <v>1.1836</v>
      </c>
      <c r="CY69" s="49">
        <v>1.1921999999999999</v>
      </c>
      <c r="CZ69" s="49">
        <v>1.2009000000000001</v>
      </c>
      <c r="DA69" s="49">
        <v>1.2095</v>
      </c>
      <c r="DB69" s="49">
        <v>1.2181999999999999</v>
      </c>
      <c r="DC69" s="49">
        <v>1.2269000000000001</v>
      </c>
      <c r="DD69" s="49">
        <v>1.2356</v>
      </c>
      <c r="DE69" s="49">
        <v>1.2444</v>
      </c>
      <c r="DF69" s="49">
        <v>1.2531000000000001</v>
      </c>
      <c r="DG69" s="49">
        <v>1.2619</v>
      </c>
      <c r="DH69" s="49">
        <v>1.2707999999999999</v>
      </c>
      <c r="DI69" s="49">
        <v>1.2796000000000001</v>
      </c>
      <c r="DJ69" s="49">
        <v>1.2885</v>
      </c>
      <c r="DK69" s="49">
        <v>1.2974000000000001</v>
      </c>
      <c r="DL69" s="49">
        <v>1.3064</v>
      </c>
      <c r="DM69" s="49">
        <v>1.3153999999999999</v>
      </c>
      <c r="DN69" s="49">
        <v>1.3244</v>
      </c>
      <c r="DO69" s="49">
        <v>1.3334999999999999</v>
      </c>
      <c r="DP69" s="49">
        <v>1.3426</v>
      </c>
      <c r="DQ69" s="49">
        <v>1.3516999999999999</v>
      </c>
      <c r="DR69" s="49">
        <v>1.3609</v>
      </c>
      <c r="DS69" s="49">
        <v>1.3701000000000001</v>
      </c>
      <c r="DT69" s="49">
        <v>1.3794</v>
      </c>
      <c r="DU69" s="49">
        <v>1.3887</v>
      </c>
      <c r="DV69" s="49">
        <v>1.3980999999999999</v>
      </c>
      <c r="DW69" s="49">
        <v>1.4075</v>
      </c>
      <c r="DX69" s="49">
        <v>1.417</v>
      </c>
      <c r="DY69" s="49">
        <v>1.4266000000000001</v>
      </c>
      <c r="DZ69" s="49">
        <v>1.4361999999999999</v>
      </c>
      <c r="EA69" s="49">
        <v>1.4459</v>
      </c>
      <c r="EB69" s="49">
        <v>1.4556</v>
      </c>
      <c r="EC69" s="49">
        <v>1.4654</v>
      </c>
      <c r="ED69" s="49">
        <v>1.4753000000000001</v>
      </c>
      <c r="EE69" s="49">
        <v>1.4853000000000001</v>
      </c>
      <c r="EF69" s="49">
        <v>1.4954000000000001</v>
      </c>
      <c r="EG69" s="49">
        <v>1.5055000000000001</v>
      </c>
      <c r="EH69" s="49">
        <v>1.5157</v>
      </c>
      <c r="EI69" s="49">
        <v>1.526</v>
      </c>
      <c r="EJ69" s="49">
        <v>1.5364</v>
      </c>
      <c r="EK69" s="49">
        <v>1.5469999999999999</v>
      </c>
      <c r="EL69" s="49">
        <v>1.5576000000000001</v>
      </c>
      <c r="EM69" s="49">
        <v>1.5683</v>
      </c>
      <c r="EN69" s="49">
        <v>1.5790999999999999</v>
      </c>
      <c r="EO69" s="49">
        <v>1.5901000000000001</v>
      </c>
      <c r="EP69" s="49">
        <v>1.6012</v>
      </c>
      <c r="EQ69" s="49">
        <v>1.6124000000000001</v>
      </c>
      <c r="ER69" s="49">
        <v>1.6236999999999999</v>
      </c>
      <c r="ES69" s="49">
        <v>1.6352</v>
      </c>
      <c r="ET69" s="49">
        <v>1.6468</v>
      </c>
      <c r="EU69" s="49">
        <v>1.6586000000000001</v>
      </c>
      <c r="EV69" s="49">
        <v>1.6705000000000001</v>
      </c>
      <c r="EW69" s="49">
        <v>1.6826000000000001</v>
      </c>
      <c r="EX69" s="49">
        <v>1.6949000000000001</v>
      </c>
      <c r="EY69" s="49">
        <v>1.7073</v>
      </c>
      <c r="EZ69" s="49">
        <v>1.72</v>
      </c>
      <c r="FA69" s="49">
        <v>1.7327999999999999</v>
      </c>
      <c r="FB69" s="49">
        <v>1.7458</v>
      </c>
      <c r="FC69" s="49">
        <v>1.7589999999999999</v>
      </c>
      <c r="FE69" s="50">
        <f t="shared" ca="1" si="13"/>
        <v>1.4093976751300092</v>
      </c>
      <c r="FF69" s="50">
        <f t="shared" ca="1" si="9"/>
        <v>1.4034430310797821</v>
      </c>
      <c r="FG69" s="50">
        <f t="shared" ca="1" si="10"/>
        <v>1.3973871140939595</v>
      </c>
      <c r="FH69" s="50">
        <f t="shared" ca="1" si="11"/>
        <v>1.3910783892617449</v>
      </c>
      <c r="FK69" s="50">
        <f t="shared" ca="1" si="12"/>
        <v>1.4034430310797821</v>
      </c>
      <c r="FL69" s="50"/>
      <c r="FM69" s="50"/>
      <c r="FN69" s="50"/>
    </row>
    <row r="70" spans="33:170" hidden="1">
      <c r="AW70" s="46">
        <v>10.233000000000001</v>
      </c>
      <c r="AX70" s="49">
        <v>0.74809999999999999</v>
      </c>
      <c r="AY70" s="49">
        <v>0.75629999999999997</v>
      </c>
      <c r="AZ70" s="49">
        <v>0.76459999999999995</v>
      </c>
      <c r="BA70" s="49">
        <v>0.77280000000000004</v>
      </c>
      <c r="BB70" s="49">
        <v>0.78110000000000002</v>
      </c>
      <c r="BC70" s="49">
        <v>0.7893</v>
      </c>
      <c r="BD70" s="49">
        <v>0.79749999999999999</v>
      </c>
      <c r="BE70" s="49">
        <v>0.80579999999999996</v>
      </c>
      <c r="BF70" s="49">
        <v>0.81399999999999995</v>
      </c>
      <c r="BG70" s="49">
        <v>0.82230000000000003</v>
      </c>
      <c r="BH70" s="49">
        <v>0.83050000000000002</v>
      </c>
      <c r="BI70" s="49">
        <v>0.83879999999999999</v>
      </c>
      <c r="BJ70" s="49">
        <v>0.84699999999999998</v>
      </c>
      <c r="BK70" s="49">
        <v>0.85529999999999995</v>
      </c>
      <c r="BL70" s="49">
        <v>0.86360000000000003</v>
      </c>
      <c r="BM70" s="49">
        <v>0.87180000000000002</v>
      </c>
      <c r="BN70" s="49">
        <v>0.88009999999999999</v>
      </c>
      <c r="BO70" s="49">
        <v>0.88839999999999997</v>
      </c>
      <c r="BP70" s="49">
        <v>0.89670000000000005</v>
      </c>
      <c r="BQ70" s="49">
        <v>0.90490000000000004</v>
      </c>
      <c r="BR70" s="49">
        <v>0.91320000000000001</v>
      </c>
      <c r="BS70" s="49">
        <v>0.92149999999999999</v>
      </c>
      <c r="BT70" s="49">
        <v>0.92979999999999996</v>
      </c>
      <c r="BU70" s="49">
        <v>0.93810000000000004</v>
      </c>
      <c r="BV70" s="49">
        <v>0.94640000000000002</v>
      </c>
      <c r="BW70" s="49">
        <v>0.95469999999999999</v>
      </c>
      <c r="BX70" s="49">
        <v>0.96299999999999997</v>
      </c>
      <c r="BY70" s="49">
        <v>0.97130000000000005</v>
      </c>
      <c r="BZ70" s="49">
        <v>0.97970000000000002</v>
      </c>
      <c r="CA70" s="49">
        <v>0.98799999999999999</v>
      </c>
      <c r="CB70" s="49">
        <v>0.99629999999999996</v>
      </c>
      <c r="CC70" s="49">
        <v>1.0046999999999999</v>
      </c>
      <c r="CD70" s="49">
        <v>1.0129999999999999</v>
      </c>
      <c r="CE70" s="49">
        <v>1.0214000000000001</v>
      </c>
      <c r="CF70" s="49">
        <v>1.0298</v>
      </c>
      <c r="CG70" s="49">
        <v>1.0381</v>
      </c>
      <c r="CH70" s="49">
        <v>1.0465</v>
      </c>
      <c r="CI70" s="49">
        <v>1.0548999999999999</v>
      </c>
      <c r="CJ70" s="49">
        <v>1.0632999999999999</v>
      </c>
      <c r="CK70" s="49">
        <v>1.0717000000000001</v>
      </c>
      <c r="CL70" s="49">
        <v>1.0802</v>
      </c>
      <c r="CM70" s="49">
        <v>1.0886</v>
      </c>
      <c r="CN70" s="49">
        <v>1.097</v>
      </c>
      <c r="CO70" s="49">
        <v>1.1054999999999999</v>
      </c>
      <c r="CP70" s="49">
        <v>1.1140000000000001</v>
      </c>
      <c r="CQ70" s="49">
        <v>1.1224000000000001</v>
      </c>
      <c r="CR70" s="49">
        <v>1.1309</v>
      </c>
      <c r="CS70" s="49">
        <v>1.1394</v>
      </c>
      <c r="CT70" s="49">
        <v>1.1479999999999999</v>
      </c>
      <c r="CU70" s="49">
        <v>1.1565000000000001</v>
      </c>
      <c r="CV70" s="49">
        <v>1.165</v>
      </c>
      <c r="CW70" s="49">
        <v>1.1736</v>
      </c>
      <c r="CX70" s="49">
        <v>1.1821999999999999</v>
      </c>
      <c r="CY70" s="49">
        <v>1.1908000000000001</v>
      </c>
      <c r="CZ70" s="49">
        <v>1.1994</v>
      </c>
      <c r="DA70" s="49">
        <v>1.2081</v>
      </c>
      <c r="DB70" s="49">
        <v>1.2168000000000001</v>
      </c>
      <c r="DC70" s="49">
        <v>1.2254</v>
      </c>
      <c r="DD70" s="49">
        <v>1.2342</v>
      </c>
      <c r="DE70" s="49">
        <v>1.2428999999999999</v>
      </c>
      <c r="DF70" s="49">
        <v>1.2517</v>
      </c>
      <c r="DG70" s="49">
        <v>1.2604</v>
      </c>
      <c r="DH70" s="49">
        <v>1.2693000000000001</v>
      </c>
      <c r="DI70" s="49">
        <v>1.2781</v>
      </c>
      <c r="DJ70" s="49">
        <v>1.2869999999999999</v>
      </c>
      <c r="DK70" s="49">
        <v>1.2959000000000001</v>
      </c>
      <c r="DL70" s="49">
        <v>1.3048</v>
      </c>
      <c r="DM70" s="49">
        <v>1.3138000000000001</v>
      </c>
      <c r="DN70" s="49">
        <v>1.3228</v>
      </c>
      <c r="DO70" s="49">
        <v>1.3319000000000001</v>
      </c>
      <c r="DP70" s="49">
        <v>1.341</v>
      </c>
      <c r="DQ70" s="49">
        <v>1.3501000000000001</v>
      </c>
      <c r="DR70" s="49">
        <v>1.3593</v>
      </c>
      <c r="DS70" s="49">
        <v>1.3685</v>
      </c>
      <c r="DT70" s="49">
        <v>1.3777999999999999</v>
      </c>
      <c r="DU70" s="49">
        <v>1.3871</v>
      </c>
      <c r="DV70" s="49">
        <v>1.3965000000000001</v>
      </c>
      <c r="DW70" s="49">
        <v>1.4058999999999999</v>
      </c>
      <c r="DX70" s="49">
        <v>1.4154</v>
      </c>
      <c r="DY70" s="49">
        <v>1.4249000000000001</v>
      </c>
      <c r="DZ70" s="49">
        <v>1.4345000000000001</v>
      </c>
      <c r="EA70" s="49">
        <v>1.4441999999999999</v>
      </c>
      <c r="EB70" s="49">
        <v>1.4539</v>
      </c>
      <c r="EC70" s="49">
        <v>1.4637</v>
      </c>
      <c r="ED70" s="49">
        <v>1.4736</v>
      </c>
      <c r="EE70" s="49">
        <v>1.4835</v>
      </c>
      <c r="EF70" s="49">
        <v>1.4936</v>
      </c>
      <c r="EG70" s="49">
        <v>1.5037</v>
      </c>
      <c r="EH70" s="49">
        <v>1.5139</v>
      </c>
      <c r="EI70" s="49">
        <v>1.5242</v>
      </c>
      <c r="EJ70" s="49">
        <v>1.5346</v>
      </c>
      <c r="EK70" s="49">
        <v>1.5450999999999999</v>
      </c>
      <c r="EL70" s="49">
        <v>1.5557000000000001</v>
      </c>
      <c r="EM70" s="49">
        <v>1.5664</v>
      </c>
      <c r="EN70" s="49">
        <v>1.5772999999999999</v>
      </c>
      <c r="EO70" s="49">
        <v>1.5882000000000001</v>
      </c>
      <c r="EP70" s="49">
        <v>1.5992999999999999</v>
      </c>
      <c r="EQ70" s="49">
        <v>1.6105</v>
      </c>
      <c r="ER70" s="49">
        <v>1.6217999999999999</v>
      </c>
      <c r="ES70" s="49">
        <v>1.6333</v>
      </c>
      <c r="ET70" s="49">
        <v>1.6449</v>
      </c>
      <c r="EU70" s="49">
        <v>1.6566000000000001</v>
      </c>
      <c r="EV70" s="49">
        <v>1.6685000000000001</v>
      </c>
      <c r="EW70" s="49">
        <v>1.6806000000000001</v>
      </c>
      <c r="EX70" s="49">
        <v>1.6929000000000001</v>
      </c>
      <c r="EY70" s="49">
        <v>1.7053</v>
      </c>
      <c r="EZ70" s="49">
        <v>1.7179</v>
      </c>
      <c r="FA70" s="49">
        <v>1.7306999999999999</v>
      </c>
      <c r="FB70" s="49">
        <v>1.7437</v>
      </c>
      <c r="FC70" s="49">
        <v>1.7568999999999999</v>
      </c>
      <c r="FE70" s="50">
        <f t="shared" ca="1" si="13"/>
        <v>1.4077976751300092</v>
      </c>
      <c r="FF70" s="50">
        <f t="shared" ca="1" si="9"/>
        <v>1.4018430310797823</v>
      </c>
      <c r="FG70" s="50">
        <f t="shared" ca="1" si="10"/>
        <v>1.3957871140939597</v>
      </c>
      <c r="FH70" s="50">
        <f t="shared" ca="1" si="11"/>
        <v>1.3894783892617451</v>
      </c>
      <c r="FK70" s="50">
        <f t="shared" ca="1" si="12"/>
        <v>1.4018430310797823</v>
      </c>
      <c r="FL70" s="50"/>
      <c r="FM70" s="50"/>
      <c r="FN70" s="50"/>
    </row>
    <row r="71" spans="33:170" hidden="1">
      <c r="AW71" s="46">
        <v>10.965</v>
      </c>
      <c r="AX71" s="49">
        <v>0.74719999999999998</v>
      </c>
      <c r="AY71" s="49">
        <v>0.75549999999999995</v>
      </c>
      <c r="AZ71" s="49">
        <v>0.76370000000000005</v>
      </c>
      <c r="BA71" s="49">
        <v>0.77190000000000003</v>
      </c>
      <c r="BB71" s="49">
        <v>0.78010000000000002</v>
      </c>
      <c r="BC71" s="49">
        <v>0.78839999999999999</v>
      </c>
      <c r="BD71" s="49">
        <v>0.79659999999999997</v>
      </c>
      <c r="BE71" s="49">
        <v>0.80479999999999996</v>
      </c>
      <c r="BF71" s="49">
        <v>0.81310000000000004</v>
      </c>
      <c r="BG71" s="49">
        <v>0.82130000000000003</v>
      </c>
      <c r="BH71" s="49">
        <v>0.8296</v>
      </c>
      <c r="BI71" s="49">
        <v>0.83779999999999999</v>
      </c>
      <c r="BJ71" s="49">
        <v>0.84599999999999997</v>
      </c>
      <c r="BK71" s="49">
        <v>0.85429999999999995</v>
      </c>
      <c r="BL71" s="49">
        <v>0.86260000000000003</v>
      </c>
      <c r="BM71" s="49">
        <v>0.87080000000000002</v>
      </c>
      <c r="BN71" s="49">
        <v>0.87909999999999999</v>
      </c>
      <c r="BO71" s="49">
        <v>0.88729999999999998</v>
      </c>
      <c r="BP71" s="49">
        <v>0.89559999999999995</v>
      </c>
      <c r="BQ71" s="49">
        <v>0.90390000000000004</v>
      </c>
      <c r="BR71" s="49">
        <v>0.91210000000000002</v>
      </c>
      <c r="BS71" s="49">
        <v>0.9204</v>
      </c>
      <c r="BT71" s="49">
        <v>0.92869999999999997</v>
      </c>
      <c r="BU71" s="49">
        <v>0.93700000000000006</v>
      </c>
      <c r="BV71" s="49">
        <v>0.94530000000000003</v>
      </c>
      <c r="BW71" s="49">
        <v>0.9536</v>
      </c>
      <c r="BX71" s="49">
        <v>0.96189999999999998</v>
      </c>
      <c r="BY71" s="49">
        <v>0.97019999999999995</v>
      </c>
      <c r="BZ71" s="49">
        <v>0.97850000000000004</v>
      </c>
      <c r="CA71" s="49">
        <v>0.98680000000000001</v>
      </c>
      <c r="CB71" s="49">
        <v>0.99519999999999997</v>
      </c>
      <c r="CC71" s="49">
        <v>1.0035000000000001</v>
      </c>
      <c r="CD71" s="49">
        <v>1.0119</v>
      </c>
      <c r="CE71" s="49">
        <v>1.0202</v>
      </c>
      <c r="CF71" s="49">
        <v>1.0286</v>
      </c>
      <c r="CG71" s="49">
        <v>1.0368999999999999</v>
      </c>
      <c r="CH71" s="49">
        <v>1.0452999999999999</v>
      </c>
      <c r="CI71" s="49">
        <v>1.0537000000000001</v>
      </c>
      <c r="CJ71" s="49">
        <v>1.0621</v>
      </c>
      <c r="CK71" s="49">
        <v>1.0705</v>
      </c>
      <c r="CL71" s="49">
        <v>1.0789</v>
      </c>
      <c r="CM71" s="49">
        <v>1.0872999999999999</v>
      </c>
      <c r="CN71" s="49">
        <v>1.0956999999999999</v>
      </c>
      <c r="CO71" s="49">
        <v>1.1042000000000001</v>
      </c>
      <c r="CP71" s="49">
        <v>1.1126</v>
      </c>
      <c r="CQ71" s="49">
        <v>1.1211</v>
      </c>
      <c r="CR71" s="49">
        <v>1.1295999999999999</v>
      </c>
      <c r="CS71" s="49">
        <v>1.1380999999999999</v>
      </c>
      <c r="CT71" s="49">
        <v>1.1466000000000001</v>
      </c>
      <c r="CU71" s="49">
        <v>1.1551</v>
      </c>
      <c r="CV71" s="49">
        <v>1.1637</v>
      </c>
      <c r="CW71" s="49">
        <v>1.1721999999999999</v>
      </c>
      <c r="CX71" s="49">
        <v>1.1808000000000001</v>
      </c>
      <c r="CY71" s="49">
        <v>1.1894</v>
      </c>
      <c r="CZ71" s="49">
        <v>1.198</v>
      </c>
      <c r="DA71" s="49">
        <v>1.2067000000000001</v>
      </c>
      <c r="DB71" s="49">
        <v>1.2153</v>
      </c>
      <c r="DC71" s="49">
        <v>1.224</v>
      </c>
      <c r="DD71" s="49">
        <v>1.2326999999999999</v>
      </c>
      <c r="DE71" s="49">
        <v>1.2414000000000001</v>
      </c>
      <c r="DF71" s="49">
        <v>1.2502</v>
      </c>
      <c r="DG71" s="49">
        <v>1.2589999999999999</v>
      </c>
      <c r="DH71" s="49">
        <v>1.2678</v>
      </c>
      <c r="DI71" s="49">
        <v>1.2766</v>
      </c>
      <c r="DJ71" s="49">
        <v>1.2855000000000001</v>
      </c>
      <c r="DK71" s="49">
        <v>1.2944</v>
      </c>
      <c r="DL71" s="49">
        <v>1.3032999999999999</v>
      </c>
      <c r="DM71" s="49">
        <v>1.3123</v>
      </c>
      <c r="DN71" s="49">
        <v>1.3212999999999999</v>
      </c>
      <c r="DO71" s="49">
        <v>1.3303</v>
      </c>
      <c r="DP71" s="49">
        <v>1.3393999999999999</v>
      </c>
      <c r="DQ71" s="49">
        <v>1.3485</v>
      </c>
      <c r="DR71" s="49">
        <v>1.3576999999999999</v>
      </c>
      <c r="DS71" s="49">
        <v>1.3669</v>
      </c>
      <c r="DT71" s="49">
        <v>1.3761000000000001</v>
      </c>
      <c r="DU71" s="49">
        <v>1.3855</v>
      </c>
      <c r="DV71" s="49">
        <v>1.3948</v>
      </c>
      <c r="DW71" s="49">
        <v>1.4041999999999999</v>
      </c>
      <c r="DX71" s="49">
        <v>1.4137</v>
      </c>
      <c r="DY71" s="49">
        <v>1.4232</v>
      </c>
      <c r="DZ71" s="49">
        <v>1.4328000000000001</v>
      </c>
      <c r="EA71" s="49">
        <v>1.4424999999999999</v>
      </c>
      <c r="EB71" s="49">
        <v>1.4521999999999999</v>
      </c>
      <c r="EC71" s="49">
        <v>1.462</v>
      </c>
      <c r="ED71" s="49">
        <v>1.4719</v>
      </c>
      <c r="EE71" s="49">
        <v>1.4818</v>
      </c>
      <c r="EF71" s="49">
        <v>1.4918</v>
      </c>
      <c r="EG71" s="49">
        <v>1.5019</v>
      </c>
      <c r="EH71" s="49">
        <v>1.5121</v>
      </c>
      <c r="EI71" s="49">
        <v>1.5224</v>
      </c>
      <c r="EJ71" s="49">
        <v>1.5327999999999999</v>
      </c>
      <c r="EK71" s="49">
        <v>1.5432999999999999</v>
      </c>
      <c r="EL71" s="49">
        <v>1.5539000000000001</v>
      </c>
      <c r="EM71" s="49">
        <v>1.5646</v>
      </c>
      <c r="EN71" s="49">
        <v>1.5753999999999999</v>
      </c>
      <c r="EO71" s="49">
        <v>1.5863</v>
      </c>
      <c r="EP71" s="49">
        <v>1.5973999999999999</v>
      </c>
      <c r="EQ71" s="49">
        <v>1.6086</v>
      </c>
      <c r="ER71" s="49">
        <v>1.6198999999999999</v>
      </c>
      <c r="ES71" s="49">
        <v>1.6313</v>
      </c>
      <c r="ET71" s="49">
        <v>1.6429</v>
      </c>
      <c r="EU71" s="49">
        <v>1.6547000000000001</v>
      </c>
      <c r="EV71" s="49">
        <v>1.6666000000000001</v>
      </c>
      <c r="EW71" s="49">
        <v>1.6787000000000001</v>
      </c>
      <c r="EX71" s="49">
        <v>1.6909000000000001</v>
      </c>
      <c r="EY71" s="49">
        <v>1.7033</v>
      </c>
      <c r="EZ71" s="49">
        <v>1.7159</v>
      </c>
      <c r="FA71" s="49">
        <v>1.7286999999999999</v>
      </c>
      <c r="FB71" s="49">
        <v>1.7417</v>
      </c>
      <c r="FC71" s="49">
        <v>1.7547999999999999</v>
      </c>
      <c r="FE71" s="50">
        <f t="shared" ca="1" si="13"/>
        <v>1.4060976751300092</v>
      </c>
      <c r="FF71" s="50">
        <f t="shared" ca="1" si="9"/>
        <v>1.4001430310797822</v>
      </c>
      <c r="FG71" s="50">
        <f t="shared" ca="1" si="10"/>
        <v>1.3940946979865774</v>
      </c>
      <c r="FH71" s="50">
        <f t="shared" ca="1" si="11"/>
        <v>1.3878530872483221</v>
      </c>
      <c r="FK71" s="50">
        <f t="shared" ca="1" si="12"/>
        <v>1.4001430310797822</v>
      </c>
      <c r="FL71" s="50"/>
      <c r="FM71" s="50"/>
      <c r="FN71" s="50"/>
    </row>
    <row r="72" spans="33:170" hidden="1">
      <c r="AW72" s="46">
        <v>11.749000000000001</v>
      </c>
      <c r="AX72" s="49">
        <v>0.74639999999999995</v>
      </c>
      <c r="AY72" s="49">
        <v>0.75460000000000005</v>
      </c>
      <c r="AZ72" s="49">
        <v>0.76280000000000003</v>
      </c>
      <c r="BA72" s="49">
        <v>0.77100000000000002</v>
      </c>
      <c r="BB72" s="49">
        <v>0.7792</v>
      </c>
      <c r="BC72" s="49">
        <v>0.78749999999999998</v>
      </c>
      <c r="BD72" s="49">
        <v>0.79569999999999996</v>
      </c>
      <c r="BE72" s="49">
        <v>0.80389999999999995</v>
      </c>
      <c r="BF72" s="49">
        <v>0.81210000000000004</v>
      </c>
      <c r="BG72" s="49">
        <v>0.82040000000000002</v>
      </c>
      <c r="BH72" s="49">
        <v>0.8286</v>
      </c>
      <c r="BI72" s="49">
        <v>0.83679999999999999</v>
      </c>
      <c r="BJ72" s="49">
        <v>0.84509999999999996</v>
      </c>
      <c r="BK72" s="49">
        <v>0.85329999999999995</v>
      </c>
      <c r="BL72" s="49">
        <v>0.86160000000000003</v>
      </c>
      <c r="BM72" s="49">
        <v>0.86980000000000002</v>
      </c>
      <c r="BN72" s="49">
        <v>0.878</v>
      </c>
      <c r="BO72" s="49">
        <v>0.88629999999999998</v>
      </c>
      <c r="BP72" s="49">
        <v>0.89459999999999995</v>
      </c>
      <c r="BQ72" s="49">
        <v>0.90280000000000005</v>
      </c>
      <c r="BR72" s="49">
        <v>0.91110000000000002</v>
      </c>
      <c r="BS72" s="49">
        <v>0.9194</v>
      </c>
      <c r="BT72" s="49">
        <v>0.92759999999999998</v>
      </c>
      <c r="BU72" s="49">
        <v>0.93589999999999995</v>
      </c>
      <c r="BV72" s="49">
        <v>0.94420000000000004</v>
      </c>
      <c r="BW72" s="49">
        <v>0.95250000000000001</v>
      </c>
      <c r="BX72" s="49">
        <v>0.96079999999999999</v>
      </c>
      <c r="BY72" s="49">
        <v>0.96909999999999996</v>
      </c>
      <c r="BZ72" s="49">
        <v>0.97740000000000005</v>
      </c>
      <c r="CA72" s="49">
        <v>0.98570000000000002</v>
      </c>
      <c r="CB72" s="49">
        <v>0.99399999999999999</v>
      </c>
      <c r="CC72" s="49">
        <v>1.0023</v>
      </c>
      <c r="CD72" s="49">
        <v>1.0106999999999999</v>
      </c>
      <c r="CE72" s="49">
        <v>1.0189999999999999</v>
      </c>
      <c r="CF72" s="49">
        <v>1.0274000000000001</v>
      </c>
      <c r="CG72" s="49">
        <v>1.0357000000000001</v>
      </c>
      <c r="CH72" s="49">
        <v>1.0441</v>
      </c>
      <c r="CI72" s="49">
        <v>1.0525</v>
      </c>
      <c r="CJ72" s="49">
        <v>1.0608</v>
      </c>
      <c r="CK72" s="49">
        <v>1.0691999999999999</v>
      </c>
      <c r="CL72" s="49">
        <v>1.0775999999999999</v>
      </c>
      <c r="CM72" s="49">
        <v>1.0860000000000001</v>
      </c>
      <c r="CN72" s="49">
        <v>1.0945</v>
      </c>
      <c r="CO72" s="49">
        <v>1.1029</v>
      </c>
      <c r="CP72" s="49">
        <v>1.1113999999999999</v>
      </c>
      <c r="CQ72" s="49">
        <v>1.1197999999999999</v>
      </c>
      <c r="CR72" s="49">
        <v>1.1283000000000001</v>
      </c>
      <c r="CS72" s="49">
        <v>1.1368</v>
      </c>
      <c r="CT72" s="49">
        <v>1.1453</v>
      </c>
      <c r="CU72" s="49">
        <v>1.1537999999999999</v>
      </c>
      <c r="CV72" s="49">
        <v>1.1623000000000001</v>
      </c>
      <c r="CW72" s="49">
        <v>1.1709000000000001</v>
      </c>
      <c r="CX72" s="49">
        <v>1.1794</v>
      </c>
      <c r="CY72" s="49">
        <v>1.1879999999999999</v>
      </c>
      <c r="CZ72" s="49">
        <v>1.1966000000000001</v>
      </c>
      <c r="DA72" s="49">
        <v>1.2053</v>
      </c>
      <c r="DB72" s="49">
        <v>1.2139</v>
      </c>
      <c r="DC72" s="49">
        <v>1.2225999999999999</v>
      </c>
      <c r="DD72" s="49">
        <v>1.2313000000000001</v>
      </c>
      <c r="DE72" s="49">
        <v>1.24</v>
      </c>
      <c r="DF72" s="49">
        <v>1.2486999999999999</v>
      </c>
      <c r="DG72" s="49">
        <v>1.2575000000000001</v>
      </c>
      <c r="DH72" s="49">
        <v>1.2663</v>
      </c>
      <c r="DI72" s="49">
        <v>1.2750999999999999</v>
      </c>
      <c r="DJ72" s="49">
        <v>1.284</v>
      </c>
      <c r="DK72" s="49">
        <v>1.2928999999999999</v>
      </c>
      <c r="DL72" s="49">
        <v>1.3018000000000001</v>
      </c>
      <c r="DM72" s="49">
        <v>1.3107</v>
      </c>
      <c r="DN72" s="49">
        <v>1.3197000000000001</v>
      </c>
      <c r="DO72" s="49">
        <v>1.3288</v>
      </c>
      <c r="DP72" s="49">
        <v>1.3378000000000001</v>
      </c>
      <c r="DQ72" s="49">
        <v>1.3469</v>
      </c>
      <c r="DR72" s="49">
        <v>1.3561000000000001</v>
      </c>
      <c r="DS72" s="49">
        <v>1.3653</v>
      </c>
      <c r="DT72" s="49">
        <v>1.3745000000000001</v>
      </c>
      <c r="DU72" s="49">
        <v>1.3837999999999999</v>
      </c>
      <c r="DV72" s="49">
        <v>1.3932</v>
      </c>
      <c r="DW72" s="49">
        <v>1.4026000000000001</v>
      </c>
      <c r="DX72" s="49">
        <v>1.4120999999999999</v>
      </c>
      <c r="DY72" s="49">
        <v>1.4216</v>
      </c>
      <c r="DZ72" s="49">
        <v>1.4312</v>
      </c>
      <c r="EA72" s="49">
        <v>1.4408000000000001</v>
      </c>
      <c r="EB72" s="49">
        <v>1.4504999999999999</v>
      </c>
      <c r="EC72" s="49">
        <v>1.4602999999999999</v>
      </c>
      <c r="ED72" s="49">
        <v>1.4702</v>
      </c>
      <c r="EE72" s="49">
        <v>1.4801</v>
      </c>
      <c r="EF72" s="49">
        <v>1.4901</v>
      </c>
      <c r="EG72" s="49">
        <v>1.5002</v>
      </c>
      <c r="EH72" s="49">
        <v>1.5104</v>
      </c>
      <c r="EI72" s="49">
        <v>1.5206999999999999</v>
      </c>
      <c r="EJ72" s="49">
        <v>1.5309999999999999</v>
      </c>
      <c r="EK72" s="49">
        <v>1.5415000000000001</v>
      </c>
      <c r="EL72" s="49">
        <v>1.5521</v>
      </c>
      <c r="EM72" s="49">
        <v>1.5628</v>
      </c>
      <c r="EN72" s="49">
        <v>1.5736000000000001</v>
      </c>
      <c r="EO72" s="49">
        <v>1.5845</v>
      </c>
      <c r="EP72" s="49">
        <v>1.5954999999999999</v>
      </c>
      <c r="EQ72" s="49">
        <v>1.6067</v>
      </c>
      <c r="ER72" s="49">
        <v>1.6180000000000001</v>
      </c>
      <c r="ES72" s="49">
        <v>1.6294</v>
      </c>
      <c r="ET72" s="49">
        <v>1.641</v>
      </c>
      <c r="EU72" s="49">
        <v>1.6528</v>
      </c>
      <c r="EV72" s="49">
        <v>1.6646000000000001</v>
      </c>
      <c r="EW72" s="49">
        <v>1.6767000000000001</v>
      </c>
      <c r="EX72" s="49">
        <v>1.6889000000000001</v>
      </c>
      <c r="EY72" s="49">
        <v>1.7013</v>
      </c>
      <c r="EZ72" s="49">
        <v>1.7139</v>
      </c>
      <c r="FA72" s="49">
        <v>1.7266999999999999</v>
      </c>
      <c r="FB72" s="49">
        <v>1.7396</v>
      </c>
      <c r="FC72" s="49">
        <v>1.7527999999999999</v>
      </c>
      <c r="FE72" s="50">
        <f t="shared" ca="1" si="13"/>
        <v>1.4044976751300093</v>
      </c>
      <c r="FF72" s="50">
        <f t="shared" ca="1" si="9"/>
        <v>1.398543031079782</v>
      </c>
      <c r="FG72" s="50">
        <f t="shared" ca="1" si="10"/>
        <v>1.3924871140939599</v>
      </c>
      <c r="FH72" s="50">
        <f t="shared" ca="1" si="11"/>
        <v>1.386178389261745</v>
      </c>
      <c r="FK72" s="50">
        <f t="shared" ca="1" si="12"/>
        <v>1.398543031079782</v>
      </c>
      <c r="FL72" s="50"/>
      <c r="FM72" s="50"/>
      <c r="FN72" s="50"/>
    </row>
    <row r="73" spans="33:170" hidden="1">
      <c r="AW73" s="46">
        <v>12.589</v>
      </c>
      <c r="AX73" s="49">
        <v>0.74550000000000005</v>
      </c>
      <c r="AY73" s="49">
        <v>0.75370000000000004</v>
      </c>
      <c r="AZ73" s="49">
        <v>0.76190000000000002</v>
      </c>
      <c r="BA73" s="49">
        <v>0.77010000000000001</v>
      </c>
      <c r="BB73" s="49">
        <v>0.77829999999999999</v>
      </c>
      <c r="BC73" s="49">
        <v>0.78649999999999998</v>
      </c>
      <c r="BD73" s="49">
        <v>0.79479999999999995</v>
      </c>
      <c r="BE73" s="49">
        <v>0.80300000000000005</v>
      </c>
      <c r="BF73" s="49">
        <v>0.81120000000000003</v>
      </c>
      <c r="BG73" s="49">
        <v>0.81940000000000002</v>
      </c>
      <c r="BH73" s="49">
        <v>0.8276</v>
      </c>
      <c r="BI73" s="49">
        <v>0.83589999999999998</v>
      </c>
      <c r="BJ73" s="49">
        <v>0.84409999999999996</v>
      </c>
      <c r="BK73" s="49">
        <v>0.85229999999999995</v>
      </c>
      <c r="BL73" s="49">
        <v>0.86060000000000003</v>
      </c>
      <c r="BM73" s="49">
        <v>0.86880000000000002</v>
      </c>
      <c r="BN73" s="49">
        <v>0.877</v>
      </c>
      <c r="BO73" s="49">
        <v>0.88529999999999998</v>
      </c>
      <c r="BP73" s="49">
        <v>0.89349999999999996</v>
      </c>
      <c r="BQ73" s="49">
        <v>0.90180000000000005</v>
      </c>
      <c r="BR73" s="49">
        <v>0.91</v>
      </c>
      <c r="BS73" s="49">
        <v>0.91830000000000001</v>
      </c>
      <c r="BT73" s="49">
        <v>0.92659999999999998</v>
      </c>
      <c r="BU73" s="49">
        <v>0.93479999999999996</v>
      </c>
      <c r="BV73" s="49">
        <v>0.94310000000000005</v>
      </c>
      <c r="BW73" s="49">
        <v>0.95140000000000002</v>
      </c>
      <c r="BX73" s="49">
        <v>0.9597</v>
      </c>
      <c r="BY73" s="49">
        <v>0.96799999999999997</v>
      </c>
      <c r="BZ73" s="49">
        <v>0.97629999999999995</v>
      </c>
      <c r="CA73" s="49">
        <v>0.98460000000000003</v>
      </c>
      <c r="CB73" s="49">
        <v>0.9929</v>
      </c>
      <c r="CC73" s="49">
        <v>1.0012000000000001</v>
      </c>
      <c r="CD73" s="49">
        <v>1.0095000000000001</v>
      </c>
      <c r="CE73" s="49">
        <v>1.0178</v>
      </c>
      <c r="CF73" s="49">
        <v>1.0262</v>
      </c>
      <c r="CG73" s="49">
        <v>1.0345</v>
      </c>
      <c r="CH73" s="49">
        <v>1.0428999999999999</v>
      </c>
      <c r="CI73" s="49">
        <v>1.0511999999999999</v>
      </c>
      <c r="CJ73" s="49">
        <v>1.0596000000000001</v>
      </c>
      <c r="CK73" s="49">
        <v>1.0680000000000001</v>
      </c>
      <c r="CL73" s="49">
        <v>1.0764</v>
      </c>
      <c r="CM73" s="49">
        <v>1.0848</v>
      </c>
      <c r="CN73" s="49">
        <v>1.0931999999999999</v>
      </c>
      <c r="CO73" s="49">
        <v>1.1015999999999999</v>
      </c>
      <c r="CP73" s="49">
        <v>1.1101000000000001</v>
      </c>
      <c r="CQ73" s="49">
        <v>1.1185</v>
      </c>
      <c r="CR73" s="49">
        <v>1.127</v>
      </c>
      <c r="CS73" s="49">
        <v>1.1355</v>
      </c>
      <c r="CT73" s="49">
        <v>1.1439999999999999</v>
      </c>
      <c r="CU73" s="49">
        <v>1.1525000000000001</v>
      </c>
      <c r="CV73" s="49">
        <v>1.161</v>
      </c>
      <c r="CW73" s="49">
        <v>1.1695</v>
      </c>
      <c r="CX73" s="49">
        <v>1.1780999999999999</v>
      </c>
      <c r="CY73" s="49">
        <v>1.1867000000000001</v>
      </c>
      <c r="CZ73" s="49">
        <v>1.1953</v>
      </c>
      <c r="DA73" s="49">
        <v>1.2039</v>
      </c>
      <c r="DB73" s="49">
        <v>1.2124999999999999</v>
      </c>
      <c r="DC73" s="49">
        <v>1.2212000000000001</v>
      </c>
      <c r="DD73" s="49">
        <v>1.2299</v>
      </c>
      <c r="DE73" s="49">
        <v>1.2385999999999999</v>
      </c>
      <c r="DF73" s="49">
        <v>1.2473000000000001</v>
      </c>
      <c r="DG73" s="49">
        <v>1.2561</v>
      </c>
      <c r="DH73" s="49">
        <v>1.2647999999999999</v>
      </c>
      <c r="DI73" s="49">
        <v>1.2737000000000001</v>
      </c>
      <c r="DJ73" s="49">
        <v>1.2825</v>
      </c>
      <c r="DK73" s="49">
        <v>1.2914000000000001</v>
      </c>
      <c r="DL73" s="49">
        <v>1.3003</v>
      </c>
      <c r="DM73" s="49">
        <v>1.3091999999999999</v>
      </c>
      <c r="DN73" s="49">
        <v>1.3182</v>
      </c>
      <c r="DO73" s="49">
        <v>1.3271999999999999</v>
      </c>
      <c r="DP73" s="49">
        <v>1.3363</v>
      </c>
      <c r="DQ73" s="49">
        <v>1.3453999999999999</v>
      </c>
      <c r="DR73" s="49">
        <v>1.3545</v>
      </c>
      <c r="DS73" s="49">
        <v>1.3636999999999999</v>
      </c>
      <c r="DT73" s="49">
        <v>1.373</v>
      </c>
      <c r="DU73" s="49">
        <v>1.3823000000000001</v>
      </c>
      <c r="DV73" s="49">
        <v>1.3915999999999999</v>
      </c>
      <c r="DW73" s="49">
        <v>1.401</v>
      </c>
      <c r="DX73" s="49">
        <v>1.4104000000000001</v>
      </c>
      <c r="DY73" s="49">
        <v>1.4198999999999999</v>
      </c>
      <c r="DZ73" s="49">
        <v>1.4295</v>
      </c>
      <c r="EA73" s="49">
        <v>1.4391</v>
      </c>
      <c r="EB73" s="49">
        <v>1.4488000000000001</v>
      </c>
      <c r="EC73" s="49">
        <v>1.4585999999999999</v>
      </c>
      <c r="ED73" s="49">
        <v>1.4684999999999999</v>
      </c>
      <c r="EE73" s="49">
        <v>1.4783999999999999</v>
      </c>
      <c r="EF73" s="49">
        <v>1.4883999999999999</v>
      </c>
      <c r="EG73" s="49">
        <v>1.4984999999999999</v>
      </c>
      <c r="EH73" s="49">
        <v>1.5085999999999999</v>
      </c>
      <c r="EI73" s="49">
        <v>1.5188999999999999</v>
      </c>
      <c r="EJ73" s="49">
        <v>1.5293000000000001</v>
      </c>
      <c r="EK73" s="49">
        <v>1.5397000000000001</v>
      </c>
      <c r="EL73" s="49">
        <v>1.5503</v>
      </c>
      <c r="EM73" s="49">
        <v>1.5609999999999999</v>
      </c>
      <c r="EN73" s="49">
        <v>1.5718000000000001</v>
      </c>
      <c r="EO73" s="49">
        <v>1.5827</v>
      </c>
      <c r="EP73" s="49">
        <v>1.5936999999999999</v>
      </c>
      <c r="EQ73" s="49">
        <v>1.6048</v>
      </c>
      <c r="ER73" s="49">
        <v>1.6161000000000001</v>
      </c>
      <c r="ES73" s="49">
        <v>1.6275999999999999</v>
      </c>
      <c r="ET73" s="49">
        <v>1.6391</v>
      </c>
      <c r="EU73" s="49">
        <v>1.6509</v>
      </c>
      <c r="EV73" s="49">
        <v>1.6627000000000001</v>
      </c>
      <c r="EW73" s="49">
        <v>1.6748000000000001</v>
      </c>
      <c r="EX73" s="49">
        <v>1.6870000000000001</v>
      </c>
      <c r="EY73" s="49">
        <v>1.6994</v>
      </c>
      <c r="EZ73" s="49">
        <v>1.7119</v>
      </c>
      <c r="FA73" s="49">
        <v>1.7246999999999999</v>
      </c>
      <c r="FB73" s="49">
        <v>1.7376</v>
      </c>
      <c r="FC73" s="49">
        <v>1.7507999999999999</v>
      </c>
      <c r="FE73" s="50">
        <f t="shared" ca="1" si="13"/>
        <v>1.4028776996023249</v>
      </c>
      <c r="FF73" s="50">
        <f t="shared" ca="1" si="9"/>
        <v>1.3969430310797821</v>
      </c>
      <c r="FG73" s="50">
        <f t="shared" ca="1" si="10"/>
        <v>1.3908946979865773</v>
      </c>
      <c r="FH73" s="50">
        <f t="shared" ca="1" si="11"/>
        <v>1.3846530872483225</v>
      </c>
      <c r="FK73" s="50">
        <f t="shared" ca="1" si="12"/>
        <v>1.3969430310797821</v>
      </c>
      <c r="FL73" s="50"/>
      <c r="FM73" s="50"/>
      <c r="FN73" s="50"/>
    </row>
    <row r="74" spans="33:170" hidden="1">
      <c r="AW74" s="46">
        <v>13.49</v>
      </c>
      <c r="AX74" s="49">
        <v>0.74470000000000003</v>
      </c>
      <c r="AY74" s="49">
        <v>0.75290000000000001</v>
      </c>
      <c r="AZ74" s="49">
        <v>0.7611</v>
      </c>
      <c r="BA74" s="49">
        <v>0.76929999999999998</v>
      </c>
      <c r="BB74" s="49">
        <v>0.77749999999999997</v>
      </c>
      <c r="BC74" s="49">
        <v>0.78569999999999995</v>
      </c>
      <c r="BD74" s="49">
        <v>0.79390000000000005</v>
      </c>
      <c r="BE74" s="49">
        <v>0.80210000000000004</v>
      </c>
      <c r="BF74" s="49">
        <v>0.81030000000000002</v>
      </c>
      <c r="BG74" s="49">
        <v>0.81850000000000001</v>
      </c>
      <c r="BH74" s="49">
        <v>0.82669999999999999</v>
      </c>
      <c r="BI74" s="49">
        <v>0.83489999999999998</v>
      </c>
      <c r="BJ74" s="49">
        <v>0.84309999999999996</v>
      </c>
      <c r="BK74" s="49">
        <v>0.85140000000000005</v>
      </c>
      <c r="BL74" s="49">
        <v>0.85960000000000003</v>
      </c>
      <c r="BM74" s="49">
        <v>0.86780000000000002</v>
      </c>
      <c r="BN74" s="49">
        <v>0.876</v>
      </c>
      <c r="BO74" s="49">
        <v>0.88429999999999997</v>
      </c>
      <c r="BP74" s="49">
        <v>0.89249999999999996</v>
      </c>
      <c r="BQ74" s="49">
        <v>0.90080000000000005</v>
      </c>
      <c r="BR74" s="49">
        <v>0.90900000000000003</v>
      </c>
      <c r="BS74" s="49">
        <v>0.9173</v>
      </c>
      <c r="BT74" s="49">
        <v>0.92549999999999999</v>
      </c>
      <c r="BU74" s="49">
        <v>0.93379999999999996</v>
      </c>
      <c r="BV74" s="49">
        <v>0.94199999999999995</v>
      </c>
      <c r="BW74" s="49">
        <v>0.95030000000000003</v>
      </c>
      <c r="BX74" s="49">
        <v>0.95860000000000001</v>
      </c>
      <c r="BY74" s="49">
        <v>0.96689999999999998</v>
      </c>
      <c r="BZ74" s="49">
        <v>0.97519999999999996</v>
      </c>
      <c r="CA74" s="49">
        <v>0.98340000000000005</v>
      </c>
      <c r="CB74" s="49">
        <v>0.99170000000000003</v>
      </c>
      <c r="CC74" s="49">
        <v>1.0001</v>
      </c>
      <c r="CD74" s="49">
        <v>1.0084</v>
      </c>
      <c r="CE74" s="49">
        <v>1.0166999999999999</v>
      </c>
      <c r="CF74" s="49">
        <v>1.0249999999999999</v>
      </c>
      <c r="CG74" s="49">
        <v>1.0334000000000001</v>
      </c>
      <c r="CH74" s="49">
        <v>1.0417000000000001</v>
      </c>
      <c r="CI74" s="49">
        <v>1.0501</v>
      </c>
      <c r="CJ74" s="49">
        <v>1.0584</v>
      </c>
      <c r="CK74" s="49">
        <v>1.0668</v>
      </c>
      <c r="CL74" s="49">
        <v>1.0751999999999999</v>
      </c>
      <c r="CM74" s="49">
        <v>1.0835999999999999</v>
      </c>
      <c r="CN74" s="49">
        <v>1.0920000000000001</v>
      </c>
      <c r="CO74" s="49">
        <v>1.1004</v>
      </c>
      <c r="CP74" s="49">
        <v>1.1088</v>
      </c>
      <c r="CQ74" s="49">
        <v>1.1173</v>
      </c>
      <c r="CR74" s="49">
        <v>1.1256999999999999</v>
      </c>
      <c r="CS74" s="49">
        <v>1.1342000000000001</v>
      </c>
      <c r="CT74" s="49">
        <v>1.1427</v>
      </c>
      <c r="CU74" s="49">
        <v>1.1512</v>
      </c>
      <c r="CV74" s="49">
        <v>1.1597</v>
      </c>
      <c r="CW74" s="49">
        <v>1.1681999999999999</v>
      </c>
      <c r="CX74" s="49">
        <v>1.1768000000000001</v>
      </c>
      <c r="CY74" s="49">
        <v>1.1853</v>
      </c>
      <c r="CZ74" s="49">
        <v>1.1939</v>
      </c>
      <c r="DA74" s="49">
        <v>1.2024999999999999</v>
      </c>
      <c r="DB74" s="49">
        <v>1.2111000000000001</v>
      </c>
      <c r="DC74" s="49">
        <v>1.2198</v>
      </c>
      <c r="DD74" s="49">
        <v>1.2284999999999999</v>
      </c>
      <c r="DE74" s="49">
        <v>1.2372000000000001</v>
      </c>
      <c r="DF74" s="49">
        <v>1.2459</v>
      </c>
      <c r="DG74" s="49">
        <v>1.2545999999999999</v>
      </c>
      <c r="DH74" s="49">
        <v>1.2634000000000001</v>
      </c>
      <c r="DI74" s="49">
        <v>1.2722</v>
      </c>
      <c r="DJ74" s="49">
        <v>1.2809999999999999</v>
      </c>
      <c r="DK74" s="49">
        <v>1.2899</v>
      </c>
      <c r="DL74" s="49">
        <v>1.2988</v>
      </c>
      <c r="DM74" s="49">
        <v>1.3077000000000001</v>
      </c>
      <c r="DN74" s="49">
        <v>1.3167</v>
      </c>
      <c r="DO74" s="49">
        <v>1.3257000000000001</v>
      </c>
      <c r="DP74" s="49">
        <v>1.3348</v>
      </c>
      <c r="DQ74" s="49">
        <v>1.3439000000000001</v>
      </c>
      <c r="DR74" s="49">
        <v>1.353</v>
      </c>
      <c r="DS74" s="49">
        <v>1.3622000000000001</v>
      </c>
      <c r="DT74" s="49">
        <v>1.3714</v>
      </c>
      <c r="DU74" s="49">
        <v>1.3807</v>
      </c>
      <c r="DV74" s="49">
        <v>1.39</v>
      </c>
      <c r="DW74" s="49">
        <v>1.3994</v>
      </c>
      <c r="DX74" s="49">
        <v>1.4088000000000001</v>
      </c>
      <c r="DY74" s="49">
        <v>1.4182999999999999</v>
      </c>
      <c r="DZ74" s="49">
        <v>1.4278999999999999</v>
      </c>
      <c r="EA74" s="49">
        <v>1.4375</v>
      </c>
      <c r="EB74" s="49">
        <v>1.4472</v>
      </c>
      <c r="EC74" s="49">
        <v>1.4570000000000001</v>
      </c>
      <c r="ED74" s="49">
        <v>1.4668000000000001</v>
      </c>
      <c r="EE74" s="49">
        <v>1.4766999999999999</v>
      </c>
      <c r="EF74" s="49">
        <v>1.4866999999999999</v>
      </c>
      <c r="EG74" s="49">
        <v>1.4967999999999999</v>
      </c>
      <c r="EH74" s="49">
        <v>1.5068999999999999</v>
      </c>
      <c r="EI74" s="49">
        <v>1.5172000000000001</v>
      </c>
      <c r="EJ74" s="49">
        <v>1.5275000000000001</v>
      </c>
      <c r="EK74" s="49">
        <v>1.538</v>
      </c>
      <c r="EL74" s="49">
        <v>1.5485</v>
      </c>
      <c r="EM74" s="49">
        <v>1.5591999999999999</v>
      </c>
      <c r="EN74" s="49">
        <v>1.57</v>
      </c>
      <c r="EO74" s="49">
        <v>1.5809</v>
      </c>
      <c r="EP74" s="49">
        <v>1.5919000000000001</v>
      </c>
      <c r="EQ74" s="49">
        <v>1.603</v>
      </c>
      <c r="ER74" s="49">
        <v>1.6143000000000001</v>
      </c>
      <c r="ES74" s="49">
        <v>1.6256999999999999</v>
      </c>
      <c r="ET74" s="49">
        <v>1.6373</v>
      </c>
      <c r="EU74" s="49">
        <v>1.649</v>
      </c>
      <c r="EV74" s="49">
        <v>1.6608000000000001</v>
      </c>
      <c r="EW74" s="49">
        <v>1.6729000000000001</v>
      </c>
      <c r="EX74" s="49">
        <v>1.6851</v>
      </c>
      <c r="EY74" s="49">
        <v>1.6974</v>
      </c>
      <c r="EZ74" s="49">
        <v>1.71</v>
      </c>
      <c r="FA74" s="49">
        <v>1.7226999999999999</v>
      </c>
      <c r="FB74" s="49">
        <v>1.7357</v>
      </c>
      <c r="FC74" s="49">
        <v>1.7487999999999999</v>
      </c>
      <c r="FE74" s="50">
        <f t="shared" ca="1" si="13"/>
        <v>1.4012776996023251</v>
      </c>
      <c r="FF74" s="50">
        <f t="shared" ca="1" si="9"/>
        <v>1.3953430310797819</v>
      </c>
      <c r="FG74" s="50">
        <f t="shared" ca="1" si="10"/>
        <v>1.389294697986577</v>
      </c>
      <c r="FH74" s="50">
        <f t="shared" ca="1" si="11"/>
        <v>1.3830530872483222</v>
      </c>
      <c r="FK74" s="50">
        <f t="shared" ca="1" si="12"/>
        <v>1.3953430310797819</v>
      </c>
      <c r="FL74" s="50"/>
      <c r="FM74" s="50"/>
      <c r="FN74" s="50"/>
    </row>
    <row r="75" spans="33:170" hidden="1">
      <c r="AW75" s="46">
        <v>14.454000000000001</v>
      </c>
      <c r="AX75" s="49">
        <v>0.74380000000000002</v>
      </c>
      <c r="AY75" s="49">
        <v>0.752</v>
      </c>
      <c r="AZ75" s="49">
        <v>0.76019999999999999</v>
      </c>
      <c r="BA75" s="49">
        <v>0.76839999999999997</v>
      </c>
      <c r="BB75" s="49">
        <v>0.77659999999999996</v>
      </c>
      <c r="BC75" s="49">
        <v>0.78480000000000005</v>
      </c>
      <c r="BD75" s="49">
        <v>0.79300000000000004</v>
      </c>
      <c r="BE75" s="49">
        <v>0.80120000000000002</v>
      </c>
      <c r="BF75" s="49">
        <v>0.80940000000000001</v>
      </c>
      <c r="BG75" s="49">
        <v>0.81759999999999999</v>
      </c>
      <c r="BH75" s="49">
        <v>0.82579999999999998</v>
      </c>
      <c r="BI75" s="49">
        <v>0.83399999999999996</v>
      </c>
      <c r="BJ75" s="49">
        <v>0.84219999999999995</v>
      </c>
      <c r="BK75" s="49">
        <v>0.85040000000000004</v>
      </c>
      <c r="BL75" s="49">
        <v>0.85860000000000003</v>
      </c>
      <c r="BM75" s="49">
        <v>0.86680000000000001</v>
      </c>
      <c r="BN75" s="49">
        <v>0.87509999999999999</v>
      </c>
      <c r="BO75" s="49">
        <v>0.88329999999999997</v>
      </c>
      <c r="BP75" s="49">
        <v>0.89149999999999996</v>
      </c>
      <c r="BQ75" s="49">
        <v>0.89970000000000006</v>
      </c>
      <c r="BR75" s="49">
        <v>0.90800000000000003</v>
      </c>
      <c r="BS75" s="49">
        <v>0.91620000000000001</v>
      </c>
      <c r="BT75" s="49">
        <v>0.92449999999999999</v>
      </c>
      <c r="BU75" s="49">
        <v>0.93269999999999997</v>
      </c>
      <c r="BV75" s="49">
        <v>0.94099999999999995</v>
      </c>
      <c r="BW75" s="49">
        <v>0.94920000000000004</v>
      </c>
      <c r="BX75" s="49">
        <v>0.95750000000000002</v>
      </c>
      <c r="BY75" s="49">
        <v>0.96579999999999999</v>
      </c>
      <c r="BZ75" s="49">
        <v>0.97409999999999997</v>
      </c>
      <c r="CA75" s="49">
        <v>0.98229999999999995</v>
      </c>
      <c r="CB75" s="49">
        <v>0.99060000000000004</v>
      </c>
      <c r="CC75" s="49">
        <v>0.99890000000000001</v>
      </c>
      <c r="CD75" s="49">
        <v>1.0072000000000001</v>
      </c>
      <c r="CE75" s="49">
        <v>1.0155000000000001</v>
      </c>
      <c r="CF75" s="49">
        <v>1.0239</v>
      </c>
      <c r="CG75" s="49">
        <v>1.0322</v>
      </c>
      <c r="CH75" s="49">
        <v>1.0405</v>
      </c>
      <c r="CI75" s="49">
        <v>1.0488999999999999</v>
      </c>
      <c r="CJ75" s="49">
        <v>1.0571999999999999</v>
      </c>
      <c r="CK75" s="49">
        <v>1.0656000000000001</v>
      </c>
      <c r="CL75" s="49">
        <v>1.0740000000000001</v>
      </c>
      <c r="CM75" s="49">
        <v>1.0823</v>
      </c>
      <c r="CN75" s="49">
        <v>1.0907</v>
      </c>
      <c r="CO75" s="49">
        <v>1.0991</v>
      </c>
      <c r="CP75" s="49">
        <v>1.1075999999999999</v>
      </c>
      <c r="CQ75" s="49">
        <v>1.1160000000000001</v>
      </c>
      <c r="CR75" s="49">
        <v>1.1244000000000001</v>
      </c>
      <c r="CS75" s="49">
        <v>1.1329</v>
      </c>
      <c r="CT75" s="49">
        <v>1.1414</v>
      </c>
      <c r="CU75" s="49">
        <v>1.1498999999999999</v>
      </c>
      <c r="CV75" s="49">
        <v>1.1584000000000001</v>
      </c>
      <c r="CW75" s="49">
        <v>1.1669</v>
      </c>
      <c r="CX75" s="49">
        <v>1.1754</v>
      </c>
      <c r="CY75" s="49">
        <v>1.1839999999999999</v>
      </c>
      <c r="CZ75" s="49">
        <v>1.1926000000000001</v>
      </c>
      <c r="DA75" s="49">
        <v>1.2012</v>
      </c>
      <c r="DB75" s="49">
        <v>1.2098</v>
      </c>
      <c r="DC75" s="49">
        <v>1.2183999999999999</v>
      </c>
      <c r="DD75" s="49">
        <v>1.2271000000000001</v>
      </c>
      <c r="DE75" s="49">
        <v>1.2358</v>
      </c>
      <c r="DF75" s="49">
        <v>1.2444999999999999</v>
      </c>
      <c r="DG75" s="49">
        <v>1.2532000000000001</v>
      </c>
      <c r="DH75" s="49">
        <v>1.262</v>
      </c>
      <c r="DI75" s="49">
        <v>1.2707999999999999</v>
      </c>
      <c r="DJ75" s="49">
        <v>1.2796000000000001</v>
      </c>
      <c r="DK75" s="49">
        <v>1.2885</v>
      </c>
      <c r="DL75" s="49">
        <v>1.2974000000000001</v>
      </c>
      <c r="DM75" s="49">
        <v>1.3063</v>
      </c>
      <c r="DN75" s="49">
        <v>1.3151999999999999</v>
      </c>
      <c r="DO75" s="49">
        <v>1.3242</v>
      </c>
      <c r="DP75" s="49">
        <v>1.3332999999999999</v>
      </c>
      <c r="DQ75" s="49">
        <v>1.3424</v>
      </c>
      <c r="DR75" s="49">
        <v>1.3514999999999999</v>
      </c>
      <c r="DS75" s="49">
        <v>1.3606</v>
      </c>
      <c r="DT75" s="49">
        <v>1.3698999999999999</v>
      </c>
      <c r="DU75" s="49">
        <v>1.3791</v>
      </c>
      <c r="DV75" s="49">
        <v>1.3884000000000001</v>
      </c>
      <c r="DW75" s="49">
        <v>1.3977999999999999</v>
      </c>
      <c r="DX75" s="49">
        <v>1.4072</v>
      </c>
      <c r="DY75" s="49">
        <v>1.4167000000000001</v>
      </c>
      <c r="DZ75" s="49">
        <v>1.4262999999999999</v>
      </c>
      <c r="EA75" s="49">
        <v>1.4359</v>
      </c>
      <c r="EB75" s="49">
        <v>1.4456</v>
      </c>
      <c r="EC75" s="49">
        <v>1.4553</v>
      </c>
      <c r="ED75" s="49">
        <v>1.4651000000000001</v>
      </c>
      <c r="EE75" s="49">
        <v>1.4750000000000001</v>
      </c>
      <c r="EF75" s="49">
        <v>1.4850000000000001</v>
      </c>
      <c r="EG75" s="49">
        <v>1.4951000000000001</v>
      </c>
      <c r="EH75" s="49">
        <v>1.5052000000000001</v>
      </c>
      <c r="EI75" s="49">
        <v>1.5155000000000001</v>
      </c>
      <c r="EJ75" s="49">
        <v>1.5258</v>
      </c>
      <c r="EK75" s="49">
        <v>1.5363</v>
      </c>
      <c r="EL75" s="49">
        <v>1.5468</v>
      </c>
      <c r="EM75" s="49">
        <v>1.5573999999999999</v>
      </c>
      <c r="EN75" s="49">
        <v>1.5682</v>
      </c>
      <c r="EO75" s="49">
        <v>1.5790999999999999</v>
      </c>
      <c r="EP75" s="49">
        <v>1.5901000000000001</v>
      </c>
      <c r="EQ75" s="49">
        <v>1.6012</v>
      </c>
      <c r="ER75" s="49">
        <v>1.6125</v>
      </c>
      <c r="ES75" s="49">
        <v>1.6238999999999999</v>
      </c>
      <c r="ET75" s="49">
        <v>1.6354</v>
      </c>
      <c r="EU75" s="49">
        <v>1.6471</v>
      </c>
      <c r="EV75" s="49">
        <v>1.659</v>
      </c>
      <c r="EW75" s="49">
        <v>1.671</v>
      </c>
      <c r="EX75" s="49">
        <v>1.6832</v>
      </c>
      <c r="EY75" s="49">
        <v>1.6955</v>
      </c>
      <c r="EZ75" s="49">
        <v>1.7081</v>
      </c>
      <c r="FA75" s="49">
        <v>1.7208000000000001</v>
      </c>
      <c r="FB75" s="49">
        <v>1.7337</v>
      </c>
      <c r="FC75" s="49">
        <v>1.7467999999999999</v>
      </c>
      <c r="FE75" s="50">
        <f t="shared" ca="1" si="13"/>
        <v>1.3996776996023248</v>
      </c>
      <c r="FF75" s="50">
        <f t="shared" ca="1" si="9"/>
        <v>1.393743031079782</v>
      </c>
      <c r="FG75" s="50">
        <f t="shared" ca="1" si="10"/>
        <v>1.3876946979865772</v>
      </c>
      <c r="FH75" s="50">
        <f t="shared" ca="1" si="11"/>
        <v>1.3814530872483222</v>
      </c>
      <c r="FK75" s="50">
        <f t="shared" ca="1" si="12"/>
        <v>1.393743031079782</v>
      </c>
      <c r="FL75" s="50"/>
      <c r="FM75" s="50"/>
      <c r="FN75" s="50"/>
    </row>
    <row r="76" spans="33:170" hidden="1">
      <c r="AW76" s="46">
        <v>15.488</v>
      </c>
      <c r="AX76" s="49">
        <v>0.74299999999999999</v>
      </c>
      <c r="AY76" s="49">
        <v>0.75119999999999998</v>
      </c>
      <c r="AZ76" s="49">
        <v>0.75929999999999997</v>
      </c>
      <c r="BA76" s="49">
        <v>0.76749999999999996</v>
      </c>
      <c r="BB76" s="49">
        <v>0.77569999999999995</v>
      </c>
      <c r="BC76" s="49">
        <v>0.78390000000000004</v>
      </c>
      <c r="BD76" s="49">
        <v>0.79210000000000003</v>
      </c>
      <c r="BE76" s="49">
        <v>0.80030000000000001</v>
      </c>
      <c r="BF76" s="49">
        <v>0.8085</v>
      </c>
      <c r="BG76" s="49">
        <v>0.81669999999999998</v>
      </c>
      <c r="BH76" s="49">
        <v>0.82479999999999998</v>
      </c>
      <c r="BI76" s="49">
        <v>0.83299999999999996</v>
      </c>
      <c r="BJ76" s="49">
        <v>0.84119999999999995</v>
      </c>
      <c r="BK76" s="49">
        <v>0.84940000000000004</v>
      </c>
      <c r="BL76" s="49">
        <v>0.85770000000000002</v>
      </c>
      <c r="BM76" s="49">
        <v>0.8659</v>
      </c>
      <c r="BN76" s="49">
        <v>0.87409999999999999</v>
      </c>
      <c r="BO76" s="49">
        <v>0.88229999999999997</v>
      </c>
      <c r="BP76" s="49">
        <v>0.89049999999999996</v>
      </c>
      <c r="BQ76" s="49">
        <v>0.89870000000000005</v>
      </c>
      <c r="BR76" s="49">
        <v>0.90700000000000003</v>
      </c>
      <c r="BS76" s="49">
        <v>0.91520000000000001</v>
      </c>
      <c r="BT76" s="49">
        <v>0.9234</v>
      </c>
      <c r="BU76" s="49">
        <v>0.93169999999999997</v>
      </c>
      <c r="BV76" s="49">
        <v>0.93989999999999996</v>
      </c>
      <c r="BW76" s="49">
        <v>0.94820000000000004</v>
      </c>
      <c r="BX76" s="49">
        <v>0.95640000000000003</v>
      </c>
      <c r="BY76" s="49">
        <v>0.9647</v>
      </c>
      <c r="BZ76" s="49">
        <v>0.97299999999999998</v>
      </c>
      <c r="CA76" s="49">
        <v>0.98119999999999996</v>
      </c>
      <c r="CB76" s="49">
        <v>0.98950000000000005</v>
      </c>
      <c r="CC76" s="49">
        <v>0.99780000000000002</v>
      </c>
      <c r="CD76" s="49">
        <v>1.0061</v>
      </c>
      <c r="CE76" s="49">
        <v>1.0144</v>
      </c>
      <c r="CF76" s="49">
        <v>1.0226999999999999</v>
      </c>
      <c r="CG76" s="49">
        <v>1.0309999999999999</v>
      </c>
      <c r="CH76" s="49">
        <v>1.0394000000000001</v>
      </c>
      <c r="CI76" s="49">
        <v>1.0477000000000001</v>
      </c>
      <c r="CJ76" s="49">
        <v>1.056</v>
      </c>
      <c r="CK76" s="49">
        <v>1.0644</v>
      </c>
      <c r="CL76" s="49">
        <v>1.0728</v>
      </c>
      <c r="CM76" s="49">
        <v>1.0810999999999999</v>
      </c>
      <c r="CN76" s="49">
        <v>1.0894999999999999</v>
      </c>
      <c r="CO76" s="49">
        <v>1.0979000000000001</v>
      </c>
      <c r="CP76" s="49">
        <v>1.1063000000000001</v>
      </c>
      <c r="CQ76" s="49">
        <v>1.1148</v>
      </c>
      <c r="CR76" s="49">
        <v>1.1232</v>
      </c>
      <c r="CS76" s="49">
        <v>1.1315999999999999</v>
      </c>
      <c r="CT76" s="49">
        <v>1.1400999999999999</v>
      </c>
      <c r="CU76" s="49">
        <v>1.1486000000000001</v>
      </c>
      <c r="CV76" s="49">
        <v>1.1571</v>
      </c>
      <c r="CW76" s="49">
        <v>1.1656</v>
      </c>
      <c r="CX76" s="49">
        <v>1.1740999999999999</v>
      </c>
      <c r="CY76" s="49">
        <v>1.1827000000000001</v>
      </c>
      <c r="CZ76" s="49">
        <v>1.1912</v>
      </c>
      <c r="DA76" s="49">
        <v>1.1998</v>
      </c>
      <c r="DB76" s="49">
        <v>1.2083999999999999</v>
      </c>
      <c r="DC76" s="49">
        <v>1.2171000000000001</v>
      </c>
      <c r="DD76" s="49">
        <v>1.2257</v>
      </c>
      <c r="DE76" s="49">
        <v>1.2343999999999999</v>
      </c>
      <c r="DF76" s="49">
        <v>1.2431000000000001</v>
      </c>
      <c r="DG76" s="49">
        <v>1.2518</v>
      </c>
      <c r="DH76" s="49">
        <v>1.2605999999999999</v>
      </c>
      <c r="DI76" s="49">
        <v>1.2694000000000001</v>
      </c>
      <c r="DJ76" s="49">
        <v>1.2782</v>
      </c>
      <c r="DK76" s="49">
        <v>1.2869999999999999</v>
      </c>
      <c r="DL76" s="49">
        <v>1.2959000000000001</v>
      </c>
      <c r="DM76" s="49">
        <v>1.3048</v>
      </c>
      <c r="DN76" s="49">
        <v>1.3138000000000001</v>
      </c>
      <c r="DO76" s="49">
        <v>1.3228</v>
      </c>
      <c r="DP76" s="49">
        <v>1.3318000000000001</v>
      </c>
      <c r="DQ76" s="49">
        <v>1.3409</v>
      </c>
      <c r="DR76" s="49">
        <v>1.35</v>
      </c>
      <c r="DS76" s="49">
        <v>1.3591</v>
      </c>
      <c r="DT76" s="49">
        <v>1.3683000000000001</v>
      </c>
      <c r="DU76" s="49">
        <v>1.3775999999999999</v>
      </c>
      <c r="DV76" s="49">
        <v>1.3869</v>
      </c>
      <c r="DW76" s="49">
        <v>1.3963000000000001</v>
      </c>
      <c r="DX76" s="49">
        <v>1.4056999999999999</v>
      </c>
      <c r="DY76" s="49">
        <v>1.4151</v>
      </c>
      <c r="DZ76" s="49">
        <v>1.4247000000000001</v>
      </c>
      <c r="EA76" s="49">
        <v>1.4342999999999999</v>
      </c>
      <c r="EB76" s="49">
        <v>1.444</v>
      </c>
      <c r="EC76" s="49">
        <v>1.4537</v>
      </c>
      <c r="ED76" s="49">
        <v>1.4635</v>
      </c>
      <c r="EE76" s="49">
        <v>1.4734</v>
      </c>
      <c r="EF76" s="49">
        <v>1.4834000000000001</v>
      </c>
      <c r="EG76" s="49">
        <v>1.4934000000000001</v>
      </c>
      <c r="EH76" s="49">
        <v>1.5036</v>
      </c>
      <c r="EI76" s="49">
        <v>1.5138</v>
      </c>
      <c r="EJ76" s="49">
        <v>1.5241</v>
      </c>
      <c r="EK76" s="49">
        <v>1.5345</v>
      </c>
      <c r="EL76" s="49">
        <v>1.5450999999999999</v>
      </c>
      <c r="EM76" s="49">
        <v>1.5557000000000001</v>
      </c>
      <c r="EN76" s="49">
        <v>1.5665</v>
      </c>
      <c r="EO76" s="49">
        <v>1.5772999999999999</v>
      </c>
      <c r="EP76" s="49">
        <v>1.5883</v>
      </c>
      <c r="EQ76" s="49">
        <v>1.5993999999999999</v>
      </c>
      <c r="ER76" s="49">
        <v>1.6107</v>
      </c>
      <c r="ES76" s="49">
        <v>1.6221000000000001</v>
      </c>
      <c r="ET76" s="49">
        <v>1.6335999999999999</v>
      </c>
      <c r="EU76" s="49">
        <v>1.6453</v>
      </c>
      <c r="EV76" s="49">
        <v>1.6571</v>
      </c>
      <c r="EW76" s="49">
        <v>1.6691</v>
      </c>
      <c r="EX76" s="49">
        <v>1.6813</v>
      </c>
      <c r="EY76" s="49">
        <v>1.6936</v>
      </c>
      <c r="EZ76" s="49">
        <v>1.7061999999999999</v>
      </c>
      <c r="FA76" s="49">
        <v>1.7189000000000001</v>
      </c>
      <c r="FB76" s="49">
        <v>1.7318</v>
      </c>
      <c r="FC76" s="49">
        <v>1.7448999999999999</v>
      </c>
      <c r="FE76" s="50">
        <f t="shared" ca="1" si="13"/>
        <v>1.398177699602325</v>
      </c>
      <c r="FF76" s="50">
        <f t="shared" ca="1" si="9"/>
        <v>1.392243031079782</v>
      </c>
      <c r="FG76" s="50">
        <f t="shared" ca="1" si="10"/>
        <v>1.3861946979865771</v>
      </c>
      <c r="FH76" s="50">
        <f t="shared" ca="1" si="11"/>
        <v>1.3799530872483221</v>
      </c>
      <c r="FK76" s="50">
        <f t="shared" ca="1" si="12"/>
        <v>1.392243031079782</v>
      </c>
      <c r="FL76" s="50"/>
      <c r="FM76" s="50"/>
      <c r="FN76" s="50"/>
    </row>
    <row r="77" spans="33:170" hidden="1">
      <c r="AW77" s="46">
        <v>16.596</v>
      </c>
      <c r="AX77" s="49">
        <v>0.74219999999999997</v>
      </c>
      <c r="AY77" s="49">
        <v>0.75029999999999997</v>
      </c>
      <c r="AZ77" s="49">
        <v>0.75849999999999995</v>
      </c>
      <c r="BA77" s="49">
        <v>0.76670000000000005</v>
      </c>
      <c r="BB77" s="49">
        <v>0.77490000000000003</v>
      </c>
      <c r="BC77" s="49">
        <v>0.78300000000000003</v>
      </c>
      <c r="BD77" s="49">
        <v>0.79120000000000001</v>
      </c>
      <c r="BE77" s="49">
        <v>0.7994</v>
      </c>
      <c r="BF77" s="49">
        <v>0.80759999999999998</v>
      </c>
      <c r="BG77" s="49">
        <v>0.81579999999999997</v>
      </c>
      <c r="BH77" s="49">
        <v>0.82389999999999997</v>
      </c>
      <c r="BI77" s="49">
        <v>0.83209999999999995</v>
      </c>
      <c r="BJ77" s="49">
        <v>0.84030000000000005</v>
      </c>
      <c r="BK77" s="49">
        <v>0.84850000000000003</v>
      </c>
      <c r="BL77" s="49">
        <v>0.85670000000000002</v>
      </c>
      <c r="BM77" s="49">
        <v>0.8649</v>
      </c>
      <c r="BN77" s="49">
        <v>0.87309999999999999</v>
      </c>
      <c r="BO77" s="49">
        <v>0.88129999999999997</v>
      </c>
      <c r="BP77" s="49">
        <v>0.88949999999999996</v>
      </c>
      <c r="BQ77" s="49">
        <v>0.89780000000000004</v>
      </c>
      <c r="BR77" s="49">
        <v>0.90600000000000003</v>
      </c>
      <c r="BS77" s="49">
        <v>0.91420000000000001</v>
      </c>
      <c r="BT77" s="49">
        <v>0.9224</v>
      </c>
      <c r="BU77" s="49">
        <v>0.93069999999999997</v>
      </c>
      <c r="BV77" s="49">
        <v>0.93889999999999996</v>
      </c>
      <c r="BW77" s="49">
        <v>0.94710000000000005</v>
      </c>
      <c r="BX77" s="49">
        <v>0.95540000000000003</v>
      </c>
      <c r="BY77" s="49">
        <v>0.96360000000000001</v>
      </c>
      <c r="BZ77" s="49">
        <v>0.97189999999999999</v>
      </c>
      <c r="CA77" s="49">
        <v>0.98019999999999996</v>
      </c>
      <c r="CB77" s="49">
        <v>0.98839999999999995</v>
      </c>
      <c r="CC77" s="49">
        <v>0.99670000000000003</v>
      </c>
      <c r="CD77" s="49">
        <v>1.0049999999999999</v>
      </c>
      <c r="CE77" s="49">
        <v>1.0133000000000001</v>
      </c>
      <c r="CF77" s="49">
        <v>1.0216000000000001</v>
      </c>
      <c r="CG77" s="49">
        <v>1.0299</v>
      </c>
      <c r="CH77" s="49">
        <v>1.0382</v>
      </c>
      <c r="CI77" s="49">
        <v>1.0465</v>
      </c>
      <c r="CJ77" s="49">
        <v>1.0548999999999999</v>
      </c>
      <c r="CK77" s="49">
        <v>1.0631999999999999</v>
      </c>
      <c r="CL77" s="49">
        <v>1.0716000000000001</v>
      </c>
      <c r="CM77" s="49">
        <v>1.0799000000000001</v>
      </c>
      <c r="CN77" s="49">
        <v>1.0883</v>
      </c>
      <c r="CO77" s="49">
        <v>1.0967</v>
      </c>
      <c r="CP77" s="49">
        <v>1.1051</v>
      </c>
      <c r="CQ77" s="49">
        <v>1.1134999999999999</v>
      </c>
      <c r="CR77" s="49">
        <v>1.1218999999999999</v>
      </c>
      <c r="CS77" s="49">
        <v>1.1304000000000001</v>
      </c>
      <c r="CT77" s="49">
        <v>1.1388</v>
      </c>
      <c r="CU77" s="49">
        <v>1.1473</v>
      </c>
      <c r="CV77" s="49">
        <v>1.1557999999999999</v>
      </c>
      <c r="CW77" s="49">
        <v>1.1642999999999999</v>
      </c>
      <c r="CX77" s="49">
        <v>1.1728000000000001</v>
      </c>
      <c r="CY77" s="49">
        <v>1.1814</v>
      </c>
      <c r="CZ77" s="49">
        <v>1.1899</v>
      </c>
      <c r="DA77" s="49">
        <v>1.1984999999999999</v>
      </c>
      <c r="DB77" s="49">
        <v>1.2071000000000001</v>
      </c>
      <c r="DC77" s="49">
        <v>1.2157</v>
      </c>
      <c r="DD77" s="49">
        <v>1.2243999999999999</v>
      </c>
      <c r="DE77" s="49">
        <v>1.2330000000000001</v>
      </c>
      <c r="DF77" s="49">
        <v>1.2417</v>
      </c>
      <c r="DG77" s="49">
        <v>1.2504</v>
      </c>
      <c r="DH77" s="49">
        <v>1.2592000000000001</v>
      </c>
      <c r="DI77" s="49">
        <v>1.268</v>
      </c>
      <c r="DJ77" s="49">
        <v>1.2767999999999999</v>
      </c>
      <c r="DK77" s="49">
        <v>1.2856000000000001</v>
      </c>
      <c r="DL77" s="49">
        <v>1.2945</v>
      </c>
      <c r="DM77" s="49">
        <v>1.3033999999999999</v>
      </c>
      <c r="DN77" s="49">
        <v>1.3123</v>
      </c>
      <c r="DO77" s="49">
        <v>1.3212999999999999</v>
      </c>
      <c r="DP77" s="49">
        <v>1.3303</v>
      </c>
      <c r="DQ77" s="49">
        <v>1.3393999999999999</v>
      </c>
      <c r="DR77" s="49">
        <v>1.3485</v>
      </c>
      <c r="DS77" s="49">
        <v>1.3575999999999999</v>
      </c>
      <c r="DT77" s="49">
        <v>1.3668</v>
      </c>
      <c r="DU77" s="49">
        <v>1.3761000000000001</v>
      </c>
      <c r="DV77" s="49">
        <v>1.3854</v>
      </c>
      <c r="DW77" s="49">
        <v>1.3947000000000001</v>
      </c>
      <c r="DX77" s="49">
        <v>1.4040999999999999</v>
      </c>
      <c r="DY77" s="49">
        <v>1.4136</v>
      </c>
      <c r="DZ77" s="49">
        <v>1.4231</v>
      </c>
      <c r="EA77" s="49">
        <v>1.4327000000000001</v>
      </c>
      <c r="EB77" s="49">
        <v>1.4423999999999999</v>
      </c>
      <c r="EC77" s="49">
        <v>1.4520999999999999</v>
      </c>
      <c r="ED77" s="49">
        <v>1.4619</v>
      </c>
      <c r="EE77" s="49">
        <v>1.4718</v>
      </c>
      <c r="EF77" s="49">
        <v>1.4817</v>
      </c>
      <c r="EG77" s="49">
        <v>1.4918</v>
      </c>
      <c r="EH77" s="49">
        <v>1.5019</v>
      </c>
      <c r="EI77" s="49">
        <v>1.5121</v>
      </c>
      <c r="EJ77" s="49">
        <v>1.5224</v>
      </c>
      <c r="EK77" s="49">
        <v>1.5328999999999999</v>
      </c>
      <c r="EL77" s="49">
        <v>1.5434000000000001</v>
      </c>
      <c r="EM77" s="49">
        <v>1.554</v>
      </c>
      <c r="EN77" s="49">
        <v>1.5647</v>
      </c>
      <c r="EO77" s="49">
        <v>1.5755999999999999</v>
      </c>
      <c r="EP77" s="49">
        <v>1.5866</v>
      </c>
      <c r="EQ77" s="49">
        <v>1.5976999999999999</v>
      </c>
      <c r="ER77" s="49">
        <v>1.6089</v>
      </c>
      <c r="ES77" s="49">
        <v>1.6203000000000001</v>
      </c>
      <c r="ET77" s="49">
        <v>1.6317999999999999</v>
      </c>
      <c r="EU77" s="49">
        <v>1.6435</v>
      </c>
      <c r="EV77" s="49">
        <v>1.6553</v>
      </c>
      <c r="EW77" s="49">
        <v>1.6673</v>
      </c>
      <c r="EX77" s="49">
        <v>1.6794</v>
      </c>
      <c r="EY77" s="49">
        <v>1.6918</v>
      </c>
      <c r="EZ77" s="49">
        <v>1.7042999999999999</v>
      </c>
      <c r="FA77" s="49">
        <v>1.7170000000000001</v>
      </c>
      <c r="FB77" s="49">
        <v>1.7299</v>
      </c>
      <c r="FC77" s="49">
        <v>1.7430000000000001</v>
      </c>
      <c r="FE77" s="50">
        <f t="shared" ca="1" si="13"/>
        <v>1.3965776996023247</v>
      </c>
      <c r="FF77" s="50">
        <f t="shared" ca="1" si="9"/>
        <v>1.3906861903236143</v>
      </c>
      <c r="FG77" s="50">
        <f t="shared" ca="1" si="10"/>
        <v>1.3846946979865771</v>
      </c>
      <c r="FH77" s="50">
        <f t="shared" ca="1" si="11"/>
        <v>1.3784530872483223</v>
      </c>
      <c r="FK77" s="50">
        <f t="shared" ca="1" si="12"/>
        <v>1.3906861903236143</v>
      </c>
      <c r="FL77" s="50"/>
      <c r="FM77" s="50"/>
      <c r="FN77" s="50"/>
    </row>
    <row r="78" spans="33:170" hidden="1">
      <c r="AW78" s="46">
        <v>17.783000000000001</v>
      </c>
      <c r="AX78" s="49">
        <v>0.74139999999999995</v>
      </c>
      <c r="AY78" s="49">
        <v>0.74950000000000006</v>
      </c>
      <c r="AZ78" s="49">
        <v>0.75770000000000004</v>
      </c>
      <c r="BA78" s="49">
        <v>0.76580000000000004</v>
      </c>
      <c r="BB78" s="49">
        <v>0.77400000000000002</v>
      </c>
      <c r="BC78" s="49">
        <v>0.78220000000000001</v>
      </c>
      <c r="BD78" s="49">
        <v>0.7903</v>
      </c>
      <c r="BE78" s="49">
        <v>0.79849999999999999</v>
      </c>
      <c r="BF78" s="49">
        <v>0.80669999999999997</v>
      </c>
      <c r="BG78" s="49">
        <v>0.81489999999999996</v>
      </c>
      <c r="BH78" s="49">
        <v>0.82299999999999995</v>
      </c>
      <c r="BI78" s="49">
        <v>0.83120000000000005</v>
      </c>
      <c r="BJ78" s="49">
        <v>0.83940000000000003</v>
      </c>
      <c r="BK78" s="49">
        <v>0.84760000000000002</v>
      </c>
      <c r="BL78" s="49">
        <v>0.85580000000000001</v>
      </c>
      <c r="BM78" s="49">
        <v>0.86399999999999999</v>
      </c>
      <c r="BN78" s="49">
        <v>0.87219999999999998</v>
      </c>
      <c r="BO78" s="49">
        <v>0.88039999999999996</v>
      </c>
      <c r="BP78" s="49">
        <v>0.88859999999999995</v>
      </c>
      <c r="BQ78" s="49">
        <v>0.89680000000000004</v>
      </c>
      <c r="BR78" s="49">
        <v>0.90500000000000003</v>
      </c>
      <c r="BS78" s="49">
        <v>0.91320000000000001</v>
      </c>
      <c r="BT78" s="49">
        <v>0.9214</v>
      </c>
      <c r="BU78" s="49">
        <v>0.92959999999999998</v>
      </c>
      <c r="BV78" s="49">
        <v>0.93789999999999996</v>
      </c>
      <c r="BW78" s="49">
        <v>0.94610000000000005</v>
      </c>
      <c r="BX78" s="49">
        <v>0.95430000000000004</v>
      </c>
      <c r="BY78" s="49">
        <v>0.96260000000000001</v>
      </c>
      <c r="BZ78" s="49">
        <v>0.9708</v>
      </c>
      <c r="CA78" s="49">
        <v>0.97909999999999997</v>
      </c>
      <c r="CB78" s="49">
        <v>0.98740000000000006</v>
      </c>
      <c r="CC78" s="49">
        <v>0.99560000000000004</v>
      </c>
      <c r="CD78" s="49">
        <v>1.0039</v>
      </c>
      <c r="CE78" s="49">
        <v>1.0122</v>
      </c>
      <c r="CF78" s="49">
        <v>1.0205</v>
      </c>
      <c r="CG78" s="49">
        <v>1.0287999999999999</v>
      </c>
      <c r="CH78" s="49">
        <v>1.0370999999999999</v>
      </c>
      <c r="CI78" s="49">
        <v>1.0454000000000001</v>
      </c>
      <c r="CJ78" s="49">
        <v>1.0537000000000001</v>
      </c>
      <c r="CK78" s="49">
        <v>1.0621</v>
      </c>
      <c r="CL78" s="49">
        <v>1.0704</v>
      </c>
      <c r="CM78" s="49">
        <v>1.0788</v>
      </c>
      <c r="CN78" s="49">
        <v>1.0871</v>
      </c>
      <c r="CO78" s="49">
        <v>1.0954999999999999</v>
      </c>
      <c r="CP78" s="49">
        <v>1.1039000000000001</v>
      </c>
      <c r="CQ78" s="49">
        <v>1.1123000000000001</v>
      </c>
      <c r="CR78" s="49">
        <v>1.1207</v>
      </c>
      <c r="CS78" s="49">
        <v>1.1292</v>
      </c>
      <c r="CT78" s="49">
        <v>1.1375999999999999</v>
      </c>
      <c r="CU78" s="49">
        <v>1.1460999999999999</v>
      </c>
      <c r="CV78" s="49">
        <v>1.1545000000000001</v>
      </c>
      <c r="CW78" s="49">
        <v>1.163</v>
      </c>
      <c r="CX78" s="49">
        <v>1.1715</v>
      </c>
      <c r="CY78" s="49">
        <v>1.1800999999999999</v>
      </c>
      <c r="CZ78" s="49">
        <v>1.1886000000000001</v>
      </c>
      <c r="DA78" s="49">
        <v>1.1972</v>
      </c>
      <c r="DB78" s="49">
        <v>1.2058</v>
      </c>
      <c r="DC78" s="49">
        <v>1.2143999999999999</v>
      </c>
      <c r="DD78" s="49">
        <v>1.2230000000000001</v>
      </c>
      <c r="DE78" s="49">
        <v>1.2317</v>
      </c>
      <c r="DF78" s="49">
        <v>1.2403999999999999</v>
      </c>
      <c r="DG78" s="49">
        <v>1.2491000000000001</v>
      </c>
      <c r="DH78" s="49">
        <v>1.2578</v>
      </c>
      <c r="DI78" s="49">
        <v>1.2665999999999999</v>
      </c>
      <c r="DJ78" s="49">
        <v>1.2754000000000001</v>
      </c>
      <c r="DK78" s="49">
        <v>1.2842</v>
      </c>
      <c r="DL78" s="49">
        <v>1.2930999999999999</v>
      </c>
      <c r="DM78" s="49">
        <v>1.302</v>
      </c>
      <c r="DN78" s="49">
        <v>1.3109</v>
      </c>
      <c r="DO78" s="49">
        <v>1.3199000000000001</v>
      </c>
      <c r="DP78" s="49">
        <v>1.3289</v>
      </c>
      <c r="DQ78" s="49">
        <v>1.3379000000000001</v>
      </c>
      <c r="DR78" s="49">
        <v>1.347</v>
      </c>
      <c r="DS78" s="49">
        <v>1.3561000000000001</v>
      </c>
      <c r="DT78" s="49">
        <v>1.3653</v>
      </c>
      <c r="DU78" s="49">
        <v>1.3746</v>
      </c>
      <c r="DV78" s="49">
        <v>1.3838999999999999</v>
      </c>
      <c r="DW78" s="49">
        <v>1.3932</v>
      </c>
      <c r="DX78" s="49">
        <v>1.4026000000000001</v>
      </c>
      <c r="DY78" s="49">
        <v>1.4119999999999999</v>
      </c>
      <c r="DZ78" s="49">
        <v>1.4216</v>
      </c>
      <c r="EA78" s="49">
        <v>1.4311</v>
      </c>
      <c r="EB78" s="49">
        <v>1.4408000000000001</v>
      </c>
      <c r="EC78" s="49">
        <v>1.4504999999999999</v>
      </c>
      <c r="ED78" s="49">
        <v>1.4602999999999999</v>
      </c>
      <c r="EE78" s="49">
        <v>1.4702</v>
      </c>
      <c r="EF78" s="49">
        <v>1.4801</v>
      </c>
      <c r="EG78" s="49">
        <v>1.4901</v>
      </c>
      <c r="EH78" s="49">
        <v>1.5003</v>
      </c>
      <c r="EI78" s="49">
        <v>1.5105</v>
      </c>
      <c r="EJ78" s="49">
        <v>1.5207999999999999</v>
      </c>
      <c r="EK78" s="49">
        <v>1.5311999999999999</v>
      </c>
      <c r="EL78" s="49">
        <v>1.5417000000000001</v>
      </c>
      <c r="EM78" s="49">
        <v>1.5523</v>
      </c>
      <c r="EN78" s="49">
        <v>1.5629999999999999</v>
      </c>
      <c r="EO78" s="49">
        <v>1.5739000000000001</v>
      </c>
      <c r="EP78" s="49">
        <v>1.5848</v>
      </c>
      <c r="EQ78" s="49">
        <v>1.5959000000000001</v>
      </c>
      <c r="ER78" s="49">
        <v>1.6072</v>
      </c>
      <c r="ES78" s="49">
        <v>1.6185</v>
      </c>
      <c r="ET78" s="49">
        <v>1.63</v>
      </c>
      <c r="EU78" s="49">
        <v>1.6416999999999999</v>
      </c>
      <c r="EV78" s="49">
        <v>1.6535</v>
      </c>
      <c r="EW78" s="49">
        <v>1.6655</v>
      </c>
      <c r="EX78" s="49">
        <v>1.6776</v>
      </c>
      <c r="EY78" s="49">
        <v>1.6899</v>
      </c>
      <c r="EZ78" s="49">
        <v>1.7023999999999999</v>
      </c>
      <c r="FA78" s="49">
        <v>1.7151000000000001</v>
      </c>
      <c r="FB78" s="49">
        <v>1.728</v>
      </c>
      <c r="FC78" s="49">
        <v>1.7411000000000001</v>
      </c>
      <c r="FE78" s="50">
        <f t="shared" ca="1" si="13"/>
        <v>1.3950776996023249</v>
      </c>
      <c r="FF78" s="50">
        <f t="shared" ca="1" si="9"/>
        <v>1.3891861903236142</v>
      </c>
      <c r="FG78" s="50">
        <f t="shared" ca="1" si="10"/>
        <v>1.383194697986577</v>
      </c>
      <c r="FH78" s="50">
        <f t="shared" ca="1" si="11"/>
        <v>1.3769530872483222</v>
      </c>
      <c r="FK78" s="50">
        <f t="shared" ca="1" si="12"/>
        <v>1.3891861903236142</v>
      </c>
      <c r="FL78" s="50"/>
      <c r="FM78" s="50"/>
      <c r="FN78" s="50"/>
    </row>
    <row r="79" spans="33:170" hidden="1">
      <c r="AW79" s="46">
        <v>19.055</v>
      </c>
      <c r="AX79" s="49">
        <v>0.74060000000000004</v>
      </c>
      <c r="AY79" s="49">
        <v>0.74870000000000003</v>
      </c>
      <c r="AZ79" s="49">
        <v>0.75690000000000002</v>
      </c>
      <c r="BA79" s="49">
        <v>0.76500000000000001</v>
      </c>
      <c r="BB79" s="49">
        <v>0.7732</v>
      </c>
      <c r="BC79" s="49">
        <v>0.78129999999999999</v>
      </c>
      <c r="BD79" s="49">
        <v>0.78949999999999998</v>
      </c>
      <c r="BE79" s="49">
        <v>0.79769999999999996</v>
      </c>
      <c r="BF79" s="49">
        <v>0.80579999999999996</v>
      </c>
      <c r="BG79" s="49">
        <v>0.81399999999999995</v>
      </c>
      <c r="BH79" s="49">
        <v>0.82210000000000005</v>
      </c>
      <c r="BI79" s="49">
        <v>0.83030000000000004</v>
      </c>
      <c r="BJ79" s="49">
        <v>0.83850000000000002</v>
      </c>
      <c r="BK79" s="49">
        <v>0.84670000000000001</v>
      </c>
      <c r="BL79" s="49">
        <v>0.85489999999999999</v>
      </c>
      <c r="BM79" s="49">
        <v>0.86299999999999999</v>
      </c>
      <c r="BN79" s="49">
        <v>0.87119999999999997</v>
      </c>
      <c r="BO79" s="49">
        <v>0.87939999999999996</v>
      </c>
      <c r="BP79" s="49">
        <v>0.88759999999999994</v>
      </c>
      <c r="BQ79" s="49">
        <v>0.89580000000000004</v>
      </c>
      <c r="BR79" s="49">
        <v>0.90400000000000003</v>
      </c>
      <c r="BS79" s="49">
        <v>0.91220000000000001</v>
      </c>
      <c r="BT79" s="49">
        <v>0.9204</v>
      </c>
      <c r="BU79" s="49">
        <v>0.92859999999999998</v>
      </c>
      <c r="BV79" s="49">
        <v>0.93689999999999996</v>
      </c>
      <c r="BW79" s="49">
        <v>0.94510000000000005</v>
      </c>
      <c r="BX79" s="49">
        <v>0.95330000000000004</v>
      </c>
      <c r="BY79" s="49">
        <v>0.96150000000000002</v>
      </c>
      <c r="BZ79" s="49">
        <v>0.9698</v>
      </c>
      <c r="CA79" s="49">
        <v>0.97799999999999998</v>
      </c>
      <c r="CB79" s="49">
        <v>0.98629999999999995</v>
      </c>
      <c r="CC79" s="49">
        <v>0.99450000000000005</v>
      </c>
      <c r="CD79" s="49">
        <v>1.0027999999999999</v>
      </c>
      <c r="CE79" s="49">
        <v>1.0111000000000001</v>
      </c>
      <c r="CF79" s="49">
        <v>1.0194000000000001</v>
      </c>
      <c r="CG79" s="49">
        <v>1.0277000000000001</v>
      </c>
      <c r="CH79" s="49">
        <v>1.036</v>
      </c>
      <c r="CI79" s="49">
        <v>1.0443</v>
      </c>
      <c r="CJ79" s="49">
        <v>1.0526</v>
      </c>
      <c r="CK79" s="49">
        <v>1.0609</v>
      </c>
      <c r="CL79" s="49">
        <v>1.0692999999999999</v>
      </c>
      <c r="CM79" s="49">
        <v>1.0775999999999999</v>
      </c>
      <c r="CN79" s="49">
        <v>1.0860000000000001</v>
      </c>
      <c r="CO79" s="49">
        <v>1.0943000000000001</v>
      </c>
      <c r="CP79" s="49">
        <v>1.1027</v>
      </c>
      <c r="CQ79" s="49">
        <v>1.1111</v>
      </c>
      <c r="CR79" s="49">
        <v>1.1194999999999999</v>
      </c>
      <c r="CS79" s="49">
        <v>1.1278999999999999</v>
      </c>
      <c r="CT79" s="49">
        <v>1.1364000000000001</v>
      </c>
      <c r="CU79" s="49">
        <v>1.1448</v>
      </c>
      <c r="CV79" s="49">
        <v>1.1533</v>
      </c>
      <c r="CW79" s="49">
        <v>1.1617999999999999</v>
      </c>
      <c r="CX79" s="49">
        <v>1.1702999999999999</v>
      </c>
      <c r="CY79" s="49">
        <v>1.1788000000000001</v>
      </c>
      <c r="CZ79" s="49">
        <v>1.1873</v>
      </c>
      <c r="DA79" s="49">
        <v>1.1959</v>
      </c>
      <c r="DB79" s="49">
        <v>1.2044999999999999</v>
      </c>
      <c r="DC79" s="49">
        <v>1.2131000000000001</v>
      </c>
      <c r="DD79" s="49">
        <v>1.2217</v>
      </c>
      <c r="DE79" s="49">
        <v>1.2303999999999999</v>
      </c>
      <c r="DF79" s="49">
        <v>1.2390000000000001</v>
      </c>
      <c r="DG79" s="49">
        <v>1.2477</v>
      </c>
      <c r="DH79" s="49">
        <v>1.2565</v>
      </c>
      <c r="DI79" s="49">
        <v>1.2652000000000001</v>
      </c>
      <c r="DJ79" s="49">
        <v>1.274</v>
      </c>
      <c r="DK79" s="49">
        <v>1.2827999999999999</v>
      </c>
      <c r="DL79" s="49">
        <v>1.2917000000000001</v>
      </c>
      <c r="DM79" s="49">
        <v>1.3006</v>
      </c>
      <c r="DN79" s="49">
        <v>1.3095000000000001</v>
      </c>
      <c r="DO79" s="49">
        <v>1.3184</v>
      </c>
      <c r="DP79" s="49">
        <v>1.3273999999999999</v>
      </c>
      <c r="DQ79" s="49">
        <v>1.3365</v>
      </c>
      <c r="DR79" s="49">
        <v>1.3455999999999999</v>
      </c>
      <c r="DS79" s="49">
        <v>1.3547</v>
      </c>
      <c r="DT79" s="49">
        <v>1.3638999999999999</v>
      </c>
      <c r="DU79" s="49">
        <v>1.3731</v>
      </c>
      <c r="DV79" s="49">
        <v>1.3824000000000001</v>
      </c>
      <c r="DW79" s="49">
        <v>1.3916999999999999</v>
      </c>
      <c r="DX79" s="49">
        <v>1.4011</v>
      </c>
      <c r="DY79" s="49">
        <v>1.4105000000000001</v>
      </c>
      <c r="DZ79" s="49">
        <v>1.42</v>
      </c>
      <c r="EA79" s="49">
        <v>1.4296</v>
      </c>
      <c r="EB79" s="49">
        <v>1.4392</v>
      </c>
      <c r="EC79" s="49">
        <v>1.4489000000000001</v>
      </c>
      <c r="ED79" s="49">
        <v>1.4587000000000001</v>
      </c>
      <c r="EE79" s="49">
        <v>1.4685999999999999</v>
      </c>
      <c r="EF79" s="49">
        <v>1.4784999999999999</v>
      </c>
      <c r="EG79" s="49">
        <v>1.4884999999999999</v>
      </c>
      <c r="EH79" s="49">
        <v>1.4985999999999999</v>
      </c>
      <c r="EI79" s="49">
        <v>1.5087999999999999</v>
      </c>
      <c r="EJ79" s="49">
        <v>1.5190999999999999</v>
      </c>
      <c r="EK79" s="49">
        <v>1.5295000000000001</v>
      </c>
      <c r="EL79" s="49">
        <v>1.54</v>
      </c>
      <c r="EM79" s="49">
        <v>1.5506</v>
      </c>
      <c r="EN79" s="49">
        <v>1.5612999999999999</v>
      </c>
      <c r="EO79" s="49">
        <v>1.5722</v>
      </c>
      <c r="EP79" s="49">
        <v>1.5831</v>
      </c>
      <c r="EQ79" s="49">
        <v>1.5942000000000001</v>
      </c>
      <c r="ER79" s="49">
        <v>1.6053999999999999</v>
      </c>
      <c r="ES79" s="49">
        <v>1.6168</v>
      </c>
      <c r="ET79" s="49">
        <v>1.6283000000000001</v>
      </c>
      <c r="EU79" s="49">
        <v>1.6398999999999999</v>
      </c>
      <c r="EV79" s="49">
        <v>1.6516999999999999</v>
      </c>
      <c r="EW79" s="49">
        <v>1.6637</v>
      </c>
      <c r="EX79" s="49">
        <v>1.6758</v>
      </c>
      <c r="EY79" s="49">
        <v>1.6880999999999999</v>
      </c>
      <c r="EZ79" s="49">
        <v>1.7005999999999999</v>
      </c>
      <c r="FA79" s="49">
        <v>1.7132000000000001</v>
      </c>
      <c r="FB79" s="49">
        <v>1.7261</v>
      </c>
      <c r="FC79" s="49">
        <v>1.7392000000000001</v>
      </c>
      <c r="FE79" s="50">
        <f t="shared" ca="1" si="13"/>
        <v>1.3935776996023248</v>
      </c>
      <c r="FF79" s="50">
        <f t="shared" ca="1" si="9"/>
        <v>1.387686190323614</v>
      </c>
      <c r="FG79" s="50">
        <f t="shared" ca="1" si="10"/>
        <v>1.3816946979865774</v>
      </c>
      <c r="FH79" s="50">
        <f t="shared" ca="1" si="11"/>
        <v>1.3754530872483222</v>
      </c>
      <c r="FK79" s="50">
        <f t="shared" ca="1" si="12"/>
        <v>1.387686190323614</v>
      </c>
      <c r="FL79" s="50"/>
      <c r="FM79" s="50"/>
      <c r="FN79" s="50"/>
    </row>
    <row r="80" spans="33:170" hidden="1">
      <c r="AW80" s="46">
        <v>20.417000000000002</v>
      </c>
      <c r="AX80" s="49">
        <v>0.73980000000000001</v>
      </c>
      <c r="AY80" s="49">
        <v>0.74790000000000001</v>
      </c>
      <c r="AZ80" s="49">
        <v>0.75609999999999999</v>
      </c>
      <c r="BA80" s="49">
        <v>0.76419999999999999</v>
      </c>
      <c r="BB80" s="49">
        <v>0.77229999999999999</v>
      </c>
      <c r="BC80" s="49">
        <v>0.78049999999999997</v>
      </c>
      <c r="BD80" s="49">
        <v>0.78859999999999997</v>
      </c>
      <c r="BE80" s="49">
        <v>0.79679999999999995</v>
      </c>
      <c r="BF80" s="49">
        <v>0.80500000000000005</v>
      </c>
      <c r="BG80" s="49">
        <v>0.81310000000000004</v>
      </c>
      <c r="BH80" s="49">
        <v>0.82130000000000003</v>
      </c>
      <c r="BI80" s="49">
        <v>0.82940000000000003</v>
      </c>
      <c r="BJ80" s="49">
        <v>0.83760000000000001</v>
      </c>
      <c r="BK80" s="49">
        <v>0.8458</v>
      </c>
      <c r="BL80" s="49">
        <v>0.85389999999999999</v>
      </c>
      <c r="BM80" s="49">
        <v>0.86209999999999998</v>
      </c>
      <c r="BN80" s="49">
        <v>0.87029999999999996</v>
      </c>
      <c r="BO80" s="49">
        <v>0.87849999999999995</v>
      </c>
      <c r="BP80" s="49">
        <v>0.88670000000000004</v>
      </c>
      <c r="BQ80" s="49">
        <v>0.89480000000000004</v>
      </c>
      <c r="BR80" s="49">
        <v>0.90300000000000002</v>
      </c>
      <c r="BS80" s="49">
        <v>0.91120000000000001</v>
      </c>
      <c r="BT80" s="49">
        <v>0.9194</v>
      </c>
      <c r="BU80" s="49">
        <v>0.92759999999999998</v>
      </c>
      <c r="BV80" s="49">
        <v>0.93589999999999995</v>
      </c>
      <c r="BW80" s="49">
        <v>0.94410000000000005</v>
      </c>
      <c r="BX80" s="49">
        <v>0.95230000000000004</v>
      </c>
      <c r="BY80" s="49">
        <v>0.96050000000000002</v>
      </c>
      <c r="BZ80" s="49">
        <v>0.96870000000000001</v>
      </c>
      <c r="CA80" s="49">
        <v>0.97699999999999998</v>
      </c>
      <c r="CB80" s="49">
        <v>0.98519999999999996</v>
      </c>
      <c r="CC80" s="49">
        <v>0.99350000000000005</v>
      </c>
      <c r="CD80" s="49">
        <v>1.0017</v>
      </c>
      <c r="CE80" s="49">
        <v>1.01</v>
      </c>
      <c r="CF80" s="49">
        <v>1.0183</v>
      </c>
      <c r="CG80" s="49">
        <v>1.0266</v>
      </c>
      <c r="CH80" s="49">
        <v>1.0348999999999999</v>
      </c>
      <c r="CI80" s="49">
        <v>1.0431999999999999</v>
      </c>
      <c r="CJ80" s="49">
        <v>1.0515000000000001</v>
      </c>
      <c r="CK80" s="49">
        <v>1.0598000000000001</v>
      </c>
      <c r="CL80" s="49">
        <v>1.0681</v>
      </c>
      <c r="CM80" s="49">
        <v>1.0764</v>
      </c>
      <c r="CN80" s="49">
        <v>1.0848</v>
      </c>
      <c r="CO80" s="49">
        <v>1.0931999999999999</v>
      </c>
      <c r="CP80" s="49">
        <v>1.1014999999999999</v>
      </c>
      <c r="CQ80" s="49">
        <v>1.1099000000000001</v>
      </c>
      <c r="CR80" s="49">
        <v>1.1183000000000001</v>
      </c>
      <c r="CS80" s="49">
        <v>1.1267</v>
      </c>
      <c r="CT80" s="49">
        <v>1.1352</v>
      </c>
      <c r="CU80" s="49">
        <v>1.1435999999999999</v>
      </c>
      <c r="CV80" s="49">
        <v>1.1520999999999999</v>
      </c>
      <c r="CW80" s="49">
        <v>1.1605000000000001</v>
      </c>
      <c r="CX80" s="49">
        <v>1.169</v>
      </c>
      <c r="CY80" s="49">
        <v>1.1775</v>
      </c>
      <c r="CZ80" s="49">
        <v>1.1860999999999999</v>
      </c>
      <c r="DA80" s="49">
        <v>1.1946000000000001</v>
      </c>
      <c r="DB80" s="49">
        <v>1.2032</v>
      </c>
      <c r="DC80" s="49">
        <v>1.2118</v>
      </c>
      <c r="DD80" s="49">
        <v>1.2203999999999999</v>
      </c>
      <c r="DE80" s="49">
        <v>1.2290000000000001</v>
      </c>
      <c r="DF80" s="49">
        <v>1.2377</v>
      </c>
      <c r="DG80" s="49">
        <v>1.2464</v>
      </c>
      <c r="DH80" s="49">
        <v>1.2551000000000001</v>
      </c>
      <c r="DI80" s="49">
        <v>1.2639</v>
      </c>
      <c r="DJ80" s="49">
        <v>1.2726</v>
      </c>
      <c r="DK80" s="49">
        <v>1.2814000000000001</v>
      </c>
      <c r="DL80" s="49">
        <v>1.2903</v>
      </c>
      <c r="DM80" s="49">
        <v>1.2991999999999999</v>
      </c>
      <c r="DN80" s="49">
        <v>1.3081</v>
      </c>
      <c r="DO80" s="49">
        <v>1.3169999999999999</v>
      </c>
      <c r="DP80" s="49">
        <v>1.3260000000000001</v>
      </c>
      <c r="DQ80" s="49">
        <v>1.335</v>
      </c>
      <c r="DR80" s="49">
        <v>1.3441000000000001</v>
      </c>
      <c r="DS80" s="49">
        <v>1.3532</v>
      </c>
      <c r="DT80" s="49">
        <v>1.3624000000000001</v>
      </c>
      <c r="DU80" s="49">
        <v>1.3715999999999999</v>
      </c>
      <c r="DV80" s="49">
        <v>1.3809</v>
      </c>
      <c r="DW80" s="49">
        <v>1.3902000000000001</v>
      </c>
      <c r="DX80" s="49">
        <v>1.3996</v>
      </c>
      <c r="DY80" s="49">
        <v>1.409</v>
      </c>
      <c r="DZ80" s="49">
        <v>1.4185000000000001</v>
      </c>
      <c r="EA80" s="49">
        <v>1.4280999999999999</v>
      </c>
      <c r="EB80" s="49">
        <v>1.4377</v>
      </c>
      <c r="EC80" s="49">
        <v>1.4474</v>
      </c>
      <c r="ED80" s="49">
        <v>1.4572000000000001</v>
      </c>
      <c r="EE80" s="49">
        <v>1.4670000000000001</v>
      </c>
      <c r="EF80" s="49">
        <v>1.4769000000000001</v>
      </c>
      <c r="EG80" s="49">
        <v>1.4869000000000001</v>
      </c>
      <c r="EH80" s="49">
        <v>1.4970000000000001</v>
      </c>
      <c r="EI80" s="49">
        <v>1.5072000000000001</v>
      </c>
      <c r="EJ80" s="49">
        <v>1.5175000000000001</v>
      </c>
      <c r="EK80" s="49">
        <v>1.5279</v>
      </c>
      <c r="EL80" s="49">
        <v>1.5384</v>
      </c>
      <c r="EM80" s="49">
        <v>1.5489999999999999</v>
      </c>
      <c r="EN80" s="49">
        <v>1.5597000000000001</v>
      </c>
      <c r="EO80" s="49">
        <v>1.5705</v>
      </c>
      <c r="EP80" s="49">
        <v>1.5813999999999999</v>
      </c>
      <c r="EQ80" s="49">
        <v>1.5925</v>
      </c>
      <c r="ER80" s="49">
        <v>1.6036999999999999</v>
      </c>
      <c r="ES80" s="49">
        <v>1.615</v>
      </c>
      <c r="ET80" s="49">
        <v>1.6265000000000001</v>
      </c>
      <c r="EU80" s="49">
        <v>1.6380999999999999</v>
      </c>
      <c r="EV80" s="49">
        <v>1.6498999999999999</v>
      </c>
      <c r="EW80" s="49">
        <v>1.6618999999999999</v>
      </c>
      <c r="EX80" s="49">
        <v>1.6739999999999999</v>
      </c>
      <c r="EY80" s="49">
        <v>1.6862999999999999</v>
      </c>
      <c r="EZ80" s="49">
        <v>1.6988000000000001</v>
      </c>
      <c r="FA80" s="49">
        <v>1.7114</v>
      </c>
      <c r="FB80" s="49">
        <v>1.7242999999999999</v>
      </c>
      <c r="FC80" s="49">
        <v>1.7373000000000001</v>
      </c>
      <c r="FE80" s="50">
        <f t="shared" ca="1" si="13"/>
        <v>1.392077699602325</v>
      </c>
      <c r="FF80" s="50">
        <f t="shared" ca="1" si="9"/>
        <v>1.3861861903236143</v>
      </c>
      <c r="FG80" s="50">
        <f t="shared" ca="1" si="10"/>
        <v>1.3801946979865773</v>
      </c>
      <c r="FH80" s="50">
        <f t="shared" ca="1" si="11"/>
        <v>1.3739530872483221</v>
      </c>
      <c r="FK80" s="50">
        <f t="shared" ca="1" si="12"/>
        <v>1.3861861903236143</v>
      </c>
      <c r="FL80" s="50"/>
      <c r="FM80" s="50"/>
      <c r="FN80" s="50"/>
    </row>
    <row r="81" spans="49:170" hidden="1">
      <c r="AW81" s="46">
        <v>21.878</v>
      </c>
      <c r="AX81" s="49">
        <v>0.73899999999999999</v>
      </c>
      <c r="AY81" s="49">
        <v>0.74709999999999999</v>
      </c>
      <c r="AZ81" s="49">
        <v>0.75529999999999997</v>
      </c>
      <c r="BA81" s="49">
        <v>0.76339999999999997</v>
      </c>
      <c r="BB81" s="49">
        <v>0.77149999999999996</v>
      </c>
      <c r="BC81" s="49">
        <v>0.77969999999999995</v>
      </c>
      <c r="BD81" s="49">
        <v>0.78779999999999994</v>
      </c>
      <c r="BE81" s="49">
        <v>0.79600000000000004</v>
      </c>
      <c r="BF81" s="49">
        <v>0.80410000000000004</v>
      </c>
      <c r="BG81" s="49">
        <v>0.81220000000000003</v>
      </c>
      <c r="BH81" s="49">
        <v>0.82040000000000002</v>
      </c>
      <c r="BI81" s="49">
        <v>0.8286</v>
      </c>
      <c r="BJ81" s="49">
        <v>0.8367</v>
      </c>
      <c r="BK81" s="49">
        <v>0.84489999999999998</v>
      </c>
      <c r="BL81" s="49">
        <v>0.85299999999999998</v>
      </c>
      <c r="BM81" s="49">
        <v>0.86119999999999997</v>
      </c>
      <c r="BN81" s="49">
        <v>0.86939999999999995</v>
      </c>
      <c r="BO81" s="49">
        <v>0.87749999999999995</v>
      </c>
      <c r="BP81" s="49">
        <v>0.88570000000000004</v>
      </c>
      <c r="BQ81" s="49">
        <v>0.89390000000000003</v>
      </c>
      <c r="BR81" s="49">
        <v>0.90210000000000001</v>
      </c>
      <c r="BS81" s="49">
        <v>0.9103</v>
      </c>
      <c r="BT81" s="49">
        <v>0.91849999999999998</v>
      </c>
      <c r="BU81" s="49">
        <v>0.92669999999999997</v>
      </c>
      <c r="BV81" s="49">
        <v>0.93489999999999995</v>
      </c>
      <c r="BW81" s="49">
        <v>0.94310000000000005</v>
      </c>
      <c r="BX81" s="49">
        <v>0.95130000000000003</v>
      </c>
      <c r="BY81" s="49">
        <v>0.95950000000000002</v>
      </c>
      <c r="BZ81" s="49">
        <v>0.9677</v>
      </c>
      <c r="CA81" s="49">
        <v>0.97599999999999998</v>
      </c>
      <c r="CB81" s="49">
        <v>0.98419999999999996</v>
      </c>
      <c r="CC81" s="49">
        <v>0.99239999999999995</v>
      </c>
      <c r="CD81" s="49">
        <v>1.0006999999999999</v>
      </c>
      <c r="CE81" s="49">
        <v>1.0088999999999999</v>
      </c>
      <c r="CF81" s="49">
        <v>1.0172000000000001</v>
      </c>
      <c r="CG81" s="49">
        <v>1.0255000000000001</v>
      </c>
      <c r="CH81" s="49">
        <v>1.0338000000000001</v>
      </c>
      <c r="CI81" s="49">
        <v>1.042</v>
      </c>
      <c r="CJ81" s="49">
        <v>1.0503</v>
      </c>
      <c r="CK81" s="49">
        <v>1.0587</v>
      </c>
      <c r="CL81" s="49">
        <v>1.0669999999999999</v>
      </c>
      <c r="CM81" s="49">
        <v>1.0752999999999999</v>
      </c>
      <c r="CN81" s="49">
        <v>1.0835999999999999</v>
      </c>
      <c r="CO81" s="49">
        <v>1.0920000000000001</v>
      </c>
      <c r="CP81" s="49">
        <v>1.1004</v>
      </c>
      <c r="CQ81" s="49">
        <v>1.1087</v>
      </c>
      <c r="CR81" s="49">
        <v>1.1171</v>
      </c>
      <c r="CS81" s="49">
        <v>1.1254999999999999</v>
      </c>
      <c r="CT81" s="49">
        <v>1.1339999999999999</v>
      </c>
      <c r="CU81" s="49">
        <v>1.1424000000000001</v>
      </c>
      <c r="CV81" s="49">
        <v>1.1508</v>
      </c>
      <c r="CW81" s="49">
        <v>1.1593</v>
      </c>
      <c r="CX81" s="49">
        <v>1.1677999999999999</v>
      </c>
      <c r="CY81" s="49">
        <v>1.1762999999999999</v>
      </c>
      <c r="CZ81" s="49">
        <v>1.1848000000000001</v>
      </c>
      <c r="DA81" s="49">
        <v>1.1934</v>
      </c>
      <c r="DB81" s="49">
        <v>1.2019</v>
      </c>
      <c r="DC81" s="49">
        <v>1.2104999999999999</v>
      </c>
      <c r="DD81" s="49">
        <v>1.2191000000000001</v>
      </c>
      <c r="DE81" s="49">
        <v>1.2277</v>
      </c>
      <c r="DF81" s="49">
        <v>1.2363999999999999</v>
      </c>
      <c r="DG81" s="49">
        <v>1.2451000000000001</v>
      </c>
      <c r="DH81" s="49">
        <v>1.2538</v>
      </c>
      <c r="DI81" s="49">
        <v>1.2625</v>
      </c>
      <c r="DJ81" s="49">
        <v>1.2713000000000001</v>
      </c>
      <c r="DK81" s="49">
        <v>1.2801</v>
      </c>
      <c r="DL81" s="49">
        <v>1.2888999999999999</v>
      </c>
      <c r="DM81" s="49">
        <v>1.2978000000000001</v>
      </c>
      <c r="DN81" s="49">
        <v>1.3067</v>
      </c>
      <c r="DO81" s="49">
        <v>1.3156000000000001</v>
      </c>
      <c r="DP81" s="49">
        <v>1.3246</v>
      </c>
      <c r="DQ81" s="49">
        <v>1.3335999999999999</v>
      </c>
      <c r="DR81" s="49">
        <v>1.3427</v>
      </c>
      <c r="DS81" s="49">
        <v>1.3517999999999999</v>
      </c>
      <c r="DT81" s="49">
        <v>1.361</v>
      </c>
      <c r="DU81" s="49">
        <v>1.3702000000000001</v>
      </c>
      <c r="DV81" s="49">
        <v>1.3794</v>
      </c>
      <c r="DW81" s="49">
        <v>1.3887</v>
      </c>
      <c r="DX81" s="49">
        <v>1.3980999999999999</v>
      </c>
      <c r="DY81" s="49">
        <v>1.4075</v>
      </c>
      <c r="DZ81" s="49">
        <v>1.417</v>
      </c>
      <c r="EA81" s="49">
        <v>1.4265000000000001</v>
      </c>
      <c r="EB81" s="49">
        <v>1.4361999999999999</v>
      </c>
      <c r="EC81" s="49">
        <v>1.4459</v>
      </c>
      <c r="ED81" s="49">
        <v>1.4556</v>
      </c>
      <c r="EE81" s="49">
        <v>1.4654</v>
      </c>
      <c r="EF81" s="49">
        <v>1.4754</v>
      </c>
      <c r="EG81" s="49">
        <v>1.4854000000000001</v>
      </c>
      <c r="EH81" s="49">
        <v>1.4954000000000001</v>
      </c>
      <c r="EI81" s="49">
        <v>1.5056</v>
      </c>
      <c r="EJ81" s="49">
        <v>1.5159</v>
      </c>
      <c r="EK81" s="49">
        <v>1.5263</v>
      </c>
      <c r="EL81" s="49">
        <v>1.5367</v>
      </c>
      <c r="EM81" s="49">
        <v>1.5472999999999999</v>
      </c>
      <c r="EN81" s="49">
        <v>1.5580000000000001</v>
      </c>
      <c r="EO81" s="49">
        <v>1.5688</v>
      </c>
      <c r="EP81" s="49">
        <v>1.5798000000000001</v>
      </c>
      <c r="EQ81" s="49">
        <v>1.5908</v>
      </c>
      <c r="ER81" s="49">
        <v>1.6020000000000001</v>
      </c>
      <c r="ES81" s="49">
        <v>1.6133</v>
      </c>
      <c r="ET81" s="49">
        <v>1.6248</v>
      </c>
      <c r="EU81" s="49">
        <v>1.6364000000000001</v>
      </c>
      <c r="EV81" s="49">
        <v>1.6482000000000001</v>
      </c>
      <c r="EW81" s="49">
        <v>1.6600999999999999</v>
      </c>
      <c r="EX81" s="49">
        <v>1.6721999999999999</v>
      </c>
      <c r="EY81" s="49">
        <v>1.6845000000000001</v>
      </c>
      <c r="EZ81" s="49">
        <v>1.6970000000000001</v>
      </c>
      <c r="FA81" s="49">
        <v>1.7096</v>
      </c>
      <c r="FB81" s="49">
        <v>1.7223999999999999</v>
      </c>
      <c r="FC81" s="49">
        <v>1.7355</v>
      </c>
      <c r="FE81" s="50">
        <f t="shared" ca="1" si="13"/>
        <v>1.3905776996023249</v>
      </c>
      <c r="FF81" s="50">
        <f t="shared" ca="1" si="9"/>
        <v>1.3846861903236143</v>
      </c>
      <c r="FG81" s="50">
        <f t="shared" ca="1" si="10"/>
        <v>1.3787022818791947</v>
      </c>
      <c r="FH81" s="50">
        <f t="shared" ca="1" si="11"/>
        <v>1.3725277852348994</v>
      </c>
      <c r="FK81" s="50">
        <f t="shared" ca="1" si="12"/>
        <v>1.3846861903236143</v>
      </c>
      <c r="FL81" s="50"/>
      <c r="FM81" s="50"/>
      <c r="FN81" s="50"/>
    </row>
    <row r="82" spans="49:170" hidden="1">
      <c r="AW82" s="46">
        <v>23.442</v>
      </c>
      <c r="AX82" s="49">
        <v>0.73819999999999997</v>
      </c>
      <c r="AY82" s="49">
        <v>0.74629999999999996</v>
      </c>
      <c r="AZ82" s="49">
        <v>0.75449999999999995</v>
      </c>
      <c r="BA82" s="49">
        <v>0.76259999999999994</v>
      </c>
      <c r="BB82" s="49">
        <v>0.77070000000000005</v>
      </c>
      <c r="BC82" s="49">
        <v>0.77880000000000005</v>
      </c>
      <c r="BD82" s="49">
        <v>0.78700000000000003</v>
      </c>
      <c r="BE82" s="49">
        <v>0.79510000000000003</v>
      </c>
      <c r="BF82" s="49">
        <v>0.80330000000000001</v>
      </c>
      <c r="BG82" s="49">
        <v>0.81140000000000001</v>
      </c>
      <c r="BH82" s="49">
        <v>0.81950000000000001</v>
      </c>
      <c r="BI82" s="49">
        <v>0.82769999999999999</v>
      </c>
      <c r="BJ82" s="49">
        <v>0.83579999999999999</v>
      </c>
      <c r="BK82" s="49">
        <v>0.84399999999999997</v>
      </c>
      <c r="BL82" s="49">
        <v>0.85209999999999997</v>
      </c>
      <c r="BM82" s="49">
        <v>0.86029999999999995</v>
      </c>
      <c r="BN82" s="49">
        <v>0.86850000000000005</v>
      </c>
      <c r="BO82" s="49">
        <v>0.87660000000000005</v>
      </c>
      <c r="BP82" s="49">
        <v>0.88480000000000003</v>
      </c>
      <c r="BQ82" s="49">
        <v>0.89300000000000002</v>
      </c>
      <c r="BR82" s="49">
        <v>0.90110000000000001</v>
      </c>
      <c r="BS82" s="49">
        <v>0.9093</v>
      </c>
      <c r="BT82" s="49">
        <v>0.91749999999999998</v>
      </c>
      <c r="BU82" s="49">
        <v>0.92569999999999997</v>
      </c>
      <c r="BV82" s="49">
        <v>0.93389999999999995</v>
      </c>
      <c r="BW82" s="49">
        <v>0.94210000000000005</v>
      </c>
      <c r="BX82" s="49">
        <v>0.95030000000000003</v>
      </c>
      <c r="BY82" s="49">
        <v>0.95850000000000002</v>
      </c>
      <c r="BZ82" s="49">
        <v>0.9667</v>
      </c>
      <c r="CA82" s="49">
        <v>0.97489999999999999</v>
      </c>
      <c r="CB82" s="49">
        <v>0.98319999999999996</v>
      </c>
      <c r="CC82" s="49">
        <v>0.99139999999999995</v>
      </c>
      <c r="CD82" s="49">
        <v>0.99960000000000004</v>
      </c>
      <c r="CE82" s="49">
        <v>1.0079</v>
      </c>
      <c r="CF82" s="49">
        <v>1.0161</v>
      </c>
      <c r="CG82" s="49">
        <v>1.0244</v>
      </c>
      <c r="CH82" s="49">
        <v>1.0327</v>
      </c>
      <c r="CI82" s="49">
        <v>1.0409999999999999</v>
      </c>
      <c r="CJ82" s="49">
        <v>1.0491999999999999</v>
      </c>
      <c r="CK82" s="49">
        <v>1.0575000000000001</v>
      </c>
      <c r="CL82" s="49">
        <v>1.0659000000000001</v>
      </c>
      <c r="CM82" s="49">
        <v>1.0742</v>
      </c>
      <c r="CN82" s="49">
        <v>1.0825</v>
      </c>
      <c r="CO82" s="49">
        <v>1.0909</v>
      </c>
      <c r="CP82" s="49">
        <v>1.0992</v>
      </c>
      <c r="CQ82" s="49">
        <v>1.1075999999999999</v>
      </c>
      <c r="CR82" s="49">
        <v>1.1160000000000001</v>
      </c>
      <c r="CS82" s="49">
        <v>1.1244000000000001</v>
      </c>
      <c r="CT82" s="49">
        <v>1.1328</v>
      </c>
      <c r="CU82" s="49">
        <v>1.1412</v>
      </c>
      <c r="CV82" s="49">
        <v>1.1496</v>
      </c>
      <c r="CW82" s="49">
        <v>1.1580999999999999</v>
      </c>
      <c r="CX82" s="49">
        <v>1.1666000000000001</v>
      </c>
      <c r="CY82" s="49">
        <v>1.1751</v>
      </c>
      <c r="CZ82" s="49">
        <v>1.1836</v>
      </c>
      <c r="DA82" s="49">
        <v>1.1920999999999999</v>
      </c>
      <c r="DB82" s="49">
        <v>1.2007000000000001</v>
      </c>
      <c r="DC82" s="49">
        <v>1.2092000000000001</v>
      </c>
      <c r="DD82" s="49">
        <v>1.2178</v>
      </c>
      <c r="DE82" s="49">
        <v>1.2263999999999999</v>
      </c>
      <c r="DF82" s="49">
        <v>1.2351000000000001</v>
      </c>
      <c r="DG82" s="49">
        <v>1.2438</v>
      </c>
      <c r="DH82" s="49">
        <v>1.2524999999999999</v>
      </c>
      <c r="DI82" s="49">
        <v>1.2612000000000001</v>
      </c>
      <c r="DJ82" s="49">
        <v>1.27</v>
      </c>
      <c r="DK82" s="49">
        <v>1.2786999999999999</v>
      </c>
      <c r="DL82" s="49">
        <v>1.2876000000000001</v>
      </c>
      <c r="DM82" s="49">
        <v>1.2964</v>
      </c>
      <c r="DN82" s="49">
        <v>1.3052999999999999</v>
      </c>
      <c r="DO82" s="49">
        <v>1.3142</v>
      </c>
      <c r="DP82" s="49">
        <v>1.3231999999999999</v>
      </c>
      <c r="DQ82" s="49">
        <v>1.3322000000000001</v>
      </c>
      <c r="DR82" s="49">
        <v>1.3412999999999999</v>
      </c>
      <c r="DS82" s="49">
        <v>1.3504</v>
      </c>
      <c r="DT82" s="49">
        <v>1.3594999999999999</v>
      </c>
      <c r="DU82" s="49">
        <v>1.3687</v>
      </c>
      <c r="DV82" s="49">
        <v>1.3779999999999999</v>
      </c>
      <c r="DW82" s="49">
        <v>1.3873</v>
      </c>
      <c r="DX82" s="49">
        <v>1.3966000000000001</v>
      </c>
      <c r="DY82" s="49">
        <v>1.4059999999999999</v>
      </c>
      <c r="DZ82" s="49">
        <v>1.4155</v>
      </c>
      <c r="EA82" s="49">
        <v>1.4251</v>
      </c>
      <c r="EB82" s="49">
        <v>1.4347000000000001</v>
      </c>
      <c r="EC82" s="49">
        <v>1.4442999999999999</v>
      </c>
      <c r="ED82" s="49">
        <v>1.4540999999999999</v>
      </c>
      <c r="EE82" s="49">
        <v>1.4639</v>
      </c>
      <c r="EF82" s="49">
        <v>1.4738</v>
      </c>
      <c r="EG82" s="49">
        <v>1.4838</v>
      </c>
      <c r="EH82" s="49">
        <v>1.4939</v>
      </c>
      <c r="EI82" s="49">
        <v>1.504</v>
      </c>
      <c r="EJ82" s="49">
        <v>1.5143</v>
      </c>
      <c r="EK82" s="49">
        <v>1.5246999999999999</v>
      </c>
      <c r="EL82" s="49">
        <v>1.5350999999999999</v>
      </c>
      <c r="EM82" s="49">
        <v>1.5457000000000001</v>
      </c>
      <c r="EN82" s="49">
        <v>1.5564</v>
      </c>
      <c r="EO82" s="49">
        <v>1.5671999999999999</v>
      </c>
      <c r="EP82" s="49">
        <v>1.5781000000000001</v>
      </c>
      <c r="EQ82" s="49">
        <v>1.5891</v>
      </c>
      <c r="ER82" s="49">
        <v>1.6003000000000001</v>
      </c>
      <c r="ES82" s="49">
        <v>1.6115999999999999</v>
      </c>
      <c r="ET82" s="49">
        <v>1.6231</v>
      </c>
      <c r="EU82" s="49">
        <v>1.6347</v>
      </c>
      <c r="EV82" s="49">
        <v>1.6465000000000001</v>
      </c>
      <c r="EW82" s="49">
        <v>1.6584000000000001</v>
      </c>
      <c r="EX82" s="49">
        <v>1.6705000000000001</v>
      </c>
      <c r="EY82" s="49">
        <v>1.6827000000000001</v>
      </c>
      <c r="EZ82" s="49">
        <v>1.6952</v>
      </c>
      <c r="FA82" s="49">
        <v>1.7078</v>
      </c>
      <c r="FB82" s="49">
        <v>1.7205999999999999</v>
      </c>
      <c r="FC82" s="49">
        <v>1.7336</v>
      </c>
      <c r="FE82" s="50">
        <f t="shared" ca="1" si="13"/>
        <v>1.3891577240746407</v>
      </c>
      <c r="FF82" s="50">
        <f t="shared" ca="1" si="9"/>
        <v>1.3832861903236142</v>
      </c>
      <c r="FG82" s="50">
        <f t="shared" ca="1" si="10"/>
        <v>1.377294697986577</v>
      </c>
      <c r="FH82" s="50">
        <f t="shared" ca="1" si="11"/>
        <v>1.3710530872483222</v>
      </c>
      <c r="FK82" s="50">
        <f t="shared" ca="1" si="12"/>
        <v>1.3832861903236142</v>
      </c>
      <c r="FL82" s="50"/>
      <c r="FM82" s="50"/>
      <c r="FN82" s="50"/>
    </row>
    <row r="83" spans="49:170" hidden="1">
      <c r="AW83" s="46">
        <v>25.119</v>
      </c>
      <c r="AX83" s="49">
        <v>0.73740000000000006</v>
      </c>
      <c r="AY83" s="49">
        <v>0.74560000000000004</v>
      </c>
      <c r="AZ83" s="49">
        <v>0.75370000000000004</v>
      </c>
      <c r="BA83" s="49">
        <v>0.76180000000000003</v>
      </c>
      <c r="BB83" s="49">
        <v>0.76990000000000003</v>
      </c>
      <c r="BC83" s="49">
        <v>0.77800000000000002</v>
      </c>
      <c r="BD83" s="49">
        <v>0.78620000000000001</v>
      </c>
      <c r="BE83" s="49">
        <v>0.79430000000000001</v>
      </c>
      <c r="BF83" s="49">
        <v>0.8024</v>
      </c>
      <c r="BG83" s="49">
        <v>0.81059999999999999</v>
      </c>
      <c r="BH83" s="49">
        <v>0.81869999999999998</v>
      </c>
      <c r="BI83" s="49">
        <v>0.82679999999999998</v>
      </c>
      <c r="BJ83" s="49">
        <v>0.83499999999999996</v>
      </c>
      <c r="BK83" s="49">
        <v>0.84309999999999996</v>
      </c>
      <c r="BL83" s="49">
        <v>0.85129999999999995</v>
      </c>
      <c r="BM83" s="49">
        <v>0.85940000000000005</v>
      </c>
      <c r="BN83" s="49">
        <v>0.86760000000000004</v>
      </c>
      <c r="BO83" s="49">
        <v>0.87570000000000003</v>
      </c>
      <c r="BP83" s="49">
        <v>0.88390000000000002</v>
      </c>
      <c r="BQ83" s="49">
        <v>0.89200000000000002</v>
      </c>
      <c r="BR83" s="49">
        <v>0.9002</v>
      </c>
      <c r="BS83" s="49">
        <v>0.90839999999999999</v>
      </c>
      <c r="BT83" s="49">
        <v>0.91649999999999998</v>
      </c>
      <c r="BU83" s="49">
        <v>0.92469999999999997</v>
      </c>
      <c r="BV83" s="49">
        <v>0.93289999999999995</v>
      </c>
      <c r="BW83" s="49">
        <v>0.94110000000000005</v>
      </c>
      <c r="BX83" s="49">
        <v>0.94930000000000003</v>
      </c>
      <c r="BY83" s="49">
        <v>0.95750000000000002</v>
      </c>
      <c r="BZ83" s="49">
        <v>0.9657</v>
      </c>
      <c r="CA83" s="49">
        <v>0.97389999999999999</v>
      </c>
      <c r="CB83" s="49">
        <v>0.98209999999999997</v>
      </c>
      <c r="CC83" s="49">
        <v>0.99039999999999995</v>
      </c>
      <c r="CD83" s="49">
        <v>0.99860000000000004</v>
      </c>
      <c r="CE83" s="49">
        <v>1.0067999999999999</v>
      </c>
      <c r="CF83" s="49">
        <v>1.0150999999999999</v>
      </c>
      <c r="CG83" s="49">
        <v>1.0233000000000001</v>
      </c>
      <c r="CH83" s="49">
        <v>1.0316000000000001</v>
      </c>
      <c r="CI83" s="49">
        <v>1.0399</v>
      </c>
      <c r="CJ83" s="49">
        <v>1.0482</v>
      </c>
      <c r="CK83" s="49">
        <v>1.0564</v>
      </c>
      <c r="CL83" s="49">
        <v>1.0648</v>
      </c>
      <c r="CM83" s="49">
        <v>1.0730999999999999</v>
      </c>
      <c r="CN83" s="49">
        <v>1.0813999999999999</v>
      </c>
      <c r="CO83" s="49">
        <v>1.0896999999999999</v>
      </c>
      <c r="CP83" s="49">
        <v>1.0981000000000001</v>
      </c>
      <c r="CQ83" s="49">
        <v>1.1064000000000001</v>
      </c>
      <c r="CR83" s="49">
        <v>1.1148</v>
      </c>
      <c r="CS83" s="49">
        <v>1.1232</v>
      </c>
      <c r="CT83" s="49">
        <v>1.1315999999999999</v>
      </c>
      <c r="CU83" s="49">
        <v>1.1399999999999999</v>
      </c>
      <c r="CV83" s="49">
        <v>1.1484000000000001</v>
      </c>
      <c r="CW83" s="49">
        <v>1.1569</v>
      </c>
      <c r="CX83" s="49">
        <v>1.1654</v>
      </c>
      <c r="CY83" s="49">
        <v>1.1738</v>
      </c>
      <c r="CZ83" s="49">
        <v>1.1822999999999999</v>
      </c>
      <c r="DA83" s="49">
        <v>1.1909000000000001</v>
      </c>
      <c r="DB83" s="49">
        <v>1.1994</v>
      </c>
      <c r="DC83" s="49">
        <v>1.208</v>
      </c>
      <c r="DD83" s="49">
        <v>1.2165999999999999</v>
      </c>
      <c r="DE83" s="49">
        <v>1.2252000000000001</v>
      </c>
      <c r="DF83" s="49">
        <v>1.2338</v>
      </c>
      <c r="DG83" s="49">
        <v>1.2424999999999999</v>
      </c>
      <c r="DH83" s="49">
        <v>1.2512000000000001</v>
      </c>
      <c r="DI83" s="49">
        <v>1.2599</v>
      </c>
      <c r="DJ83" s="49">
        <v>1.2685999999999999</v>
      </c>
      <c r="DK83" s="49">
        <v>1.2774000000000001</v>
      </c>
      <c r="DL83" s="49">
        <v>1.2862</v>
      </c>
      <c r="DM83" s="49">
        <v>1.2950999999999999</v>
      </c>
      <c r="DN83" s="49">
        <v>1.304</v>
      </c>
      <c r="DO83" s="49">
        <v>1.3129</v>
      </c>
      <c r="DP83" s="49">
        <v>1.3218000000000001</v>
      </c>
      <c r="DQ83" s="49">
        <v>1.3308</v>
      </c>
      <c r="DR83" s="49">
        <v>1.3399000000000001</v>
      </c>
      <c r="DS83" s="49">
        <v>1.349</v>
      </c>
      <c r="DT83" s="49">
        <v>1.3581000000000001</v>
      </c>
      <c r="DU83" s="49">
        <v>1.3673</v>
      </c>
      <c r="DV83" s="49">
        <v>1.3765000000000001</v>
      </c>
      <c r="DW83" s="49">
        <v>1.3857999999999999</v>
      </c>
      <c r="DX83" s="49">
        <v>1.3952</v>
      </c>
      <c r="DY83" s="49">
        <v>1.4046000000000001</v>
      </c>
      <c r="DZ83" s="49">
        <v>1.4139999999999999</v>
      </c>
      <c r="EA83" s="49">
        <v>1.4236</v>
      </c>
      <c r="EB83" s="49">
        <v>1.4332</v>
      </c>
      <c r="EC83" s="49">
        <v>1.4428000000000001</v>
      </c>
      <c r="ED83" s="49">
        <v>1.4525999999999999</v>
      </c>
      <c r="EE83" s="49">
        <v>1.4623999999999999</v>
      </c>
      <c r="EF83" s="49">
        <v>1.4722999999999999</v>
      </c>
      <c r="EG83" s="49">
        <v>1.4823</v>
      </c>
      <c r="EH83" s="49">
        <v>1.4923</v>
      </c>
      <c r="EI83" s="49">
        <v>1.5024999999999999</v>
      </c>
      <c r="EJ83" s="49">
        <v>1.5126999999999999</v>
      </c>
      <c r="EK83" s="49">
        <v>1.5230999999999999</v>
      </c>
      <c r="EL83" s="49">
        <v>1.5335000000000001</v>
      </c>
      <c r="EM83" s="49">
        <v>1.5441</v>
      </c>
      <c r="EN83" s="49">
        <v>1.5548</v>
      </c>
      <c r="EO83" s="49">
        <v>1.5654999999999999</v>
      </c>
      <c r="EP83" s="49">
        <v>1.5765</v>
      </c>
      <c r="EQ83" s="49">
        <v>1.5874999999999999</v>
      </c>
      <c r="ER83" s="49">
        <v>1.5987</v>
      </c>
      <c r="ES83" s="49">
        <v>1.61</v>
      </c>
      <c r="ET83" s="49">
        <v>1.6214</v>
      </c>
      <c r="EU83" s="49">
        <v>1.633</v>
      </c>
      <c r="EV83" s="49">
        <v>1.6447000000000001</v>
      </c>
      <c r="EW83" s="49">
        <v>1.6567000000000001</v>
      </c>
      <c r="EX83" s="49">
        <v>1.6687000000000001</v>
      </c>
      <c r="EY83" s="49">
        <v>1.681</v>
      </c>
      <c r="EZ83" s="49">
        <v>1.6934</v>
      </c>
      <c r="FA83" s="49">
        <v>1.706</v>
      </c>
      <c r="FB83" s="49">
        <v>1.7188000000000001</v>
      </c>
      <c r="FC83" s="49">
        <v>1.7318</v>
      </c>
      <c r="FE83" s="50">
        <f t="shared" ca="1" si="13"/>
        <v>1.3876776996023248</v>
      </c>
      <c r="FF83" s="50">
        <f t="shared" ca="1" si="9"/>
        <v>1.3817861903236139</v>
      </c>
      <c r="FG83" s="50">
        <f t="shared" ca="1" si="10"/>
        <v>1.3758022818791948</v>
      </c>
      <c r="FH83" s="50">
        <f t="shared" ca="1" si="11"/>
        <v>1.3696277852348995</v>
      </c>
      <c r="FK83" s="50">
        <f t="shared" ca="1" si="12"/>
        <v>1.3817861903236139</v>
      </c>
      <c r="FL83" s="50"/>
      <c r="FM83" s="50"/>
      <c r="FN83" s="50"/>
    </row>
    <row r="84" spans="49:170" hidden="1">
      <c r="AW84" s="46">
        <v>26.914999999999999</v>
      </c>
      <c r="AX84" s="49">
        <v>0.73670000000000002</v>
      </c>
      <c r="AY84" s="49">
        <v>0.74480000000000002</v>
      </c>
      <c r="AZ84" s="49">
        <v>0.75290000000000001</v>
      </c>
      <c r="BA84" s="49">
        <v>0.76100000000000001</v>
      </c>
      <c r="BB84" s="49">
        <v>0.76910000000000001</v>
      </c>
      <c r="BC84" s="49">
        <v>0.7772</v>
      </c>
      <c r="BD84" s="49">
        <v>0.78539999999999999</v>
      </c>
      <c r="BE84" s="49">
        <v>0.79349999999999998</v>
      </c>
      <c r="BF84" s="49">
        <v>0.80159999999999998</v>
      </c>
      <c r="BG84" s="49">
        <v>0.80969999999999998</v>
      </c>
      <c r="BH84" s="49">
        <v>0.81779999999999997</v>
      </c>
      <c r="BI84" s="49">
        <v>0.82599999999999996</v>
      </c>
      <c r="BJ84" s="49">
        <v>0.83409999999999995</v>
      </c>
      <c r="BK84" s="49">
        <v>0.84219999999999995</v>
      </c>
      <c r="BL84" s="49">
        <v>0.85040000000000004</v>
      </c>
      <c r="BM84" s="49">
        <v>0.85850000000000004</v>
      </c>
      <c r="BN84" s="49">
        <v>0.86670000000000003</v>
      </c>
      <c r="BO84" s="49">
        <v>0.87480000000000002</v>
      </c>
      <c r="BP84" s="49">
        <v>0.88300000000000001</v>
      </c>
      <c r="BQ84" s="49">
        <v>0.8911</v>
      </c>
      <c r="BR84" s="49">
        <v>0.89929999999999999</v>
      </c>
      <c r="BS84" s="49">
        <v>0.90739999999999998</v>
      </c>
      <c r="BT84" s="49">
        <v>0.91559999999999997</v>
      </c>
      <c r="BU84" s="49">
        <v>0.92379999999999995</v>
      </c>
      <c r="BV84" s="49">
        <v>0.93200000000000005</v>
      </c>
      <c r="BW84" s="49">
        <v>0.94010000000000005</v>
      </c>
      <c r="BX84" s="49">
        <v>0.94830000000000003</v>
      </c>
      <c r="BY84" s="49">
        <v>0.95650000000000002</v>
      </c>
      <c r="BZ84" s="49">
        <v>0.9647</v>
      </c>
      <c r="CA84" s="49">
        <v>0.97289999999999999</v>
      </c>
      <c r="CB84" s="49">
        <v>0.98109999999999997</v>
      </c>
      <c r="CC84" s="49">
        <v>0.98929999999999996</v>
      </c>
      <c r="CD84" s="49">
        <v>0.99760000000000004</v>
      </c>
      <c r="CE84" s="49">
        <v>1.0058</v>
      </c>
      <c r="CF84" s="49">
        <v>1.014</v>
      </c>
      <c r="CG84" s="49">
        <v>1.0223</v>
      </c>
      <c r="CH84" s="49">
        <v>1.0305</v>
      </c>
      <c r="CI84" s="49">
        <v>1.0387999999999999</v>
      </c>
      <c r="CJ84" s="49">
        <v>1.0470999999999999</v>
      </c>
      <c r="CK84" s="49">
        <v>1.0553999999999999</v>
      </c>
      <c r="CL84" s="49">
        <v>1.0637000000000001</v>
      </c>
      <c r="CM84" s="49">
        <v>1.0720000000000001</v>
      </c>
      <c r="CN84" s="49">
        <v>1.0803</v>
      </c>
      <c r="CO84" s="49">
        <v>1.0886</v>
      </c>
      <c r="CP84" s="49">
        <v>1.0969</v>
      </c>
      <c r="CQ84" s="49">
        <v>1.1052999999999999</v>
      </c>
      <c r="CR84" s="49">
        <v>1.1136999999999999</v>
      </c>
      <c r="CS84" s="49">
        <v>1.1220000000000001</v>
      </c>
      <c r="CT84" s="49">
        <v>1.1304000000000001</v>
      </c>
      <c r="CU84" s="49">
        <v>1.1388</v>
      </c>
      <c r="CV84" s="49">
        <v>1.1473</v>
      </c>
      <c r="CW84" s="49">
        <v>1.1556999999999999</v>
      </c>
      <c r="CX84" s="49">
        <v>1.1641999999999999</v>
      </c>
      <c r="CY84" s="49">
        <v>1.1726000000000001</v>
      </c>
      <c r="CZ84" s="49">
        <v>1.1811</v>
      </c>
      <c r="DA84" s="49">
        <v>1.1896</v>
      </c>
      <c r="DB84" s="49">
        <v>1.1981999999999999</v>
      </c>
      <c r="DC84" s="49">
        <v>1.2067000000000001</v>
      </c>
      <c r="DD84" s="49">
        <v>1.2153</v>
      </c>
      <c r="DE84" s="49">
        <v>1.2239</v>
      </c>
      <c r="DF84" s="49">
        <v>1.2324999999999999</v>
      </c>
      <c r="DG84" s="49">
        <v>1.2412000000000001</v>
      </c>
      <c r="DH84" s="49">
        <v>1.2499</v>
      </c>
      <c r="DI84" s="49">
        <v>1.2585999999999999</v>
      </c>
      <c r="DJ84" s="49">
        <v>1.2673000000000001</v>
      </c>
      <c r="DK84" s="49">
        <v>1.2761</v>
      </c>
      <c r="DL84" s="49">
        <v>1.2848999999999999</v>
      </c>
      <c r="DM84" s="49">
        <v>1.2937000000000001</v>
      </c>
      <c r="DN84" s="49">
        <v>1.3026</v>
      </c>
      <c r="DO84" s="49">
        <v>1.3115000000000001</v>
      </c>
      <c r="DP84" s="49">
        <v>1.3205</v>
      </c>
      <c r="DQ84" s="49">
        <v>1.3294999999999999</v>
      </c>
      <c r="DR84" s="49">
        <v>1.3385</v>
      </c>
      <c r="DS84" s="49">
        <v>1.3475999999999999</v>
      </c>
      <c r="DT84" s="49">
        <v>1.3567</v>
      </c>
      <c r="DU84" s="49">
        <v>1.3658999999999999</v>
      </c>
      <c r="DV84" s="49">
        <v>1.3751</v>
      </c>
      <c r="DW84" s="49">
        <v>1.3844000000000001</v>
      </c>
      <c r="DX84" s="49">
        <v>1.3936999999999999</v>
      </c>
      <c r="DY84" s="49">
        <v>1.4031</v>
      </c>
      <c r="DZ84" s="49">
        <v>1.4126000000000001</v>
      </c>
      <c r="EA84" s="49">
        <v>1.4220999999999999</v>
      </c>
      <c r="EB84" s="49">
        <v>1.4317</v>
      </c>
      <c r="EC84" s="49">
        <v>1.4414</v>
      </c>
      <c r="ED84" s="49">
        <v>1.4511000000000001</v>
      </c>
      <c r="EE84" s="49">
        <v>1.4609000000000001</v>
      </c>
      <c r="EF84" s="49">
        <v>1.4708000000000001</v>
      </c>
      <c r="EG84" s="49">
        <v>1.4806999999999999</v>
      </c>
      <c r="EH84" s="49">
        <v>1.4907999999999999</v>
      </c>
      <c r="EI84" s="49">
        <v>1.5008999999999999</v>
      </c>
      <c r="EJ84" s="49">
        <v>1.5112000000000001</v>
      </c>
      <c r="EK84" s="49">
        <v>1.5215000000000001</v>
      </c>
      <c r="EL84" s="49">
        <v>1.532</v>
      </c>
      <c r="EM84" s="49">
        <v>1.5425</v>
      </c>
      <c r="EN84" s="49">
        <v>1.5531999999999999</v>
      </c>
      <c r="EO84" s="49">
        <v>1.5639000000000001</v>
      </c>
      <c r="EP84" s="49">
        <v>1.5748</v>
      </c>
      <c r="EQ84" s="49">
        <v>1.5859000000000001</v>
      </c>
      <c r="ER84" s="49">
        <v>1.597</v>
      </c>
      <c r="ES84" s="49">
        <v>1.6083000000000001</v>
      </c>
      <c r="ET84" s="49">
        <v>1.6196999999999999</v>
      </c>
      <c r="EU84" s="49">
        <v>1.6313</v>
      </c>
      <c r="EV84" s="49">
        <v>1.6431</v>
      </c>
      <c r="EW84" s="49">
        <v>1.655</v>
      </c>
      <c r="EX84" s="49">
        <v>1.667</v>
      </c>
      <c r="EY84" s="49">
        <v>1.6793</v>
      </c>
      <c r="EZ84" s="49">
        <v>1.6917</v>
      </c>
      <c r="FA84" s="49">
        <v>1.7042999999999999</v>
      </c>
      <c r="FB84" s="49">
        <v>1.7171000000000001</v>
      </c>
      <c r="FC84" s="49">
        <v>1.7301</v>
      </c>
      <c r="FE84" s="50">
        <f t="shared" ca="1" si="13"/>
        <v>1.3862577240746408</v>
      </c>
      <c r="FF84" s="50">
        <f t="shared" ca="1" si="9"/>
        <v>1.3803861903236143</v>
      </c>
      <c r="FG84" s="50">
        <f t="shared" ca="1" si="10"/>
        <v>1.3744022818791946</v>
      </c>
      <c r="FH84" s="50">
        <f t="shared" ca="1" si="11"/>
        <v>1.3682277852348992</v>
      </c>
      <c r="FK84" s="50">
        <f t="shared" ca="1" si="12"/>
        <v>1.3803861903236143</v>
      </c>
      <c r="FL84" s="50"/>
      <c r="FM84" s="50"/>
      <c r="FN84" s="50"/>
    </row>
    <row r="85" spans="49:170" hidden="1">
      <c r="AW85" s="46">
        <v>28.84</v>
      </c>
      <c r="AX85" s="49">
        <v>0.7359</v>
      </c>
      <c r="AY85" s="49">
        <v>0.74399999999999999</v>
      </c>
      <c r="AZ85" s="49">
        <v>0.75209999999999999</v>
      </c>
      <c r="BA85" s="49">
        <v>0.76019999999999999</v>
      </c>
      <c r="BB85" s="49">
        <v>0.76829999999999998</v>
      </c>
      <c r="BC85" s="49">
        <v>0.77649999999999997</v>
      </c>
      <c r="BD85" s="49">
        <v>0.78459999999999996</v>
      </c>
      <c r="BE85" s="49">
        <v>0.79269999999999996</v>
      </c>
      <c r="BF85" s="49">
        <v>0.80079999999999996</v>
      </c>
      <c r="BG85" s="49">
        <v>0.80889999999999995</v>
      </c>
      <c r="BH85" s="49">
        <v>0.81699999999999995</v>
      </c>
      <c r="BI85" s="49">
        <v>0.82509999999999994</v>
      </c>
      <c r="BJ85" s="49">
        <v>0.83330000000000004</v>
      </c>
      <c r="BK85" s="49">
        <v>0.84140000000000004</v>
      </c>
      <c r="BL85" s="49">
        <v>0.84950000000000003</v>
      </c>
      <c r="BM85" s="49">
        <v>0.85760000000000003</v>
      </c>
      <c r="BN85" s="49">
        <v>0.86580000000000001</v>
      </c>
      <c r="BO85" s="49">
        <v>0.87390000000000001</v>
      </c>
      <c r="BP85" s="49">
        <v>0.8821</v>
      </c>
      <c r="BQ85" s="49">
        <v>0.89019999999999999</v>
      </c>
      <c r="BR85" s="49">
        <v>0.89839999999999998</v>
      </c>
      <c r="BS85" s="49">
        <v>0.90649999999999997</v>
      </c>
      <c r="BT85" s="49">
        <v>0.91469999999999996</v>
      </c>
      <c r="BU85" s="49">
        <v>0.92279999999999995</v>
      </c>
      <c r="BV85" s="49">
        <v>0.93100000000000005</v>
      </c>
      <c r="BW85" s="49">
        <v>0.93920000000000003</v>
      </c>
      <c r="BX85" s="49">
        <v>0.94740000000000002</v>
      </c>
      <c r="BY85" s="49">
        <v>0.95550000000000002</v>
      </c>
      <c r="BZ85" s="49">
        <v>0.9637</v>
      </c>
      <c r="CA85" s="49">
        <v>0.97189999999999999</v>
      </c>
      <c r="CB85" s="49">
        <v>0.98009999999999997</v>
      </c>
      <c r="CC85" s="49">
        <v>0.98829999999999996</v>
      </c>
      <c r="CD85" s="49">
        <v>0.99660000000000004</v>
      </c>
      <c r="CE85" s="49">
        <v>1.0047999999999999</v>
      </c>
      <c r="CF85" s="49">
        <v>1.0129999999999999</v>
      </c>
      <c r="CG85" s="49">
        <v>1.0212000000000001</v>
      </c>
      <c r="CH85" s="49">
        <v>1.0295000000000001</v>
      </c>
      <c r="CI85" s="49">
        <v>1.0378000000000001</v>
      </c>
      <c r="CJ85" s="49">
        <v>1.046</v>
      </c>
      <c r="CK85" s="49">
        <v>1.0543</v>
      </c>
      <c r="CL85" s="49">
        <v>1.0626</v>
      </c>
      <c r="CM85" s="49">
        <v>1.0709</v>
      </c>
      <c r="CN85" s="49">
        <v>1.0791999999999999</v>
      </c>
      <c r="CO85" s="49">
        <v>1.0874999999999999</v>
      </c>
      <c r="CP85" s="49">
        <v>1.0958000000000001</v>
      </c>
      <c r="CQ85" s="49">
        <v>1.1042000000000001</v>
      </c>
      <c r="CR85" s="49">
        <v>1.1125</v>
      </c>
      <c r="CS85" s="49">
        <v>1.1209</v>
      </c>
      <c r="CT85" s="49">
        <v>1.1293</v>
      </c>
      <c r="CU85" s="49">
        <v>1.1376999999999999</v>
      </c>
      <c r="CV85" s="49">
        <v>1.1460999999999999</v>
      </c>
      <c r="CW85" s="49">
        <v>1.1545000000000001</v>
      </c>
      <c r="CX85" s="49">
        <v>1.163</v>
      </c>
      <c r="CY85" s="49">
        <v>1.1714</v>
      </c>
      <c r="CZ85" s="49">
        <v>1.1798999999999999</v>
      </c>
      <c r="DA85" s="49">
        <v>1.1883999999999999</v>
      </c>
      <c r="DB85" s="49">
        <v>1.1970000000000001</v>
      </c>
      <c r="DC85" s="49">
        <v>1.2055</v>
      </c>
      <c r="DD85" s="49">
        <v>1.2141</v>
      </c>
      <c r="DE85" s="49">
        <v>1.2226999999999999</v>
      </c>
      <c r="DF85" s="49">
        <v>1.2313000000000001</v>
      </c>
      <c r="DG85" s="49">
        <v>1.2399</v>
      </c>
      <c r="DH85" s="49">
        <v>1.2485999999999999</v>
      </c>
      <c r="DI85" s="49">
        <v>1.2573000000000001</v>
      </c>
      <c r="DJ85" s="49">
        <v>1.266</v>
      </c>
      <c r="DK85" s="49">
        <v>1.2747999999999999</v>
      </c>
      <c r="DL85" s="49">
        <v>1.2836000000000001</v>
      </c>
      <c r="DM85" s="49">
        <v>1.2924</v>
      </c>
      <c r="DN85" s="49">
        <v>1.3012999999999999</v>
      </c>
      <c r="DO85" s="49">
        <v>1.3102</v>
      </c>
      <c r="DP85" s="49">
        <v>1.3190999999999999</v>
      </c>
      <c r="DQ85" s="49">
        <v>1.3281000000000001</v>
      </c>
      <c r="DR85" s="49">
        <v>1.3371</v>
      </c>
      <c r="DS85" s="49">
        <v>1.3462000000000001</v>
      </c>
      <c r="DT85" s="49">
        <v>1.3552999999999999</v>
      </c>
      <c r="DU85" s="49">
        <v>1.3645</v>
      </c>
      <c r="DV85" s="49">
        <v>1.3736999999999999</v>
      </c>
      <c r="DW85" s="49">
        <v>1.383</v>
      </c>
      <c r="DX85" s="49">
        <v>1.3923000000000001</v>
      </c>
      <c r="DY85" s="49">
        <v>1.4016999999999999</v>
      </c>
      <c r="DZ85" s="49">
        <v>1.4112</v>
      </c>
      <c r="EA85" s="49">
        <v>1.4207000000000001</v>
      </c>
      <c r="EB85" s="49">
        <v>1.4301999999999999</v>
      </c>
      <c r="EC85" s="49">
        <v>1.4399</v>
      </c>
      <c r="ED85" s="49">
        <v>1.4496</v>
      </c>
      <c r="EE85" s="49">
        <v>1.4594</v>
      </c>
      <c r="EF85" s="49">
        <v>1.4693000000000001</v>
      </c>
      <c r="EG85" s="49">
        <v>1.4792000000000001</v>
      </c>
      <c r="EH85" s="49">
        <v>1.4893000000000001</v>
      </c>
      <c r="EI85" s="49">
        <v>1.4994000000000001</v>
      </c>
      <c r="EJ85" s="49">
        <v>1.5096000000000001</v>
      </c>
      <c r="EK85" s="49">
        <v>1.52</v>
      </c>
      <c r="EL85" s="49">
        <v>1.5304</v>
      </c>
      <c r="EM85" s="49">
        <v>1.5408999999999999</v>
      </c>
      <c r="EN85" s="49">
        <v>1.5516000000000001</v>
      </c>
      <c r="EO85" s="49">
        <v>1.5623</v>
      </c>
      <c r="EP85" s="49">
        <v>1.5731999999999999</v>
      </c>
      <c r="EQ85" s="49">
        <v>1.5842000000000001</v>
      </c>
      <c r="ER85" s="49">
        <v>1.5953999999999999</v>
      </c>
      <c r="ES85" s="49">
        <v>1.6067</v>
      </c>
      <c r="ET85" s="49">
        <v>1.6181000000000001</v>
      </c>
      <c r="EU85" s="49">
        <v>1.6296999999999999</v>
      </c>
      <c r="EV85" s="49">
        <v>1.6414</v>
      </c>
      <c r="EW85" s="49">
        <v>1.6533</v>
      </c>
      <c r="EX85" s="49">
        <v>1.6653</v>
      </c>
      <c r="EY85" s="49">
        <v>1.6775</v>
      </c>
      <c r="EZ85" s="49">
        <v>1.69</v>
      </c>
      <c r="FA85" s="49">
        <v>1.7024999999999999</v>
      </c>
      <c r="FB85" s="49">
        <v>1.7153</v>
      </c>
      <c r="FC85" s="49">
        <v>1.7282999999999999</v>
      </c>
      <c r="FE85" s="50">
        <f t="shared" ca="1" si="13"/>
        <v>1.3848577240746405</v>
      </c>
      <c r="FF85" s="50">
        <f t="shared" ca="1" si="9"/>
        <v>1.3789861903236142</v>
      </c>
      <c r="FG85" s="50">
        <f t="shared" ca="1" si="10"/>
        <v>1.3730022818791947</v>
      </c>
      <c r="FH85" s="50">
        <f t="shared" ca="1" si="11"/>
        <v>1.3668277852348993</v>
      </c>
      <c r="FK85" s="50">
        <f t="shared" ca="1" si="12"/>
        <v>1.3789861903236142</v>
      </c>
      <c r="FL85" s="50"/>
      <c r="FM85" s="50"/>
      <c r="FN85" s="50"/>
    </row>
    <row r="86" spans="49:170" hidden="1">
      <c r="AW86" s="46">
        <v>30.902999999999999</v>
      </c>
      <c r="AX86" s="49">
        <v>0.73519999999999996</v>
      </c>
      <c r="AY86" s="49">
        <v>0.74329999999999996</v>
      </c>
      <c r="AZ86" s="49">
        <v>0.75139999999999996</v>
      </c>
      <c r="BA86" s="49">
        <v>0.75949999999999995</v>
      </c>
      <c r="BB86" s="49">
        <v>0.76759999999999995</v>
      </c>
      <c r="BC86" s="49">
        <v>0.77569999999999995</v>
      </c>
      <c r="BD86" s="49">
        <v>0.78380000000000005</v>
      </c>
      <c r="BE86" s="49">
        <v>0.79190000000000005</v>
      </c>
      <c r="BF86" s="49">
        <v>0.8</v>
      </c>
      <c r="BG86" s="49">
        <v>0.80810000000000004</v>
      </c>
      <c r="BH86" s="49">
        <v>0.81620000000000004</v>
      </c>
      <c r="BI86" s="49">
        <v>0.82430000000000003</v>
      </c>
      <c r="BJ86" s="49">
        <v>0.83240000000000003</v>
      </c>
      <c r="BK86" s="49">
        <v>0.84050000000000002</v>
      </c>
      <c r="BL86" s="49">
        <v>0.84870000000000001</v>
      </c>
      <c r="BM86" s="49">
        <v>0.85680000000000001</v>
      </c>
      <c r="BN86" s="49">
        <v>0.8649</v>
      </c>
      <c r="BO86" s="49">
        <v>0.873</v>
      </c>
      <c r="BP86" s="49">
        <v>0.88119999999999998</v>
      </c>
      <c r="BQ86" s="49">
        <v>0.88929999999999998</v>
      </c>
      <c r="BR86" s="49">
        <v>0.89749999999999996</v>
      </c>
      <c r="BS86" s="49">
        <v>0.90559999999999996</v>
      </c>
      <c r="BT86" s="49">
        <v>0.91369999999999996</v>
      </c>
      <c r="BU86" s="49">
        <v>0.92190000000000005</v>
      </c>
      <c r="BV86" s="49">
        <v>0.93010000000000004</v>
      </c>
      <c r="BW86" s="49">
        <v>0.93820000000000003</v>
      </c>
      <c r="BX86" s="49">
        <v>0.94640000000000002</v>
      </c>
      <c r="BY86" s="49">
        <v>0.9546</v>
      </c>
      <c r="BZ86" s="49">
        <v>0.96279999999999999</v>
      </c>
      <c r="CA86" s="49">
        <v>0.97089999999999999</v>
      </c>
      <c r="CB86" s="49">
        <v>0.97909999999999997</v>
      </c>
      <c r="CC86" s="49">
        <v>0.98729999999999996</v>
      </c>
      <c r="CD86" s="49">
        <v>0.99550000000000005</v>
      </c>
      <c r="CE86" s="49">
        <v>1.0038</v>
      </c>
      <c r="CF86" s="49">
        <v>1.012</v>
      </c>
      <c r="CG86" s="49">
        <v>1.0202</v>
      </c>
      <c r="CH86" s="49">
        <v>1.0285</v>
      </c>
      <c r="CI86" s="49">
        <v>1.0367</v>
      </c>
      <c r="CJ86" s="49">
        <v>1.0449999999999999</v>
      </c>
      <c r="CK86" s="49">
        <v>1.0531999999999999</v>
      </c>
      <c r="CL86" s="49">
        <v>1.0615000000000001</v>
      </c>
      <c r="CM86" s="49">
        <v>1.0698000000000001</v>
      </c>
      <c r="CN86" s="49">
        <v>1.0781000000000001</v>
      </c>
      <c r="CO86" s="49">
        <v>1.0864</v>
      </c>
      <c r="CP86" s="49">
        <v>1.0947</v>
      </c>
      <c r="CQ86" s="49">
        <v>1.1031</v>
      </c>
      <c r="CR86" s="49">
        <v>1.1113999999999999</v>
      </c>
      <c r="CS86" s="49">
        <v>1.1197999999999999</v>
      </c>
      <c r="CT86" s="49">
        <v>1.1281000000000001</v>
      </c>
      <c r="CU86" s="49">
        <v>1.1365000000000001</v>
      </c>
      <c r="CV86" s="49">
        <v>1.1449</v>
      </c>
      <c r="CW86" s="49">
        <v>1.1534</v>
      </c>
      <c r="CX86" s="49">
        <v>1.1617999999999999</v>
      </c>
      <c r="CY86" s="49">
        <v>1.1702999999999999</v>
      </c>
      <c r="CZ86" s="49">
        <v>1.1787000000000001</v>
      </c>
      <c r="DA86" s="49">
        <v>1.1872</v>
      </c>
      <c r="DB86" s="49">
        <v>1.1957</v>
      </c>
      <c r="DC86" s="49">
        <v>1.2042999999999999</v>
      </c>
      <c r="DD86" s="49">
        <v>1.2128000000000001</v>
      </c>
      <c r="DE86" s="49">
        <v>1.2214</v>
      </c>
      <c r="DF86" s="49">
        <v>1.23</v>
      </c>
      <c r="DG86" s="49">
        <v>1.2386999999999999</v>
      </c>
      <c r="DH86" s="49">
        <v>1.2473000000000001</v>
      </c>
      <c r="DI86" s="49">
        <v>1.256</v>
      </c>
      <c r="DJ86" s="49">
        <v>1.2647999999999999</v>
      </c>
      <c r="DK86" s="49">
        <v>1.2735000000000001</v>
      </c>
      <c r="DL86" s="49">
        <v>1.2823</v>
      </c>
      <c r="DM86" s="49">
        <v>1.2910999999999999</v>
      </c>
      <c r="DN86" s="49">
        <v>1.3</v>
      </c>
      <c r="DO86" s="49">
        <v>1.3089</v>
      </c>
      <c r="DP86" s="49">
        <v>1.3178000000000001</v>
      </c>
      <c r="DQ86" s="49">
        <v>1.3268</v>
      </c>
      <c r="DR86" s="49">
        <v>1.3358000000000001</v>
      </c>
      <c r="DS86" s="49">
        <v>1.3449</v>
      </c>
      <c r="DT86" s="49">
        <v>1.3540000000000001</v>
      </c>
      <c r="DU86" s="49">
        <v>1.3631</v>
      </c>
      <c r="DV86" s="49">
        <v>1.3723000000000001</v>
      </c>
      <c r="DW86" s="49">
        <v>1.3815999999999999</v>
      </c>
      <c r="DX86" s="49">
        <v>1.3909</v>
      </c>
      <c r="DY86" s="49">
        <v>1.4003000000000001</v>
      </c>
      <c r="DZ86" s="49">
        <v>1.4097</v>
      </c>
      <c r="EA86" s="49">
        <v>1.4192</v>
      </c>
      <c r="EB86" s="49">
        <v>1.4288000000000001</v>
      </c>
      <c r="EC86" s="49">
        <v>1.4383999999999999</v>
      </c>
      <c r="ED86" s="49">
        <v>1.4480999999999999</v>
      </c>
      <c r="EE86" s="49">
        <v>1.4579</v>
      </c>
      <c r="EF86" s="49">
        <v>1.4678</v>
      </c>
      <c r="EG86" s="49">
        <v>1.4777</v>
      </c>
      <c r="EH86" s="49">
        <v>1.4878</v>
      </c>
      <c r="EI86" s="49">
        <v>1.4979</v>
      </c>
      <c r="EJ86" s="49">
        <v>1.5081</v>
      </c>
      <c r="EK86" s="49">
        <v>1.5184</v>
      </c>
      <c r="EL86" s="49">
        <v>1.5288999999999999</v>
      </c>
      <c r="EM86" s="49">
        <v>1.5394000000000001</v>
      </c>
      <c r="EN86" s="49">
        <v>1.55</v>
      </c>
      <c r="EO86" s="49">
        <v>1.5608</v>
      </c>
      <c r="EP86" s="49">
        <v>1.5716000000000001</v>
      </c>
      <c r="EQ86" s="49">
        <v>1.5826</v>
      </c>
      <c r="ER86" s="49">
        <v>1.5938000000000001</v>
      </c>
      <c r="ES86" s="49">
        <v>1.605</v>
      </c>
      <c r="ET86" s="49">
        <v>1.6165</v>
      </c>
      <c r="EU86" s="49">
        <v>1.6279999999999999</v>
      </c>
      <c r="EV86" s="49">
        <v>1.6396999999999999</v>
      </c>
      <c r="EW86" s="49">
        <v>1.6516</v>
      </c>
      <c r="EX86" s="49">
        <v>1.6636</v>
      </c>
      <c r="EY86" s="49">
        <v>1.6758999999999999</v>
      </c>
      <c r="EZ86" s="49">
        <v>1.6881999999999999</v>
      </c>
      <c r="FA86" s="49">
        <v>1.7008000000000001</v>
      </c>
      <c r="FB86" s="49">
        <v>1.7136</v>
      </c>
      <c r="FC86" s="49">
        <v>1.7265999999999999</v>
      </c>
      <c r="FE86" s="50">
        <f t="shared" ca="1" si="13"/>
        <v>1.3834577240746406</v>
      </c>
      <c r="FF86" s="50">
        <f t="shared" ca="1" si="9"/>
        <v>1.377586190323614</v>
      </c>
      <c r="FG86" s="50">
        <f t="shared" ca="1" si="10"/>
        <v>1.3716022818791949</v>
      </c>
      <c r="FH86" s="50">
        <f t="shared" ca="1" si="11"/>
        <v>1.3654277852348995</v>
      </c>
      <c r="FK86" s="50">
        <f t="shared" ca="1" si="12"/>
        <v>1.377586190323614</v>
      </c>
      <c r="FL86" s="50"/>
      <c r="FM86" s="50"/>
      <c r="FN86" s="50"/>
    </row>
    <row r="87" spans="49:170" hidden="1">
      <c r="AW87" s="46">
        <v>33.113</v>
      </c>
      <c r="AX87" s="49">
        <v>0.73450000000000004</v>
      </c>
      <c r="AY87" s="49">
        <v>0.74250000000000005</v>
      </c>
      <c r="AZ87" s="49">
        <v>0.75060000000000004</v>
      </c>
      <c r="BA87" s="49">
        <v>0.75870000000000004</v>
      </c>
      <c r="BB87" s="49">
        <v>0.76680000000000004</v>
      </c>
      <c r="BC87" s="49">
        <v>0.77490000000000003</v>
      </c>
      <c r="BD87" s="49">
        <v>0.78300000000000003</v>
      </c>
      <c r="BE87" s="49">
        <v>0.79110000000000003</v>
      </c>
      <c r="BF87" s="49">
        <v>0.79920000000000002</v>
      </c>
      <c r="BG87" s="49">
        <v>0.80730000000000002</v>
      </c>
      <c r="BH87" s="49">
        <v>0.81540000000000001</v>
      </c>
      <c r="BI87" s="49">
        <v>0.82350000000000001</v>
      </c>
      <c r="BJ87" s="49">
        <v>0.83160000000000001</v>
      </c>
      <c r="BK87" s="49">
        <v>0.8397</v>
      </c>
      <c r="BL87" s="49">
        <v>0.8478</v>
      </c>
      <c r="BM87" s="49">
        <v>0.85589999999999999</v>
      </c>
      <c r="BN87" s="49">
        <v>0.86399999999999999</v>
      </c>
      <c r="BO87" s="49">
        <v>0.87219999999999998</v>
      </c>
      <c r="BP87" s="49">
        <v>0.88029999999999997</v>
      </c>
      <c r="BQ87" s="49">
        <v>0.88839999999999997</v>
      </c>
      <c r="BR87" s="49">
        <v>0.89659999999999995</v>
      </c>
      <c r="BS87" s="49">
        <v>0.90469999999999995</v>
      </c>
      <c r="BT87" s="49">
        <v>0.91279999999999994</v>
      </c>
      <c r="BU87" s="49">
        <v>0.92100000000000004</v>
      </c>
      <c r="BV87" s="49">
        <v>0.92910000000000004</v>
      </c>
      <c r="BW87" s="49">
        <v>0.93730000000000002</v>
      </c>
      <c r="BX87" s="49">
        <v>0.94550000000000001</v>
      </c>
      <c r="BY87" s="49">
        <v>0.9536</v>
      </c>
      <c r="BZ87" s="49">
        <v>0.96179999999999999</v>
      </c>
      <c r="CA87" s="49">
        <v>0.97</v>
      </c>
      <c r="CB87" s="49">
        <v>0.97819999999999996</v>
      </c>
      <c r="CC87" s="49">
        <v>0.98640000000000005</v>
      </c>
      <c r="CD87" s="49">
        <v>0.99460000000000004</v>
      </c>
      <c r="CE87" s="49">
        <v>1.0027999999999999</v>
      </c>
      <c r="CF87" s="49">
        <v>1.0109999999999999</v>
      </c>
      <c r="CG87" s="49">
        <v>1.0192000000000001</v>
      </c>
      <c r="CH87" s="49">
        <v>1.0274000000000001</v>
      </c>
      <c r="CI87" s="49">
        <v>1.0357000000000001</v>
      </c>
      <c r="CJ87" s="49">
        <v>1.0439000000000001</v>
      </c>
      <c r="CK87" s="49">
        <v>1.0522</v>
      </c>
      <c r="CL87" s="49">
        <v>1.0604</v>
      </c>
      <c r="CM87" s="49">
        <v>1.0687</v>
      </c>
      <c r="CN87" s="49">
        <v>1.077</v>
      </c>
      <c r="CO87" s="49">
        <v>1.0852999999999999</v>
      </c>
      <c r="CP87" s="49">
        <v>1.0935999999999999</v>
      </c>
      <c r="CQ87" s="49">
        <v>1.1020000000000001</v>
      </c>
      <c r="CR87" s="49">
        <v>1.1103000000000001</v>
      </c>
      <c r="CS87" s="49">
        <v>1.1186</v>
      </c>
      <c r="CT87" s="49">
        <v>1.127</v>
      </c>
      <c r="CU87" s="49">
        <v>1.1354</v>
      </c>
      <c r="CV87" s="49">
        <v>1.1437999999999999</v>
      </c>
      <c r="CW87" s="49">
        <v>1.1521999999999999</v>
      </c>
      <c r="CX87" s="49">
        <v>1.1606000000000001</v>
      </c>
      <c r="CY87" s="49">
        <v>1.1691</v>
      </c>
      <c r="CZ87" s="49">
        <v>1.1776</v>
      </c>
      <c r="DA87" s="49">
        <v>1.1859999999999999</v>
      </c>
      <c r="DB87" s="49">
        <v>1.1946000000000001</v>
      </c>
      <c r="DC87" s="49">
        <v>1.2031000000000001</v>
      </c>
      <c r="DD87" s="49">
        <v>1.2116</v>
      </c>
      <c r="DE87" s="49">
        <v>1.2202</v>
      </c>
      <c r="DF87" s="49">
        <v>1.2287999999999999</v>
      </c>
      <c r="DG87" s="49">
        <v>1.2374000000000001</v>
      </c>
      <c r="DH87" s="49">
        <v>1.2461</v>
      </c>
      <c r="DI87" s="49">
        <v>1.2547999999999999</v>
      </c>
      <c r="DJ87" s="49">
        <v>1.2635000000000001</v>
      </c>
      <c r="DK87" s="49">
        <v>1.2722</v>
      </c>
      <c r="DL87" s="49">
        <v>1.2809999999999999</v>
      </c>
      <c r="DM87" s="49">
        <v>1.2898000000000001</v>
      </c>
      <c r="DN87" s="49">
        <v>1.2987</v>
      </c>
      <c r="DO87" s="49">
        <v>1.3076000000000001</v>
      </c>
      <c r="DP87" s="49">
        <v>1.3165</v>
      </c>
      <c r="DQ87" s="49">
        <v>1.3254999999999999</v>
      </c>
      <c r="DR87" s="49">
        <v>1.3345</v>
      </c>
      <c r="DS87" s="49">
        <v>1.3434999999999999</v>
      </c>
      <c r="DT87" s="49">
        <v>1.3526</v>
      </c>
      <c r="DU87" s="49">
        <v>1.3617999999999999</v>
      </c>
      <c r="DV87" s="49">
        <v>1.371</v>
      </c>
      <c r="DW87" s="49">
        <v>1.3802000000000001</v>
      </c>
      <c r="DX87" s="49">
        <v>1.3895</v>
      </c>
      <c r="DY87" s="49">
        <v>1.3989</v>
      </c>
      <c r="DZ87" s="49">
        <v>1.4083000000000001</v>
      </c>
      <c r="EA87" s="49">
        <v>1.4177999999999999</v>
      </c>
      <c r="EB87" s="49">
        <v>1.4274</v>
      </c>
      <c r="EC87" s="49">
        <v>1.4370000000000001</v>
      </c>
      <c r="ED87" s="49">
        <v>1.4467000000000001</v>
      </c>
      <c r="EE87" s="49">
        <v>1.4564999999999999</v>
      </c>
      <c r="EF87" s="49">
        <v>1.4662999999999999</v>
      </c>
      <c r="EG87" s="49">
        <v>1.4762999999999999</v>
      </c>
      <c r="EH87" s="49">
        <v>1.4863</v>
      </c>
      <c r="EI87" s="49">
        <v>1.4964</v>
      </c>
      <c r="EJ87" s="49">
        <v>1.5065999999999999</v>
      </c>
      <c r="EK87" s="49">
        <v>1.5168999999999999</v>
      </c>
      <c r="EL87" s="49">
        <v>1.5273000000000001</v>
      </c>
      <c r="EM87" s="49">
        <v>1.5378000000000001</v>
      </c>
      <c r="EN87" s="49">
        <v>1.5485</v>
      </c>
      <c r="EO87" s="49">
        <v>1.5591999999999999</v>
      </c>
      <c r="EP87" s="49">
        <v>1.5701000000000001</v>
      </c>
      <c r="EQ87" s="49">
        <v>1.5810999999999999</v>
      </c>
      <c r="ER87" s="49">
        <v>1.5922000000000001</v>
      </c>
      <c r="ES87" s="49">
        <v>1.6033999999999999</v>
      </c>
      <c r="ET87" s="49">
        <v>1.6148</v>
      </c>
      <c r="EU87" s="49">
        <v>1.6264000000000001</v>
      </c>
      <c r="EV87" s="49">
        <v>1.6380999999999999</v>
      </c>
      <c r="EW87" s="49">
        <v>1.65</v>
      </c>
      <c r="EX87" s="49">
        <v>1.6619999999999999</v>
      </c>
      <c r="EY87" s="49">
        <v>1.6741999999999999</v>
      </c>
      <c r="EZ87" s="49">
        <v>1.6866000000000001</v>
      </c>
      <c r="FA87" s="49">
        <v>1.6991000000000001</v>
      </c>
      <c r="FB87" s="49">
        <v>1.7119</v>
      </c>
      <c r="FC87" s="49">
        <v>1.7248000000000001</v>
      </c>
      <c r="FE87" s="50">
        <f t="shared" ca="1" si="13"/>
        <v>1.3820577240746408</v>
      </c>
      <c r="FF87" s="50">
        <f t="shared" ca="1" si="9"/>
        <v>1.3762293495674465</v>
      </c>
      <c r="FG87" s="50">
        <f t="shared" ca="1" si="10"/>
        <v>1.3703022818791948</v>
      </c>
      <c r="FH87" s="50">
        <f t="shared" ca="1" si="11"/>
        <v>1.3641277852348994</v>
      </c>
      <c r="FK87" s="50">
        <f t="shared" ca="1" si="12"/>
        <v>1.3762293495674465</v>
      </c>
      <c r="FL87" s="50"/>
      <c r="FM87" s="50"/>
      <c r="FN87" s="50"/>
    </row>
    <row r="88" spans="49:170" hidden="1">
      <c r="AW88" s="46">
        <v>35.481000000000002</v>
      </c>
      <c r="AX88" s="49">
        <v>0.73370000000000002</v>
      </c>
      <c r="AY88" s="49">
        <v>0.74180000000000001</v>
      </c>
      <c r="AZ88" s="49">
        <v>0.74990000000000001</v>
      </c>
      <c r="BA88" s="49">
        <v>0.75800000000000001</v>
      </c>
      <c r="BB88" s="49">
        <v>0.76600000000000001</v>
      </c>
      <c r="BC88" s="49">
        <v>0.77410000000000001</v>
      </c>
      <c r="BD88" s="49">
        <v>0.78220000000000001</v>
      </c>
      <c r="BE88" s="49">
        <v>0.7903</v>
      </c>
      <c r="BF88" s="49">
        <v>0.7984</v>
      </c>
      <c r="BG88" s="49">
        <v>0.80649999999999999</v>
      </c>
      <c r="BH88" s="49">
        <v>0.81459999999999999</v>
      </c>
      <c r="BI88" s="49">
        <v>0.82269999999999999</v>
      </c>
      <c r="BJ88" s="49">
        <v>0.83079999999999998</v>
      </c>
      <c r="BK88" s="49">
        <v>0.83889999999999998</v>
      </c>
      <c r="BL88" s="49">
        <v>0.84699999999999998</v>
      </c>
      <c r="BM88" s="49">
        <v>0.85509999999999997</v>
      </c>
      <c r="BN88" s="49">
        <v>0.86319999999999997</v>
      </c>
      <c r="BO88" s="49">
        <v>0.87129999999999996</v>
      </c>
      <c r="BP88" s="49">
        <v>0.87939999999999996</v>
      </c>
      <c r="BQ88" s="49">
        <v>0.88749999999999996</v>
      </c>
      <c r="BR88" s="49">
        <v>0.89570000000000005</v>
      </c>
      <c r="BS88" s="49">
        <v>0.90380000000000005</v>
      </c>
      <c r="BT88" s="49">
        <v>0.91190000000000004</v>
      </c>
      <c r="BU88" s="49">
        <v>0.92010000000000003</v>
      </c>
      <c r="BV88" s="49">
        <v>0.92820000000000003</v>
      </c>
      <c r="BW88" s="49">
        <v>0.93640000000000001</v>
      </c>
      <c r="BX88" s="49">
        <v>0.94450000000000001</v>
      </c>
      <c r="BY88" s="49">
        <v>0.95269999999999999</v>
      </c>
      <c r="BZ88" s="49">
        <v>0.96079999999999999</v>
      </c>
      <c r="CA88" s="49">
        <v>0.96899999999999997</v>
      </c>
      <c r="CB88" s="49">
        <v>0.97719999999999996</v>
      </c>
      <c r="CC88" s="49">
        <v>0.98540000000000005</v>
      </c>
      <c r="CD88" s="49">
        <v>0.99360000000000004</v>
      </c>
      <c r="CE88" s="49">
        <v>1.0018</v>
      </c>
      <c r="CF88" s="49">
        <v>1.01</v>
      </c>
      <c r="CG88" s="49">
        <v>1.0182</v>
      </c>
      <c r="CH88" s="49">
        <v>1.0264</v>
      </c>
      <c r="CI88" s="49">
        <v>1.0346</v>
      </c>
      <c r="CJ88" s="49">
        <v>1.0428999999999999</v>
      </c>
      <c r="CK88" s="49">
        <v>1.0510999999999999</v>
      </c>
      <c r="CL88" s="49">
        <v>1.0593999999999999</v>
      </c>
      <c r="CM88" s="49">
        <v>1.0677000000000001</v>
      </c>
      <c r="CN88" s="49">
        <v>1.0759000000000001</v>
      </c>
      <c r="CO88" s="49">
        <v>1.0842000000000001</v>
      </c>
      <c r="CP88" s="49">
        <v>1.0925</v>
      </c>
      <c r="CQ88" s="49">
        <v>1.1009</v>
      </c>
      <c r="CR88" s="49">
        <v>1.1092</v>
      </c>
      <c r="CS88" s="49">
        <v>1.1174999999999999</v>
      </c>
      <c r="CT88" s="49">
        <v>1.1258999999999999</v>
      </c>
      <c r="CU88" s="49">
        <v>1.1343000000000001</v>
      </c>
      <c r="CV88" s="49">
        <v>1.1427</v>
      </c>
      <c r="CW88" s="49">
        <v>1.1511</v>
      </c>
      <c r="CX88" s="49">
        <v>1.1595</v>
      </c>
      <c r="CY88" s="49">
        <v>1.1678999999999999</v>
      </c>
      <c r="CZ88" s="49">
        <v>1.1763999999999999</v>
      </c>
      <c r="DA88" s="49">
        <v>1.1849000000000001</v>
      </c>
      <c r="DB88" s="49">
        <v>1.1934</v>
      </c>
      <c r="DC88" s="49">
        <v>1.2019</v>
      </c>
      <c r="DD88" s="49">
        <v>1.2103999999999999</v>
      </c>
      <c r="DE88" s="49">
        <v>1.2190000000000001</v>
      </c>
      <c r="DF88" s="49">
        <v>1.2276</v>
      </c>
      <c r="DG88" s="49">
        <v>1.2362</v>
      </c>
      <c r="DH88" s="49">
        <v>1.2448999999999999</v>
      </c>
      <c r="DI88" s="49">
        <v>1.2535000000000001</v>
      </c>
      <c r="DJ88" s="49">
        <v>1.2623</v>
      </c>
      <c r="DK88" s="49">
        <v>1.2709999999999999</v>
      </c>
      <c r="DL88" s="49">
        <v>1.2798</v>
      </c>
      <c r="DM88" s="49">
        <v>1.2886</v>
      </c>
      <c r="DN88" s="49">
        <v>1.2974000000000001</v>
      </c>
      <c r="DO88" s="49">
        <v>1.3063</v>
      </c>
      <c r="DP88" s="49">
        <v>1.3151999999999999</v>
      </c>
      <c r="DQ88" s="49">
        <v>1.3242</v>
      </c>
      <c r="DR88" s="49">
        <v>1.3331999999999999</v>
      </c>
      <c r="DS88" s="49">
        <v>1.3422000000000001</v>
      </c>
      <c r="DT88" s="49">
        <v>1.3512999999999999</v>
      </c>
      <c r="DU88" s="49">
        <v>1.3604000000000001</v>
      </c>
      <c r="DV88" s="49">
        <v>1.3695999999999999</v>
      </c>
      <c r="DW88" s="49">
        <v>1.3789</v>
      </c>
      <c r="DX88" s="49">
        <v>1.3882000000000001</v>
      </c>
      <c r="DY88" s="49">
        <v>1.3975</v>
      </c>
      <c r="DZ88" s="49">
        <v>1.4069</v>
      </c>
      <c r="EA88" s="49">
        <v>1.4164000000000001</v>
      </c>
      <c r="EB88" s="49">
        <v>1.4259999999999999</v>
      </c>
      <c r="EC88" s="49">
        <v>1.4356</v>
      </c>
      <c r="ED88" s="49">
        <v>1.4453</v>
      </c>
      <c r="EE88" s="49">
        <v>1.4550000000000001</v>
      </c>
      <c r="EF88" s="49">
        <v>1.4649000000000001</v>
      </c>
      <c r="EG88" s="49">
        <v>1.4748000000000001</v>
      </c>
      <c r="EH88" s="49">
        <v>1.4847999999999999</v>
      </c>
      <c r="EI88" s="49">
        <v>1.4948999999999999</v>
      </c>
      <c r="EJ88" s="49">
        <v>1.5051000000000001</v>
      </c>
      <c r="EK88" s="49">
        <v>1.5154000000000001</v>
      </c>
      <c r="EL88" s="49">
        <v>1.5258</v>
      </c>
      <c r="EM88" s="49">
        <v>1.5363</v>
      </c>
      <c r="EN88" s="49">
        <v>1.5468999999999999</v>
      </c>
      <c r="EO88" s="49">
        <v>1.5577000000000001</v>
      </c>
      <c r="EP88" s="49">
        <v>1.5685</v>
      </c>
      <c r="EQ88" s="49">
        <v>1.5794999999999999</v>
      </c>
      <c r="ER88" s="49">
        <v>1.5906</v>
      </c>
      <c r="ES88" s="49">
        <v>1.6019000000000001</v>
      </c>
      <c r="ET88" s="49">
        <v>1.6133</v>
      </c>
      <c r="EU88" s="49">
        <v>1.6248</v>
      </c>
      <c r="EV88" s="49">
        <v>1.6365000000000001</v>
      </c>
      <c r="EW88" s="49">
        <v>1.6483000000000001</v>
      </c>
      <c r="EX88" s="49">
        <v>1.6603000000000001</v>
      </c>
      <c r="EY88" s="49">
        <v>1.6725000000000001</v>
      </c>
      <c r="EZ88" s="49">
        <v>1.6849000000000001</v>
      </c>
      <c r="FA88" s="49">
        <v>1.6975</v>
      </c>
      <c r="FB88" s="49">
        <v>1.7101999999999999</v>
      </c>
      <c r="FC88" s="49">
        <v>1.7231000000000001</v>
      </c>
      <c r="FE88" s="50">
        <f t="shared" ca="1" si="13"/>
        <v>1.3807577240746407</v>
      </c>
      <c r="FF88" s="50">
        <f t="shared" ca="1" si="9"/>
        <v>1.3748861903236143</v>
      </c>
      <c r="FG88" s="50">
        <f t="shared" ca="1" si="10"/>
        <v>1.3689022818791947</v>
      </c>
      <c r="FH88" s="50">
        <f t="shared" ca="1" si="11"/>
        <v>1.3627277852348993</v>
      </c>
      <c r="FK88" s="50">
        <f t="shared" ca="1" si="12"/>
        <v>1.3748861903236143</v>
      </c>
      <c r="FL88" s="50"/>
      <c r="FM88" s="50"/>
      <c r="FN88" s="50"/>
    </row>
    <row r="89" spans="49:170" hidden="1">
      <c r="AW89" s="46">
        <v>38.018999999999998</v>
      </c>
      <c r="AX89" s="49">
        <v>0.73299999999999998</v>
      </c>
      <c r="AY89" s="49">
        <v>0.74109999999999998</v>
      </c>
      <c r="AZ89" s="49">
        <v>0.74919999999999998</v>
      </c>
      <c r="BA89" s="49">
        <v>0.75719999999999998</v>
      </c>
      <c r="BB89" s="49">
        <v>0.76529999999999998</v>
      </c>
      <c r="BC89" s="49">
        <v>0.77339999999999998</v>
      </c>
      <c r="BD89" s="49">
        <v>0.78139999999999998</v>
      </c>
      <c r="BE89" s="49">
        <v>0.78949999999999998</v>
      </c>
      <c r="BF89" s="49">
        <v>0.79759999999999998</v>
      </c>
      <c r="BG89" s="49">
        <v>0.80569999999999997</v>
      </c>
      <c r="BH89" s="49">
        <v>0.81379999999999997</v>
      </c>
      <c r="BI89" s="49">
        <v>0.82189999999999996</v>
      </c>
      <c r="BJ89" s="49">
        <v>0.83</v>
      </c>
      <c r="BK89" s="49">
        <v>0.83799999999999997</v>
      </c>
      <c r="BL89" s="49">
        <v>0.84609999999999996</v>
      </c>
      <c r="BM89" s="49">
        <v>0.85419999999999996</v>
      </c>
      <c r="BN89" s="49">
        <v>0.86229999999999996</v>
      </c>
      <c r="BO89" s="49">
        <v>0.87050000000000005</v>
      </c>
      <c r="BP89" s="49">
        <v>0.87860000000000005</v>
      </c>
      <c r="BQ89" s="49">
        <v>0.88670000000000004</v>
      </c>
      <c r="BR89" s="49">
        <v>0.89480000000000004</v>
      </c>
      <c r="BS89" s="49">
        <v>0.90290000000000004</v>
      </c>
      <c r="BT89" s="49">
        <v>0.91100000000000003</v>
      </c>
      <c r="BU89" s="49">
        <v>0.91920000000000002</v>
      </c>
      <c r="BV89" s="49">
        <v>0.92730000000000001</v>
      </c>
      <c r="BW89" s="49">
        <v>0.9355</v>
      </c>
      <c r="BX89" s="49">
        <v>0.94359999999999999</v>
      </c>
      <c r="BY89" s="49">
        <v>0.95179999999999998</v>
      </c>
      <c r="BZ89" s="49">
        <v>0.95989999999999998</v>
      </c>
      <c r="CA89" s="49">
        <v>0.96809999999999996</v>
      </c>
      <c r="CB89" s="49">
        <v>0.97619999999999996</v>
      </c>
      <c r="CC89" s="49">
        <v>0.98440000000000005</v>
      </c>
      <c r="CD89" s="49">
        <v>0.99260000000000004</v>
      </c>
      <c r="CE89" s="49">
        <v>1.0007999999999999</v>
      </c>
      <c r="CF89" s="49">
        <v>1.0089999999999999</v>
      </c>
      <c r="CG89" s="49">
        <v>1.0172000000000001</v>
      </c>
      <c r="CH89" s="49">
        <v>1.0254000000000001</v>
      </c>
      <c r="CI89" s="49">
        <v>1.0336000000000001</v>
      </c>
      <c r="CJ89" s="49">
        <v>1.0419</v>
      </c>
      <c r="CK89" s="49">
        <v>1.0501</v>
      </c>
      <c r="CL89" s="49">
        <v>1.0584</v>
      </c>
      <c r="CM89" s="49">
        <v>1.0666</v>
      </c>
      <c r="CN89" s="49">
        <v>1.0749</v>
      </c>
      <c r="CO89" s="49">
        <v>1.0831999999999999</v>
      </c>
      <c r="CP89" s="49">
        <v>1.0914999999999999</v>
      </c>
      <c r="CQ89" s="49">
        <v>1.0998000000000001</v>
      </c>
      <c r="CR89" s="49">
        <v>1.1081000000000001</v>
      </c>
      <c r="CS89" s="49">
        <v>1.1164000000000001</v>
      </c>
      <c r="CT89" s="49">
        <v>1.1248</v>
      </c>
      <c r="CU89" s="49">
        <v>1.1332</v>
      </c>
      <c r="CV89" s="49">
        <v>1.1415</v>
      </c>
      <c r="CW89" s="49">
        <v>1.1498999999999999</v>
      </c>
      <c r="CX89" s="49">
        <v>1.1584000000000001</v>
      </c>
      <c r="CY89" s="49">
        <v>1.1668000000000001</v>
      </c>
      <c r="CZ89" s="49">
        <v>1.1752</v>
      </c>
      <c r="DA89" s="49">
        <v>1.1837</v>
      </c>
      <c r="DB89" s="49">
        <v>1.1921999999999999</v>
      </c>
      <c r="DC89" s="49">
        <v>1.2007000000000001</v>
      </c>
      <c r="DD89" s="49">
        <v>1.2093</v>
      </c>
      <c r="DE89" s="49">
        <v>1.2178</v>
      </c>
      <c r="DF89" s="49">
        <v>1.2263999999999999</v>
      </c>
      <c r="DG89" s="49">
        <v>1.2350000000000001</v>
      </c>
      <c r="DH89" s="49">
        <v>1.2437</v>
      </c>
      <c r="DI89" s="49">
        <v>1.2523</v>
      </c>
      <c r="DJ89" s="49">
        <v>1.2609999999999999</v>
      </c>
      <c r="DK89" s="49">
        <v>1.2697000000000001</v>
      </c>
      <c r="DL89" s="49">
        <v>1.2785</v>
      </c>
      <c r="DM89" s="49">
        <v>1.2873000000000001</v>
      </c>
      <c r="DN89" s="49">
        <v>1.2961</v>
      </c>
      <c r="DO89" s="49">
        <v>1.3049999999999999</v>
      </c>
      <c r="DP89" s="49">
        <v>1.3139000000000001</v>
      </c>
      <c r="DQ89" s="49">
        <v>1.3229</v>
      </c>
      <c r="DR89" s="49">
        <v>1.3318000000000001</v>
      </c>
      <c r="DS89" s="49">
        <v>1.3409</v>
      </c>
      <c r="DT89" s="49">
        <v>1.35</v>
      </c>
      <c r="DU89" s="49">
        <v>1.3591</v>
      </c>
      <c r="DV89" s="49">
        <v>1.3683000000000001</v>
      </c>
      <c r="DW89" s="49">
        <v>1.3774999999999999</v>
      </c>
      <c r="DX89" s="49">
        <v>1.3868</v>
      </c>
      <c r="DY89" s="49">
        <v>1.3960999999999999</v>
      </c>
      <c r="DZ89" s="49">
        <v>1.4056</v>
      </c>
      <c r="EA89" s="49">
        <v>1.415</v>
      </c>
      <c r="EB89" s="49">
        <v>1.4246000000000001</v>
      </c>
      <c r="EC89" s="49">
        <v>1.4341999999999999</v>
      </c>
      <c r="ED89" s="49">
        <v>1.4439</v>
      </c>
      <c r="EE89" s="49">
        <v>1.4536</v>
      </c>
      <c r="EF89" s="49">
        <v>1.4635</v>
      </c>
      <c r="EG89" s="49">
        <v>1.4734</v>
      </c>
      <c r="EH89" s="49">
        <v>1.4834000000000001</v>
      </c>
      <c r="EI89" s="49">
        <v>1.4935</v>
      </c>
      <c r="EJ89" s="49">
        <v>1.5037</v>
      </c>
      <c r="EK89" s="49">
        <v>1.5139</v>
      </c>
      <c r="EL89" s="49">
        <v>1.5243</v>
      </c>
      <c r="EM89" s="49">
        <v>1.5347999999999999</v>
      </c>
      <c r="EN89" s="49">
        <v>1.5454000000000001</v>
      </c>
      <c r="EO89" s="49">
        <v>1.5562</v>
      </c>
      <c r="EP89" s="49">
        <v>1.5669999999999999</v>
      </c>
      <c r="EQ89" s="49">
        <v>1.5780000000000001</v>
      </c>
      <c r="ER89" s="49">
        <v>1.5891</v>
      </c>
      <c r="ES89" s="49">
        <v>1.6003000000000001</v>
      </c>
      <c r="ET89" s="49">
        <v>1.6116999999999999</v>
      </c>
      <c r="EU89" s="49">
        <v>1.6232</v>
      </c>
      <c r="EV89" s="49">
        <v>1.6349</v>
      </c>
      <c r="EW89" s="49">
        <v>1.6467000000000001</v>
      </c>
      <c r="EX89" s="49">
        <v>1.6587000000000001</v>
      </c>
      <c r="EY89" s="49">
        <v>1.6709000000000001</v>
      </c>
      <c r="EZ89" s="49">
        <v>1.6832</v>
      </c>
      <c r="FA89" s="49">
        <v>1.6958</v>
      </c>
      <c r="FB89" s="49">
        <v>1.7084999999999999</v>
      </c>
      <c r="FC89" s="49">
        <v>1.7215</v>
      </c>
      <c r="FE89" s="50">
        <f t="shared" ca="1" si="13"/>
        <v>1.3793577240746404</v>
      </c>
      <c r="FF89" s="50">
        <f t="shared" ca="1" si="9"/>
        <v>1.3735293495674463</v>
      </c>
      <c r="FG89" s="50">
        <f t="shared" ca="1" si="10"/>
        <v>1.3676022818791949</v>
      </c>
      <c r="FH89" s="50">
        <f t="shared" ca="1" si="11"/>
        <v>1.3614277852348995</v>
      </c>
      <c r="FK89" s="50">
        <f t="shared" ca="1" si="12"/>
        <v>1.3735293495674463</v>
      </c>
      <c r="FL89" s="50"/>
      <c r="FM89" s="50"/>
      <c r="FN89" s="50"/>
    </row>
    <row r="90" spans="49:170" hidden="1">
      <c r="AW90" s="46">
        <v>40.738</v>
      </c>
      <c r="AX90" s="49">
        <v>0.73229999999999995</v>
      </c>
      <c r="AY90" s="49">
        <v>0.74039999999999995</v>
      </c>
      <c r="AZ90" s="49">
        <v>0.74839999999999995</v>
      </c>
      <c r="BA90" s="49">
        <v>0.75649999999999995</v>
      </c>
      <c r="BB90" s="49">
        <v>0.76459999999999995</v>
      </c>
      <c r="BC90" s="49">
        <v>0.77259999999999995</v>
      </c>
      <c r="BD90" s="49">
        <v>0.78069999999999995</v>
      </c>
      <c r="BE90" s="49">
        <v>0.78879999999999995</v>
      </c>
      <c r="BF90" s="49">
        <v>0.79679999999999995</v>
      </c>
      <c r="BG90" s="49">
        <v>0.80489999999999995</v>
      </c>
      <c r="BH90" s="49">
        <v>0.81299999999999994</v>
      </c>
      <c r="BI90" s="49">
        <v>0.82110000000000005</v>
      </c>
      <c r="BJ90" s="49">
        <v>0.82909999999999995</v>
      </c>
      <c r="BK90" s="49">
        <v>0.83720000000000006</v>
      </c>
      <c r="BL90" s="49">
        <v>0.84530000000000005</v>
      </c>
      <c r="BM90" s="49">
        <v>0.85340000000000005</v>
      </c>
      <c r="BN90" s="49">
        <v>0.86150000000000004</v>
      </c>
      <c r="BO90" s="49">
        <v>0.86960000000000004</v>
      </c>
      <c r="BP90" s="49">
        <v>0.87770000000000004</v>
      </c>
      <c r="BQ90" s="49">
        <v>0.88580000000000003</v>
      </c>
      <c r="BR90" s="49">
        <v>0.89390000000000003</v>
      </c>
      <c r="BS90" s="49">
        <v>0.90200000000000002</v>
      </c>
      <c r="BT90" s="49">
        <v>0.91020000000000001</v>
      </c>
      <c r="BU90" s="49">
        <v>0.91830000000000001</v>
      </c>
      <c r="BV90" s="49">
        <v>0.9264</v>
      </c>
      <c r="BW90" s="49">
        <v>0.9345</v>
      </c>
      <c r="BX90" s="49">
        <v>0.94269999999999998</v>
      </c>
      <c r="BY90" s="49">
        <v>0.95079999999999998</v>
      </c>
      <c r="BZ90" s="49">
        <v>0.95899999999999996</v>
      </c>
      <c r="CA90" s="49">
        <v>0.96709999999999996</v>
      </c>
      <c r="CB90" s="49">
        <v>0.97529999999999994</v>
      </c>
      <c r="CC90" s="49">
        <v>0.98350000000000004</v>
      </c>
      <c r="CD90" s="49">
        <v>0.99160000000000004</v>
      </c>
      <c r="CE90" s="49">
        <v>0.99980000000000002</v>
      </c>
      <c r="CF90" s="49">
        <v>1.008</v>
      </c>
      <c r="CG90" s="49">
        <v>1.0162</v>
      </c>
      <c r="CH90" s="49">
        <v>1.0244</v>
      </c>
      <c r="CI90" s="49">
        <v>1.0326</v>
      </c>
      <c r="CJ90" s="49">
        <v>1.0408999999999999</v>
      </c>
      <c r="CK90" s="49">
        <v>1.0490999999999999</v>
      </c>
      <c r="CL90" s="49">
        <v>1.0572999999999999</v>
      </c>
      <c r="CM90" s="49">
        <v>1.0656000000000001</v>
      </c>
      <c r="CN90" s="49">
        <v>1.0739000000000001</v>
      </c>
      <c r="CO90" s="49">
        <v>1.0821000000000001</v>
      </c>
      <c r="CP90" s="49">
        <v>1.0904</v>
      </c>
      <c r="CQ90" s="49">
        <v>1.0987</v>
      </c>
      <c r="CR90" s="49">
        <v>1.107</v>
      </c>
      <c r="CS90" s="49">
        <v>1.1153999999999999</v>
      </c>
      <c r="CT90" s="49">
        <v>1.1236999999999999</v>
      </c>
      <c r="CU90" s="49">
        <v>1.1321000000000001</v>
      </c>
      <c r="CV90" s="49">
        <v>1.1404000000000001</v>
      </c>
      <c r="CW90" s="49">
        <v>1.1488</v>
      </c>
      <c r="CX90" s="49">
        <v>1.1572</v>
      </c>
      <c r="CY90" s="49">
        <v>1.1657</v>
      </c>
      <c r="CZ90" s="49">
        <v>1.1740999999999999</v>
      </c>
      <c r="DA90" s="49">
        <v>1.1826000000000001</v>
      </c>
      <c r="DB90" s="49">
        <v>1.1911</v>
      </c>
      <c r="DC90" s="49">
        <v>1.1996</v>
      </c>
      <c r="DD90" s="49">
        <v>1.2081</v>
      </c>
      <c r="DE90" s="49">
        <v>1.2165999999999999</v>
      </c>
      <c r="DF90" s="49">
        <v>1.2252000000000001</v>
      </c>
      <c r="DG90" s="49">
        <v>1.2338</v>
      </c>
      <c r="DH90" s="49">
        <v>1.2423999999999999</v>
      </c>
      <c r="DI90" s="49">
        <v>1.2511000000000001</v>
      </c>
      <c r="DJ90" s="49">
        <v>1.2598</v>
      </c>
      <c r="DK90" s="49">
        <v>1.2685</v>
      </c>
      <c r="DL90" s="49">
        <v>1.2773000000000001</v>
      </c>
      <c r="DM90" s="49">
        <v>1.2861</v>
      </c>
      <c r="DN90" s="49">
        <v>1.2948999999999999</v>
      </c>
      <c r="DO90" s="49">
        <v>1.3037000000000001</v>
      </c>
      <c r="DP90" s="49">
        <v>1.3126</v>
      </c>
      <c r="DQ90" s="49">
        <v>1.3216000000000001</v>
      </c>
      <c r="DR90" s="49">
        <v>1.3306</v>
      </c>
      <c r="DS90" s="49">
        <v>1.3395999999999999</v>
      </c>
      <c r="DT90" s="49">
        <v>1.3487</v>
      </c>
      <c r="DU90" s="49">
        <v>1.3577999999999999</v>
      </c>
      <c r="DV90" s="49">
        <v>1.3669</v>
      </c>
      <c r="DW90" s="49">
        <v>1.3762000000000001</v>
      </c>
      <c r="DX90" s="49">
        <v>1.3855</v>
      </c>
      <c r="DY90" s="49">
        <v>1.3948</v>
      </c>
      <c r="DZ90" s="49">
        <v>1.4041999999999999</v>
      </c>
      <c r="EA90" s="49">
        <v>1.4137</v>
      </c>
      <c r="EB90" s="49">
        <v>1.4232</v>
      </c>
      <c r="EC90" s="49">
        <v>1.4328000000000001</v>
      </c>
      <c r="ED90" s="49">
        <v>1.4424999999999999</v>
      </c>
      <c r="EE90" s="49">
        <v>1.4521999999999999</v>
      </c>
      <c r="EF90" s="49">
        <v>1.462</v>
      </c>
      <c r="EG90" s="49">
        <v>1.4719</v>
      </c>
      <c r="EH90" s="49">
        <v>1.4819</v>
      </c>
      <c r="EI90" s="49">
        <v>1.492</v>
      </c>
      <c r="EJ90" s="49">
        <v>1.5022</v>
      </c>
      <c r="EK90" s="49">
        <v>1.5125</v>
      </c>
      <c r="EL90" s="49">
        <v>1.5228999999999999</v>
      </c>
      <c r="EM90" s="49">
        <v>1.5333000000000001</v>
      </c>
      <c r="EN90" s="49">
        <v>1.5439000000000001</v>
      </c>
      <c r="EO90" s="49">
        <v>1.5546</v>
      </c>
      <c r="EP90" s="49">
        <v>1.5654999999999999</v>
      </c>
      <c r="EQ90" s="49">
        <v>1.5764</v>
      </c>
      <c r="ER90" s="49">
        <v>1.5874999999999999</v>
      </c>
      <c r="ES90" s="49">
        <v>1.5987</v>
      </c>
      <c r="ET90" s="49">
        <v>1.6101000000000001</v>
      </c>
      <c r="EU90" s="49">
        <v>1.6215999999999999</v>
      </c>
      <c r="EV90" s="49">
        <v>1.6333</v>
      </c>
      <c r="EW90" s="49">
        <v>1.6451</v>
      </c>
      <c r="EX90" s="49">
        <v>1.6571</v>
      </c>
      <c r="EY90" s="49">
        <v>1.6693</v>
      </c>
      <c r="EZ90" s="49">
        <v>1.6816</v>
      </c>
      <c r="FA90" s="49">
        <v>1.6940999999999999</v>
      </c>
      <c r="FB90" s="49">
        <v>1.7069000000000001</v>
      </c>
      <c r="FC90" s="49">
        <v>1.7198</v>
      </c>
      <c r="FE90" s="50">
        <f t="shared" ca="1" si="13"/>
        <v>1.3780577240746408</v>
      </c>
      <c r="FF90" s="50">
        <f t="shared" ca="1" si="9"/>
        <v>1.3721861903236143</v>
      </c>
      <c r="FG90" s="50">
        <f t="shared" ca="1" si="10"/>
        <v>1.366209865771812</v>
      </c>
      <c r="FH90" s="50">
        <f t="shared" ca="1" si="11"/>
        <v>1.3601024832214765</v>
      </c>
      <c r="FK90" s="50">
        <f t="shared" ca="1" si="12"/>
        <v>1.3721861903236143</v>
      </c>
      <c r="FL90" s="50"/>
      <c r="FM90" s="50"/>
      <c r="FN90" s="50"/>
    </row>
    <row r="91" spans="49:170" hidden="1">
      <c r="AW91" s="46">
        <v>43.652000000000001</v>
      </c>
      <c r="AX91" s="49">
        <v>0.73160000000000003</v>
      </c>
      <c r="AY91" s="49">
        <v>0.73970000000000002</v>
      </c>
      <c r="AZ91" s="49">
        <v>0.74770000000000003</v>
      </c>
      <c r="BA91" s="49">
        <v>0.75580000000000003</v>
      </c>
      <c r="BB91" s="49">
        <v>0.76380000000000003</v>
      </c>
      <c r="BC91" s="49">
        <v>0.77190000000000003</v>
      </c>
      <c r="BD91" s="49">
        <v>0.77990000000000004</v>
      </c>
      <c r="BE91" s="49">
        <v>0.78800000000000003</v>
      </c>
      <c r="BF91" s="49">
        <v>0.79610000000000003</v>
      </c>
      <c r="BG91" s="49">
        <v>0.80410000000000004</v>
      </c>
      <c r="BH91" s="49">
        <v>0.81220000000000003</v>
      </c>
      <c r="BI91" s="49">
        <v>0.82030000000000003</v>
      </c>
      <c r="BJ91" s="49">
        <v>0.82840000000000003</v>
      </c>
      <c r="BK91" s="49">
        <v>0.83640000000000003</v>
      </c>
      <c r="BL91" s="49">
        <v>0.84450000000000003</v>
      </c>
      <c r="BM91" s="49">
        <v>0.85260000000000002</v>
      </c>
      <c r="BN91" s="49">
        <v>0.86070000000000002</v>
      </c>
      <c r="BO91" s="49">
        <v>0.86880000000000002</v>
      </c>
      <c r="BP91" s="49">
        <v>0.87690000000000001</v>
      </c>
      <c r="BQ91" s="49">
        <v>0.88500000000000001</v>
      </c>
      <c r="BR91" s="49">
        <v>0.8931</v>
      </c>
      <c r="BS91" s="49">
        <v>0.9012</v>
      </c>
      <c r="BT91" s="49">
        <v>0.9093</v>
      </c>
      <c r="BU91" s="49">
        <v>0.91739999999999999</v>
      </c>
      <c r="BV91" s="49">
        <v>0.92549999999999999</v>
      </c>
      <c r="BW91" s="49">
        <v>0.93359999999999999</v>
      </c>
      <c r="BX91" s="49">
        <v>0.94179999999999997</v>
      </c>
      <c r="BY91" s="49">
        <v>0.94989999999999997</v>
      </c>
      <c r="BZ91" s="49">
        <v>0.95809999999999995</v>
      </c>
      <c r="CA91" s="49">
        <v>0.96619999999999995</v>
      </c>
      <c r="CB91" s="49">
        <v>0.97440000000000004</v>
      </c>
      <c r="CC91" s="49">
        <v>0.98250000000000004</v>
      </c>
      <c r="CD91" s="49">
        <v>0.99070000000000003</v>
      </c>
      <c r="CE91" s="49">
        <v>0.99890000000000001</v>
      </c>
      <c r="CF91" s="49">
        <v>1.0069999999999999</v>
      </c>
      <c r="CG91" s="49">
        <v>1.0152000000000001</v>
      </c>
      <c r="CH91" s="49">
        <v>1.0234000000000001</v>
      </c>
      <c r="CI91" s="49">
        <v>1.0316000000000001</v>
      </c>
      <c r="CJ91" s="49">
        <v>1.0399</v>
      </c>
      <c r="CK91" s="49">
        <v>1.0481</v>
      </c>
      <c r="CL91" s="49">
        <v>1.0563</v>
      </c>
      <c r="CM91" s="49">
        <v>1.0646</v>
      </c>
      <c r="CN91" s="49">
        <v>1.0728</v>
      </c>
      <c r="CO91" s="49">
        <v>1.0810999999999999</v>
      </c>
      <c r="CP91" s="49">
        <v>1.0893999999999999</v>
      </c>
      <c r="CQ91" s="49">
        <v>1.0976999999999999</v>
      </c>
      <c r="CR91" s="49">
        <v>1.1060000000000001</v>
      </c>
      <c r="CS91" s="49">
        <v>1.1143000000000001</v>
      </c>
      <c r="CT91" s="49">
        <v>1.1226</v>
      </c>
      <c r="CU91" s="49">
        <v>1.131</v>
      </c>
      <c r="CV91" s="49">
        <v>1.1393</v>
      </c>
      <c r="CW91" s="49">
        <v>1.1476999999999999</v>
      </c>
      <c r="CX91" s="49">
        <v>1.1560999999999999</v>
      </c>
      <c r="CY91" s="49">
        <v>1.1645000000000001</v>
      </c>
      <c r="CZ91" s="49">
        <v>1.173</v>
      </c>
      <c r="DA91" s="49">
        <v>1.1814</v>
      </c>
      <c r="DB91" s="49">
        <v>1.1899</v>
      </c>
      <c r="DC91" s="49">
        <v>1.1983999999999999</v>
      </c>
      <c r="DD91" s="49">
        <v>1.2069000000000001</v>
      </c>
      <c r="DE91" s="49">
        <v>1.2155</v>
      </c>
      <c r="DF91" s="49">
        <v>1.224</v>
      </c>
      <c r="DG91" s="49">
        <v>1.2325999999999999</v>
      </c>
      <c r="DH91" s="49">
        <v>1.2413000000000001</v>
      </c>
      <c r="DI91" s="49">
        <v>1.2499</v>
      </c>
      <c r="DJ91" s="49">
        <v>1.2585999999999999</v>
      </c>
      <c r="DK91" s="49">
        <v>1.2673000000000001</v>
      </c>
      <c r="DL91" s="49">
        <v>1.276</v>
      </c>
      <c r="DM91" s="49">
        <v>1.2847999999999999</v>
      </c>
      <c r="DN91" s="49">
        <v>1.2936000000000001</v>
      </c>
      <c r="DO91" s="49">
        <v>1.3025</v>
      </c>
      <c r="DP91" s="49">
        <v>1.3113999999999999</v>
      </c>
      <c r="DQ91" s="49">
        <v>1.3203</v>
      </c>
      <c r="DR91" s="49">
        <v>1.3292999999999999</v>
      </c>
      <c r="DS91" s="49">
        <v>1.3383</v>
      </c>
      <c r="DT91" s="49">
        <v>1.3473999999999999</v>
      </c>
      <c r="DU91" s="49">
        <v>1.3565</v>
      </c>
      <c r="DV91" s="49">
        <v>1.3655999999999999</v>
      </c>
      <c r="DW91" s="49">
        <v>1.3749</v>
      </c>
      <c r="DX91" s="49">
        <v>1.3841000000000001</v>
      </c>
      <c r="DY91" s="49">
        <v>1.3935</v>
      </c>
      <c r="DZ91" s="49">
        <v>1.4028</v>
      </c>
      <c r="EA91" s="49">
        <v>1.4123000000000001</v>
      </c>
      <c r="EB91" s="49">
        <v>1.4218</v>
      </c>
      <c r="EC91" s="49">
        <v>1.4314</v>
      </c>
      <c r="ED91" s="49">
        <v>1.4411</v>
      </c>
      <c r="EE91" s="49">
        <v>1.4508000000000001</v>
      </c>
      <c r="EF91" s="49">
        <v>1.4605999999999999</v>
      </c>
      <c r="EG91" s="49">
        <v>1.4704999999999999</v>
      </c>
      <c r="EH91" s="49">
        <v>1.4804999999999999</v>
      </c>
      <c r="EI91" s="49">
        <v>1.4905999999999999</v>
      </c>
      <c r="EJ91" s="49">
        <v>1.5007999999999999</v>
      </c>
      <c r="EK91" s="49">
        <v>1.5109999999999999</v>
      </c>
      <c r="EL91" s="49">
        <v>1.5214000000000001</v>
      </c>
      <c r="EM91" s="49">
        <v>1.5319</v>
      </c>
      <c r="EN91" s="49">
        <v>1.5425</v>
      </c>
      <c r="EO91" s="49">
        <v>1.5531999999999999</v>
      </c>
      <c r="EP91" s="49">
        <v>1.5640000000000001</v>
      </c>
      <c r="EQ91" s="49">
        <v>1.5749</v>
      </c>
      <c r="ER91" s="49">
        <v>1.5860000000000001</v>
      </c>
      <c r="ES91" s="49">
        <v>1.5972</v>
      </c>
      <c r="ET91" s="49">
        <v>1.6086</v>
      </c>
      <c r="EU91" s="49">
        <v>1.6201000000000001</v>
      </c>
      <c r="EV91" s="49">
        <v>1.6316999999999999</v>
      </c>
      <c r="EW91" s="49">
        <v>1.6435</v>
      </c>
      <c r="EX91" s="49">
        <v>1.6555</v>
      </c>
      <c r="EY91" s="49">
        <v>1.6677</v>
      </c>
      <c r="EZ91" s="49">
        <v>1.68</v>
      </c>
      <c r="FA91" s="49">
        <v>1.6924999999999999</v>
      </c>
      <c r="FB91" s="49">
        <v>1.7052</v>
      </c>
      <c r="FC91" s="49">
        <v>1.7181</v>
      </c>
      <c r="FE91" s="50">
        <f t="shared" ca="1" si="13"/>
        <v>1.3767377485469563</v>
      </c>
      <c r="FF91" s="50">
        <f t="shared" ca="1" si="9"/>
        <v>1.3708861903236143</v>
      </c>
      <c r="FG91" s="50">
        <f t="shared" ca="1" si="10"/>
        <v>1.3649098657718122</v>
      </c>
      <c r="FH91" s="50">
        <f t="shared" ca="1" si="11"/>
        <v>1.3588024832214767</v>
      </c>
      <c r="FK91" s="50">
        <f t="shared" ca="1" si="12"/>
        <v>1.3708861903236143</v>
      </c>
      <c r="FL91" s="50"/>
      <c r="FM91" s="50"/>
      <c r="FN91" s="50"/>
    </row>
    <row r="92" spans="49:170" hidden="1">
      <c r="AW92" s="46">
        <v>46.774000000000001</v>
      </c>
      <c r="AX92" s="49">
        <v>0.73089999999999999</v>
      </c>
      <c r="AY92" s="49">
        <v>0.73899999999999999</v>
      </c>
      <c r="AZ92" s="49">
        <v>0.747</v>
      </c>
      <c r="BA92" s="49">
        <v>0.755</v>
      </c>
      <c r="BB92" s="49">
        <v>0.7631</v>
      </c>
      <c r="BC92" s="49">
        <v>0.77110000000000001</v>
      </c>
      <c r="BD92" s="49">
        <v>0.7792</v>
      </c>
      <c r="BE92" s="49">
        <v>0.7873</v>
      </c>
      <c r="BF92" s="49">
        <v>0.79530000000000001</v>
      </c>
      <c r="BG92" s="49">
        <v>0.8034</v>
      </c>
      <c r="BH92" s="49">
        <v>0.81140000000000001</v>
      </c>
      <c r="BI92" s="49">
        <v>0.81950000000000001</v>
      </c>
      <c r="BJ92" s="49">
        <v>0.8276</v>
      </c>
      <c r="BK92" s="49">
        <v>0.83560000000000001</v>
      </c>
      <c r="BL92" s="49">
        <v>0.84370000000000001</v>
      </c>
      <c r="BM92" s="49">
        <v>0.8518</v>
      </c>
      <c r="BN92" s="49">
        <v>0.8599</v>
      </c>
      <c r="BO92" s="49">
        <v>0.8679</v>
      </c>
      <c r="BP92" s="49">
        <v>0.876</v>
      </c>
      <c r="BQ92" s="49">
        <v>0.8841</v>
      </c>
      <c r="BR92" s="49">
        <v>0.89219999999999999</v>
      </c>
      <c r="BS92" s="49">
        <v>0.90029999999999999</v>
      </c>
      <c r="BT92" s="49">
        <v>0.90839999999999999</v>
      </c>
      <c r="BU92" s="49">
        <v>0.91649999999999998</v>
      </c>
      <c r="BV92" s="49">
        <v>0.92459999999999998</v>
      </c>
      <c r="BW92" s="49">
        <v>0.93279999999999996</v>
      </c>
      <c r="BX92" s="49">
        <v>0.94089999999999996</v>
      </c>
      <c r="BY92" s="49">
        <v>0.94899999999999995</v>
      </c>
      <c r="BZ92" s="49">
        <v>0.95709999999999995</v>
      </c>
      <c r="CA92" s="49">
        <v>0.96530000000000005</v>
      </c>
      <c r="CB92" s="49">
        <v>0.97340000000000004</v>
      </c>
      <c r="CC92" s="49">
        <v>0.98160000000000003</v>
      </c>
      <c r="CD92" s="49">
        <v>0.98970000000000002</v>
      </c>
      <c r="CE92" s="49">
        <v>0.99790000000000001</v>
      </c>
      <c r="CF92" s="49">
        <v>1.0061</v>
      </c>
      <c r="CG92" s="49">
        <v>1.0143</v>
      </c>
      <c r="CH92" s="49">
        <v>1.0225</v>
      </c>
      <c r="CI92" s="49">
        <v>1.0306999999999999</v>
      </c>
      <c r="CJ92" s="49">
        <v>1.0388999999999999</v>
      </c>
      <c r="CK92" s="49">
        <v>1.0470999999999999</v>
      </c>
      <c r="CL92" s="49">
        <v>1.0552999999999999</v>
      </c>
      <c r="CM92" s="49">
        <v>1.0636000000000001</v>
      </c>
      <c r="CN92" s="49">
        <v>1.0718000000000001</v>
      </c>
      <c r="CO92" s="49">
        <v>1.0801000000000001</v>
      </c>
      <c r="CP92" s="49">
        <v>1.0883</v>
      </c>
      <c r="CQ92" s="49">
        <v>1.0966</v>
      </c>
      <c r="CR92" s="49">
        <v>1.1049</v>
      </c>
      <c r="CS92" s="49">
        <v>1.1132</v>
      </c>
      <c r="CT92" s="49">
        <v>1.1215999999999999</v>
      </c>
      <c r="CU92" s="49">
        <v>1.1298999999999999</v>
      </c>
      <c r="CV92" s="49">
        <v>1.1383000000000001</v>
      </c>
      <c r="CW92" s="49">
        <v>1.1466000000000001</v>
      </c>
      <c r="CX92" s="49">
        <v>1.155</v>
      </c>
      <c r="CY92" s="49">
        <v>1.1634</v>
      </c>
      <c r="CZ92" s="49">
        <v>1.1718999999999999</v>
      </c>
      <c r="DA92" s="49">
        <v>1.1802999999999999</v>
      </c>
      <c r="DB92" s="49">
        <v>1.1888000000000001</v>
      </c>
      <c r="DC92" s="49">
        <v>1.1973</v>
      </c>
      <c r="DD92" s="49">
        <v>1.2058</v>
      </c>
      <c r="DE92" s="49">
        <v>1.2142999999999999</v>
      </c>
      <c r="DF92" s="49">
        <v>1.2229000000000001</v>
      </c>
      <c r="DG92" s="49">
        <v>1.2315</v>
      </c>
      <c r="DH92" s="49">
        <v>1.2401</v>
      </c>
      <c r="DI92" s="49">
        <v>1.2486999999999999</v>
      </c>
      <c r="DJ92" s="49">
        <v>1.2574000000000001</v>
      </c>
      <c r="DK92" s="49">
        <v>1.2661</v>
      </c>
      <c r="DL92" s="49">
        <v>1.2747999999999999</v>
      </c>
      <c r="DM92" s="49">
        <v>1.2836000000000001</v>
      </c>
      <c r="DN92" s="49">
        <v>1.2924</v>
      </c>
      <c r="DO92" s="49">
        <v>1.3011999999999999</v>
      </c>
      <c r="DP92" s="49">
        <v>1.3101</v>
      </c>
      <c r="DQ92" s="49">
        <v>1.3190999999999999</v>
      </c>
      <c r="DR92" s="49">
        <v>1.3280000000000001</v>
      </c>
      <c r="DS92" s="49">
        <v>1.337</v>
      </c>
      <c r="DT92" s="49">
        <v>1.3461000000000001</v>
      </c>
      <c r="DU92" s="49">
        <v>1.3552</v>
      </c>
      <c r="DV92" s="49">
        <v>1.3643000000000001</v>
      </c>
      <c r="DW92" s="49">
        <v>1.3734999999999999</v>
      </c>
      <c r="DX92" s="49">
        <v>1.3828</v>
      </c>
      <c r="DY92" s="49">
        <v>1.3920999999999999</v>
      </c>
      <c r="DZ92" s="49">
        <v>1.4015</v>
      </c>
      <c r="EA92" s="49">
        <v>1.411</v>
      </c>
      <c r="EB92" s="49">
        <v>1.4205000000000001</v>
      </c>
      <c r="EC92" s="49">
        <v>1.4300999999999999</v>
      </c>
      <c r="ED92" s="49">
        <v>1.4397</v>
      </c>
      <c r="EE92" s="49">
        <v>1.4494</v>
      </c>
      <c r="EF92" s="49">
        <v>1.4592000000000001</v>
      </c>
      <c r="EG92" s="49">
        <v>1.4691000000000001</v>
      </c>
      <c r="EH92" s="49">
        <v>1.4791000000000001</v>
      </c>
      <c r="EI92" s="49">
        <v>1.4892000000000001</v>
      </c>
      <c r="EJ92" s="49">
        <v>1.4993000000000001</v>
      </c>
      <c r="EK92" s="49">
        <v>1.5096000000000001</v>
      </c>
      <c r="EL92" s="49">
        <v>1.5199</v>
      </c>
      <c r="EM92" s="49">
        <v>1.5304</v>
      </c>
      <c r="EN92" s="49">
        <v>1.5409999999999999</v>
      </c>
      <c r="EO92" s="49">
        <v>1.5517000000000001</v>
      </c>
      <c r="EP92" s="49">
        <v>1.5625</v>
      </c>
      <c r="EQ92" s="49">
        <v>1.5733999999999999</v>
      </c>
      <c r="ER92" s="49">
        <v>1.5845</v>
      </c>
      <c r="ES92" s="49">
        <v>1.5956999999999999</v>
      </c>
      <c r="ET92" s="49">
        <v>1.607</v>
      </c>
      <c r="EU92" s="49">
        <v>1.6185</v>
      </c>
      <c r="EV92" s="49">
        <v>1.6302000000000001</v>
      </c>
      <c r="EW92" s="49">
        <v>1.6419999999999999</v>
      </c>
      <c r="EX92" s="49">
        <v>1.6538999999999999</v>
      </c>
      <c r="EY92" s="49">
        <v>1.6660999999999999</v>
      </c>
      <c r="EZ92" s="49">
        <v>1.6783999999999999</v>
      </c>
      <c r="FA92" s="49">
        <v>1.6909000000000001</v>
      </c>
      <c r="FB92" s="49">
        <v>1.7036</v>
      </c>
      <c r="FC92" s="49">
        <v>1.7164999999999999</v>
      </c>
      <c r="FE92" s="50">
        <f t="shared" ca="1" si="13"/>
        <v>1.3753577240746404</v>
      </c>
      <c r="FF92" s="50">
        <f t="shared" ca="1" si="9"/>
        <v>1.3695293495674463</v>
      </c>
      <c r="FG92" s="50">
        <f t="shared" ca="1" si="10"/>
        <v>1.3636098657718121</v>
      </c>
      <c r="FH92" s="50">
        <f t="shared" ca="1" si="11"/>
        <v>1.3575024832214764</v>
      </c>
      <c r="FK92" s="50">
        <f t="shared" ca="1" si="12"/>
        <v>1.3695293495674463</v>
      </c>
      <c r="FL92" s="50"/>
      <c r="FM92" s="50"/>
      <c r="FN92" s="50"/>
    </row>
    <row r="93" spans="49:170" hidden="1">
      <c r="AW93" s="46">
        <v>50.119</v>
      </c>
      <c r="AX93" s="49">
        <v>0.73019999999999996</v>
      </c>
      <c r="AY93" s="49">
        <v>0.73829999999999996</v>
      </c>
      <c r="AZ93" s="49">
        <v>0.74629999999999996</v>
      </c>
      <c r="BA93" s="49">
        <v>0.75429999999999997</v>
      </c>
      <c r="BB93" s="49">
        <v>0.76239999999999997</v>
      </c>
      <c r="BC93" s="49">
        <v>0.77039999999999997</v>
      </c>
      <c r="BD93" s="49">
        <v>0.77849999999999997</v>
      </c>
      <c r="BE93" s="49">
        <v>0.78649999999999998</v>
      </c>
      <c r="BF93" s="49">
        <v>0.79459999999999997</v>
      </c>
      <c r="BG93" s="49">
        <v>0.80259999999999998</v>
      </c>
      <c r="BH93" s="49">
        <v>0.81069999999999998</v>
      </c>
      <c r="BI93" s="49">
        <v>0.81869999999999998</v>
      </c>
      <c r="BJ93" s="49">
        <v>0.82679999999999998</v>
      </c>
      <c r="BK93" s="49">
        <v>0.83479999999999999</v>
      </c>
      <c r="BL93" s="49">
        <v>0.84289999999999998</v>
      </c>
      <c r="BM93" s="49">
        <v>0.85099999999999998</v>
      </c>
      <c r="BN93" s="49">
        <v>0.85909999999999997</v>
      </c>
      <c r="BO93" s="49">
        <v>0.86709999999999998</v>
      </c>
      <c r="BP93" s="49">
        <v>0.87519999999999998</v>
      </c>
      <c r="BQ93" s="49">
        <v>0.88329999999999997</v>
      </c>
      <c r="BR93" s="49">
        <v>0.89139999999999997</v>
      </c>
      <c r="BS93" s="49">
        <v>0.89949999999999997</v>
      </c>
      <c r="BT93" s="49">
        <v>0.90759999999999996</v>
      </c>
      <c r="BU93" s="49">
        <v>0.91569999999999996</v>
      </c>
      <c r="BV93" s="49">
        <v>0.92379999999999995</v>
      </c>
      <c r="BW93" s="49">
        <v>0.93189999999999995</v>
      </c>
      <c r="BX93" s="49">
        <v>0.94</v>
      </c>
      <c r="BY93" s="49">
        <v>0.94810000000000005</v>
      </c>
      <c r="BZ93" s="49">
        <v>0.95620000000000005</v>
      </c>
      <c r="CA93" s="49">
        <v>0.96440000000000003</v>
      </c>
      <c r="CB93" s="49">
        <v>0.97250000000000003</v>
      </c>
      <c r="CC93" s="49">
        <v>0.98070000000000002</v>
      </c>
      <c r="CD93" s="49">
        <v>0.98880000000000001</v>
      </c>
      <c r="CE93" s="49">
        <v>0.997</v>
      </c>
      <c r="CF93" s="49">
        <v>1.0051000000000001</v>
      </c>
      <c r="CG93" s="49">
        <v>1.0133000000000001</v>
      </c>
      <c r="CH93" s="49">
        <v>1.0215000000000001</v>
      </c>
      <c r="CI93" s="49">
        <v>1.0297000000000001</v>
      </c>
      <c r="CJ93" s="49">
        <v>1.0379</v>
      </c>
      <c r="CK93" s="49">
        <v>1.0461</v>
      </c>
      <c r="CL93" s="49">
        <v>1.0543</v>
      </c>
      <c r="CM93" s="49">
        <v>1.0626</v>
      </c>
      <c r="CN93" s="49">
        <v>1.0708</v>
      </c>
      <c r="CO93" s="49">
        <v>1.079</v>
      </c>
      <c r="CP93" s="49">
        <v>1.0872999999999999</v>
      </c>
      <c r="CQ93" s="49">
        <v>1.0955999999999999</v>
      </c>
      <c r="CR93" s="49">
        <v>1.1039000000000001</v>
      </c>
      <c r="CS93" s="49">
        <v>1.1122000000000001</v>
      </c>
      <c r="CT93" s="49">
        <v>1.1205000000000001</v>
      </c>
      <c r="CU93" s="49">
        <v>1.1288</v>
      </c>
      <c r="CV93" s="49">
        <v>1.1372</v>
      </c>
      <c r="CW93" s="49">
        <v>1.1456</v>
      </c>
      <c r="CX93" s="49">
        <v>1.1538999999999999</v>
      </c>
      <c r="CY93" s="49">
        <v>1.1623000000000001</v>
      </c>
      <c r="CZ93" s="49">
        <v>1.1708000000000001</v>
      </c>
      <c r="DA93" s="49">
        <v>1.1792</v>
      </c>
      <c r="DB93" s="49">
        <v>1.1877</v>
      </c>
      <c r="DC93" s="49">
        <v>1.1960999999999999</v>
      </c>
      <c r="DD93" s="49">
        <v>1.2045999999999999</v>
      </c>
      <c r="DE93" s="49">
        <v>1.2132000000000001</v>
      </c>
      <c r="DF93" s="49">
        <v>1.2217</v>
      </c>
      <c r="DG93" s="49">
        <v>1.2302999999999999</v>
      </c>
      <c r="DH93" s="49">
        <v>1.2388999999999999</v>
      </c>
      <c r="DI93" s="49">
        <v>1.2475000000000001</v>
      </c>
      <c r="DJ93" s="49">
        <v>1.2562</v>
      </c>
      <c r="DK93" s="49">
        <v>1.2648999999999999</v>
      </c>
      <c r="DL93" s="49">
        <v>1.2736000000000001</v>
      </c>
      <c r="DM93" s="49">
        <v>1.2824</v>
      </c>
      <c r="DN93" s="49">
        <v>1.2911999999999999</v>
      </c>
      <c r="DO93" s="49">
        <v>1.3</v>
      </c>
      <c r="DP93" s="49">
        <v>1.3089</v>
      </c>
      <c r="DQ93" s="49">
        <v>1.3178000000000001</v>
      </c>
      <c r="DR93" s="49">
        <v>1.3268</v>
      </c>
      <c r="DS93" s="49">
        <v>1.3358000000000001</v>
      </c>
      <c r="DT93" s="49">
        <v>1.3448</v>
      </c>
      <c r="DU93" s="49">
        <v>1.3539000000000001</v>
      </c>
      <c r="DV93" s="49">
        <v>1.3631</v>
      </c>
      <c r="DW93" s="49">
        <v>1.3723000000000001</v>
      </c>
      <c r="DX93" s="49">
        <v>1.3815</v>
      </c>
      <c r="DY93" s="49">
        <v>1.3908</v>
      </c>
      <c r="DZ93" s="49">
        <v>1.4001999999999999</v>
      </c>
      <c r="EA93" s="49">
        <v>1.4096</v>
      </c>
      <c r="EB93" s="49">
        <v>1.4191</v>
      </c>
      <c r="EC93" s="49">
        <v>1.4287000000000001</v>
      </c>
      <c r="ED93" s="49">
        <v>1.4383999999999999</v>
      </c>
      <c r="EE93" s="49">
        <v>1.4480999999999999</v>
      </c>
      <c r="EF93" s="49">
        <v>1.4579</v>
      </c>
      <c r="EG93" s="49">
        <v>1.4677</v>
      </c>
      <c r="EH93" s="49">
        <v>1.4777</v>
      </c>
      <c r="EI93" s="49">
        <v>1.4878</v>
      </c>
      <c r="EJ93" s="49">
        <v>1.4979</v>
      </c>
      <c r="EK93" s="49">
        <v>1.5082</v>
      </c>
      <c r="EL93" s="49">
        <v>1.5185</v>
      </c>
      <c r="EM93" s="49">
        <v>1.5289999999999999</v>
      </c>
      <c r="EN93" s="49">
        <v>1.5395000000000001</v>
      </c>
      <c r="EO93" s="49">
        <v>1.5502</v>
      </c>
      <c r="EP93" s="49">
        <v>1.5609999999999999</v>
      </c>
      <c r="EQ93" s="49">
        <v>1.5719000000000001</v>
      </c>
      <c r="ER93" s="49">
        <v>1.583</v>
      </c>
      <c r="ES93" s="49">
        <v>1.5942000000000001</v>
      </c>
      <c r="ET93" s="49">
        <v>1.6054999999999999</v>
      </c>
      <c r="EU93" s="49">
        <v>1.617</v>
      </c>
      <c r="EV93" s="49">
        <v>1.6286</v>
      </c>
      <c r="EW93" s="49">
        <v>1.6404000000000001</v>
      </c>
      <c r="EX93" s="49">
        <v>1.6524000000000001</v>
      </c>
      <c r="EY93" s="49">
        <v>1.6645000000000001</v>
      </c>
      <c r="EZ93" s="49">
        <v>1.6768000000000001</v>
      </c>
      <c r="FA93" s="49">
        <v>1.6893</v>
      </c>
      <c r="FB93" s="49">
        <v>1.702</v>
      </c>
      <c r="FC93" s="49">
        <v>1.7149000000000001</v>
      </c>
      <c r="FE93" s="50">
        <f t="shared" ca="1" si="13"/>
        <v>1.3741377485469564</v>
      </c>
      <c r="FF93" s="50">
        <f t="shared" ca="1" si="9"/>
        <v>1.3683293495674467</v>
      </c>
      <c r="FG93" s="50">
        <f t="shared" ca="1" si="10"/>
        <v>1.3624022818791948</v>
      </c>
      <c r="FH93" s="50">
        <f t="shared" ca="1" si="11"/>
        <v>1.3562277852348994</v>
      </c>
      <c r="FK93" s="50">
        <f t="shared" ca="1" si="12"/>
        <v>1.3683293495674467</v>
      </c>
      <c r="FL93" s="50"/>
      <c r="FM93" s="50"/>
      <c r="FN93" s="50"/>
    </row>
    <row r="94" spans="49:170" hidden="1">
      <c r="AW94" s="46">
        <v>53.703000000000003</v>
      </c>
      <c r="AX94" s="49">
        <v>0.72950000000000004</v>
      </c>
      <c r="AY94" s="49">
        <v>0.73760000000000003</v>
      </c>
      <c r="AZ94" s="49">
        <v>0.74560000000000004</v>
      </c>
      <c r="BA94" s="49">
        <v>0.75360000000000005</v>
      </c>
      <c r="BB94" s="49">
        <v>0.76170000000000004</v>
      </c>
      <c r="BC94" s="49">
        <v>0.76970000000000005</v>
      </c>
      <c r="BD94" s="49">
        <v>0.77769999999999995</v>
      </c>
      <c r="BE94" s="49">
        <v>0.78580000000000005</v>
      </c>
      <c r="BF94" s="49">
        <v>0.79379999999999995</v>
      </c>
      <c r="BG94" s="49">
        <v>0.80189999999999995</v>
      </c>
      <c r="BH94" s="49">
        <v>0.80989999999999995</v>
      </c>
      <c r="BI94" s="49">
        <v>0.81799999999999995</v>
      </c>
      <c r="BJ94" s="49">
        <v>0.82599999999999996</v>
      </c>
      <c r="BK94" s="49">
        <v>0.83409999999999995</v>
      </c>
      <c r="BL94" s="49">
        <v>0.84209999999999996</v>
      </c>
      <c r="BM94" s="49">
        <v>0.85019999999999996</v>
      </c>
      <c r="BN94" s="49">
        <v>0.85829999999999995</v>
      </c>
      <c r="BO94" s="49">
        <v>0.86629999999999996</v>
      </c>
      <c r="BP94" s="49">
        <v>0.87439999999999996</v>
      </c>
      <c r="BQ94" s="49">
        <v>0.88249999999999995</v>
      </c>
      <c r="BR94" s="49">
        <v>0.89059999999999995</v>
      </c>
      <c r="BS94" s="49">
        <v>0.89859999999999995</v>
      </c>
      <c r="BT94" s="49">
        <v>0.90669999999999995</v>
      </c>
      <c r="BU94" s="49">
        <v>0.91479999999999995</v>
      </c>
      <c r="BV94" s="49">
        <v>0.92290000000000005</v>
      </c>
      <c r="BW94" s="49">
        <v>0.93100000000000005</v>
      </c>
      <c r="BX94" s="49">
        <v>0.93910000000000005</v>
      </c>
      <c r="BY94" s="49">
        <v>0.94720000000000004</v>
      </c>
      <c r="BZ94" s="49">
        <v>0.95540000000000003</v>
      </c>
      <c r="CA94" s="49">
        <v>0.96350000000000002</v>
      </c>
      <c r="CB94" s="49">
        <v>0.97160000000000002</v>
      </c>
      <c r="CC94" s="49">
        <v>0.97970000000000002</v>
      </c>
      <c r="CD94" s="49">
        <v>0.9879</v>
      </c>
      <c r="CE94" s="49">
        <v>0.996</v>
      </c>
      <c r="CF94" s="49">
        <v>1.0042</v>
      </c>
      <c r="CG94" s="49">
        <v>1.0124</v>
      </c>
      <c r="CH94" s="49">
        <v>1.0205</v>
      </c>
      <c r="CI94" s="49">
        <v>1.0286999999999999</v>
      </c>
      <c r="CJ94" s="49">
        <v>1.0368999999999999</v>
      </c>
      <c r="CK94" s="49">
        <v>1.0450999999999999</v>
      </c>
      <c r="CL94" s="49">
        <v>1.0532999999999999</v>
      </c>
      <c r="CM94" s="49">
        <v>1.0616000000000001</v>
      </c>
      <c r="CN94" s="49">
        <v>1.0698000000000001</v>
      </c>
      <c r="CO94" s="49">
        <v>1.0780000000000001</v>
      </c>
      <c r="CP94" s="49">
        <v>1.0863</v>
      </c>
      <c r="CQ94" s="49">
        <v>1.0946</v>
      </c>
      <c r="CR94" s="49">
        <v>1.1029</v>
      </c>
      <c r="CS94" s="49">
        <v>1.1111</v>
      </c>
      <c r="CT94" s="49">
        <v>1.1194999999999999</v>
      </c>
      <c r="CU94" s="49">
        <v>1.1277999999999999</v>
      </c>
      <c r="CV94" s="49">
        <v>1.1361000000000001</v>
      </c>
      <c r="CW94" s="49">
        <v>1.1445000000000001</v>
      </c>
      <c r="CX94" s="49">
        <v>1.1529</v>
      </c>
      <c r="CY94" s="49">
        <v>1.1613</v>
      </c>
      <c r="CZ94" s="49">
        <v>1.1697</v>
      </c>
      <c r="DA94" s="49">
        <v>1.1780999999999999</v>
      </c>
      <c r="DB94" s="49">
        <v>1.1866000000000001</v>
      </c>
      <c r="DC94" s="49">
        <v>1.1950000000000001</v>
      </c>
      <c r="DD94" s="49">
        <v>1.2035</v>
      </c>
      <c r="DE94" s="49">
        <v>1.212</v>
      </c>
      <c r="DF94" s="49">
        <v>1.2205999999999999</v>
      </c>
      <c r="DG94" s="49">
        <v>1.2292000000000001</v>
      </c>
      <c r="DH94" s="49">
        <v>1.2378</v>
      </c>
      <c r="DI94" s="49">
        <v>1.2464</v>
      </c>
      <c r="DJ94" s="49">
        <v>1.2549999999999999</v>
      </c>
      <c r="DK94" s="49">
        <v>1.2637</v>
      </c>
      <c r="DL94" s="49">
        <v>1.2724</v>
      </c>
      <c r="DM94" s="49">
        <v>1.2811999999999999</v>
      </c>
      <c r="DN94" s="49">
        <v>1.29</v>
      </c>
      <c r="DO94" s="49">
        <v>1.2988</v>
      </c>
      <c r="DP94" s="49">
        <v>1.3077000000000001</v>
      </c>
      <c r="DQ94" s="49">
        <v>1.3166</v>
      </c>
      <c r="DR94" s="49">
        <v>1.3254999999999999</v>
      </c>
      <c r="DS94" s="49">
        <v>1.3345</v>
      </c>
      <c r="DT94" s="49">
        <v>1.3435999999999999</v>
      </c>
      <c r="DU94" s="49">
        <v>1.3526</v>
      </c>
      <c r="DV94" s="49">
        <v>1.3617999999999999</v>
      </c>
      <c r="DW94" s="49">
        <v>1.371</v>
      </c>
      <c r="DX94" s="49">
        <v>1.3802000000000001</v>
      </c>
      <c r="DY94" s="49">
        <v>1.3895</v>
      </c>
      <c r="DZ94" s="49">
        <v>1.3989</v>
      </c>
      <c r="EA94" s="49">
        <v>1.4083000000000001</v>
      </c>
      <c r="EB94" s="49">
        <v>1.4177999999999999</v>
      </c>
      <c r="EC94" s="49">
        <v>1.4274</v>
      </c>
      <c r="ED94" s="49">
        <v>1.4370000000000001</v>
      </c>
      <c r="EE94" s="49">
        <v>1.4467000000000001</v>
      </c>
      <c r="EF94" s="49">
        <v>1.4564999999999999</v>
      </c>
      <c r="EG94" s="49">
        <v>1.4663999999999999</v>
      </c>
      <c r="EH94" s="49">
        <v>1.4762999999999999</v>
      </c>
      <c r="EI94" s="49">
        <v>1.4863999999999999</v>
      </c>
      <c r="EJ94" s="49">
        <v>1.4964999999999999</v>
      </c>
      <c r="EK94" s="49">
        <v>1.5067999999999999</v>
      </c>
      <c r="EL94" s="49">
        <v>1.5170999999999999</v>
      </c>
      <c r="EM94" s="49">
        <v>1.5275000000000001</v>
      </c>
      <c r="EN94" s="49">
        <v>1.5381</v>
      </c>
      <c r="EO94" s="49">
        <v>1.5488</v>
      </c>
      <c r="EP94" s="49">
        <v>1.5596000000000001</v>
      </c>
      <c r="EQ94" s="49">
        <v>1.5705</v>
      </c>
      <c r="ER94" s="49">
        <v>1.5814999999999999</v>
      </c>
      <c r="ES94" s="49">
        <v>1.5927</v>
      </c>
      <c r="ET94" s="49">
        <v>1.6040000000000001</v>
      </c>
      <c r="EU94" s="49">
        <v>1.6154999999999999</v>
      </c>
      <c r="EV94" s="49">
        <v>1.6271</v>
      </c>
      <c r="EW94" s="49">
        <v>1.6389</v>
      </c>
      <c r="EX94" s="49">
        <v>1.6509</v>
      </c>
      <c r="EY94" s="49">
        <v>1.663</v>
      </c>
      <c r="EZ94" s="49">
        <v>1.6753</v>
      </c>
      <c r="FA94" s="49">
        <v>1.6877</v>
      </c>
      <c r="FB94" s="49">
        <v>1.7003999999999999</v>
      </c>
      <c r="FC94" s="49">
        <v>1.7133</v>
      </c>
      <c r="FE94" s="50">
        <f t="shared" ca="1" si="13"/>
        <v>1.3728377485469561</v>
      </c>
      <c r="FF94" s="50">
        <f t="shared" ca="1" si="9"/>
        <v>1.3670293495674466</v>
      </c>
      <c r="FG94" s="50">
        <f t="shared" ca="1" si="10"/>
        <v>1.3611022818791947</v>
      </c>
      <c r="FH94" s="50">
        <f t="shared" ca="1" si="11"/>
        <v>1.3549277852348993</v>
      </c>
      <c r="FK94" s="50">
        <f t="shared" ca="1" si="12"/>
        <v>1.3670293495674466</v>
      </c>
      <c r="FL94" s="50"/>
      <c r="FM94" s="50"/>
      <c r="FN94" s="50"/>
    </row>
    <row r="95" spans="49:170" hidden="1">
      <c r="AW95" s="46">
        <v>57.543999999999997</v>
      </c>
      <c r="AX95" s="49">
        <v>0.72889999999999999</v>
      </c>
      <c r="AY95" s="49">
        <v>0.7369</v>
      </c>
      <c r="AZ95" s="49">
        <v>0.74490000000000001</v>
      </c>
      <c r="BA95" s="49">
        <v>0.75290000000000001</v>
      </c>
      <c r="BB95" s="49">
        <v>0.76100000000000001</v>
      </c>
      <c r="BC95" s="49">
        <v>0.76900000000000002</v>
      </c>
      <c r="BD95" s="49">
        <v>0.77700000000000002</v>
      </c>
      <c r="BE95" s="49">
        <v>0.78510000000000002</v>
      </c>
      <c r="BF95" s="49">
        <v>0.79310000000000003</v>
      </c>
      <c r="BG95" s="49">
        <v>0.80110000000000003</v>
      </c>
      <c r="BH95" s="49">
        <v>0.80920000000000003</v>
      </c>
      <c r="BI95" s="49">
        <v>0.81720000000000004</v>
      </c>
      <c r="BJ95" s="49">
        <v>0.82530000000000003</v>
      </c>
      <c r="BK95" s="49">
        <v>0.83330000000000004</v>
      </c>
      <c r="BL95" s="49">
        <v>0.84140000000000004</v>
      </c>
      <c r="BM95" s="49">
        <v>0.84940000000000004</v>
      </c>
      <c r="BN95" s="49">
        <v>0.85750000000000004</v>
      </c>
      <c r="BO95" s="49">
        <v>0.86550000000000005</v>
      </c>
      <c r="BP95" s="49">
        <v>0.87360000000000004</v>
      </c>
      <c r="BQ95" s="49">
        <v>0.88170000000000004</v>
      </c>
      <c r="BR95" s="49">
        <v>0.88970000000000005</v>
      </c>
      <c r="BS95" s="49">
        <v>0.89780000000000004</v>
      </c>
      <c r="BT95" s="49">
        <v>0.90590000000000004</v>
      </c>
      <c r="BU95" s="49">
        <v>0.91400000000000003</v>
      </c>
      <c r="BV95" s="49">
        <v>0.92210000000000003</v>
      </c>
      <c r="BW95" s="49">
        <v>0.93020000000000003</v>
      </c>
      <c r="BX95" s="49">
        <v>0.93830000000000002</v>
      </c>
      <c r="BY95" s="49">
        <v>0.94640000000000002</v>
      </c>
      <c r="BZ95" s="49">
        <v>0.95450000000000002</v>
      </c>
      <c r="CA95" s="49">
        <v>0.96260000000000001</v>
      </c>
      <c r="CB95" s="49">
        <v>0.97070000000000001</v>
      </c>
      <c r="CC95" s="49">
        <v>0.9788</v>
      </c>
      <c r="CD95" s="49">
        <v>0.98699999999999999</v>
      </c>
      <c r="CE95" s="49">
        <v>0.99509999999999998</v>
      </c>
      <c r="CF95" s="49">
        <v>1.0033000000000001</v>
      </c>
      <c r="CG95" s="49">
        <v>1.0114000000000001</v>
      </c>
      <c r="CH95" s="49">
        <v>1.0196000000000001</v>
      </c>
      <c r="CI95" s="49">
        <v>1.0278</v>
      </c>
      <c r="CJ95" s="49">
        <v>1.036</v>
      </c>
      <c r="CK95" s="49">
        <v>1.0442</v>
      </c>
      <c r="CL95" s="49">
        <v>1.0524</v>
      </c>
      <c r="CM95" s="49">
        <v>1.0606</v>
      </c>
      <c r="CN95" s="49">
        <v>1.0688</v>
      </c>
      <c r="CO95" s="49">
        <v>1.077</v>
      </c>
      <c r="CP95" s="49">
        <v>1.0852999999999999</v>
      </c>
      <c r="CQ95" s="49">
        <v>1.0935999999999999</v>
      </c>
      <c r="CR95" s="49">
        <v>1.1017999999999999</v>
      </c>
      <c r="CS95" s="49">
        <v>1.1101000000000001</v>
      </c>
      <c r="CT95" s="49">
        <v>1.1184000000000001</v>
      </c>
      <c r="CU95" s="49">
        <v>1.1267</v>
      </c>
      <c r="CV95" s="49">
        <v>1.1351</v>
      </c>
      <c r="CW95" s="49">
        <v>1.1434</v>
      </c>
      <c r="CX95" s="49">
        <v>1.1517999999999999</v>
      </c>
      <c r="CY95" s="49">
        <v>1.1601999999999999</v>
      </c>
      <c r="CZ95" s="49">
        <v>1.1686000000000001</v>
      </c>
      <c r="DA95" s="49">
        <v>1.177</v>
      </c>
      <c r="DB95" s="49">
        <v>1.1855</v>
      </c>
      <c r="DC95" s="49">
        <v>1.1939</v>
      </c>
      <c r="DD95" s="49">
        <v>1.2023999999999999</v>
      </c>
      <c r="DE95" s="49">
        <v>1.2109000000000001</v>
      </c>
      <c r="DF95" s="49">
        <v>1.2195</v>
      </c>
      <c r="DG95" s="49">
        <v>1.228</v>
      </c>
      <c r="DH95" s="49">
        <v>1.2365999999999999</v>
      </c>
      <c r="DI95" s="49">
        <v>1.2452000000000001</v>
      </c>
      <c r="DJ95" s="49">
        <v>1.2539</v>
      </c>
      <c r="DK95" s="49">
        <v>1.2625999999999999</v>
      </c>
      <c r="DL95" s="49">
        <v>1.2713000000000001</v>
      </c>
      <c r="DM95" s="49">
        <v>1.28</v>
      </c>
      <c r="DN95" s="49">
        <v>1.2887999999999999</v>
      </c>
      <c r="DO95" s="49">
        <v>1.2976000000000001</v>
      </c>
      <c r="DP95" s="49">
        <v>1.3065</v>
      </c>
      <c r="DQ95" s="49">
        <v>1.3153999999999999</v>
      </c>
      <c r="DR95" s="49">
        <v>1.3243</v>
      </c>
      <c r="DS95" s="49">
        <v>1.3332999999999999</v>
      </c>
      <c r="DT95" s="49">
        <v>1.3423</v>
      </c>
      <c r="DU95" s="49">
        <v>1.3513999999999999</v>
      </c>
      <c r="DV95" s="49">
        <v>1.3605</v>
      </c>
      <c r="DW95" s="49">
        <v>1.3696999999999999</v>
      </c>
      <c r="DX95" s="49">
        <v>1.3789</v>
      </c>
      <c r="DY95" s="49">
        <v>1.3882000000000001</v>
      </c>
      <c r="DZ95" s="49">
        <v>1.3976</v>
      </c>
      <c r="EA95" s="49">
        <v>1.407</v>
      </c>
      <c r="EB95" s="49">
        <v>1.4165000000000001</v>
      </c>
      <c r="EC95" s="49">
        <v>1.4260999999999999</v>
      </c>
      <c r="ED95" s="49">
        <v>1.4357</v>
      </c>
      <c r="EE95" s="49">
        <v>1.4454</v>
      </c>
      <c r="EF95" s="49">
        <v>1.4552</v>
      </c>
      <c r="EG95" s="49">
        <v>1.4650000000000001</v>
      </c>
      <c r="EH95" s="49">
        <v>1.4750000000000001</v>
      </c>
      <c r="EI95" s="49">
        <v>1.4850000000000001</v>
      </c>
      <c r="EJ95" s="49">
        <v>1.4951000000000001</v>
      </c>
      <c r="EK95" s="49">
        <v>1.5054000000000001</v>
      </c>
      <c r="EL95" s="49">
        <v>1.5157</v>
      </c>
      <c r="EM95" s="49">
        <v>1.5261</v>
      </c>
      <c r="EN95" s="49">
        <v>1.5367</v>
      </c>
      <c r="EO95" s="49">
        <v>1.5472999999999999</v>
      </c>
      <c r="EP95" s="49">
        <v>1.5581</v>
      </c>
      <c r="EQ95" s="49">
        <v>1.569</v>
      </c>
      <c r="ER95" s="49">
        <v>1.5801000000000001</v>
      </c>
      <c r="ES95" s="49">
        <v>1.5911999999999999</v>
      </c>
      <c r="ET95" s="49">
        <v>1.6025</v>
      </c>
      <c r="EU95" s="49">
        <v>1.6140000000000001</v>
      </c>
      <c r="EV95" s="49">
        <v>1.6255999999999999</v>
      </c>
      <c r="EW95" s="49">
        <v>1.6374</v>
      </c>
      <c r="EX95" s="49">
        <v>1.6493</v>
      </c>
      <c r="EY95" s="49">
        <v>1.6614</v>
      </c>
      <c r="EZ95" s="49">
        <v>1.6737</v>
      </c>
      <c r="FA95" s="49">
        <v>1.6861999999999999</v>
      </c>
      <c r="FB95" s="49">
        <v>1.6988000000000001</v>
      </c>
      <c r="FC95" s="49">
        <v>1.7117</v>
      </c>
      <c r="FE95" s="50">
        <f t="shared" ca="1" si="13"/>
        <v>1.371537748546956</v>
      </c>
      <c r="FF95" s="50">
        <f t="shared" ca="1" si="9"/>
        <v>1.3657293495674463</v>
      </c>
      <c r="FG95" s="50">
        <f t="shared" ca="1" si="10"/>
        <v>1.3598098657718121</v>
      </c>
      <c r="FH95" s="50">
        <f t="shared" ca="1" si="11"/>
        <v>1.3537024832214763</v>
      </c>
      <c r="FK95" s="50">
        <f t="shared" ca="1" si="12"/>
        <v>1.3657293495674463</v>
      </c>
      <c r="FL95" s="50"/>
      <c r="FM95" s="50"/>
      <c r="FN95" s="50"/>
    </row>
    <row r="96" spans="49:170" hidden="1">
      <c r="AW96" s="46">
        <v>61.66</v>
      </c>
      <c r="AX96" s="49">
        <v>0.72819999999999996</v>
      </c>
      <c r="AY96" s="49">
        <v>0.73619999999999997</v>
      </c>
      <c r="AZ96" s="49">
        <v>0.74419999999999997</v>
      </c>
      <c r="BA96" s="49">
        <v>0.75219999999999998</v>
      </c>
      <c r="BB96" s="49">
        <v>0.76029999999999998</v>
      </c>
      <c r="BC96" s="49">
        <v>0.76829999999999998</v>
      </c>
      <c r="BD96" s="49">
        <v>0.77629999999999999</v>
      </c>
      <c r="BE96" s="49">
        <v>0.7843</v>
      </c>
      <c r="BF96" s="49">
        <v>0.79239999999999999</v>
      </c>
      <c r="BG96" s="49">
        <v>0.8004</v>
      </c>
      <c r="BH96" s="49">
        <v>0.80840000000000001</v>
      </c>
      <c r="BI96" s="49">
        <v>0.8165</v>
      </c>
      <c r="BJ96" s="49">
        <v>0.82450000000000001</v>
      </c>
      <c r="BK96" s="49">
        <v>0.83250000000000002</v>
      </c>
      <c r="BL96" s="49">
        <v>0.84060000000000001</v>
      </c>
      <c r="BM96" s="49">
        <v>0.84860000000000002</v>
      </c>
      <c r="BN96" s="49">
        <v>0.85670000000000002</v>
      </c>
      <c r="BO96" s="49">
        <v>0.86470000000000002</v>
      </c>
      <c r="BP96" s="49">
        <v>0.87280000000000002</v>
      </c>
      <c r="BQ96" s="49">
        <v>0.88080000000000003</v>
      </c>
      <c r="BR96" s="49">
        <v>0.88890000000000002</v>
      </c>
      <c r="BS96" s="49">
        <v>0.89700000000000002</v>
      </c>
      <c r="BT96" s="49">
        <v>0.90510000000000002</v>
      </c>
      <c r="BU96" s="49">
        <v>0.91310000000000002</v>
      </c>
      <c r="BV96" s="49">
        <v>0.92120000000000002</v>
      </c>
      <c r="BW96" s="49">
        <v>0.92930000000000001</v>
      </c>
      <c r="BX96" s="49">
        <v>0.93740000000000001</v>
      </c>
      <c r="BY96" s="49">
        <v>0.94550000000000001</v>
      </c>
      <c r="BZ96" s="49">
        <v>0.9536</v>
      </c>
      <c r="CA96" s="49">
        <v>0.9617</v>
      </c>
      <c r="CB96" s="49">
        <v>0.9698</v>
      </c>
      <c r="CC96" s="49">
        <v>0.97789999999999999</v>
      </c>
      <c r="CD96" s="49">
        <v>0.98609999999999998</v>
      </c>
      <c r="CE96" s="49">
        <v>0.99419999999999997</v>
      </c>
      <c r="CF96" s="49">
        <v>1.0024</v>
      </c>
      <c r="CG96" s="49">
        <v>1.0105</v>
      </c>
      <c r="CH96" s="49">
        <v>1.0186999999999999</v>
      </c>
      <c r="CI96" s="49">
        <v>1.0267999999999999</v>
      </c>
      <c r="CJ96" s="49">
        <v>1.0349999999999999</v>
      </c>
      <c r="CK96" s="49">
        <v>1.0431999999999999</v>
      </c>
      <c r="CL96" s="49">
        <v>1.0513999999999999</v>
      </c>
      <c r="CM96" s="49">
        <v>1.0596000000000001</v>
      </c>
      <c r="CN96" s="49">
        <v>1.0678000000000001</v>
      </c>
      <c r="CO96" s="49">
        <v>1.0761000000000001</v>
      </c>
      <c r="CP96" s="49">
        <v>1.0843</v>
      </c>
      <c r="CQ96" s="49">
        <v>1.0926</v>
      </c>
      <c r="CR96" s="49">
        <v>1.1008</v>
      </c>
      <c r="CS96" s="49">
        <v>1.1091</v>
      </c>
      <c r="CT96" s="49">
        <v>1.1173999999999999</v>
      </c>
      <c r="CU96" s="49">
        <v>1.1256999999999999</v>
      </c>
      <c r="CV96" s="49">
        <v>1.1339999999999999</v>
      </c>
      <c r="CW96" s="49">
        <v>1.1424000000000001</v>
      </c>
      <c r="CX96" s="49">
        <v>1.1507000000000001</v>
      </c>
      <c r="CY96" s="49">
        <v>1.1591</v>
      </c>
      <c r="CZ96" s="49">
        <v>1.1675</v>
      </c>
      <c r="DA96" s="49">
        <v>1.1758999999999999</v>
      </c>
      <c r="DB96" s="49">
        <v>1.1843999999999999</v>
      </c>
      <c r="DC96" s="49">
        <v>1.1928000000000001</v>
      </c>
      <c r="DD96" s="49">
        <v>1.2013</v>
      </c>
      <c r="DE96" s="49">
        <v>1.2098</v>
      </c>
      <c r="DF96" s="49">
        <v>1.2182999999999999</v>
      </c>
      <c r="DG96" s="49">
        <v>1.2269000000000001</v>
      </c>
      <c r="DH96" s="49">
        <v>1.2355</v>
      </c>
      <c r="DI96" s="49">
        <v>1.2441</v>
      </c>
      <c r="DJ96" s="49">
        <v>1.2526999999999999</v>
      </c>
      <c r="DK96" s="49">
        <v>1.2614000000000001</v>
      </c>
      <c r="DL96" s="49">
        <v>1.2701</v>
      </c>
      <c r="DM96" s="49">
        <v>1.2787999999999999</v>
      </c>
      <c r="DN96" s="49">
        <v>1.2876000000000001</v>
      </c>
      <c r="DO96" s="49">
        <v>1.2964</v>
      </c>
      <c r="DP96" s="49">
        <v>1.3052999999999999</v>
      </c>
      <c r="DQ96" s="49">
        <v>1.3142</v>
      </c>
      <c r="DR96" s="49">
        <v>1.3230999999999999</v>
      </c>
      <c r="DS96" s="49">
        <v>1.3321000000000001</v>
      </c>
      <c r="DT96" s="49">
        <v>1.3411</v>
      </c>
      <c r="DU96" s="49">
        <v>1.3502000000000001</v>
      </c>
      <c r="DV96" s="49">
        <v>1.3593</v>
      </c>
      <c r="DW96" s="49">
        <v>1.3685</v>
      </c>
      <c r="DX96" s="49">
        <v>1.3776999999999999</v>
      </c>
      <c r="DY96" s="49">
        <v>1.387</v>
      </c>
      <c r="DZ96" s="49">
        <v>1.3963000000000001</v>
      </c>
      <c r="EA96" s="49">
        <v>1.4056999999999999</v>
      </c>
      <c r="EB96" s="49">
        <v>1.4152</v>
      </c>
      <c r="EC96" s="49">
        <v>1.4248000000000001</v>
      </c>
      <c r="ED96" s="49">
        <v>1.4343999999999999</v>
      </c>
      <c r="EE96" s="49">
        <v>1.4440999999999999</v>
      </c>
      <c r="EF96" s="49">
        <v>1.4538</v>
      </c>
      <c r="EG96" s="49">
        <v>1.4637</v>
      </c>
      <c r="EH96" s="49">
        <v>1.4736</v>
      </c>
      <c r="EI96" s="49">
        <v>1.4837</v>
      </c>
      <c r="EJ96" s="49">
        <v>1.4938</v>
      </c>
      <c r="EK96" s="49">
        <v>1.504</v>
      </c>
      <c r="EL96" s="49">
        <v>1.5143</v>
      </c>
      <c r="EM96" s="49">
        <v>1.5246999999999999</v>
      </c>
      <c r="EN96" s="49">
        <v>1.5353000000000001</v>
      </c>
      <c r="EO96" s="49">
        <v>1.5459000000000001</v>
      </c>
      <c r="EP96" s="49">
        <v>1.5567</v>
      </c>
      <c r="EQ96" s="49">
        <v>1.5676000000000001</v>
      </c>
      <c r="ER96" s="49">
        <v>1.5786</v>
      </c>
      <c r="ES96" s="49">
        <v>1.5898000000000001</v>
      </c>
      <c r="ET96" s="49">
        <v>1.6011</v>
      </c>
      <c r="EU96" s="49">
        <v>1.6125</v>
      </c>
      <c r="EV96" s="49">
        <v>1.6241000000000001</v>
      </c>
      <c r="EW96" s="49">
        <v>1.6358999999999999</v>
      </c>
      <c r="EX96" s="49">
        <v>1.6477999999999999</v>
      </c>
      <c r="EY96" s="49">
        <v>1.6598999999999999</v>
      </c>
      <c r="EZ96" s="49">
        <v>1.6721999999999999</v>
      </c>
      <c r="FA96" s="49">
        <v>1.6846000000000001</v>
      </c>
      <c r="FB96" s="49">
        <v>1.6973</v>
      </c>
      <c r="FC96" s="49">
        <v>1.7101</v>
      </c>
      <c r="FE96" s="50">
        <f t="shared" ca="1" si="13"/>
        <v>1.3703377485469563</v>
      </c>
      <c r="FF96" s="50">
        <f t="shared" ca="1" si="9"/>
        <v>1.3645293495674466</v>
      </c>
      <c r="FG96" s="50">
        <f t="shared" ca="1" si="10"/>
        <v>1.3586098657718122</v>
      </c>
      <c r="FH96" s="50">
        <f t="shared" ca="1" si="11"/>
        <v>1.3525024832214767</v>
      </c>
      <c r="FK96" s="50">
        <f t="shared" ca="1" si="12"/>
        <v>1.3645293495674466</v>
      </c>
      <c r="FL96" s="50"/>
      <c r="FM96" s="50"/>
      <c r="FN96" s="50"/>
    </row>
    <row r="97" spans="47:170" hidden="1">
      <c r="AW97" s="46">
        <v>66.069000000000003</v>
      </c>
      <c r="AX97" s="49">
        <v>0.72750000000000004</v>
      </c>
      <c r="AY97" s="49">
        <v>0.73560000000000003</v>
      </c>
      <c r="AZ97" s="49">
        <v>0.74360000000000004</v>
      </c>
      <c r="BA97" s="49">
        <v>0.75160000000000005</v>
      </c>
      <c r="BB97" s="49">
        <v>0.75960000000000005</v>
      </c>
      <c r="BC97" s="49">
        <v>0.76759999999999995</v>
      </c>
      <c r="BD97" s="49">
        <v>0.77559999999999996</v>
      </c>
      <c r="BE97" s="49">
        <v>0.78359999999999996</v>
      </c>
      <c r="BF97" s="49">
        <v>0.79159999999999997</v>
      </c>
      <c r="BG97" s="49">
        <v>0.79969999999999997</v>
      </c>
      <c r="BH97" s="49">
        <v>0.80769999999999997</v>
      </c>
      <c r="BI97" s="49">
        <v>0.81569999999999998</v>
      </c>
      <c r="BJ97" s="49">
        <v>0.82379999999999998</v>
      </c>
      <c r="BK97" s="49">
        <v>0.83179999999999998</v>
      </c>
      <c r="BL97" s="49">
        <v>0.83979999999999999</v>
      </c>
      <c r="BM97" s="49">
        <v>0.84789999999999999</v>
      </c>
      <c r="BN97" s="49">
        <v>0.85589999999999999</v>
      </c>
      <c r="BO97" s="49">
        <v>0.8639</v>
      </c>
      <c r="BP97" s="49">
        <v>0.872</v>
      </c>
      <c r="BQ97" s="49">
        <v>0.88009999999999999</v>
      </c>
      <c r="BR97" s="49">
        <v>0.8881</v>
      </c>
      <c r="BS97" s="49">
        <v>0.8962</v>
      </c>
      <c r="BT97" s="49">
        <v>0.9042</v>
      </c>
      <c r="BU97" s="49">
        <v>0.9123</v>
      </c>
      <c r="BV97" s="49">
        <v>0.9204</v>
      </c>
      <c r="BW97" s="49">
        <v>0.92849999999999999</v>
      </c>
      <c r="BX97" s="49">
        <v>0.9365</v>
      </c>
      <c r="BY97" s="49">
        <v>0.9446</v>
      </c>
      <c r="BZ97" s="49">
        <v>0.95269999999999999</v>
      </c>
      <c r="CA97" s="49">
        <v>0.96079999999999999</v>
      </c>
      <c r="CB97" s="49">
        <v>0.96889999999999998</v>
      </c>
      <c r="CC97" s="49">
        <v>0.97709999999999997</v>
      </c>
      <c r="CD97" s="49">
        <v>0.98519999999999996</v>
      </c>
      <c r="CE97" s="49">
        <v>0.99329999999999996</v>
      </c>
      <c r="CF97" s="49">
        <v>1.0015000000000001</v>
      </c>
      <c r="CG97" s="49">
        <v>1.0096000000000001</v>
      </c>
      <c r="CH97" s="49">
        <v>1.0177</v>
      </c>
      <c r="CI97" s="49">
        <v>1.0259</v>
      </c>
      <c r="CJ97" s="49">
        <v>1.0341</v>
      </c>
      <c r="CK97" s="49">
        <v>1.0423</v>
      </c>
      <c r="CL97" s="49">
        <v>1.0505</v>
      </c>
      <c r="CM97" s="49">
        <v>1.0587</v>
      </c>
      <c r="CN97" s="49">
        <v>1.0669</v>
      </c>
      <c r="CO97" s="49">
        <v>1.0750999999999999</v>
      </c>
      <c r="CP97" s="49">
        <v>1.0832999999999999</v>
      </c>
      <c r="CQ97" s="49">
        <v>1.0915999999999999</v>
      </c>
      <c r="CR97" s="49">
        <v>1.0998000000000001</v>
      </c>
      <c r="CS97" s="49">
        <v>1.1081000000000001</v>
      </c>
      <c r="CT97" s="49">
        <v>1.1164000000000001</v>
      </c>
      <c r="CU97" s="49">
        <v>1.1247</v>
      </c>
      <c r="CV97" s="49">
        <v>1.133</v>
      </c>
      <c r="CW97" s="49">
        <v>1.1413</v>
      </c>
      <c r="CX97" s="49">
        <v>1.1496999999999999</v>
      </c>
      <c r="CY97" s="49">
        <v>1.1580999999999999</v>
      </c>
      <c r="CZ97" s="49">
        <v>1.1665000000000001</v>
      </c>
      <c r="DA97" s="49">
        <v>1.1749000000000001</v>
      </c>
      <c r="DB97" s="49">
        <v>1.1833</v>
      </c>
      <c r="DC97" s="49">
        <v>1.1917</v>
      </c>
      <c r="DD97" s="49">
        <v>1.2001999999999999</v>
      </c>
      <c r="DE97" s="49">
        <v>1.2087000000000001</v>
      </c>
      <c r="DF97" s="49">
        <v>1.2172000000000001</v>
      </c>
      <c r="DG97" s="49">
        <v>1.2258</v>
      </c>
      <c r="DH97" s="49">
        <v>1.2343999999999999</v>
      </c>
      <c r="DI97" s="49">
        <v>1.2430000000000001</v>
      </c>
      <c r="DJ97" s="49">
        <v>1.2516</v>
      </c>
      <c r="DK97" s="49">
        <v>1.2603</v>
      </c>
      <c r="DL97" s="49">
        <v>1.2689999999999999</v>
      </c>
      <c r="DM97" s="49">
        <v>1.2777000000000001</v>
      </c>
      <c r="DN97" s="49">
        <v>1.2864</v>
      </c>
      <c r="DO97" s="49">
        <v>1.2952999999999999</v>
      </c>
      <c r="DP97" s="49">
        <v>1.3041</v>
      </c>
      <c r="DQ97" s="49">
        <v>1.3129999999999999</v>
      </c>
      <c r="DR97" s="49">
        <v>1.3219000000000001</v>
      </c>
      <c r="DS97" s="49">
        <v>1.3309</v>
      </c>
      <c r="DT97" s="49">
        <v>1.3399000000000001</v>
      </c>
      <c r="DU97" s="49">
        <v>1.3489</v>
      </c>
      <c r="DV97" s="49">
        <v>1.3581000000000001</v>
      </c>
      <c r="DW97" s="49">
        <v>1.3672</v>
      </c>
      <c r="DX97" s="49">
        <v>1.3764000000000001</v>
      </c>
      <c r="DY97" s="49">
        <v>1.3856999999999999</v>
      </c>
      <c r="DZ97" s="49">
        <v>1.3951</v>
      </c>
      <c r="EA97" s="49">
        <v>1.4045000000000001</v>
      </c>
      <c r="EB97" s="49">
        <v>1.4138999999999999</v>
      </c>
      <c r="EC97" s="49">
        <v>1.4235</v>
      </c>
      <c r="ED97" s="49">
        <v>1.4331</v>
      </c>
      <c r="EE97" s="49">
        <v>1.4428000000000001</v>
      </c>
      <c r="EF97" s="49">
        <v>1.4524999999999999</v>
      </c>
      <c r="EG97" s="49">
        <v>1.4623999999999999</v>
      </c>
      <c r="EH97" s="49">
        <v>1.4722999999999999</v>
      </c>
      <c r="EI97" s="49">
        <v>1.4823</v>
      </c>
      <c r="EJ97" s="49">
        <v>1.4923999999999999</v>
      </c>
      <c r="EK97" s="49">
        <v>1.5025999999999999</v>
      </c>
      <c r="EL97" s="49">
        <v>1.5128999999999999</v>
      </c>
      <c r="EM97" s="49">
        <v>1.5234000000000001</v>
      </c>
      <c r="EN97" s="49">
        <v>1.5339</v>
      </c>
      <c r="EO97" s="49">
        <v>1.5445</v>
      </c>
      <c r="EP97" s="49">
        <v>1.5552999999999999</v>
      </c>
      <c r="EQ97" s="49">
        <v>1.5662</v>
      </c>
      <c r="ER97" s="49">
        <v>1.5771999999999999</v>
      </c>
      <c r="ES97" s="49">
        <v>1.5883</v>
      </c>
      <c r="ET97" s="49">
        <v>1.5995999999999999</v>
      </c>
      <c r="EU97" s="49">
        <v>1.6111</v>
      </c>
      <c r="EV97" s="49">
        <v>1.6227</v>
      </c>
      <c r="EW97" s="49">
        <v>1.6344000000000001</v>
      </c>
      <c r="EX97" s="49">
        <v>1.6463000000000001</v>
      </c>
      <c r="EY97" s="49">
        <v>1.6584000000000001</v>
      </c>
      <c r="EZ97" s="49">
        <v>1.6707000000000001</v>
      </c>
      <c r="FA97" s="49">
        <v>1.6831</v>
      </c>
      <c r="FB97" s="49">
        <v>1.6958</v>
      </c>
      <c r="FC97" s="49">
        <v>1.7085999999999999</v>
      </c>
      <c r="FE97" s="50">
        <f t="shared" ca="1" si="13"/>
        <v>1.369037748546956</v>
      </c>
      <c r="FF97" s="50">
        <f t="shared" ca="1" si="9"/>
        <v>1.3632725088112783</v>
      </c>
      <c r="FG97" s="50">
        <f t="shared" ca="1" si="10"/>
        <v>1.3574022818791946</v>
      </c>
      <c r="FH97" s="50">
        <f t="shared" ca="1" si="11"/>
        <v>1.3512277852348993</v>
      </c>
      <c r="FK97" s="50">
        <f t="shared" ca="1" si="12"/>
        <v>1.3632725088112783</v>
      </c>
      <c r="FL97" s="50"/>
      <c r="FM97" s="50"/>
      <c r="FN97" s="50"/>
    </row>
    <row r="98" spans="47:170" hidden="1">
      <c r="AW98" s="46">
        <v>70.795000000000002</v>
      </c>
      <c r="AX98" s="49">
        <v>0.72689999999999999</v>
      </c>
      <c r="AY98" s="49">
        <v>0.7349</v>
      </c>
      <c r="AZ98" s="49">
        <v>0.7429</v>
      </c>
      <c r="BA98" s="49">
        <v>0.75090000000000001</v>
      </c>
      <c r="BB98" s="49">
        <v>0.75890000000000002</v>
      </c>
      <c r="BC98" s="49">
        <v>0.76690000000000003</v>
      </c>
      <c r="BD98" s="49">
        <v>0.77490000000000003</v>
      </c>
      <c r="BE98" s="49">
        <v>0.78290000000000004</v>
      </c>
      <c r="BF98" s="49">
        <v>0.79090000000000005</v>
      </c>
      <c r="BG98" s="49">
        <v>0.79900000000000004</v>
      </c>
      <c r="BH98" s="49">
        <v>0.80700000000000005</v>
      </c>
      <c r="BI98" s="49">
        <v>0.81499999999999995</v>
      </c>
      <c r="BJ98" s="49">
        <v>0.82299999999999995</v>
      </c>
      <c r="BK98" s="49">
        <v>0.83099999999999996</v>
      </c>
      <c r="BL98" s="49">
        <v>0.83909999999999996</v>
      </c>
      <c r="BM98" s="49">
        <v>0.84709999999999996</v>
      </c>
      <c r="BN98" s="49">
        <v>0.85509999999999997</v>
      </c>
      <c r="BO98" s="49">
        <v>0.86319999999999997</v>
      </c>
      <c r="BP98" s="49">
        <v>0.87119999999999997</v>
      </c>
      <c r="BQ98" s="49">
        <v>0.87929999999999997</v>
      </c>
      <c r="BR98" s="49">
        <v>0.88729999999999998</v>
      </c>
      <c r="BS98" s="49">
        <v>0.89539999999999997</v>
      </c>
      <c r="BT98" s="49">
        <v>0.90339999999999998</v>
      </c>
      <c r="BU98" s="49">
        <v>0.91149999999999998</v>
      </c>
      <c r="BV98" s="49">
        <v>0.91959999999999997</v>
      </c>
      <c r="BW98" s="49">
        <v>0.92759999999999998</v>
      </c>
      <c r="BX98" s="49">
        <v>0.93569999999999998</v>
      </c>
      <c r="BY98" s="49">
        <v>0.94379999999999997</v>
      </c>
      <c r="BZ98" s="49">
        <v>0.95189999999999997</v>
      </c>
      <c r="CA98" s="49">
        <v>0.96</v>
      </c>
      <c r="CB98" s="49">
        <v>0.96809999999999996</v>
      </c>
      <c r="CC98" s="49">
        <v>0.97619999999999996</v>
      </c>
      <c r="CD98" s="49">
        <v>0.98429999999999995</v>
      </c>
      <c r="CE98" s="49">
        <v>0.99239999999999995</v>
      </c>
      <c r="CF98" s="49">
        <v>1.0005999999999999</v>
      </c>
      <c r="CG98" s="49">
        <v>1.0086999999999999</v>
      </c>
      <c r="CH98" s="49">
        <v>1.0167999999999999</v>
      </c>
      <c r="CI98" s="49">
        <v>1.0249999999999999</v>
      </c>
      <c r="CJ98" s="49">
        <v>1.0331999999999999</v>
      </c>
      <c r="CK98" s="49">
        <v>1.0412999999999999</v>
      </c>
      <c r="CL98" s="49">
        <v>1.0495000000000001</v>
      </c>
      <c r="CM98" s="49">
        <v>1.0577000000000001</v>
      </c>
      <c r="CN98" s="49">
        <v>1.0659000000000001</v>
      </c>
      <c r="CO98" s="49">
        <v>1.0741000000000001</v>
      </c>
      <c r="CP98" s="49">
        <v>1.0823</v>
      </c>
      <c r="CQ98" s="49">
        <v>1.0906</v>
      </c>
      <c r="CR98" s="49">
        <v>1.0988</v>
      </c>
      <c r="CS98" s="49">
        <v>1.1071</v>
      </c>
      <c r="CT98" s="49">
        <v>1.1153999999999999</v>
      </c>
      <c r="CU98" s="49">
        <v>1.1236999999999999</v>
      </c>
      <c r="CV98" s="49">
        <v>1.1319999999999999</v>
      </c>
      <c r="CW98" s="49">
        <v>1.1403000000000001</v>
      </c>
      <c r="CX98" s="49">
        <v>1.1487000000000001</v>
      </c>
      <c r="CY98" s="49">
        <v>1.157</v>
      </c>
      <c r="CZ98" s="49">
        <v>1.1654</v>
      </c>
      <c r="DA98" s="49">
        <v>1.1738</v>
      </c>
      <c r="DB98" s="49">
        <v>1.1821999999999999</v>
      </c>
      <c r="DC98" s="49">
        <v>1.1907000000000001</v>
      </c>
      <c r="DD98" s="49">
        <v>1.1991000000000001</v>
      </c>
      <c r="DE98" s="49">
        <v>1.2076</v>
      </c>
      <c r="DF98" s="49">
        <v>1.2161</v>
      </c>
      <c r="DG98" s="49">
        <v>1.2246999999999999</v>
      </c>
      <c r="DH98" s="49">
        <v>1.2333000000000001</v>
      </c>
      <c r="DI98" s="49">
        <v>1.2418</v>
      </c>
      <c r="DJ98" s="49">
        <v>1.2504999999999999</v>
      </c>
      <c r="DK98" s="49">
        <v>1.2591000000000001</v>
      </c>
      <c r="DL98" s="49">
        <v>1.2678</v>
      </c>
      <c r="DM98" s="49">
        <v>1.2765</v>
      </c>
      <c r="DN98" s="49">
        <v>1.2853000000000001</v>
      </c>
      <c r="DO98" s="49">
        <v>1.2941</v>
      </c>
      <c r="DP98" s="49">
        <v>1.3028999999999999</v>
      </c>
      <c r="DQ98" s="49">
        <v>1.3118000000000001</v>
      </c>
      <c r="DR98" s="49">
        <v>1.3207</v>
      </c>
      <c r="DS98" s="49">
        <v>1.3297000000000001</v>
      </c>
      <c r="DT98" s="49">
        <v>1.3387</v>
      </c>
      <c r="DU98" s="49">
        <v>1.3476999999999999</v>
      </c>
      <c r="DV98" s="49">
        <v>1.3568</v>
      </c>
      <c r="DW98" s="49">
        <v>1.3660000000000001</v>
      </c>
      <c r="DX98" s="49">
        <v>1.3752</v>
      </c>
      <c r="DY98" s="49">
        <v>1.3845000000000001</v>
      </c>
      <c r="DZ98" s="49">
        <v>1.3937999999999999</v>
      </c>
      <c r="EA98" s="49">
        <v>1.4032</v>
      </c>
      <c r="EB98" s="49">
        <v>1.4127000000000001</v>
      </c>
      <c r="EC98" s="49">
        <v>1.4221999999999999</v>
      </c>
      <c r="ED98" s="49">
        <v>1.4318</v>
      </c>
      <c r="EE98" s="49">
        <v>1.4415</v>
      </c>
      <c r="EF98" s="49">
        <v>1.4512</v>
      </c>
      <c r="EG98" s="49">
        <v>1.4610000000000001</v>
      </c>
      <c r="EH98" s="49">
        <v>1.4710000000000001</v>
      </c>
      <c r="EI98" s="49">
        <v>1.4810000000000001</v>
      </c>
      <c r="EJ98" s="49">
        <v>1.4911000000000001</v>
      </c>
      <c r="EK98" s="49">
        <v>1.5013000000000001</v>
      </c>
      <c r="EL98" s="49">
        <v>1.5116000000000001</v>
      </c>
      <c r="EM98" s="49">
        <v>1.522</v>
      </c>
      <c r="EN98" s="49">
        <v>1.5325</v>
      </c>
      <c r="EO98" s="49">
        <v>1.5430999999999999</v>
      </c>
      <c r="EP98" s="49">
        <v>1.5539000000000001</v>
      </c>
      <c r="EQ98" s="49">
        <v>1.5648</v>
      </c>
      <c r="ER98" s="49">
        <v>1.5758000000000001</v>
      </c>
      <c r="ES98" s="49">
        <v>1.5869</v>
      </c>
      <c r="ET98" s="49">
        <v>1.5982000000000001</v>
      </c>
      <c r="EU98" s="49">
        <v>1.6095999999999999</v>
      </c>
      <c r="EV98" s="49">
        <v>1.6212</v>
      </c>
      <c r="EW98" s="49">
        <v>1.6329</v>
      </c>
      <c r="EX98" s="49">
        <v>1.6448</v>
      </c>
      <c r="EY98" s="49">
        <v>1.6569</v>
      </c>
      <c r="EZ98" s="49">
        <v>1.6692</v>
      </c>
      <c r="FA98" s="49">
        <v>1.6816</v>
      </c>
      <c r="FB98" s="49">
        <v>1.6941999999999999</v>
      </c>
      <c r="FC98" s="49">
        <v>1.7071000000000001</v>
      </c>
      <c r="FE98" s="50">
        <f t="shared" ca="1" si="13"/>
        <v>1.3678377485469564</v>
      </c>
      <c r="FF98" s="50">
        <f t="shared" ca="1" si="9"/>
        <v>1.3620293495674467</v>
      </c>
      <c r="FG98" s="50">
        <f t="shared" ca="1" si="10"/>
        <v>1.356109865771812</v>
      </c>
      <c r="FH98" s="50">
        <f t="shared" ca="1" si="11"/>
        <v>1.3500024832214765</v>
      </c>
      <c r="FK98" s="50">
        <f t="shared" ca="1" si="12"/>
        <v>1.3620293495674467</v>
      </c>
      <c r="FL98" s="50"/>
      <c r="FM98" s="50"/>
      <c r="FN98" s="50"/>
    </row>
    <row r="99" spans="47:170" hidden="1">
      <c r="AW99" s="46">
        <v>75.858000000000004</v>
      </c>
      <c r="AX99" s="49">
        <v>0.72619999999999996</v>
      </c>
      <c r="AY99" s="49">
        <v>0.73419999999999996</v>
      </c>
      <c r="AZ99" s="49">
        <v>0.74219999999999997</v>
      </c>
      <c r="BA99" s="49">
        <v>0.75019999999999998</v>
      </c>
      <c r="BB99" s="49">
        <v>0.75819999999999999</v>
      </c>
      <c r="BC99" s="49">
        <v>0.76619999999999999</v>
      </c>
      <c r="BD99" s="49">
        <v>0.7742</v>
      </c>
      <c r="BE99" s="49">
        <v>0.78220000000000001</v>
      </c>
      <c r="BF99" s="49">
        <v>0.79020000000000001</v>
      </c>
      <c r="BG99" s="49">
        <v>0.79820000000000002</v>
      </c>
      <c r="BH99" s="49">
        <v>0.80630000000000002</v>
      </c>
      <c r="BI99" s="49">
        <v>0.81430000000000002</v>
      </c>
      <c r="BJ99" s="49">
        <v>0.82230000000000003</v>
      </c>
      <c r="BK99" s="49">
        <v>0.83030000000000004</v>
      </c>
      <c r="BL99" s="49">
        <v>0.83830000000000005</v>
      </c>
      <c r="BM99" s="49">
        <v>0.84630000000000005</v>
      </c>
      <c r="BN99" s="49">
        <v>0.85440000000000005</v>
      </c>
      <c r="BO99" s="49">
        <v>0.86240000000000006</v>
      </c>
      <c r="BP99" s="49">
        <v>0.87039999999999995</v>
      </c>
      <c r="BQ99" s="49">
        <v>0.87849999999999995</v>
      </c>
      <c r="BR99" s="49">
        <v>0.88649999999999995</v>
      </c>
      <c r="BS99" s="49">
        <v>0.89459999999999995</v>
      </c>
      <c r="BT99" s="49">
        <v>0.90259999999999996</v>
      </c>
      <c r="BU99" s="49">
        <v>0.91069999999999995</v>
      </c>
      <c r="BV99" s="49">
        <v>0.91869999999999996</v>
      </c>
      <c r="BW99" s="49">
        <v>0.92679999999999996</v>
      </c>
      <c r="BX99" s="49">
        <v>0.93489999999999995</v>
      </c>
      <c r="BY99" s="49">
        <v>0.94299999999999995</v>
      </c>
      <c r="BZ99" s="49">
        <v>0.95099999999999996</v>
      </c>
      <c r="CA99" s="49">
        <v>0.95909999999999995</v>
      </c>
      <c r="CB99" s="49">
        <v>0.96719999999999995</v>
      </c>
      <c r="CC99" s="49">
        <v>0.97529999999999994</v>
      </c>
      <c r="CD99" s="49">
        <v>0.98340000000000005</v>
      </c>
      <c r="CE99" s="49">
        <v>0.99150000000000005</v>
      </c>
      <c r="CF99" s="49">
        <v>0.99970000000000003</v>
      </c>
      <c r="CG99" s="49">
        <v>1.0078</v>
      </c>
      <c r="CH99" s="49">
        <v>1.0159</v>
      </c>
      <c r="CI99" s="49">
        <v>1.0241</v>
      </c>
      <c r="CJ99" s="49">
        <v>1.0322</v>
      </c>
      <c r="CK99" s="49">
        <v>1.0404</v>
      </c>
      <c r="CL99" s="49">
        <v>1.0486</v>
      </c>
      <c r="CM99" s="49">
        <v>1.0568</v>
      </c>
      <c r="CN99" s="49">
        <v>1.0649999999999999</v>
      </c>
      <c r="CO99" s="49">
        <v>1.0731999999999999</v>
      </c>
      <c r="CP99" s="49">
        <v>1.0813999999999999</v>
      </c>
      <c r="CQ99" s="49">
        <v>1.0895999999999999</v>
      </c>
      <c r="CR99" s="49">
        <v>1.0979000000000001</v>
      </c>
      <c r="CS99" s="49">
        <v>1.1061000000000001</v>
      </c>
      <c r="CT99" s="49">
        <v>1.1144000000000001</v>
      </c>
      <c r="CU99" s="49">
        <v>1.1227</v>
      </c>
      <c r="CV99" s="49">
        <v>1.131</v>
      </c>
      <c r="CW99" s="49">
        <v>1.1393</v>
      </c>
      <c r="CX99" s="49">
        <v>1.1476</v>
      </c>
      <c r="CY99" s="49">
        <v>1.1559999999999999</v>
      </c>
      <c r="CZ99" s="49">
        <v>1.1644000000000001</v>
      </c>
      <c r="DA99" s="49">
        <v>1.1728000000000001</v>
      </c>
      <c r="DB99" s="49">
        <v>1.1812</v>
      </c>
      <c r="DC99" s="49">
        <v>1.1896</v>
      </c>
      <c r="DD99" s="49">
        <v>1.1980999999999999</v>
      </c>
      <c r="DE99" s="49">
        <v>1.2065999999999999</v>
      </c>
      <c r="DF99" s="49">
        <v>1.2151000000000001</v>
      </c>
      <c r="DG99" s="49">
        <v>1.2236</v>
      </c>
      <c r="DH99" s="49">
        <v>1.2322</v>
      </c>
      <c r="DI99" s="49">
        <v>1.2406999999999999</v>
      </c>
      <c r="DJ99" s="49">
        <v>1.2494000000000001</v>
      </c>
      <c r="DK99" s="49">
        <v>1.258</v>
      </c>
      <c r="DL99" s="49">
        <v>1.2666999999999999</v>
      </c>
      <c r="DM99" s="49">
        <v>1.2754000000000001</v>
      </c>
      <c r="DN99" s="49">
        <v>1.2842</v>
      </c>
      <c r="DO99" s="49">
        <v>1.2928999999999999</v>
      </c>
      <c r="DP99" s="49">
        <v>1.3018000000000001</v>
      </c>
      <c r="DQ99" s="49">
        <v>1.3106</v>
      </c>
      <c r="DR99" s="49">
        <v>1.3194999999999999</v>
      </c>
      <c r="DS99" s="49">
        <v>1.3285</v>
      </c>
      <c r="DT99" s="49">
        <v>1.3374999999999999</v>
      </c>
      <c r="DU99" s="49">
        <v>1.3465</v>
      </c>
      <c r="DV99" s="49">
        <v>1.3555999999999999</v>
      </c>
      <c r="DW99" s="49">
        <v>1.3648</v>
      </c>
      <c r="DX99" s="49">
        <v>1.3740000000000001</v>
      </c>
      <c r="DY99" s="49">
        <v>1.3832</v>
      </c>
      <c r="DZ99" s="49">
        <v>1.3926000000000001</v>
      </c>
      <c r="EA99" s="49">
        <v>1.4018999999999999</v>
      </c>
      <c r="EB99" s="49">
        <v>1.4114</v>
      </c>
      <c r="EC99" s="49">
        <v>1.4209000000000001</v>
      </c>
      <c r="ED99" s="49">
        <v>1.4305000000000001</v>
      </c>
      <c r="EE99" s="49">
        <v>1.4401999999999999</v>
      </c>
      <c r="EF99" s="49">
        <v>1.4499</v>
      </c>
      <c r="EG99" s="49">
        <v>1.4597</v>
      </c>
      <c r="EH99" s="49">
        <v>1.4697</v>
      </c>
      <c r="EI99" s="49">
        <v>1.4797</v>
      </c>
      <c r="EJ99" s="49">
        <v>1.4898</v>
      </c>
      <c r="EK99" s="49">
        <v>1.4999</v>
      </c>
      <c r="EL99" s="49">
        <v>1.5102</v>
      </c>
      <c r="EM99" s="49">
        <v>1.5206</v>
      </c>
      <c r="EN99" s="49">
        <v>1.5310999999999999</v>
      </c>
      <c r="EO99" s="49">
        <v>1.5418000000000001</v>
      </c>
      <c r="EP99" s="49">
        <v>1.5525</v>
      </c>
      <c r="EQ99" s="49">
        <v>1.5633999999999999</v>
      </c>
      <c r="ER99" s="49">
        <v>1.5744</v>
      </c>
      <c r="ES99" s="49">
        <v>1.5854999999999999</v>
      </c>
      <c r="ET99" s="49">
        <v>1.5968</v>
      </c>
      <c r="EU99" s="49">
        <v>1.6082000000000001</v>
      </c>
      <c r="EV99" s="49">
        <v>1.6197999999999999</v>
      </c>
      <c r="EW99" s="49">
        <v>1.6315</v>
      </c>
      <c r="EX99" s="49">
        <v>1.6434</v>
      </c>
      <c r="EY99" s="49">
        <v>1.6554</v>
      </c>
      <c r="EZ99" s="49">
        <v>1.6677</v>
      </c>
      <c r="FA99" s="49">
        <v>1.6800999999999999</v>
      </c>
      <c r="FB99" s="49">
        <v>1.6927000000000001</v>
      </c>
      <c r="FC99" s="49">
        <v>1.7055</v>
      </c>
      <c r="FE99" s="50">
        <f t="shared" ca="1" si="13"/>
        <v>1.3666377485469563</v>
      </c>
      <c r="FF99" s="50">
        <f t="shared" ca="1" si="9"/>
        <v>1.3608293495674464</v>
      </c>
      <c r="FG99" s="50">
        <f t="shared" ca="1" si="10"/>
        <v>1.3549098657718119</v>
      </c>
      <c r="FH99" s="50">
        <f t="shared" ca="1" si="11"/>
        <v>1.3488024832214764</v>
      </c>
      <c r="FK99" s="50">
        <f t="shared" ca="1" si="12"/>
        <v>1.3608293495674464</v>
      </c>
      <c r="FL99" s="50"/>
      <c r="FM99" s="50"/>
      <c r="FN99" s="50"/>
    </row>
    <row r="100" spans="47:170" hidden="1">
      <c r="AW100" s="46">
        <v>81.283000000000001</v>
      </c>
      <c r="AX100" s="49">
        <v>0.72560000000000002</v>
      </c>
      <c r="AY100" s="49">
        <v>0.73360000000000003</v>
      </c>
      <c r="AZ100" s="49">
        <v>0.74160000000000004</v>
      </c>
      <c r="BA100" s="49">
        <v>0.74960000000000004</v>
      </c>
      <c r="BB100" s="49">
        <v>0.75760000000000005</v>
      </c>
      <c r="BC100" s="49">
        <v>0.76549999999999996</v>
      </c>
      <c r="BD100" s="49">
        <v>0.77349999999999997</v>
      </c>
      <c r="BE100" s="49">
        <v>0.78149999999999997</v>
      </c>
      <c r="BF100" s="49">
        <v>0.78949999999999998</v>
      </c>
      <c r="BG100" s="49">
        <v>0.79749999999999999</v>
      </c>
      <c r="BH100" s="49">
        <v>0.80549999999999999</v>
      </c>
      <c r="BI100" s="49">
        <v>0.8135</v>
      </c>
      <c r="BJ100" s="49">
        <v>0.8216</v>
      </c>
      <c r="BK100" s="49">
        <v>0.8296</v>
      </c>
      <c r="BL100" s="49">
        <v>0.83760000000000001</v>
      </c>
      <c r="BM100" s="49">
        <v>0.84560000000000002</v>
      </c>
      <c r="BN100" s="49">
        <v>0.85360000000000003</v>
      </c>
      <c r="BO100" s="49">
        <v>0.86160000000000003</v>
      </c>
      <c r="BP100" s="49">
        <v>0.86970000000000003</v>
      </c>
      <c r="BQ100" s="49">
        <v>0.87770000000000004</v>
      </c>
      <c r="BR100" s="49">
        <v>0.88570000000000004</v>
      </c>
      <c r="BS100" s="49">
        <v>0.89380000000000004</v>
      </c>
      <c r="BT100" s="49">
        <v>0.90180000000000005</v>
      </c>
      <c r="BU100" s="49">
        <v>0.90990000000000004</v>
      </c>
      <c r="BV100" s="49">
        <v>0.91790000000000005</v>
      </c>
      <c r="BW100" s="49">
        <v>0.92600000000000005</v>
      </c>
      <c r="BX100" s="49">
        <v>0.93410000000000004</v>
      </c>
      <c r="BY100" s="49">
        <v>0.94210000000000005</v>
      </c>
      <c r="BZ100" s="49">
        <v>0.95020000000000004</v>
      </c>
      <c r="CA100" s="49">
        <v>0.95830000000000004</v>
      </c>
      <c r="CB100" s="49">
        <v>0.96640000000000004</v>
      </c>
      <c r="CC100" s="49">
        <v>0.97450000000000003</v>
      </c>
      <c r="CD100" s="49">
        <v>0.98260000000000003</v>
      </c>
      <c r="CE100" s="49">
        <v>0.99070000000000003</v>
      </c>
      <c r="CF100" s="49">
        <v>0.99880000000000002</v>
      </c>
      <c r="CG100" s="49">
        <v>1.0068999999999999</v>
      </c>
      <c r="CH100" s="49">
        <v>1.0149999999999999</v>
      </c>
      <c r="CI100" s="49">
        <v>1.0232000000000001</v>
      </c>
      <c r="CJ100" s="49">
        <v>1.0313000000000001</v>
      </c>
      <c r="CK100" s="49">
        <v>1.0395000000000001</v>
      </c>
      <c r="CL100" s="49">
        <v>1.0477000000000001</v>
      </c>
      <c r="CM100" s="49">
        <v>1.0558000000000001</v>
      </c>
      <c r="CN100" s="49">
        <v>1.0640000000000001</v>
      </c>
      <c r="CO100" s="49">
        <v>1.0722</v>
      </c>
      <c r="CP100" s="49">
        <v>1.0804</v>
      </c>
      <c r="CQ100" s="49">
        <v>1.0887</v>
      </c>
      <c r="CR100" s="49">
        <v>1.0969</v>
      </c>
      <c r="CS100" s="49">
        <v>1.1051</v>
      </c>
      <c r="CT100" s="49">
        <v>1.1133999999999999</v>
      </c>
      <c r="CU100" s="49">
        <v>1.1216999999999999</v>
      </c>
      <c r="CV100" s="49">
        <v>1.1299999999999999</v>
      </c>
      <c r="CW100" s="49">
        <v>1.1383000000000001</v>
      </c>
      <c r="CX100" s="49">
        <v>1.1466000000000001</v>
      </c>
      <c r="CY100" s="49">
        <v>1.155</v>
      </c>
      <c r="CZ100" s="49">
        <v>1.1634</v>
      </c>
      <c r="DA100" s="49">
        <v>1.1717</v>
      </c>
      <c r="DB100" s="49">
        <v>1.1800999999999999</v>
      </c>
      <c r="DC100" s="49">
        <v>1.1886000000000001</v>
      </c>
      <c r="DD100" s="49">
        <v>1.1970000000000001</v>
      </c>
      <c r="DE100" s="49">
        <v>1.2055</v>
      </c>
      <c r="DF100" s="49">
        <v>1.214</v>
      </c>
      <c r="DG100" s="49">
        <v>1.2224999999999999</v>
      </c>
      <c r="DH100" s="49">
        <v>1.2311000000000001</v>
      </c>
      <c r="DI100" s="49">
        <v>1.2397</v>
      </c>
      <c r="DJ100" s="49">
        <v>1.2483</v>
      </c>
      <c r="DK100" s="49">
        <v>1.2568999999999999</v>
      </c>
      <c r="DL100" s="49">
        <v>1.2656000000000001</v>
      </c>
      <c r="DM100" s="49">
        <v>1.2743</v>
      </c>
      <c r="DN100" s="49">
        <v>1.2829999999999999</v>
      </c>
      <c r="DO100" s="49">
        <v>1.2918000000000001</v>
      </c>
      <c r="DP100" s="49">
        <v>1.3006</v>
      </c>
      <c r="DQ100" s="49">
        <v>1.3095000000000001</v>
      </c>
      <c r="DR100" s="49">
        <v>1.3184</v>
      </c>
      <c r="DS100" s="49">
        <v>1.3272999999999999</v>
      </c>
      <c r="DT100" s="49">
        <v>1.3363</v>
      </c>
      <c r="DU100" s="49">
        <v>1.3452999999999999</v>
      </c>
      <c r="DV100" s="49">
        <v>1.3544</v>
      </c>
      <c r="DW100" s="49">
        <v>1.3635999999999999</v>
      </c>
      <c r="DX100" s="49">
        <v>1.3728</v>
      </c>
      <c r="DY100" s="49">
        <v>1.3819999999999999</v>
      </c>
      <c r="DZ100" s="49">
        <v>1.3913</v>
      </c>
      <c r="EA100" s="49">
        <v>1.4007000000000001</v>
      </c>
      <c r="EB100" s="49">
        <v>1.4101999999999999</v>
      </c>
      <c r="EC100" s="49">
        <v>1.4197</v>
      </c>
      <c r="ED100" s="49">
        <v>1.4292</v>
      </c>
      <c r="EE100" s="49">
        <v>1.4389000000000001</v>
      </c>
      <c r="EF100" s="49">
        <v>1.4486000000000001</v>
      </c>
      <c r="EG100" s="49">
        <v>1.4584999999999999</v>
      </c>
      <c r="EH100" s="49">
        <v>1.4683999999999999</v>
      </c>
      <c r="EI100" s="49">
        <v>1.4783999999999999</v>
      </c>
      <c r="EJ100" s="49">
        <v>1.4883999999999999</v>
      </c>
      <c r="EK100" s="49">
        <v>1.4985999999999999</v>
      </c>
      <c r="EL100" s="49">
        <v>1.5088999999999999</v>
      </c>
      <c r="EM100" s="49">
        <v>1.5193000000000001</v>
      </c>
      <c r="EN100" s="49">
        <v>1.5298</v>
      </c>
      <c r="EO100" s="49">
        <v>1.5404</v>
      </c>
      <c r="EP100" s="49">
        <v>1.5510999999999999</v>
      </c>
      <c r="EQ100" s="49">
        <v>1.5620000000000001</v>
      </c>
      <c r="ER100" s="49">
        <v>1.573</v>
      </c>
      <c r="ES100" s="49">
        <v>1.5841000000000001</v>
      </c>
      <c r="ET100" s="49">
        <v>1.5953999999999999</v>
      </c>
      <c r="EU100" s="49">
        <v>1.6068</v>
      </c>
      <c r="EV100" s="49">
        <v>1.6183000000000001</v>
      </c>
      <c r="EW100" s="49">
        <v>1.6301000000000001</v>
      </c>
      <c r="EX100" s="49">
        <v>1.6418999999999999</v>
      </c>
      <c r="EY100" s="49">
        <v>1.6539999999999999</v>
      </c>
      <c r="EZ100" s="49">
        <v>1.6661999999999999</v>
      </c>
      <c r="FA100" s="49">
        <v>1.6786000000000001</v>
      </c>
      <c r="FB100" s="49">
        <v>1.6912</v>
      </c>
      <c r="FC100" s="49">
        <v>1.704</v>
      </c>
      <c r="FE100" s="50">
        <f t="shared" ca="1" si="13"/>
        <v>1.365437748546956</v>
      </c>
      <c r="FF100" s="50">
        <f t="shared" ca="1" si="9"/>
        <v>1.3596293495674463</v>
      </c>
      <c r="FG100" s="50">
        <f t="shared" ca="1" si="10"/>
        <v>1.3537098657718121</v>
      </c>
      <c r="FH100" s="50">
        <f t="shared" ca="1" si="11"/>
        <v>1.3476024832214764</v>
      </c>
      <c r="FK100" s="50">
        <f t="shared" ca="1" si="12"/>
        <v>1.3596293495674463</v>
      </c>
      <c r="FL100" s="50"/>
      <c r="FM100" s="50"/>
      <c r="FN100" s="50"/>
    </row>
    <row r="101" spans="47:170" hidden="1">
      <c r="AW101" s="46">
        <v>87.096000000000004</v>
      </c>
      <c r="AX101" s="49">
        <v>0.72499999999999998</v>
      </c>
      <c r="AY101" s="49">
        <v>0.7329</v>
      </c>
      <c r="AZ101" s="49">
        <v>0.7409</v>
      </c>
      <c r="BA101" s="49">
        <v>0.74890000000000001</v>
      </c>
      <c r="BB101" s="49">
        <v>0.75690000000000002</v>
      </c>
      <c r="BC101" s="49">
        <v>0.76490000000000002</v>
      </c>
      <c r="BD101" s="49">
        <v>0.77290000000000003</v>
      </c>
      <c r="BE101" s="49">
        <v>0.78090000000000004</v>
      </c>
      <c r="BF101" s="49">
        <v>0.78879999999999995</v>
      </c>
      <c r="BG101" s="49">
        <v>0.79679999999999995</v>
      </c>
      <c r="BH101" s="49">
        <v>0.80479999999999996</v>
      </c>
      <c r="BI101" s="49">
        <v>0.81279999999999997</v>
      </c>
      <c r="BJ101" s="49">
        <v>0.82079999999999997</v>
      </c>
      <c r="BK101" s="49">
        <v>0.82879999999999998</v>
      </c>
      <c r="BL101" s="49">
        <v>0.83689999999999998</v>
      </c>
      <c r="BM101" s="49">
        <v>0.84489999999999998</v>
      </c>
      <c r="BN101" s="49">
        <v>0.85289999999999999</v>
      </c>
      <c r="BO101" s="49">
        <v>0.8609</v>
      </c>
      <c r="BP101" s="49">
        <v>0.86890000000000001</v>
      </c>
      <c r="BQ101" s="49">
        <v>0.87690000000000001</v>
      </c>
      <c r="BR101" s="49">
        <v>0.88500000000000001</v>
      </c>
      <c r="BS101" s="49">
        <v>0.89300000000000002</v>
      </c>
      <c r="BT101" s="49">
        <v>0.90100000000000002</v>
      </c>
      <c r="BU101" s="49">
        <v>0.90910000000000002</v>
      </c>
      <c r="BV101" s="49">
        <v>0.91710000000000003</v>
      </c>
      <c r="BW101" s="49">
        <v>0.92520000000000002</v>
      </c>
      <c r="BX101" s="49">
        <v>0.93320000000000003</v>
      </c>
      <c r="BY101" s="49">
        <v>0.94130000000000003</v>
      </c>
      <c r="BZ101" s="49">
        <v>0.94940000000000002</v>
      </c>
      <c r="CA101" s="49">
        <v>0.95740000000000003</v>
      </c>
      <c r="CB101" s="49">
        <v>0.96550000000000002</v>
      </c>
      <c r="CC101" s="49">
        <v>0.97360000000000002</v>
      </c>
      <c r="CD101" s="49">
        <v>0.98170000000000002</v>
      </c>
      <c r="CE101" s="49">
        <v>0.98980000000000001</v>
      </c>
      <c r="CF101" s="49">
        <v>0.99790000000000001</v>
      </c>
      <c r="CG101" s="49">
        <v>1.006</v>
      </c>
      <c r="CH101" s="49">
        <v>1.0141</v>
      </c>
      <c r="CI101" s="49">
        <v>1.0223</v>
      </c>
      <c r="CJ101" s="49">
        <v>1.0304</v>
      </c>
      <c r="CK101" s="49">
        <v>1.0386</v>
      </c>
      <c r="CL101" s="49">
        <v>1.0467</v>
      </c>
      <c r="CM101" s="49">
        <v>1.0548999999999999</v>
      </c>
      <c r="CN101" s="49">
        <v>1.0630999999999999</v>
      </c>
      <c r="CO101" s="49">
        <v>1.0712999999999999</v>
      </c>
      <c r="CP101" s="49">
        <v>1.0794999999999999</v>
      </c>
      <c r="CQ101" s="49">
        <v>1.0876999999999999</v>
      </c>
      <c r="CR101" s="49">
        <v>1.0959000000000001</v>
      </c>
      <c r="CS101" s="49">
        <v>1.1042000000000001</v>
      </c>
      <c r="CT101" s="49">
        <v>1.1124000000000001</v>
      </c>
      <c r="CU101" s="49">
        <v>1.1207</v>
      </c>
      <c r="CV101" s="49">
        <v>1.129</v>
      </c>
      <c r="CW101" s="49">
        <v>1.1373</v>
      </c>
      <c r="CX101" s="49">
        <v>1.1456</v>
      </c>
      <c r="CY101" s="49">
        <v>1.1539999999999999</v>
      </c>
      <c r="CZ101" s="49">
        <v>1.1623000000000001</v>
      </c>
      <c r="DA101" s="49">
        <v>1.1707000000000001</v>
      </c>
      <c r="DB101" s="49">
        <v>1.1791</v>
      </c>
      <c r="DC101" s="49">
        <v>1.1875</v>
      </c>
      <c r="DD101" s="49">
        <v>1.196</v>
      </c>
      <c r="DE101" s="49">
        <v>1.2043999999999999</v>
      </c>
      <c r="DF101" s="49">
        <v>1.2129000000000001</v>
      </c>
      <c r="DG101" s="49">
        <v>1.2215</v>
      </c>
      <c r="DH101" s="49">
        <v>1.23</v>
      </c>
      <c r="DI101" s="49">
        <v>1.2385999999999999</v>
      </c>
      <c r="DJ101" s="49">
        <v>1.2472000000000001</v>
      </c>
      <c r="DK101" s="49">
        <v>1.2558</v>
      </c>
      <c r="DL101" s="49">
        <v>1.2645</v>
      </c>
      <c r="DM101" s="49">
        <v>1.2732000000000001</v>
      </c>
      <c r="DN101" s="49">
        <v>1.2819</v>
      </c>
      <c r="DO101" s="49">
        <v>1.2907</v>
      </c>
      <c r="DP101" s="49">
        <v>1.2995000000000001</v>
      </c>
      <c r="DQ101" s="49">
        <v>1.3083</v>
      </c>
      <c r="DR101" s="49">
        <v>1.3171999999999999</v>
      </c>
      <c r="DS101" s="49">
        <v>1.3262</v>
      </c>
      <c r="DT101" s="49">
        <v>1.3351</v>
      </c>
      <c r="DU101" s="49">
        <v>1.3442000000000001</v>
      </c>
      <c r="DV101" s="49">
        <v>1.3532</v>
      </c>
      <c r="DW101" s="49">
        <v>1.3624000000000001</v>
      </c>
      <c r="DX101" s="49">
        <v>1.3715999999999999</v>
      </c>
      <c r="DY101" s="49">
        <v>1.3808</v>
      </c>
      <c r="DZ101" s="49">
        <v>1.3900999999999999</v>
      </c>
      <c r="EA101" s="49">
        <v>1.3995</v>
      </c>
      <c r="EB101" s="49">
        <v>1.4089</v>
      </c>
      <c r="EC101" s="49">
        <v>1.4184000000000001</v>
      </c>
      <c r="ED101" s="49">
        <v>1.4279999999999999</v>
      </c>
      <c r="EE101" s="49">
        <v>1.4377</v>
      </c>
      <c r="EF101" s="49">
        <v>1.4474</v>
      </c>
      <c r="EG101" s="49">
        <v>1.4572000000000001</v>
      </c>
      <c r="EH101" s="49">
        <v>1.4671000000000001</v>
      </c>
      <c r="EI101" s="49">
        <v>1.4771000000000001</v>
      </c>
      <c r="EJ101" s="49">
        <v>1.4871000000000001</v>
      </c>
      <c r="EK101" s="49">
        <v>1.4973000000000001</v>
      </c>
      <c r="EL101" s="49">
        <v>1.5076000000000001</v>
      </c>
      <c r="EM101" s="49">
        <v>1.518</v>
      </c>
      <c r="EN101" s="49">
        <v>1.5285</v>
      </c>
      <c r="EO101" s="49">
        <v>1.5390999999999999</v>
      </c>
      <c r="EP101" s="49">
        <v>1.5498000000000001</v>
      </c>
      <c r="EQ101" s="49">
        <v>1.5606</v>
      </c>
      <c r="ER101" s="49">
        <v>1.5716000000000001</v>
      </c>
      <c r="ES101" s="49">
        <v>1.5827</v>
      </c>
      <c r="ET101" s="49">
        <v>1.5940000000000001</v>
      </c>
      <c r="EU101" s="49">
        <v>1.6053999999999999</v>
      </c>
      <c r="EV101" s="49">
        <v>1.6169</v>
      </c>
      <c r="EW101" s="49">
        <v>1.6286</v>
      </c>
      <c r="EX101" s="49">
        <v>1.6405000000000001</v>
      </c>
      <c r="EY101" s="49">
        <v>1.6525000000000001</v>
      </c>
      <c r="EZ101" s="49">
        <v>1.6648000000000001</v>
      </c>
      <c r="FA101" s="49">
        <v>1.6772</v>
      </c>
      <c r="FB101" s="49">
        <v>1.6898</v>
      </c>
      <c r="FC101" s="49">
        <v>1.7024999999999999</v>
      </c>
      <c r="FE101" s="50">
        <f t="shared" ca="1" si="13"/>
        <v>1.3642377485469563</v>
      </c>
      <c r="FF101" s="50">
        <f t="shared" ca="1" si="9"/>
        <v>1.3584293495674467</v>
      </c>
      <c r="FG101" s="50">
        <f t="shared" ca="1" si="10"/>
        <v>1.3525174496644294</v>
      </c>
      <c r="FH101" s="50">
        <f t="shared" ca="1" si="11"/>
        <v>1.3464771812080538</v>
      </c>
      <c r="FK101" s="50">
        <f t="shared" ca="1" si="12"/>
        <v>1.3584293495674467</v>
      </c>
      <c r="FL101" s="50"/>
      <c r="FM101" s="50"/>
      <c r="FN101" s="50"/>
    </row>
    <row r="102" spans="47:170" hidden="1">
      <c r="AW102" s="46">
        <v>93.325000000000003</v>
      </c>
      <c r="AX102" s="49">
        <v>0.72430000000000005</v>
      </c>
      <c r="AY102" s="49">
        <v>0.73229999999999995</v>
      </c>
      <c r="AZ102" s="49">
        <v>0.74029999999999996</v>
      </c>
      <c r="BA102" s="49">
        <v>0.74829999999999997</v>
      </c>
      <c r="BB102" s="49">
        <v>0.75619999999999998</v>
      </c>
      <c r="BC102" s="49">
        <v>0.76419999999999999</v>
      </c>
      <c r="BD102" s="49">
        <v>0.7722</v>
      </c>
      <c r="BE102" s="49">
        <v>0.7802</v>
      </c>
      <c r="BF102" s="49">
        <v>0.78820000000000001</v>
      </c>
      <c r="BG102" s="49">
        <v>0.79620000000000002</v>
      </c>
      <c r="BH102" s="49">
        <v>0.80410000000000004</v>
      </c>
      <c r="BI102" s="49">
        <v>0.81210000000000004</v>
      </c>
      <c r="BJ102" s="49">
        <v>0.82010000000000005</v>
      </c>
      <c r="BK102" s="49">
        <v>0.82809999999999995</v>
      </c>
      <c r="BL102" s="49">
        <v>0.83609999999999995</v>
      </c>
      <c r="BM102" s="49">
        <v>0.84409999999999996</v>
      </c>
      <c r="BN102" s="49">
        <v>0.85209999999999997</v>
      </c>
      <c r="BO102" s="49">
        <v>0.86009999999999998</v>
      </c>
      <c r="BP102" s="49">
        <v>0.86819999999999997</v>
      </c>
      <c r="BQ102" s="49">
        <v>0.87619999999999998</v>
      </c>
      <c r="BR102" s="49">
        <v>0.88419999999999999</v>
      </c>
      <c r="BS102" s="49">
        <v>0.89219999999999999</v>
      </c>
      <c r="BT102" s="49">
        <v>0.90029999999999999</v>
      </c>
      <c r="BU102" s="49">
        <v>0.9083</v>
      </c>
      <c r="BV102" s="49">
        <v>0.9163</v>
      </c>
      <c r="BW102" s="49">
        <v>0.9244</v>
      </c>
      <c r="BX102" s="49">
        <v>0.93240000000000001</v>
      </c>
      <c r="BY102" s="49">
        <v>0.9405</v>
      </c>
      <c r="BZ102" s="49">
        <v>0.94850000000000001</v>
      </c>
      <c r="CA102" s="49">
        <v>0.95660000000000001</v>
      </c>
      <c r="CB102" s="49">
        <v>0.9647</v>
      </c>
      <c r="CC102" s="49">
        <v>0.9728</v>
      </c>
      <c r="CD102" s="49">
        <v>0.98089999999999999</v>
      </c>
      <c r="CE102" s="49">
        <v>0.9889</v>
      </c>
      <c r="CF102" s="49">
        <v>0.997</v>
      </c>
      <c r="CG102" s="49">
        <v>1.0052000000000001</v>
      </c>
      <c r="CH102" s="49">
        <v>1.0133000000000001</v>
      </c>
      <c r="CI102" s="49">
        <v>1.0214000000000001</v>
      </c>
      <c r="CJ102" s="49">
        <v>1.0295000000000001</v>
      </c>
      <c r="CK102" s="49">
        <v>1.0377000000000001</v>
      </c>
      <c r="CL102" s="49">
        <v>1.0458000000000001</v>
      </c>
      <c r="CM102" s="49">
        <v>1.054</v>
      </c>
      <c r="CN102" s="49">
        <v>1.0622</v>
      </c>
      <c r="CO102" s="49">
        <v>1.0704</v>
      </c>
      <c r="CP102" s="49">
        <v>1.0786</v>
      </c>
      <c r="CQ102" s="49">
        <v>1.0868</v>
      </c>
      <c r="CR102" s="49">
        <v>1.095</v>
      </c>
      <c r="CS102" s="49">
        <v>1.1032</v>
      </c>
      <c r="CT102" s="49">
        <v>1.1114999999999999</v>
      </c>
      <c r="CU102" s="49">
        <v>1.1196999999999999</v>
      </c>
      <c r="CV102" s="49">
        <v>1.1279999999999999</v>
      </c>
      <c r="CW102" s="49">
        <v>1.1363000000000001</v>
      </c>
      <c r="CX102" s="49">
        <v>1.1446000000000001</v>
      </c>
      <c r="CY102" s="49">
        <v>1.153</v>
      </c>
      <c r="CZ102" s="49">
        <v>1.1613</v>
      </c>
      <c r="DA102" s="49">
        <v>1.1697</v>
      </c>
      <c r="DB102" s="49">
        <v>1.1780999999999999</v>
      </c>
      <c r="DC102" s="49">
        <v>1.1865000000000001</v>
      </c>
      <c r="DD102" s="49">
        <v>1.1949000000000001</v>
      </c>
      <c r="DE102" s="49">
        <v>1.2034</v>
      </c>
      <c r="DF102" s="49">
        <v>1.2119</v>
      </c>
      <c r="DG102" s="49">
        <v>1.2203999999999999</v>
      </c>
      <c r="DH102" s="49">
        <v>1.2289000000000001</v>
      </c>
      <c r="DI102" s="49">
        <v>1.2375</v>
      </c>
      <c r="DJ102" s="49">
        <v>1.2461</v>
      </c>
      <c r="DK102" s="49">
        <v>1.2546999999999999</v>
      </c>
      <c r="DL102" s="49">
        <v>1.2634000000000001</v>
      </c>
      <c r="DM102" s="49">
        <v>1.2721</v>
      </c>
      <c r="DN102" s="49">
        <v>1.2807999999999999</v>
      </c>
      <c r="DO102" s="49">
        <v>1.2896000000000001</v>
      </c>
      <c r="DP102" s="49">
        <v>1.2984</v>
      </c>
      <c r="DQ102" s="49">
        <v>1.3071999999999999</v>
      </c>
      <c r="DR102" s="49">
        <v>1.3161</v>
      </c>
      <c r="DS102" s="49">
        <v>1.325</v>
      </c>
      <c r="DT102" s="49">
        <v>1.3340000000000001</v>
      </c>
      <c r="DU102" s="49">
        <v>1.343</v>
      </c>
      <c r="DV102" s="49">
        <v>1.3521000000000001</v>
      </c>
      <c r="DW102" s="49">
        <v>1.3612</v>
      </c>
      <c r="DX102" s="49">
        <v>1.3704000000000001</v>
      </c>
      <c r="DY102" s="49">
        <v>1.3795999999999999</v>
      </c>
      <c r="DZ102" s="49">
        <v>1.3889</v>
      </c>
      <c r="EA102" s="49">
        <v>1.3983000000000001</v>
      </c>
      <c r="EB102" s="49">
        <v>1.4077</v>
      </c>
      <c r="EC102" s="49">
        <v>1.4172</v>
      </c>
      <c r="ED102" s="49">
        <v>1.4268000000000001</v>
      </c>
      <c r="EE102" s="49">
        <v>1.4363999999999999</v>
      </c>
      <c r="EF102" s="49">
        <v>1.4460999999999999</v>
      </c>
      <c r="EG102" s="49">
        <v>1.4559</v>
      </c>
      <c r="EH102" s="49">
        <v>1.4658</v>
      </c>
      <c r="EI102" s="49">
        <v>1.4758</v>
      </c>
      <c r="EJ102" s="49">
        <v>1.4859</v>
      </c>
      <c r="EK102" s="49">
        <v>1.496</v>
      </c>
      <c r="EL102" s="49">
        <v>1.5063</v>
      </c>
      <c r="EM102" s="49">
        <v>1.5166999999999999</v>
      </c>
      <c r="EN102" s="49">
        <v>1.5270999999999999</v>
      </c>
      <c r="EO102" s="49">
        <v>1.5377000000000001</v>
      </c>
      <c r="EP102" s="49">
        <v>1.5484</v>
      </c>
      <c r="EQ102" s="49">
        <v>1.5592999999999999</v>
      </c>
      <c r="ER102" s="49">
        <v>1.5703</v>
      </c>
      <c r="ES102" s="49">
        <v>1.5813999999999999</v>
      </c>
      <c r="ET102" s="49">
        <v>1.5926</v>
      </c>
      <c r="EU102" s="49">
        <v>1.6040000000000001</v>
      </c>
      <c r="EV102" s="49">
        <v>1.6154999999999999</v>
      </c>
      <c r="EW102" s="49">
        <v>1.6272</v>
      </c>
      <c r="EX102" s="49">
        <v>1.6391</v>
      </c>
      <c r="EY102" s="49">
        <v>1.6511</v>
      </c>
      <c r="EZ102" s="49">
        <v>1.6633</v>
      </c>
      <c r="FA102" s="49">
        <v>1.6757</v>
      </c>
      <c r="FB102" s="49">
        <v>1.6882999999999999</v>
      </c>
      <c r="FC102" s="49">
        <v>1.7011000000000001</v>
      </c>
      <c r="FE102" s="50">
        <f t="shared" ca="1" si="13"/>
        <v>1.3630377485469563</v>
      </c>
      <c r="FF102" s="50">
        <f t="shared" ca="1" si="9"/>
        <v>1.3572725088112785</v>
      </c>
      <c r="FG102" s="50">
        <f t="shared" ca="1" si="10"/>
        <v>1.3514098657718121</v>
      </c>
      <c r="FH102" s="50">
        <f t="shared" ca="1" si="11"/>
        <v>1.3453024832214764</v>
      </c>
      <c r="FK102" s="50">
        <f t="shared" ca="1" si="12"/>
        <v>1.3572725088112785</v>
      </c>
      <c r="FL102" s="50"/>
      <c r="FM102" s="50"/>
      <c r="FN102" s="50"/>
    </row>
    <row r="103" spans="47:170" hidden="1">
      <c r="AW103" s="46">
        <v>100</v>
      </c>
      <c r="AX103" s="49">
        <v>0.72370000000000001</v>
      </c>
      <c r="AY103" s="49">
        <v>0.73170000000000002</v>
      </c>
      <c r="AZ103" s="49">
        <v>0.73970000000000002</v>
      </c>
      <c r="BA103" s="49">
        <v>0.74760000000000004</v>
      </c>
      <c r="BB103" s="49">
        <v>0.75560000000000005</v>
      </c>
      <c r="BC103" s="49">
        <v>0.76359999999999995</v>
      </c>
      <c r="BD103" s="49">
        <v>0.77149999999999996</v>
      </c>
      <c r="BE103" s="49">
        <v>0.77949999999999997</v>
      </c>
      <c r="BF103" s="49">
        <v>0.78749999999999998</v>
      </c>
      <c r="BG103" s="49">
        <v>0.79549999999999998</v>
      </c>
      <c r="BH103" s="49">
        <v>0.80349999999999999</v>
      </c>
      <c r="BI103" s="49">
        <v>0.81140000000000001</v>
      </c>
      <c r="BJ103" s="49">
        <v>0.81940000000000002</v>
      </c>
      <c r="BK103" s="49">
        <v>0.82740000000000002</v>
      </c>
      <c r="BL103" s="49">
        <v>0.83540000000000003</v>
      </c>
      <c r="BM103" s="49">
        <v>0.84340000000000004</v>
      </c>
      <c r="BN103" s="49">
        <v>0.85140000000000005</v>
      </c>
      <c r="BO103" s="49">
        <v>0.85940000000000005</v>
      </c>
      <c r="BP103" s="49">
        <v>0.86739999999999995</v>
      </c>
      <c r="BQ103" s="49">
        <v>0.87539999999999996</v>
      </c>
      <c r="BR103" s="49">
        <v>0.88339999999999996</v>
      </c>
      <c r="BS103" s="49">
        <v>0.89149999999999996</v>
      </c>
      <c r="BT103" s="49">
        <v>0.89949999999999997</v>
      </c>
      <c r="BU103" s="49">
        <v>0.90749999999999997</v>
      </c>
      <c r="BV103" s="49">
        <v>0.91549999999999998</v>
      </c>
      <c r="BW103" s="49">
        <v>0.92359999999999998</v>
      </c>
      <c r="BX103" s="49">
        <v>0.93159999999999998</v>
      </c>
      <c r="BY103" s="49">
        <v>0.93969999999999998</v>
      </c>
      <c r="BZ103" s="49">
        <v>0.94769999999999999</v>
      </c>
      <c r="CA103" s="49">
        <v>0.95579999999999998</v>
      </c>
      <c r="CB103" s="49">
        <v>0.96389999999999998</v>
      </c>
      <c r="CC103" s="49">
        <v>0.97189999999999999</v>
      </c>
      <c r="CD103" s="49">
        <v>0.98</v>
      </c>
      <c r="CE103" s="49">
        <v>0.98809999999999998</v>
      </c>
      <c r="CF103" s="49">
        <v>0.99619999999999997</v>
      </c>
      <c r="CG103" s="49">
        <v>1.0043</v>
      </c>
      <c r="CH103" s="49">
        <v>1.0124</v>
      </c>
      <c r="CI103" s="49">
        <v>1.0205</v>
      </c>
      <c r="CJ103" s="49">
        <v>1.0286999999999999</v>
      </c>
      <c r="CK103" s="49">
        <v>1.0367999999999999</v>
      </c>
      <c r="CL103" s="49">
        <v>1.0448999999999999</v>
      </c>
      <c r="CM103" s="49">
        <v>1.0530999999999999</v>
      </c>
      <c r="CN103" s="49">
        <v>1.0612999999999999</v>
      </c>
      <c r="CO103" s="49">
        <v>1.0693999999999999</v>
      </c>
      <c r="CP103" s="49">
        <v>1.0775999999999999</v>
      </c>
      <c r="CQ103" s="49">
        <v>1.0858000000000001</v>
      </c>
      <c r="CR103" s="49">
        <v>1.0941000000000001</v>
      </c>
      <c r="CS103" s="49">
        <v>1.1023000000000001</v>
      </c>
      <c r="CT103" s="49">
        <v>1.1105</v>
      </c>
      <c r="CU103" s="49">
        <v>1.1188</v>
      </c>
      <c r="CV103" s="49">
        <v>1.1271</v>
      </c>
      <c r="CW103" s="49">
        <v>1.1354</v>
      </c>
      <c r="CX103" s="49">
        <v>1.1436999999999999</v>
      </c>
      <c r="CY103" s="49">
        <v>1.1519999999999999</v>
      </c>
      <c r="CZ103" s="49">
        <v>1.1603000000000001</v>
      </c>
      <c r="DA103" s="49">
        <v>1.1687000000000001</v>
      </c>
      <c r="DB103" s="49">
        <v>1.1771</v>
      </c>
      <c r="DC103" s="49">
        <v>1.1855</v>
      </c>
      <c r="DD103" s="49">
        <v>1.1939</v>
      </c>
      <c r="DE103" s="49">
        <v>1.2023999999999999</v>
      </c>
      <c r="DF103" s="49">
        <v>1.2108000000000001</v>
      </c>
      <c r="DG103" s="49">
        <v>1.2194</v>
      </c>
      <c r="DH103" s="49">
        <v>1.2279</v>
      </c>
      <c r="DI103" s="49">
        <v>1.2363999999999999</v>
      </c>
      <c r="DJ103" s="49">
        <v>1.2450000000000001</v>
      </c>
      <c r="DK103" s="49">
        <v>1.2536</v>
      </c>
      <c r="DL103" s="49">
        <v>1.2623</v>
      </c>
      <c r="DM103" s="49">
        <v>1.2709999999999999</v>
      </c>
      <c r="DN103" s="49">
        <v>1.2797000000000001</v>
      </c>
      <c r="DO103" s="49">
        <v>1.2884</v>
      </c>
      <c r="DP103" s="49">
        <v>1.2971999999999999</v>
      </c>
      <c r="DQ103" s="49">
        <v>1.3061</v>
      </c>
      <c r="DR103" s="49">
        <v>1.3149999999999999</v>
      </c>
      <c r="DS103" s="49">
        <v>1.3239000000000001</v>
      </c>
      <c r="DT103" s="49">
        <v>1.3328</v>
      </c>
      <c r="DU103" s="49">
        <v>1.3419000000000001</v>
      </c>
      <c r="DV103" s="49">
        <v>1.3509</v>
      </c>
      <c r="DW103" s="49">
        <v>1.36</v>
      </c>
      <c r="DX103" s="49">
        <v>1.3692</v>
      </c>
      <c r="DY103" s="49">
        <v>1.3784000000000001</v>
      </c>
      <c r="DZ103" s="49">
        <v>1.3876999999999999</v>
      </c>
      <c r="EA103" s="49">
        <v>1.3971</v>
      </c>
      <c r="EB103" s="49">
        <v>1.4065000000000001</v>
      </c>
      <c r="EC103" s="49">
        <v>1.4159999999999999</v>
      </c>
      <c r="ED103" s="49">
        <v>1.4255</v>
      </c>
      <c r="EE103" s="49">
        <v>1.4352</v>
      </c>
      <c r="EF103" s="49">
        <v>1.4449000000000001</v>
      </c>
      <c r="EG103" s="49">
        <v>1.4547000000000001</v>
      </c>
      <c r="EH103" s="49">
        <v>1.4645999999999999</v>
      </c>
      <c r="EI103" s="49">
        <v>1.4744999999999999</v>
      </c>
      <c r="EJ103" s="49">
        <v>1.4845999999999999</v>
      </c>
      <c r="EK103" s="49">
        <v>1.4946999999999999</v>
      </c>
      <c r="EL103" s="49">
        <v>1.5049999999999999</v>
      </c>
      <c r="EM103" s="49">
        <v>1.5154000000000001</v>
      </c>
      <c r="EN103" s="49">
        <v>1.5258</v>
      </c>
      <c r="EO103" s="49">
        <v>1.5364</v>
      </c>
      <c r="EP103" s="49">
        <v>1.5470999999999999</v>
      </c>
      <c r="EQ103" s="49">
        <v>1.5579000000000001</v>
      </c>
      <c r="ER103" s="49">
        <v>1.5689</v>
      </c>
      <c r="ES103" s="49">
        <v>1.58</v>
      </c>
      <c r="ET103" s="49">
        <v>1.5911999999999999</v>
      </c>
      <c r="EU103" s="49">
        <v>1.6026</v>
      </c>
      <c r="EV103" s="49">
        <v>1.6141000000000001</v>
      </c>
      <c r="EW103" s="49">
        <v>1.6257999999999999</v>
      </c>
      <c r="EX103" s="49">
        <v>1.6376999999999999</v>
      </c>
      <c r="EY103" s="49">
        <v>1.6496999999999999</v>
      </c>
      <c r="EZ103" s="49">
        <v>1.6618999999999999</v>
      </c>
      <c r="FA103" s="49">
        <v>1.6742999999999999</v>
      </c>
      <c r="FB103" s="49">
        <v>1.6869000000000001</v>
      </c>
      <c r="FC103" s="49">
        <v>1.6996</v>
      </c>
      <c r="FE103" s="50">
        <f t="shared" ca="1" si="13"/>
        <v>1.3618377485469564</v>
      </c>
      <c r="FF103" s="50">
        <f t="shared" ca="1" si="9"/>
        <v>1.3560725088112786</v>
      </c>
      <c r="FG103" s="50">
        <f t="shared" ca="1" si="10"/>
        <v>1.3502174496644295</v>
      </c>
      <c r="FH103" s="50">
        <f t="shared" ca="1" si="11"/>
        <v>1.3441771812080539</v>
      </c>
      <c r="FK103" s="50">
        <f t="shared" ca="1" si="12"/>
        <v>1.3560725088112786</v>
      </c>
      <c r="FL103" s="50"/>
      <c r="FM103" s="50"/>
      <c r="FN103" s="50"/>
    </row>
    <row r="104" spans="47:170" hidden="1">
      <c r="DN104" s="104"/>
      <c r="DO104" s="8"/>
      <c r="DP104" s="8"/>
    </row>
    <row r="105" spans="47:170" ht="15.75" hidden="1" thickBot="1">
      <c r="DN105" s="104"/>
      <c r="DO105" s="8"/>
      <c r="DP105" s="8"/>
    </row>
    <row r="106" spans="47:170" ht="15.75" hidden="1" thickBot="1">
      <c r="AU106" s="100" t="s">
        <v>192</v>
      </c>
      <c r="AV106" s="101" t="s">
        <v>193</v>
      </c>
      <c r="AW106" s="102">
        <v>1</v>
      </c>
      <c r="AX106" s="101">
        <v>2</v>
      </c>
      <c r="AY106" s="101">
        <v>3</v>
      </c>
      <c r="AZ106" s="101">
        <v>4</v>
      </c>
      <c r="BA106" s="101">
        <v>5</v>
      </c>
      <c r="BB106" s="101">
        <v>6</v>
      </c>
      <c r="BC106" s="101">
        <v>7</v>
      </c>
      <c r="BD106" s="101">
        <v>8</v>
      </c>
      <c r="BE106" s="101">
        <v>9</v>
      </c>
      <c r="BF106" s="101">
        <v>10</v>
      </c>
      <c r="BG106" s="101">
        <v>11</v>
      </c>
      <c r="BH106" s="101">
        <v>12</v>
      </c>
      <c r="BI106" s="101">
        <v>13</v>
      </c>
      <c r="BJ106" s="101">
        <v>14</v>
      </c>
      <c r="BK106" s="101">
        <v>15</v>
      </c>
      <c r="BL106" s="101">
        <v>16</v>
      </c>
      <c r="BM106" s="101">
        <v>17</v>
      </c>
      <c r="BN106" s="101">
        <v>18</v>
      </c>
      <c r="BO106" s="101">
        <v>19</v>
      </c>
      <c r="BP106" s="101">
        <v>20</v>
      </c>
      <c r="BQ106" s="101">
        <v>21</v>
      </c>
      <c r="BR106" s="101">
        <v>22</v>
      </c>
      <c r="BS106" s="101">
        <v>23</v>
      </c>
      <c r="BT106" s="101">
        <v>24</v>
      </c>
      <c r="BU106" s="101">
        <v>25</v>
      </c>
      <c r="BV106" s="101">
        <v>26</v>
      </c>
      <c r="BW106" s="101">
        <v>27</v>
      </c>
      <c r="BX106" s="101">
        <v>28</v>
      </c>
      <c r="BY106" s="101">
        <v>29</v>
      </c>
      <c r="BZ106" s="101">
        <v>30</v>
      </c>
      <c r="CA106" s="101">
        <v>31</v>
      </c>
      <c r="CB106" s="101">
        <v>32</v>
      </c>
      <c r="CC106" s="101">
        <v>33</v>
      </c>
      <c r="CD106" s="101">
        <v>34</v>
      </c>
      <c r="CE106" s="101">
        <v>35</v>
      </c>
      <c r="CF106" s="101">
        <v>36</v>
      </c>
      <c r="CG106" s="101">
        <v>37</v>
      </c>
      <c r="CH106" s="101">
        <v>38</v>
      </c>
      <c r="CI106" s="101">
        <v>39</v>
      </c>
      <c r="CJ106" s="101">
        <v>40</v>
      </c>
      <c r="CK106" s="101">
        <v>41</v>
      </c>
      <c r="CL106" s="101">
        <v>42</v>
      </c>
      <c r="CM106" s="101">
        <v>43</v>
      </c>
      <c r="CN106" s="101">
        <v>44</v>
      </c>
      <c r="CO106" s="101">
        <v>45</v>
      </c>
      <c r="CP106" s="101">
        <v>46</v>
      </c>
      <c r="CQ106" s="101">
        <v>47</v>
      </c>
      <c r="CR106" s="101">
        <v>48</v>
      </c>
      <c r="CS106" s="101">
        <v>49</v>
      </c>
      <c r="CT106" s="101">
        <v>50</v>
      </c>
      <c r="CU106" s="101">
        <v>51</v>
      </c>
      <c r="CV106" s="101">
        <v>52</v>
      </c>
      <c r="CW106" s="101">
        <v>53</v>
      </c>
      <c r="CX106" s="101">
        <v>54</v>
      </c>
      <c r="CY106" s="101">
        <v>55</v>
      </c>
      <c r="CZ106" s="101">
        <v>56</v>
      </c>
      <c r="DA106" s="101">
        <v>57</v>
      </c>
      <c r="DB106" s="101">
        <v>58</v>
      </c>
      <c r="DC106" s="101">
        <v>59</v>
      </c>
      <c r="DD106" s="101">
        <v>60</v>
      </c>
      <c r="DE106" s="101">
        <v>61</v>
      </c>
      <c r="DF106" s="101">
        <v>62</v>
      </c>
      <c r="DG106" s="101">
        <v>63</v>
      </c>
      <c r="DH106" s="101">
        <v>64</v>
      </c>
      <c r="DI106" s="101">
        <v>65</v>
      </c>
      <c r="DJ106" s="101">
        <v>66</v>
      </c>
      <c r="DK106" s="101">
        <v>67</v>
      </c>
      <c r="DL106" s="101">
        <v>68</v>
      </c>
      <c r="DM106" s="101">
        <v>69</v>
      </c>
      <c r="DN106" s="101">
        <v>70</v>
      </c>
      <c r="DO106" s="101">
        <v>71</v>
      </c>
      <c r="DP106" s="101">
        <v>72</v>
      </c>
      <c r="DQ106" s="101">
        <v>73</v>
      </c>
      <c r="DR106" s="101">
        <v>74</v>
      </c>
      <c r="DS106" s="101">
        <v>75</v>
      </c>
      <c r="DT106" s="101">
        <v>76</v>
      </c>
      <c r="DU106" s="101">
        <v>77</v>
      </c>
      <c r="DV106" s="101">
        <v>78</v>
      </c>
      <c r="DW106" s="101">
        <v>79</v>
      </c>
      <c r="DX106" s="101">
        <v>80</v>
      </c>
      <c r="DY106" s="101">
        <v>81</v>
      </c>
      <c r="DZ106" s="101">
        <v>82</v>
      </c>
      <c r="EA106" s="101">
        <v>83</v>
      </c>
      <c r="EB106" s="101">
        <v>84</v>
      </c>
      <c r="EC106" s="101">
        <v>85</v>
      </c>
      <c r="ED106" s="101">
        <v>86</v>
      </c>
      <c r="EE106" s="101">
        <v>87</v>
      </c>
      <c r="EF106" s="101">
        <v>88</v>
      </c>
      <c r="EG106" s="101">
        <v>89</v>
      </c>
      <c r="EH106" s="101">
        <v>90</v>
      </c>
      <c r="EI106" s="101">
        <v>91</v>
      </c>
      <c r="EJ106" s="101">
        <v>92</v>
      </c>
      <c r="EK106" s="101">
        <v>93</v>
      </c>
      <c r="EL106" s="101">
        <v>94</v>
      </c>
      <c r="EM106" s="101">
        <v>95</v>
      </c>
      <c r="EN106" s="101">
        <v>96</v>
      </c>
      <c r="EO106" s="101">
        <v>97</v>
      </c>
      <c r="EP106" s="101">
        <v>98</v>
      </c>
      <c r="EQ106" s="101">
        <v>99</v>
      </c>
      <c r="ER106" s="101">
        <v>100</v>
      </c>
      <c r="ES106" s="101">
        <v>101</v>
      </c>
      <c r="ET106" s="101">
        <v>102</v>
      </c>
      <c r="EU106" s="101">
        <v>103</v>
      </c>
      <c r="EV106" s="101">
        <v>104</v>
      </c>
      <c r="EW106" s="101">
        <v>105</v>
      </c>
      <c r="EX106" s="101">
        <v>106</v>
      </c>
      <c r="EY106" s="101">
        <v>107</v>
      </c>
      <c r="EZ106" s="101">
        <v>108</v>
      </c>
      <c r="FA106" s="101">
        <v>109</v>
      </c>
      <c r="FB106" s="101">
        <v>110</v>
      </c>
      <c r="FC106" s="101">
        <v>111</v>
      </c>
      <c r="FE106" s="103">
        <v>113</v>
      </c>
      <c r="FF106" s="103">
        <v>114</v>
      </c>
      <c r="FG106" s="103">
        <v>115</v>
      </c>
      <c r="FH106" s="103">
        <v>116</v>
      </c>
      <c r="FK106" s="103">
        <v>119</v>
      </c>
      <c r="FL106" s="103"/>
      <c r="FM106" s="103"/>
      <c r="FN106" s="103"/>
    </row>
    <row r="107" spans="47:170" hidden="1">
      <c r="AV107" s="600" t="s">
        <v>191</v>
      </c>
      <c r="AW107" s="104"/>
      <c r="AX107" s="104">
        <v>2</v>
      </c>
      <c r="AY107" s="104">
        <v>2.0939999999999999</v>
      </c>
      <c r="AZ107" s="104">
        <v>2.1930000000000001</v>
      </c>
      <c r="BA107" s="104">
        <v>2.2959999999999998</v>
      </c>
      <c r="BB107" s="104">
        <v>2.4049999999999998</v>
      </c>
      <c r="BC107" s="104">
        <v>2.5179999999999998</v>
      </c>
      <c r="BD107" s="104">
        <v>2.637</v>
      </c>
      <c r="BE107" s="104">
        <v>2.7610000000000001</v>
      </c>
      <c r="BF107" s="104">
        <v>2.891</v>
      </c>
      <c r="BG107" s="104">
        <v>3.0270000000000001</v>
      </c>
      <c r="BH107" s="104">
        <v>3.17</v>
      </c>
      <c r="BI107" s="104">
        <v>3.319</v>
      </c>
      <c r="BJ107" s="104">
        <v>3.476</v>
      </c>
      <c r="BK107" s="104">
        <v>3.6389999999999998</v>
      </c>
      <c r="BL107" s="104">
        <v>3.8109999999999999</v>
      </c>
      <c r="BM107" s="104">
        <v>3.9910000000000001</v>
      </c>
      <c r="BN107" s="104">
        <v>4.1790000000000003</v>
      </c>
      <c r="BO107" s="104">
        <v>4.3760000000000003</v>
      </c>
      <c r="BP107" s="104">
        <v>4.5819999999999999</v>
      </c>
      <c r="BQ107" s="104">
        <v>4.798</v>
      </c>
      <c r="BR107" s="104">
        <v>5.024</v>
      </c>
      <c r="BS107" s="104">
        <v>5.2610000000000001</v>
      </c>
      <c r="BT107" s="104">
        <v>5.508</v>
      </c>
      <c r="BU107" s="104">
        <v>5.7679999999999998</v>
      </c>
      <c r="BV107" s="104">
        <v>6.04</v>
      </c>
      <c r="BW107" s="104">
        <v>6.3250000000000002</v>
      </c>
      <c r="BX107" s="104">
        <v>6.6230000000000002</v>
      </c>
      <c r="BY107" s="104">
        <v>6.9349999999999996</v>
      </c>
      <c r="BZ107" s="104">
        <v>7.2619999999999996</v>
      </c>
      <c r="CA107" s="104">
        <v>7.6040000000000001</v>
      </c>
      <c r="CB107" s="104">
        <v>7.9619999999999997</v>
      </c>
      <c r="CC107" s="104">
        <v>8.3369999999999997</v>
      </c>
      <c r="CD107" s="104">
        <v>8.73</v>
      </c>
      <c r="CE107" s="104">
        <v>9.1419999999999995</v>
      </c>
      <c r="CF107" s="104">
        <v>9.5730000000000004</v>
      </c>
      <c r="CG107" s="104">
        <v>10.023999999999999</v>
      </c>
      <c r="CH107" s="104">
        <v>10.496</v>
      </c>
      <c r="CI107" s="104">
        <v>10.991</v>
      </c>
      <c r="CJ107" s="104">
        <v>11.509</v>
      </c>
      <c r="CK107" s="104">
        <v>12.051</v>
      </c>
      <c r="CL107" s="104">
        <v>12.619</v>
      </c>
      <c r="CM107" s="104">
        <v>13.214</v>
      </c>
      <c r="CN107" s="104">
        <v>13.837</v>
      </c>
      <c r="CO107" s="104">
        <v>14.489000000000001</v>
      </c>
      <c r="CP107" s="104">
        <v>15.172000000000001</v>
      </c>
      <c r="CQ107" s="104">
        <v>15.887</v>
      </c>
      <c r="CR107" s="104">
        <v>16.635000000000002</v>
      </c>
      <c r="CS107" s="104">
        <v>17.419</v>
      </c>
      <c r="CT107" s="104">
        <v>18.239999999999998</v>
      </c>
      <c r="CU107" s="104">
        <v>19.100000000000001</v>
      </c>
      <c r="CV107" s="104">
        <v>20</v>
      </c>
      <c r="CW107" s="104">
        <v>20.943000000000001</v>
      </c>
      <c r="CX107" s="104">
        <v>21.93</v>
      </c>
      <c r="CY107" s="104">
        <v>22.963000000000001</v>
      </c>
      <c r="CZ107" s="104">
        <v>24.045000000000002</v>
      </c>
      <c r="DA107" s="104">
        <v>25.178999999999998</v>
      </c>
      <c r="DB107" s="104">
        <v>26.364999999999998</v>
      </c>
      <c r="DC107" s="104">
        <v>27.608000000000001</v>
      </c>
      <c r="DD107" s="104">
        <v>28.908999999999999</v>
      </c>
      <c r="DE107" s="104">
        <v>30.271000000000001</v>
      </c>
      <c r="DF107" s="104">
        <v>31.698</v>
      </c>
      <c r="DG107" s="104">
        <v>33.192</v>
      </c>
      <c r="DH107" s="104">
        <v>34.756</v>
      </c>
      <c r="DI107" s="104">
        <v>36.393999999999998</v>
      </c>
      <c r="DJ107" s="104">
        <v>38.109000000000002</v>
      </c>
      <c r="DK107" s="104">
        <v>39.905000000000001</v>
      </c>
      <c r="DL107" s="104">
        <v>41.786000000000001</v>
      </c>
      <c r="DM107" s="104">
        <v>43.755000000000003</v>
      </c>
      <c r="DN107" s="104">
        <v>45.817</v>
      </c>
      <c r="DO107" s="104">
        <v>47.976999999999997</v>
      </c>
      <c r="DP107" s="104">
        <v>50.238</v>
      </c>
      <c r="DQ107" s="104">
        <v>52.604999999999997</v>
      </c>
      <c r="DR107" s="104">
        <v>55.085000000000001</v>
      </c>
      <c r="DS107" s="104">
        <v>57.680999999999997</v>
      </c>
      <c r="DT107" s="104">
        <v>60.399000000000001</v>
      </c>
      <c r="DU107" s="104">
        <v>63.246000000000002</v>
      </c>
      <c r="DV107" s="104">
        <v>66.225999999999999</v>
      </c>
      <c r="DW107" s="104">
        <v>69.346999999999994</v>
      </c>
      <c r="DX107" s="104">
        <v>72.616</v>
      </c>
      <c r="DY107" s="104">
        <v>76.037999999999997</v>
      </c>
      <c r="DZ107" s="104">
        <v>79.620999999999995</v>
      </c>
      <c r="EA107" s="104">
        <v>83.373999999999995</v>
      </c>
      <c r="EB107" s="104">
        <v>87.302999999999997</v>
      </c>
      <c r="EC107" s="104">
        <v>91.418000000000006</v>
      </c>
      <c r="ED107" s="104">
        <v>95.725999999999999</v>
      </c>
      <c r="EE107" s="104">
        <v>100.23699999999999</v>
      </c>
      <c r="EF107" s="104">
        <v>104.961</v>
      </c>
      <c r="EG107" s="104">
        <v>109.908</v>
      </c>
      <c r="EH107" s="104">
        <v>115.08799999999999</v>
      </c>
      <c r="EI107" s="104">
        <v>120.512</v>
      </c>
      <c r="EJ107" s="104">
        <v>126.191</v>
      </c>
      <c r="EK107" s="104">
        <v>132.13900000000001</v>
      </c>
      <c r="EL107" s="104">
        <v>138.36600000000001</v>
      </c>
      <c r="EM107" s="104">
        <v>144.887</v>
      </c>
      <c r="EN107" s="104">
        <v>151.71600000000001</v>
      </c>
      <c r="EO107" s="104">
        <v>158.86600000000001</v>
      </c>
      <c r="EP107" s="104">
        <v>166.35300000000001</v>
      </c>
      <c r="EQ107" s="104">
        <v>174.19300000000001</v>
      </c>
      <c r="ER107" s="104">
        <v>182.40199999999999</v>
      </c>
      <c r="ES107" s="104">
        <v>190.999</v>
      </c>
      <c r="ET107" s="104">
        <v>200</v>
      </c>
      <c r="EU107" s="104">
        <v>209.42599999999999</v>
      </c>
      <c r="EV107" s="104">
        <v>219.29599999999999</v>
      </c>
      <c r="EW107" s="104">
        <v>229.631</v>
      </c>
      <c r="EX107" s="104">
        <v>240.453</v>
      </c>
      <c r="EY107" s="104">
        <v>251.785</v>
      </c>
      <c r="EZ107" s="104">
        <v>263.65100000000001</v>
      </c>
      <c r="FA107" s="104">
        <v>276.077</v>
      </c>
      <c r="FB107" s="104">
        <v>289.08800000000002</v>
      </c>
      <c r="FC107" s="105">
        <v>302.71199999999999</v>
      </c>
      <c r="FL107" s="50"/>
      <c r="FM107" s="50"/>
      <c r="FN107" s="50"/>
    </row>
    <row r="108" spans="47:170" hidden="1">
      <c r="AV108" s="600"/>
      <c r="AW108" s="104">
        <v>0.1</v>
      </c>
      <c r="AX108" s="8">
        <v>1.9124000000000001</v>
      </c>
      <c r="AY108" s="8">
        <v>1.9440999999999999</v>
      </c>
      <c r="AZ108" s="8">
        <v>1.976</v>
      </c>
      <c r="BA108" s="8">
        <v>2.0081000000000002</v>
      </c>
      <c r="BB108" s="8">
        <v>2.0405000000000002</v>
      </c>
      <c r="BC108" s="8">
        <v>2.0682999999999998</v>
      </c>
      <c r="BD108" s="8">
        <v>2.0918999999999999</v>
      </c>
      <c r="BE108" s="8">
        <v>2.1156999999999999</v>
      </c>
      <c r="BF108" s="8">
        <v>2.1395</v>
      </c>
      <c r="BG108" s="8">
        <v>2.1635</v>
      </c>
      <c r="BH108" s="8">
        <v>2.1875</v>
      </c>
      <c r="BI108" s="8">
        <v>2.2117</v>
      </c>
      <c r="BJ108" s="8">
        <v>2.2360000000000002</v>
      </c>
      <c r="BK108" s="8">
        <v>2.2604000000000002</v>
      </c>
      <c r="BL108" s="8">
        <v>2.2848999999999999</v>
      </c>
      <c r="BM108" s="8">
        <v>2.3094999999999999</v>
      </c>
      <c r="BN108" s="8">
        <v>2.3342999999999998</v>
      </c>
      <c r="BO108" s="8">
        <v>2.3591000000000002</v>
      </c>
      <c r="BP108" s="8">
        <v>2.3839999999999999</v>
      </c>
      <c r="BQ108" s="8">
        <v>2.4089999999999998</v>
      </c>
      <c r="BR108" s="8">
        <v>2.4340999999999999</v>
      </c>
      <c r="BS108" s="8">
        <v>2.4592999999999998</v>
      </c>
      <c r="BT108" s="8">
        <v>2.4845999999999999</v>
      </c>
      <c r="BU108" s="8">
        <v>2.5099999999999998</v>
      </c>
      <c r="BV108" s="8">
        <v>2.5354000000000001</v>
      </c>
      <c r="BW108" s="8">
        <v>2.5609000000000002</v>
      </c>
      <c r="BX108" s="8">
        <v>2.5865</v>
      </c>
      <c r="BY108" s="8">
        <v>2.6122000000000001</v>
      </c>
      <c r="BZ108" s="8">
        <v>2.6379000000000001</v>
      </c>
      <c r="CA108" s="8">
        <v>2.6637</v>
      </c>
      <c r="CB108" s="8">
        <v>2.6896</v>
      </c>
      <c r="CC108" s="8">
        <v>2.7155</v>
      </c>
      <c r="CD108" s="8">
        <v>2.7414999999999998</v>
      </c>
      <c r="CE108" s="8">
        <v>2.7675000000000001</v>
      </c>
      <c r="CF108" s="8">
        <v>2.7934999999999999</v>
      </c>
      <c r="CG108" s="8">
        <v>2.8195999999999999</v>
      </c>
      <c r="CH108" s="8">
        <v>2.8456999999999999</v>
      </c>
      <c r="CI108" s="8">
        <v>2.8717999999999999</v>
      </c>
      <c r="CJ108" s="8">
        <v>2.8978999999999999</v>
      </c>
      <c r="CK108" s="8">
        <v>2.9239999999999999</v>
      </c>
      <c r="CL108" s="8">
        <v>2.9502000000000002</v>
      </c>
      <c r="CM108" s="8">
        <v>2.9763000000000002</v>
      </c>
      <c r="CN108" s="8">
        <v>3.0024000000000002</v>
      </c>
      <c r="CO108" s="8">
        <v>3.0285000000000002</v>
      </c>
      <c r="CP108" s="8">
        <v>3.0545</v>
      </c>
      <c r="CQ108" s="8">
        <v>3.0806</v>
      </c>
      <c r="CR108" s="8">
        <v>3.1065</v>
      </c>
      <c r="CS108" s="8">
        <v>3.1324000000000001</v>
      </c>
      <c r="CT108" s="8">
        <v>3.1583000000000001</v>
      </c>
      <c r="CU108" s="8">
        <v>3.1840000000000002</v>
      </c>
      <c r="CV108" s="8">
        <v>3.2097000000000002</v>
      </c>
      <c r="CW108" s="8">
        <v>3.2353000000000001</v>
      </c>
      <c r="CX108" s="8">
        <v>3.2608000000000001</v>
      </c>
      <c r="CY108" s="8">
        <v>3.2862</v>
      </c>
      <c r="CZ108" s="8">
        <v>3.3113999999999999</v>
      </c>
      <c r="DA108" s="8">
        <v>3.3365</v>
      </c>
      <c r="DB108" s="8">
        <v>3.3614000000000002</v>
      </c>
      <c r="DC108" s="8">
        <v>3.3862000000000001</v>
      </c>
      <c r="DD108" s="8">
        <v>3.4108999999999998</v>
      </c>
      <c r="DE108" s="8">
        <v>3.4352999999999998</v>
      </c>
      <c r="DF108" s="8">
        <v>3.4594999999999998</v>
      </c>
      <c r="DG108" s="8">
        <v>3.4836</v>
      </c>
      <c r="DH108" s="8">
        <v>3.5074000000000001</v>
      </c>
      <c r="DI108" s="8">
        <v>3.5310000000000001</v>
      </c>
      <c r="DJ108" s="8">
        <v>3.5543999999999998</v>
      </c>
      <c r="DK108" s="8">
        <v>3.5775999999999999</v>
      </c>
      <c r="DL108" s="8">
        <v>3.6004999999999998</v>
      </c>
      <c r="DM108" s="8">
        <v>3.6231</v>
      </c>
      <c r="DN108" s="8">
        <v>3.6455000000000002</v>
      </c>
      <c r="DO108" s="8">
        <v>3.6676000000000002</v>
      </c>
      <c r="DP108" s="8">
        <v>3.6894</v>
      </c>
      <c r="DQ108" s="8">
        <v>3.7109000000000001</v>
      </c>
      <c r="DR108" s="8">
        <v>3.7322000000000002</v>
      </c>
      <c r="DS108" s="8">
        <v>3.7532000000000001</v>
      </c>
      <c r="DT108" s="8">
        <v>3.7738999999999998</v>
      </c>
      <c r="DU108" s="8">
        <v>3.7942999999999998</v>
      </c>
      <c r="DV108" s="8">
        <v>3.8144</v>
      </c>
      <c r="DW108" s="8">
        <v>3.8342999999999998</v>
      </c>
      <c r="DX108" s="8">
        <v>3.8538000000000001</v>
      </c>
      <c r="DY108" s="8">
        <v>3.8732000000000002</v>
      </c>
      <c r="DZ108" s="8">
        <v>3.8921999999999999</v>
      </c>
      <c r="EA108" s="8">
        <v>3.9110999999999998</v>
      </c>
      <c r="EB108" s="8">
        <v>3.9297</v>
      </c>
      <c r="EC108" s="8">
        <v>3.9481000000000002</v>
      </c>
      <c r="ED108" s="8">
        <v>3.9664000000000001</v>
      </c>
      <c r="EE108" s="8">
        <v>3.9843999999999999</v>
      </c>
      <c r="EF108" s="8">
        <v>4.0023999999999997</v>
      </c>
      <c r="EG108" s="8">
        <v>4.0202</v>
      </c>
      <c r="EH108" s="8">
        <v>4.0380000000000003</v>
      </c>
      <c r="EI108" s="8">
        <v>4.0557999999999996</v>
      </c>
      <c r="EJ108" s="8">
        <v>4.0735000000000001</v>
      </c>
      <c r="EK108" s="8">
        <v>4.0913000000000004</v>
      </c>
      <c r="EL108" s="8">
        <v>4.1092000000000004</v>
      </c>
      <c r="EM108" s="8">
        <v>4.1272000000000002</v>
      </c>
      <c r="EN108" s="8">
        <v>4.1452999999999998</v>
      </c>
      <c r="EO108" s="8">
        <v>4.1637000000000004</v>
      </c>
      <c r="EP108" s="8">
        <v>4.1824000000000003</v>
      </c>
      <c r="EQ108" s="8">
        <v>4.2013999999999996</v>
      </c>
      <c r="ER108" s="8">
        <v>4.2206999999999999</v>
      </c>
      <c r="ES108" s="8">
        <v>4.2404999999999999</v>
      </c>
      <c r="ET108" s="8">
        <v>4.2606999999999999</v>
      </c>
      <c r="EU108" s="8">
        <v>4.2815000000000003</v>
      </c>
      <c r="EV108" s="8">
        <v>4.3029000000000002</v>
      </c>
      <c r="EW108" s="8">
        <v>4.3247999999999998</v>
      </c>
      <c r="EX108" s="8">
        <v>4.3475000000000001</v>
      </c>
      <c r="EY108" s="8">
        <v>4.3708999999999998</v>
      </c>
      <c r="EZ108" s="8">
        <v>4.3949999999999996</v>
      </c>
      <c r="FA108" s="8">
        <v>4.4199000000000002</v>
      </c>
      <c r="FB108" s="8">
        <v>4.4457000000000004</v>
      </c>
      <c r="FC108" s="106">
        <v>4.4722999999999997</v>
      </c>
      <c r="FE108" s="50">
        <f ca="1">FORECAST(J$39,OFFSET($AX108,0,MATCH(J$39,$AX$107:$FC$107,1)-1,1,2),OFFSET($AX$107,0,MATCH(J$39,$AX$107:$FC$107,1)-1,1,2))</f>
        <v>3.8381952278984404</v>
      </c>
      <c r="FF108" s="50">
        <f ca="1">FORECAST(L$39,OFFSET($AX108,0,MATCH(L$39,$AX$107:$FC$107,1)-1,1,2),OFFSET($AX$107,0,MATCH(L$39,$AX$107:$FC$107,1)-1,1,2))</f>
        <v>3.825711310477411</v>
      </c>
      <c r="FG108" s="50">
        <f ca="1">FORECAST(N$39,OFFSET($AX108,0,MATCH(N$39,$AX$107:$FC$107,1)-1,1,2),OFFSET($AX$107,0,MATCH(N$39,$AX$107:$FC$107,1)-1,1,2))</f>
        <v>3.8128756375838924</v>
      </c>
      <c r="FH108" s="50">
        <f ca="1">FORECAST(P$39,OFFSET($AX108,0,MATCH(P$39,$AX$107:$FC$107,1)-1,1,2),OFFSET($AX$107,0,MATCH(P$39,$AX$107:$FC$107,1)-1,1,2))</f>
        <v>3.7993857046979862</v>
      </c>
      <c r="FK108" s="50">
        <f t="shared" ref="FK108:FK139" ca="1" si="14">FORECAST(AN$22,OFFSET($AX108,0,MATCH(AN$22,$AX$107:$FC$107,1)-1,1,2),OFFSET($AX$107,0,MATCH(AN$22,$AX$107:$FC$107,1)-1,1,2))</f>
        <v>3.825711310477411</v>
      </c>
      <c r="FL108" s="50"/>
      <c r="FM108" s="50"/>
      <c r="FN108" s="50"/>
    </row>
    <row r="109" spans="47:170" hidden="1">
      <c r="AV109" s="600"/>
      <c r="AW109" s="104">
        <v>0.107</v>
      </c>
      <c r="AX109" s="8">
        <v>1.9023000000000001</v>
      </c>
      <c r="AY109" s="8">
        <v>1.9337</v>
      </c>
      <c r="AZ109" s="8">
        <v>1.9654</v>
      </c>
      <c r="BA109" s="8">
        <v>1.9974000000000001</v>
      </c>
      <c r="BB109" s="8">
        <v>2.0295999999999998</v>
      </c>
      <c r="BC109" s="8">
        <v>2.0621</v>
      </c>
      <c r="BD109" s="8">
        <v>2.0918999999999999</v>
      </c>
      <c r="BE109" s="8">
        <v>2.1156999999999999</v>
      </c>
      <c r="BF109" s="8">
        <v>2.1395</v>
      </c>
      <c r="BG109" s="8">
        <v>2.1635</v>
      </c>
      <c r="BH109" s="8">
        <v>2.1875</v>
      </c>
      <c r="BI109" s="8">
        <v>2.2117</v>
      </c>
      <c r="BJ109" s="8">
        <v>2.2360000000000002</v>
      </c>
      <c r="BK109" s="8">
        <v>2.2604000000000002</v>
      </c>
      <c r="BL109" s="8">
        <v>2.2848999999999999</v>
      </c>
      <c r="BM109" s="8">
        <v>2.3094999999999999</v>
      </c>
      <c r="BN109" s="8">
        <v>2.3342999999999998</v>
      </c>
      <c r="BO109" s="8">
        <v>2.3591000000000002</v>
      </c>
      <c r="BP109" s="8">
        <v>2.3839999999999999</v>
      </c>
      <c r="BQ109" s="8">
        <v>2.4089999999999998</v>
      </c>
      <c r="BR109" s="8">
        <v>2.4340999999999999</v>
      </c>
      <c r="BS109" s="8">
        <v>2.4592999999999998</v>
      </c>
      <c r="BT109" s="8">
        <v>2.4845999999999999</v>
      </c>
      <c r="BU109" s="8">
        <v>2.5099999999999998</v>
      </c>
      <c r="BV109" s="8">
        <v>2.5354000000000001</v>
      </c>
      <c r="BW109" s="8">
        <v>2.5609000000000002</v>
      </c>
      <c r="BX109" s="8">
        <v>2.5865</v>
      </c>
      <c r="BY109" s="8">
        <v>2.6122000000000001</v>
      </c>
      <c r="BZ109" s="8">
        <v>2.6379000000000001</v>
      </c>
      <c r="CA109" s="8">
        <v>2.6637</v>
      </c>
      <c r="CB109" s="8">
        <v>2.6896</v>
      </c>
      <c r="CC109" s="8">
        <v>2.7155</v>
      </c>
      <c r="CD109" s="8">
        <v>2.7414999999999998</v>
      </c>
      <c r="CE109" s="8">
        <v>2.7675000000000001</v>
      </c>
      <c r="CF109" s="8">
        <v>2.7934999999999999</v>
      </c>
      <c r="CG109" s="8">
        <v>2.8195999999999999</v>
      </c>
      <c r="CH109" s="8">
        <v>2.8456999999999999</v>
      </c>
      <c r="CI109" s="8">
        <v>2.8717999999999999</v>
      </c>
      <c r="CJ109" s="8">
        <v>2.8978999999999999</v>
      </c>
      <c r="CK109" s="8">
        <v>2.9239999999999999</v>
      </c>
      <c r="CL109" s="8">
        <v>2.9502000000000002</v>
      </c>
      <c r="CM109" s="8">
        <v>2.9763000000000002</v>
      </c>
      <c r="CN109" s="8">
        <v>3.0024000000000002</v>
      </c>
      <c r="CO109" s="8">
        <v>3.0285000000000002</v>
      </c>
      <c r="CP109" s="8">
        <v>3.0545</v>
      </c>
      <c r="CQ109" s="8">
        <v>3.0806</v>
      </c>
      <c r="CR109" s="8">
        <v>3.1065</v>
      </c>
      <c r="CS109" s="8">
        <v>3.1324000000000001</v>
      </c>
      <c r="CT109" s="8">
        <v>3.1583000000000001</v>
      </c>
      <c r="CU109" s="8">
        <v>3.1840000000000002</v>
      </c>
      <c r="CV109" s="8">
        <v>3.2097000000000002</v>
      </c>
      <c r="CW109" s="8">
        <v>3.2353000000000001</v>
      </c>
      <c r="CX109" s="8">
        <v>3.2608000000000001</v>
      </c>
      <c r="CY109" s="8">
        <v>3.2862</v>
      </c>
      <c r="CZ109" s="8">
        <v>3.3113999999999999</v>
      </c>
      <c r="DA109" s="8">
        <v>3.3365</v>
      </c>
      <c r="DB109" s="8">
        <v>3.3614000000000002</v>
      </c>
      <c r="DC109" s="8">
        <v>3.3862000000000001</v>
      </c>
      <c r="DD109" s="8">
        <v>3.4108999999999998</v>
      </c>
      <c r="DE109" s="8">
        <v>3.4352999999999998</v>
      </c>
      <c r="DF109" s="8">
        <v>3.4594999999999998</v>
      </c>
      <c r="DG109" s="8">
        <v>3.4836</v>
      </c>
      <c r="DH109" s="8">
        <v>3.5074000000000001</v>
      </c>
      <c r="DI109" s="8">
        <v>3.5310000000000001</v>
      </c>
      <c r="DJ109" s="8">
        <v>3.5543999999999998</v>
      </c>
      <c r="DK109" s="8">
        <v>3.5775999999999999</v>
      </c>
      <c r="DL109" s="8">
        <v>3.6004999999999998</v>
      </c>
      <c r="DM109" s="8">
        <v>3.6231</v>
      </c>
      <c r="DN109" s="8">
        <v>3.6455000000000002</v>
      </c>
      <c r="DO109" s="8">
        <v>3.6676000000000002</v>
      </c>
      <c r="DP109" s="8">
        <v>3.6894</v>
      </c>
      <c r="DQ109" s="8">
        <v>3.7109000000000001</v>
      </c>
      <c r="DR109" s="8">
        <v>3.7322000000000002</v>
      </c>
      <c r="DS109" s="8">
        <v>3.7532000000000001</v>
      </c>
      <c r="DT109" s="8">
        <v>3.7738999999999998</v>
      </c>
      <c r="DU109" s="8">
        <v>3.7942999999999998</v>
      </c>
      <c r="DV109" s="8">
        <v>3.8144</v>
      </c>
      <c r="DW109" s="8">
        <v>3.8342999999999998</v>
      </c>
      <c r="DX109" s="8">
        <v>3.8538000000000001</v>
      </c>
      <c r="DY109" s="8">
        <v>3.8732000000000002</v>
      </c>
      <c r="DZ109" s="8">
        <v>3.8921999999999999</v>
      </c>
      <c r="EA109" s="8">
        <v>3.9110999999999998</v>
      </c>
      <c r="EB109" s="8">
        <v>3.9297</v>
      </c>
      <c r="EC109" s="8">
        <v>3.9481000000000002</v>
      </c>
      <c r="ED109" s="8">
        <v>3.9664000000000001</v>
      </c>
      <c r="EE109" s="8">
        <v>3.9843999999999999</v>
      </c>
      <c r="EF109" s="8">
        <v>4.0023999999999997</v>
      </c>
      <c r="EG109" s="8">
        <v>4.0202</v>
      </c>
      <c r="EH109" s="8">
        <v>4.0380000000000003</v>
      </c>
      <c r="EI109" s="8">
        <v>4.0557999999999996</v>
      </c>
      <c r="EJ109" s="8">
        <v>4.0735000000000001</v>
      </c>
      <c r="EK109" s="8">
        <v>4.0913000000000004</v>
      </c>
      <c r="EL109" s="8">
        <v>4.1092000000000004</v>
      </c>
      <c r="EM109" s="8">
        <v>4.1272000000000002</v>
      </c>
      <c r="EN109" s="8">
        <v>4.1452999999999998</v>
      </c>
      <c r="EO109" s="8">
        <v>4.1637000000000004</v>
      </c>
      <c r="EP109" s="8">
        <v>4.1824000000000003</v>
      </c>
      <c r="EQ109" s="8">
        <v>4.2013999999999996</v>
      </c>
      <c r="ER109" s="8">
        <v>4.2206999999999999</v>
      </c>
      <c r="ES109" s="8">
        <v>4.2404999999999999</v>
      </c>
      <c r="ET109" s="8">
        <v>4.2606999999999999</v>
      </c>
      <c r="EU109" s="8">
        <v>4.2815000000000003</v>
      </c>
      <c r="EV109" s="8">
        <v>4.3029000000000002</v>
      </c>
      <c r="EW109" s="8">
        <v>4.3247999999999998</v>
      </c>
      <c r="EX109" s="8">
        <v>4.3475000000000001</v>
      </c>
      <c r="EY109" s="8">
        <v>4.3708999999999998</v>
      </c>
      <c r="EZ109" s="8">
        <v>4.3949999999999996</v>
      </c>
      <c r="FA109" s="8">
        <v>4.4199000000000002</v>
      </c>
      <c r="FB109" s="8">
        <v>4.4457000000000004</v>
      </c>
      <c r="FC109" s="106">
        <v>4.4722999999999997</v>
      </c>
      <c r="FE109" s="50">
        <f t="shared" ref="FE109:FE172" ca="1" si="15">FORECAST(J$39,OFFSET($AX109,0,MATCH(J$39,$AX$107:$FC$107,1)-1,1,2),OFFSET($AX$107,0,MATCH(J$39,$AX$107:$FC$107,1)-1,1,2))</f>
        <v>3.8381952278984404</v>
      </c>
      <c r="FF109" s="50">
        <f t="shared" ref="FF109:FF172" ca="1" si="16">FORECAST(L$39,OFFSET($AX109,0,MATCH(L$39,$AX$107:$FC$107,1)-1,1,2),OFFSET($AX$107,0,MATCH(L$39,$AX$107:$FC$107,1)-1,1,2))</f>
        <v>3.825711310477411</v>
      </c>
      <c r="FG109" s="50">
        <f t="shared" ref="FG109:FG172" ca="1" si="17">FORECAST(N$39,OFFSET($AX109,0,MATCH(N$39,$AX$107:$FC$107,1)-1,1,2),OFFSET($AX$107,0,MATCH(N$39,$AX$107:$FC$107,1)-1,1,2))</f>
        <v>3.8128756375838924</v>
      </c>
      <c r="FH109" s="50">
        <f t="shared" ref="FH109:FH172" ca="1" si="18">FORECAST(P$39,OFFSET($AX109,0,MATCH(P$39,$AX$107:$FC$107,1)-1,1,2),OFFSET($AX$107,0,MATCH(P$39,$AX$107:$FC$107,1)-1,1,2))</f>
        <v>3.7993857046979862</v>
      </c>
      <c r="FK109" s="50">
        <f t="shared" ca="1" si="14"/>
        <v>3.825711310477411</v>
      </c>
      <c r="FL109" s="50"/>
      <c r="FM109" s="50"/>
      <c r="FN109" s="50"/>
    </row>
    <row r="110" spans="47:170" hidden="1">
      <c r="AV110" s="600"/>
      <c r="AW110" s="104">
        <v>0.115</v>
      </c>
      <c r="AX110" s="8">
        <v>1.8923000000000001</v>
      </c>
      <c r="AY110" s="8">
        <v>1.9235</v>
      </c>
      <c r="AZ110" s="8">
        <v>1.9551000000000001</v>
      </c>
      <c r="BA110" s="8">
        <v>1.9869000000000001</v>
      </c>
      <c r="BB110" s="8">
        <v>2.0190000000000001</v>
      </c>
      <c r="BC110" s="8">
        <v>2.0512999999999999</v>
      </c>
      <c r="BD110" s="8">
        <v>2.0838000000000001</v>
      </c>
      <c r="BE110" s="8">
        <v>2.1156999999999999</v>
      </c>
      <c r="BF110" s="8">
        <v>2.1395</v>
      </c>
      <c r="BG110" s="8">
        <v>2.1635</v>
      </c>
      <c r="BH110" s="8">
        <v>2.1875</v>
      </c>
      <c r="BI110" s="8">
        <v>2.2117</v>
      </c>
      <c r="BJ110" s="8">
        <v>2.2360000000000002</v>
      </c>
      <c r="BK110" s="8">
        <v>2.2604000000000002</v>
      </c>
      <c r="BL110" s="8">
        <v>2.2848999999999999</v>
      </c>
      <c r="BM110" s="8">
        <v>2.3094999999999999</v>
      </c>
      <c r="BN110" s="8">
        <v>2.3342999999999998</v>
      </c>
      <c r="BO110" s="8">
        <v>2.3591000000000002</v>
      </c>
      <c r="BP110" s="8">
        <v>2.3839999999999999</v>
      </c>
      <c r="BQ110" s="8">
        <v>2.4089999999999998</v>
      </c>
      <c r="BR110" s="8">
        <v>2.4340999999999999</v>
      </c>
      <c r="BS110" s="8">
        <v>2.4592999999999998</v>
      </c>
      <c r="BT110" s="8">
        <v>2.4845999999999999</v>
      </c>
      <c r="BU110" s="8">
        <v>2.5099999999999998</v>
      </c>
      <c r="BV110" s="8">
        <v>2.5354000000000001</v>
      </c>
      <c r="BW110" s="8">
        <v>2.5609000000000002</v>
      </c>
      <c r="BX110" s="8">
        <v>2.5865</v>
      </c>
      <c r="BY110" s="8">
        <v>2.6122000000000001</v>
      </c>
      <c r="BZ110" s="8">
        <v>2.6379000000000001</v>
      </c>
      <c r="CA110" s="8">
        <v>2.6637</v>
      </c>
      <c r="CB110" s="8">
        <v>2.6896</v>
      </c>
      <c r="CC110" s="8">
        <v>2.7155</v>
      </c>
      <c r="CD110" s="8">
        <v>2.7414999999999998</v>
      </c>
      <c r="CE110" s="8">
        <v>2.7675000000000001</v>
      </c>
      <c r="CF110" s="8">
        <v>2.7934999999999999</v>
      </c>
      <c r="CG110" s="8">
        <v>2.8195999999999999</v>
      </c>
      <c r="CH110" s="8">
        <v>2.8456999999999999</v>
      </c>
      <c r="CI110" s="8">
        <v>2.8717999999999999</v>
      </c>
      <c r="CJ110" s="8">
        <v>2.8978999999999999</v>
      </c>
      <c r="CK110" s="8">
        <v>2.9239999999999999</v>
      </c>
      <c r="CL110" s="8">
        <v>2.9502000000000002</v>
      </c>
      <c r="CM110" s="8">
        <v>2.9763000000000002</v>
      </c>
      <c r="CN110" s="8">
        <v>3.0024000000000002</v>
      </c>
      <c r="CO110" s="8">
        <v>3.0285000000000002</v>
      </c>
      <c r="CP110" s="8">
        <v>3.0545</v>
      </c>
      <c r="CQ110" s="8">
        <v>3.0806</v>
      </c>
      <c r="CR110" s="8">
        <v>3.1065</v>
      </c>
      <c r="CS110" s="8">
        <v>3.1324000000000001</v>
      </c>
      <c r="CT110" s="8">
        <v>3.1583000000000001</v>
      </c>
      <c r="CU110" s="8">
        <v>3.1840000000000002</v>
      </c>
      <c r="CV110" s="8">
        <v>3.2097000000000002</v>
      </c>
      <c r="CW110" s="8">
        <v>3.2353000000000001</v>
      </c>
      <c r="CX110" s="8">
        <v>3.2608000000000001</v>
      </c>
      <c r="CY110" s="8">
        <v>3.2862</v>
      </c>
      <c r="CZ110" s="8">
        <v>3.3113999999999999</v>
      </c>
      <c r="DA110" s="8">
        <v>3.3365</v>
      </c>
      <c r="DB110" s="8">
        <v>3.3614000000000002</v>
      </c>
      <c r="DC110" s="8">
        <v>3.3862000000000001</v>
      </c>
      <c r="DD110" s="8">
        <v>3.4108999999999998</v>
      </c>
      <c r="DE110" s="8">
        <v>3.4352999999999998</v>
      </c>
      <c r="DF110" s="8">
        <v>3.4594999999999998</v>
      </c>
      <c r="DG110" s="8">
        <v>3.4836</v>
      </c>
      <c r="DH110" s="8">
        <v>3.5074000000000001</v>
      </c>
      <c r="DI110" s="8">
        <v>3.5310000000000001</v>
      </c>
      <c r="DJ110" s="8">
        <v>3.5543999999999998</v>
      </c>
      <c r="DK110" s="8">
        <v>3.5775999999999999</v>
      </c>
      <c r="DL110" s="8">
        <v>3.6004999999999998</v>
      </c>
      <c r="DM110" s="8">
        <v>3.6231</v>
      </c>
      <c r="DN110" s="8">
        <v>3.6455000000000002</v>
      </c>
      <c r="DO110" s="8">
        <v>3.6676000000000002</v>
      </c>
      <c r="DP110" s="8">
        <v>3.6894</v>
      </c>
      <c r="DQ110" s="8">
        <v>3.7109000000000001</v>
      </c>
      <c r="DR110" s="8">
        <v>3.7322000000000002</v>
      </c>
      <c r="DS110" s="8">
        <v>3.7532000000000001</v>
      </c>
      <c r="DT110" s="8">
        <v>3.7738999999999998</v>
      </c>
      <c r="DU110" s="8">
        <v>3.7942999999999998</v>
      </c>
      <c r="DV110" s="8">
        <v>3.8144</v>
      </c>
      <c r="DW110" s="8">
        <v>3.8342999999999998</v>
      </c>
      <c r="DX110" s="8">
        <v>3.8538000000000001</v>
      </c>
      <c r="DY110" s="8">
        <v>3.8732000000000002</v>
      </c>
      <c r="DZ110" s="8">
        <v>3.8921999999999999</v>
      </c>
      <c r="EA110" s="8">
        <v>3.9110999999999998</v>
      </c>
      <c r="EB110" s="8">
        <v>3.9297</v>
      </c>
      <c r="EC110" s="8">
        <v>3.9481000000000002</v>
      </c>
      <c r="ED110" s="8">
        <v>3.9664000000000001</v>
      </c>
      <c r="EE110" s="8">
        <v>3.9843999999999999</v>
      </c>
      <c r="EF110" s="8">
        <v>4.0023999999999997</v>
      </c>
      <c r="EG110" s="8">
        <v>4.0202</v>
      </c>
      <c r="EH110" s="8">
        <v>4.0380000000000003</v>
      </c>
      <c r="EI110" s="8">
        <v>4.0557999999999996</v>
      </c>
      <c r="EJ110" s="8">
        <v>4.0735000000000001</v>
      </c>
      <c r="EK110" s="8">
        <v>4.0913000000000004</v>
      </c>
      <c r="EL110" s="8">
        <v>4.1092000000000004</v>
      </c>
      <c r="EM110" s="8">
        <v>4.1272000000000002</v>
      </c>
      <c r="EN110" s="8">
        <v>4.1452999999999998</v>
      </c>
      <c r="EO110" s="8">
        <v>4.1637000000000004</v>
      </c>
      <c r="EP110" s="8">
        <v>4.1824000000000003</v>
      </c>
      <c r="EQ110" s="8">
        <v>4.2013999999999996</v>
      </c>
      <c r="ER110" s="8">
        <v>4.2206999999999999</v>
      </c>
      <c r="ES110" s="8">
        <v>4.2404999999999999</v>
      </c>
      <c r="ET110" s="8">
        <v>4.2606999999999999</v>
      </c>
      <c r="EU110" s="8">
        <v>4.2815000000000003</v>
      </c>
      <c r="EV110" s="8">
        <v>4.3029000000000002</v>
      </c>
      <c r="EW110" s="8">
        <v>4.3247999999999998</v>
      </c>
      <c r="EX110" s="8">
        <v>4.3475000000000001</v>
      </c>
      <c r="EY110" s="8">
        <v>4.3708999999999998</v>
      </c>
      <c r="EZ110" s="8">
        <v>4.3949999999999996</v>
      </c>
      <c r="FA110" s="8">
        <v>4.4199000000000002</v>
      </c>
      <c r="FB110" s="8">
        <v>4.4457000000000004</v>
      </c>
      <c r="FC110" s="106">
        <v>4.4722999999999997</v>
      </c>
      <c r="FE110" s="50">
        <f t="shared" ca="1" si="15"/>
        <v>3.8381952278984404</v>
      </c>
      <c r="FF110" s="50">
        <f t="shared" ca="1" si="16"/>
        <v>3.825711310477411</v>
      </c>
      <c r="FG110" s="50">
        <f t="shared" ca="1" si="17"/>
        <v>3.8128756375838924</v>
      </c>
      <c r="FH110" s="50">
        <f t="shared" ca="1" si="18"/>
        <v>3.7993857046979862</v>
      </c>
      <c r="FK110" s="50">
        <f t="shared" ca="1" si="14"/>
        <v>3.825711310477411</v>
      </c>
      <c r="FL110" s="50"/>
      <c r="FM110" s="50"/>
      <c r="FN110" s="50"/>
    </row>
    <row r="111" spans="47:170" hidden="1">
      <c r="AV111" s="600"/>
      <c r="AW111" s="104">
        <v>0.123</v>
      </c>
      <c r="AX111" s="8">
        <v>1.8824000000000001</v>
      </c>
      <c r="AY111" s="8">
        <v>1.9136</v>
      </c>
      <c r="AZ111" s="8">
        <v>1.9450000000000001</v>
      </c>
      <c r="BA111" s="8">
        <v>1.9765999999999999</v>
      </c>
      <c r="BB111" s="8">
        <v>2.0085000000000002</v>
      </c>
      <c r="BC111" s="8">
        <v>2.0406</v>
      </c>
      <c r="BD111" s="8">
        <v>2.073</v>
      </c>
      <c r="BE111" s="8">
        <v>2.1057000000000001</v>
      </c>
      <c r="BF111" s="8">
        <v>2.1385999999999998</v>
      </c>
      <c r="BG111" s="8">
        <v>2.1635</v>
      </c>
      <c r="BH111" s="8">
        <v>2.1875</v>
      </c>
      <c r="BI111" s="8">
        <v>2.2117</v>
      </c>
      <c r="BJ111" s="8">
        <v>2.2360000000000002</v>
      </c>
      <c r="BK111" s="8">
        <v>2.2604000000000002</v>
      </c>
      <c r="BL111" s="8">
        <v>2.2848999999999999</v>
      </c>
      <c r="BM111" s="8">
        <v>2.3094999999999999</v>
      </c>
      <c r="BN111" s="8">
        <v>2.3342999999999998</v>
      </c>
      <c r="BO111" s="8">
        <v>2.3591000000000002</v>
      </c>
      <c r="BP111" s="8">
        <v>2.3839999999999999</v>
      </c>
      <c r="BQ111" s="8">
        <v>2.4089999999999998</v>
      </c>
      <c r="BR111" s="8">
        <v>2.4340999999999999</v>
      </c>
      <c r="BS111" s="8">
        <v>2.4592999999999998</v>
      </c>
      <c r="BT111" s="8">
        <v>2.4845999999999999</v>
      </c>
      <c r="BU111" s="8">
        <v>2.5099999999999998</v>
      </c>
      <c r="BV111" s="8">
        <v>2.5354000000000001</v>
      </c>
      <c r="BW111" s="8">
        <v>2.5609000000000002</v>
      </c>
      <c r="BX111" s="8">
        <v>2.5865</v>
      </c>
      <c r="BY111" s="8">
        <v>2.6122000000000001</v>
      </c>
      <c r="BZ111" s="8">
        <v>2.6379000000000001</v>
      </c>
      <c r="CA111" s="8">
        <v>2.6637</v>
      </c>
      <c r="CB111" s="8">
        <v>2.6896</v>
      </c>
      <c r="CC111" s="8">
        <v>2.7155</v>
      </c>
      <c r="CD111" s="8">
        <v>2.7414999999999998</v>
      </c>
      <c r="CE111" s="8">
        <v>2.7675000000000001</v>
      </c>
      <c r="CF111" s="8">
        <v>2.7934999999999999</v>
      </c>
      <c r="CG111" s="8">
        <v>2.8195999999999999</v>
      </c>
      <c r="CH111" s="8">
        <v>2.8456999999999999</v>
      </c>
      <c r="CI111" s="8">
        <v>2.8717999999999999</v>
      </c>
      <c r="CJ111" s="8">
        <v>2.8978999999999999</v>
      </c>
      <c r="CK111" s="8">
        <v>2.9239999999999999</v>
      </c>
      <c r="CL111" s="8">
        <v>2.9502000000000002</v>
      </c>
      <c r="CM111" s="8">
        <v>2.9763000000000002</v>
      </c>
      <c r="CN111" s="8">
        <v>3.0024000000000002</v>
      </c>
      <c r="CO111" s="8">
        <v>3.0285000000000002</v>
      </c>
      <c r="CP111" s="8">
        <v>3.0545</v>
      </c>
      <c r="CQ111" s="8">
        <v>3.0806</v>
      </c>
      <c r="CR111" s="8">
        <v>3.1065</v>
      </c>
      <c r="CS111" s="8">
        <v>3.1324000000000001</v>
      </c>
      <c r="CT111" s="8">
        <v>3.1583000000000001</v>
      </c>
      <c r="CU111" s="8">
        <v>3.1840000000000002</v>
      </c>
      <c r="CV111" s="8">
        <v>3.2097000000000002</v>
      </c>
      <c r="CW111" s="8">
        <v>3.2353000000000001</v>
      </c>
      <c r="CX111" s="8">
        <v>3.2608000000000001</v>
      </c>
      <c r="CY111" s="8">
        <v>3.2862</v>
      </c>
      <c r="CZ111" s="8">
        <v>3.3113999999999999</v>
      </c>
      <c r="DA111" s="8">
        <v>3.3365</v>
      </c>
      <c r="DB111" s="8">
        <v>3.3614000000000002</v>
      </c>
      <c r="DC111" s="8">
        <v>3.3862000000000001</v>
      </c>
      <c r="DD111" s="8">
        <v>3.4108999999999998</v>
      </c>
      <c r="DE111" s="8">
        <v>3.4352999999999998</v>
      </c>
      <c r="DF111" s="8">
        <v>3.4594999999999998</v>
      </c>
      <c r="DG111" s="8">
        <v>3.4836</v>
      </c>
      <c r="DH111" s="8">
        <v>3.5074000000000001</v>
      </c>
      <c r="DI111" s="8">
        <v>3.5310000000000001</v>
      </c>
      <c r="DJ111" s="8">
        <v>3.5543999999999998</v>
      </c>
      <c r="DK111" s="8">
        <v>3.5775999999999999</v>
      </c>
      <c r="DL111" s="8">
        <v>3.6004999999999998</v>
      </c>
      <c r="DM111" s="8">
        <v>3.6231</v>
      </c>
      <c r="DN111" s="8">
        <v>3.6455000000000002</v>
      </c>
      <c r="DO111" s="8">
        <v>3.6676000000000002</v>
      </c>
      <c r="DP111" s="8">
        <v>3.6894</v>
      </c>
      <c r="DQ111" s="8">
        <v>3.7109000000000001</v>
      </c>
      <c r="DR111" s="8">
        <v>3.7322000000000002</v>
      </c>
      <c r="DS111" s="8">
        <v>3.7532000000000001</v>
      </c>
      <c r="DT111" s="8">
        <v>3.7738999999999998</v>
      </c>
      <c r="DU111" s="8">
        <v>3.7942999999999998</v>
      </c>
      <c r="DV111" s="8">
        <v>3.8144</v>
      </c>
      <c r="DW111" s="8">
        <v>3.8342999999999998</v>
      </c>
      <c r="DX111" s="8">
        <v>3.8538000000000001</v>
      </c>
      <c r="DY111" s="8">
        <v>3.8732000000000002</v>
      </c>
      <c r="DZ111" s="8">
        <v>3.8921999999999999</v>
      </c>
      <c r="EA111" s="8">
        <v>3.9110999999999998</v>
      </c>
      <c r="EB111" s="8">
        <v>3.9297</v>
      </c>
      <c r="EC111" s="8">
        <v>3.9481000000000002</v>
      </c>
      <c r="ED111" s="8">
        <v>3.9664000000000001</v>
      </c>
      <c r="EE111" s="8">
        <v>3.9843999999999999</v>
      </c>
      <c r="EF111" s="8">
        <v>4.0023999999999997</v>
      </c>
      <c r="EG111" s="8">
        <v>4.0202</v>
      </c>
      <c r="EH111" s="8">
        <v>4.0380000000000003</v>
      </c>
      <c r="EI111" s="8">
        <v>4.0557999999999996</v>
      </c>
      <c r="EJ111" s="8">
        <v>4.0735000000000001</v>
      </c>
      <c r="EK111" s="8">
        <v>4.0913000000000004</v>
      </c>
      <c r="EL111" s="8">
        <v>4.1092000000000004</v>
      </c>
      <c r="EM111" s="8">
        <v>4.1272000000000002</v>
      </c>
      <c r="EN111" s="8">
        <v>4.1452999999999998</v>
      </c>
      <c r="EO111" s="8">
        <v>4.1637000000000004</v>
      </c>
      <c r="EP111" s="8">
        <v>4.1824000000000003</v>
      </c>
      <c r="EQ111" s="8">
        <v>4.2013999999999996</v>
      </c>
      <c r="ER111" s="8">
        <v>4.2206999999999999</v>
      </c>
      <c r="ES111" s="8">
        <v>4.2404999999999999</v>
      </c>
      <c r="ET111" s="8">
        <v>4.2606999999999999</v>
      </c>
      <c r="EU111" s="8">
        <v>4.2815000000000003</v>
      </c>
      <c r="EV111" s="8">
        <v>4.3029000000000002</v>
      </c>
      <c r="EW111" s="8">
        <v>4.3247999999999998</v>
      </c>
      <c r="EX111" s="8">
        <v>4.3475000000000001</v>
      </c>
      <c r="EY111" s="8">
        <v>4.3708999999999998</v>
      </c>
      <c r="EZ111" s="8">
        <v>4.3949999999999996</v>
      </c>
      <c r="FA111" s="8">
        <v>4.4199000000000002</v>
      </c>
      <c r="FB111" s="8">
        <v>4.4457000000000004</v>
      </c>
      <c r="FC111" s="106">
        <v>4.4722999999999997</v>
      </c>
      <c r="FE111" s="50">
        <f t="shared" ca="1" si="15"/>
        <v>3.8381952278984404</v>
      </c>
      <c r="FF111" s="50">
        <f t="shared" ca="1" si="16"/>
        <v>3.825711310477411</v>
      </c>
      <c r="FG111" s="50">
        <f t="shared" ca="1" si="17"/>
        <v>3.8128756375838924</v>
      </c>
      <c r="FH111" s="50">
        <f t="shared" ca="1" si="18"/>
        <v>3.7993857046979862</v>
      </c>
      <c r="FK111" s="50">
        <f t="shared" ca="1" si="14"/>
        <v>3.825711310477411</v>
      </c>
      <c r="FL111" s="50"/>
      <c r="FM111" s="50"/>
      <c r="FN111" s="50"/>
    </row>
    <row r="112" spans="47:170" hidden="1">
      <c r="AV112" s="600"/>
      <c r="AW112" s="104">
        <v>0.13200000000000001</v>
      </c>
      <c r="AX112" s="8">
        <v>1.8728</v>
      </c>
      <c r="AY112" s="8">
        <v>1.9037999999999999</v>
      </c>
      <c r="AZ112" s="8">
        <v>1.9350000000000001</v>
      </c>
      <c r="BA112" s="8">
        <v>1.9664999999999999</v>
      </c>
      <c r="BB112" s="8">
        <v>1.9982</v>
      </c>
      <c r="BC112" s="8">
        <v>2.0301999999999998</v>
      </c>
      <c r="BD112" s="8">
        <v>2.0623999999999998</v>
      </c>
      <c r="BE112" s="8">
        <v>2.0949</v>
      </c>
      <c r="BF112" s="8">
        <v>2.1276000000000002</v>
      </c>
      <c r="BG112" s="8">
        <v>2.1606000000000001</v>
      </c>
      <c r="BH112" s="8">
        <v>2.1875</v>
      </c>
      <c r="BI112" s="8">
        <v>2.2117</v>
      </c>
      <c r="BJ112" s="8">
        <v>2.2360000000000002</v>
      </c>
      <c r="BK112" s="8">
        <v>2.2604000000000002</v>
      </c>
      <c r="BL112" s="8">
        <v>2.2848999999999999</v>
      </c>
      <c r="BM112" s="8">
        <v>2.3094999999999999</v>
      </c>
      <c r="BN112" s="8">
        <v>2.3342999999999998</v>
      </c>
      <c r="BO112" s="8">
        <v>2.3591000000000002</v>
      </c>
      <c r="BP112" s="8">
        <v>2.3839999999999999</v>
      </c>
      <c r="BQ112" s="8">
        <v>2.4089999999999998</v>
      </c>
      <c r="BR112" s="8">
        <v>2.4340999999999999</v>
      </c>
      <c r="BS112" s="8">
        <v>2.4592999999999998</v>
      </c>
      <c r="BT112" s="8">
        <v>2.4845999999999999</v>
      </c>
      <c r="BU112" s="8">
        <v>2.5099999999999998</v>
      </c>
      <c r="BV112" s="8">
        <v>2.5354000000000001</v>
      </c>
      <c r="BW112" s="8">
        <v>2.5609000000000002</v>
      </c>
      <c r="BX112" s="8">
        <v>2.5865</v>
      </c>
      <c r="BY112" s="8">
        <v>2.6122000000000001</v>
      </c>
      <c r="BZ112" s="8">
        <v>2.6379000000000001</v>
      </c>
      <c r="CA112" s="8">
        <v>2.6637</v>
      </c>
      <c r="CB112" s="8">
        <v>2.6896</v>
      </c>
      <c r="CC112" s="8">
        <v>2.7155</v>
      </c>
      <c r="CD112" s="8">
        <v>2.7414999999999998</v>
      </c>
      <c r="CE112" s="8">
        <v>2.7675000000000001</v>
      </c>
      <c r="CF112" s="8">
        <v>2.7934999999999999</v>
      </c>
      <c r="CG112" s="8">
        <v>2.8195999999999999</v>
      </c>
      <c r="CH112" s="8">
        <v>2.8456999999999999</v>
      </c>
      <c r="CI112" s="8">
        <v>2.8717999999999999</v>
      </c>
      <c r="CJ112" s="8">
        <v>2.8978999999999999</v>
      </c>
      <c r="CK112" s="8">
        <v>2.9239999999999999</v>
      </c>
      <c r="CL112" s="8">
        <v>2.9502000000000002</v>
      </c>
      <c r="CM112" s="8">
        <v>2.9763000000000002</v>
      </c>
      <c r="CN112" s="8">
        <v>3.0024000000000002</v>
      </c>
      <c r="CO112" s="8">
        <v>3.0285000000000002</v>
      </c>
      <c r="CP112" s="8">
        <v>3.0545</v>
      </c>
      <c r="CQ112" s="8">
        <v>3.0806</v>
      </c>
      <c r="CR112" s="8">
        <v>3.1065</v>
      </c>
      <c r="CS112" s="8">
        <v>3.1324000000000001</v>
      </c>
      <c r="CT112" s="8">
        <v>3.1583000000000001</v>
      </c>
      <c r="CU112" s="8">
        <v>3.1840000000000002</v>
      </c>
      <c r="CV112" s="8">
        <v>3.2097000000000002</v>
      </c>
      <c r="CW112" s="8">
        <v>3.2353000000000001</v>
      </c>
      <c r="CX112" s="8">
        <v>3.2608000000000001</v>
      </c>
      <c r="CY112" s="8">
        <v>3.2862</v>
      </c>
      <c r="CZ112" s="8">
        <v>3.3113999999999999</v>
      </c>
      <c r="DA112" s="8">
        <v>3.3365</v>
      </c>
      <c r="DB112" s="8">
        <v>3.3614000000000002</v>
      </c>
      <c r="DC112" s="8">
        <v>3.3862000000000001</v>
      </c>
      <c r="DD112" s="8">
        <v>3.4108999999999998</v>
      </c>
      <c r="DE112" s="8">
        <v>3.4352999999999998</v>
      </c>
      <c r="DF112" s="8">
        <v>3.4594999999999998</v>
      </c>
      <c r="DG112" s="8">
        <v>3.4836</v>
      </c>
      <c r="DH112" s="8">
        <v>3.5074000000000001</v>
      </c>
      <c r="DI112" s="8">
        <v>3.5310000000000001</v>
      </c>
      <c r="DJ112" s="8">
        <v>3.5543999999999998</v>
      </c>
      <c r="DK112" s="8">
        <v>3.5775999999999999</v>
      </c>
      <c r="DL112" s="8">
        <v>3.6004999999999998</v>
      </c>
      <c r="DM112" s="8">
        <v>3.6231</v>
      </c>
      <c r="DN112" s="8">
        <v>3.6455000000000002</v>
      </c>
      <c r="DO112" s="8">
        <v>3.6676000000000002</v>
      </c>
      <c r="DP112" s="8">
        <v>3.6894</v>
      </c>
      <c r="DQ112" s="8">
        <v>3.7109000000000001</v>
      </c>
      <c r="DR112" s="8">
        <v>3.7322000000000002</v>
      </c>
      <c r="DS112" s="8">
        <v>3.7532000000000001</v>
      </c>
      <c r="DT112" s="8">
        <v>3.7738999999999998</v>
      </c>
      <c r="DU112" s="8">
        <v>3.7942999999999998</v>
      </c>
      <c r="DV112" s="8">
        <v>3.8144</v>
      </c>
      <c r="DW112" s="8">
        <v>3.8342999999999998</v>
      </c>
      <c r="DX112" s="8">
        <v>3.8538000000000001</v>
      </c>
      <c r="DY112" s="8">
        <v>3.8732000000000002</v>
      </c>
      <c r="DZ112" s="8">
        <v>3.8921999999999999</v>
      </c>
      <c r="EA112" s="8">
        <v>3.9110999999999998</v>
      </c>
      <c r="EB112" s="8">
        <v>3.9297</v>
      </c>
      <c r="EC112" s="8">
        <v>3.9481000000000002</v>
      </c>
      <c r="ED112" s="8">
        <v>3.9664000000000001</v>
      </c>
      <c r="EE112" s="8">
        <v>3.9843999999999999</v>
      </c>
      <c r="EF112" s="8">
        <v>4.0023999999999997</v>
      </c>
      <c r="EG112" s="8">
        <v>4.0202</v>
      </c>
      <c r="EH112" s="8">
        <v>4.0380000000000003</v>
      </c>
      <c r="EI112" s="8">
        <v>4.0557999999999996</v>
      </c>
      <c r="EJ112" s="8">
        <v>4.0735000000000001</v>
      </c>
      <c r="EK112" s="8">
        <v>4.0913000000000004</v>
      </c>
      <c r="EL112" s="8">
        <v>4.1092000000000004</v>
      </c>
      <c r="EM112" s="8">
        <v>4.1272000000000002</v>
      </c>
      <c r="EN112" s="8">
        <v>4.1452999999999998</v>
      </c>
      <c r="EO112" s="8">
        <v>4.1637000000000004</v>
      </c>
      <c r="EP112" s="8">
        <v>4.1824000000000003</v>
      </c>
      <c r="EQ112" s="8">
        <v>4.2013999999999996</v>
      </c>
      <c r="ER112" s="8">
        <v>4.2206999999999999</v>
      </c>
      <c r="ES112" s="8">
        <v>4.2404999999999999</v>
      </c>
      <c r="ET112" s="8">
        <v>4.2606999999999999</v>
      </c>
      <c r="EU112" s="8">
        <v>4.2815000000000003</v>
      </c>
      <c r="EV112" s="8">
        <v>4.3029000000000002</v>
      </c>
      <c r="EW112" s="8">
        <v>4.3247999999999998</v>
      </c>
      <c r="EX112" s="8">
        <v>4.3475000000000001</v>
      </c>
      <c r="EY112" s="8">
        <v>4.3708999999999998</v>
      </c>
      <c r="EZ112" s="8">
        <v>4.3949999999999996</v>
      </c>
      <c r="FA112" s="8">
        <v>4.4199000000000002</v>
      </c>
      <c r="FB112" s="8">
        <v>4.4457000000000004</v>
      </c>
      <c r="FC112" s="106">
        <v>4.4722999999999997</v>
      </c>
      <c r="FE112" s="50">
        <f t="shared" ca="1" si="15"/>
        <v>3.8381952278984404</v>
      </c>
      <c r="FF112" s="50">
        <f t="shared" ca="1" si="16"/>
        <v>3.825711310477411</v>
      </c>
      <c r="FG112" s="50">
        <f t="shared" ca="1" si="17"/>
        <v>3.8128756375838924</v>
      </c>
      <c r="FH112" s="50">
        <f t="shared" ca="1" si="18"/>
        <v>3.7993857046979862</v>
      </c>
      <c r="FK112" s="50">
        <f t="shared" ca="1" si="14"/>
        <v>3.825711310477411</v>
      </c>
      <c r="FL112" s="50"/>
      <c r="FM112" s="50"/>
      <c r="FN112" s="50"/>
    </row>
    <row r="113" spans="48:170" hidden="1">
      <c r="AV113" s="69"/>
      <c r="AW113" s="104">
        <v>0.14099999999999999</v>
      </c>
      <c r="AX113" s="8">
        <v>1.8633999999999999</v>
      </c>
      <c r="AY113" s="8">
        <v>1.8942000000000001</v>
      </c>
      <c r="AZ113" s="8">
        <v>1.9253</v>
      </c>
      <c r="BA113" s="8">
        <v>1.9565999999999999</v>
      </c>
      <c r="BB113" s="8">
        <v>1.9882</v>
      </c>
      <c r="BC113" s="8">
        <v>2.02</v>
      </c>
      <c r="BD113" s="8">
        <v>2.052</v>
      </c>
      <c r="BE113" s="8">
        <v>2.0842999999999998</v>
      </c>
      <c r="BF113" s="8">
        <v>2.1168999999999998</v>
      </c>
      <c r="BG113" s="8">
        <v>2.1497000000000002</v>
      </c>
      <c r="BH113" s="8">
        <v>2.1827999999999999</v>
      </c>
      <c r="BI113" s="8">
        <v>2.2117</v>
      </c>
      <c r="BJ113" s="8">
        <v>2.2360000000000002</v>
      </c>
      <c r="BK113" s="8">
        <v>2.2604000000000002</v>
      </c>
      <c r="BL113" s="8">
        <v>2.2848999999999999</v>
      </c>
      <c r="BM113" s="8">
        <v>2.3094999999999999</v>
      </c>
      <c r="BN113" s="8">
        <v>2.3342999999999998</v>
      </c>
      <c r="BO113" s="8">
        <v>2.3591000000000002</v>
      </c>
      <c r="BP113" s="8">
        <v>2.3839999999999999</v>
      </c>
      <c r="BQ113" s="8">
        <v>2.4089999999999998</v>
      </c>
      <c r="BR113" s="8">
        <v>2.4340999999999999</v>
      </c>
      <c r="BS113" s="8">
        <v>2.4592999999999998</v>
      </c>
      <c r="BT113" s="8">
        <v>2.4845999999999999</v>
      </c>
      <c r="BU113" s="8">
        <v>2.5099999999999998</v>
      </c>
      <c r="BV113" s="8">
        <v>2.5354000000000001</v>
      </c>
      <c r="BW113" s="8">
        <v>2.5609000000000002</v>
      </c>
      <c r="BX113" s="8">
        <v>2.5865</v>
      </c>
      <c r="BY113" s="8">
        <v>2.6122000000000001</v>
      </c>
      <c r="BZ113" s="8">
        <v>2.6379000000000001</v>
      </c>
      <c r="CA113" s="8">
        <v>2.6637</v>
      </c>
      <c r="CB113" s="8">
        <v>2.6896</v>
      </c>
      <c r="CC113" s="8">
        <v>2.7155</v>
      </c>
      <c r="CD113" s="8">
        <v>2.7414999999999998</v>
      </c>
      <c r="CE113" s="8">
        <v>2.7675000000000001</v>
      </c>
      <c r="CF113" s="8">
        <v>2.7934999999999999</v>
      </c>
      <c r="CG113" s="8">
        <v>2.8195999999999999</v>
      </c>
      <c r="CH113" s="8">
        <v>2.8456999999999999</v>
      </c>
      <c r="CI113" s="8">
        <v>2.8717999999999999</v>
      </c>
      <c r="CJ113" s="8">
        <v>2.8978999999999999</v>
      </c>
      <c r="CK113" s="8">
        <v>2.9239999999999999</v>
      </c>
      <c r="CL113" s="8">
        <v>2.9502000000000002</v>
      </c>
      <c r="CM113" s="8">
        <v>2.9763000000000002</v>
      </c>
      <c r="CN113" s="8">
        <v>3.0024000000000002</v>
      </c>
      <c r="CO113" s="8">
        <v>3.0285000000000002</v>
      </c>
      <c r="CP113" s="8">
        <v>3.0545</v>
      </c>
      <c r="CQ113" s="8">
        <v>3.0806</v>
      </c>
      <c r="CR113" s="8">
        <v>3.1065</v>
      </c>
      <c r="CS113" s="8">
        <v>3.1324000000000001</v>
      </c>
      <c r="CT113" s="8">
        <v>3.1583000000000001</v>
      </c>
      <c r="CU113" s="8">
        <v>3.1840000000000002</v>
      </c>
      <c r="CV113" s="8">
        <v>3.2097000000000002</v>
      </c>
      <c r="CW113" s="8">
        <v>3.2353000000000001</v>
      </c>
      <c r="CX113" s="8">
        <v>3.2608000000000001</v>
      </c>
      <c r="CY113" s="8">
        <v>3.2862</v>
      </c>
      <c r="CZ113" s="8">
        <v>3.3113999999999999</v>
      </c>
      <c r="DA113" s="8">
        <v>3.3365</v>
      </c>
      <c r="DB113" s="8">
        <v>3.3614000000000002</v>
      </c>
      <c r="DC113" s="8">
        <v>3.3862000000000001</v>
      </c>
      <c r="DD113" s="8">
        <v>3.4108999999999998</v>
      </c>
      <c r="DE113" s="8">
        <v>3.4352999999999998</v>
      </c>
      <c r="DF113" s="8">
        <v>3.4594999999999998</v>
      </c>
      <c r="DG113" s="8">
        <v>3.4836</v>
      </c>
      <c r="DH113" s="8">
        <v>3.5074000000000001</v>
      </c>
      <c r="DI113" s="8">
        <v>3.5310000000000001</v>
      </c>
      <c r="DJ113" s="8">
        <v>3.5543999999999998</v>
      </c>
      <c r="DK113" s="8">
        <v>3.5775999999999999</v>
      </c>
      <c r="DL113" s="8">
        <v>3.6004999999999998</v>
      </c>
      <c r="DM113" s="8">
        <v>3.6231</v>
      </c>
      <c r="DN113" s="8">
        <v>3.6455000000000002</v>
      </c>
      <c r="DO113" s="8">
        <v>3.6676000000000002</v>
      </c>
      <c r="DP113" s="8">
        <v>3.6894</v>
      </c>
      <c r="DQ113" s="8">
        <v>3.7109000000000001</v>
      </c>
      <c r="DR113" s="8">
        <v>3.7322000000000002</v>
      </c>
      <c r="DS113" s="8">
        <v>3.7532000000000001</v>
      </c>
      <c r="DT113" s="8">
        <v>3.7738999999999998</v>
      </c>
      <c r="DU113" s="8">
        <v>3.7942999999999998</v>
      </c>
      <c r="DV113" s="8">
        <v>3.8144</v>
      </c>
      <c r="DW113" s="8">
        <v>3.8342999999999998</v>
      </c>
      <c r="DX113" s="8">
        <v>3.8538000000000001</v>
      </c>
      <c r="DY113" s="8">
        <v>3.8732000000000002</v>
      </c>
      <c r="DZ113" s="8">
        <v>3.8921999999999999</v>
      </c>
      <c r="EA113" s="8">
        <v>3.9110999999999998</v>
      </c>
      <c r="EB113" s="8">
        <v>3.9297</v>
      </c>
      <c r="EC113" s="8">
        <v>3.9481000000000002</v>
      </c>
      <c r="ED113" s="8">
        <v>3.9664000000000001</v>
      </c>
      <c r="EE113" s="8">
        <v>3.9843999999999999</v>
      </c>
      <c r="EF113" s="8">
        <v>4.0023999999999997</v>
      </c>
      <c r="EG113" s="8">
        <v>4.0202</v>
      </c>
      <c r="EH113" s="8">
        <v>4.0380000000000003</v>
      </c>
      <c r="EI113" s="8">
        <v>4.0557999999999996</v>
      </c>
      <c r="EJ113" s="8">
        <v>4.0735000000000001</v>
      </c>
      <c r="EK113" s="8">
        <v>4.0913000000000004</v>
      </c>
      <c r="EL113" s="8">
        <v>4.1092000000000004</v>
      </c>
      <c r="EM113" s="8">
        <v>4.1272000000000002</v>
      </c>
      <c r="EN113" s="8">
        <v>4.1452999999999998</v>
      </c>
      <c r="EO113" s="8">
        <v>4.1637000000000004</v>
      </c>
      <c r="EP113" s="8">
        <v>4.1824000000000003</v>
      </c>
      <c r="EQ113" s="8">
        <v>4.2013999999999996</v>
      </c>
      <c r="ER113" s="8">
        <v>4.2206999999999999</v>
      </c>
      <c r="ES113" s="8">
        <v>4.2404999999999999</v>
      </c>
      <c r="ET113" s="8">
        <v>4.2606999999999999</v>
      </c>
      <c r="EU113" s="8">
        <v>4.2815000000000003</v>
      </c>
      <c r="EV113" s="8">
        <v>4.3029000000000002</v>
      </c>
      <c r="EW113" s="8">
        <v>4.3247999999999998</v>
      </c>
      <c r="EX113" s="8">
        <v>4.3475000000000001</v>
      </c>
      <c r="EY113" s="8">
        <v>4.3708999999999998</v>
      </c>
      <c r="EZ113" s="8">
        <v>4.3949999999999996</v>
      </c>
      <c r="FA113" s="8">
        <v>4.4199000000000002</v>
      </c>
      <c r="FB113" s="8">
        <v>4.4457000000000004</v>
      </c>
      <c r="FC113" s="106">
        <v>4.4722999999999997</v>
      </c>
      <c r="FE113" s="50">
        <f t="shared" ca="1" si="15"/>
        <v>3.8381952278984404</v>
      </c>
      <c r="FF113" s="50">
        <f t="shared" ca="1" si="16"/>
        <v>3.825711310477411</v>
      </c>
      <c r="FG113" s="50">
        <f t="shared" ca="1" si="17"/>
        <v>3.8128756375838924</v>
      </c>
      <c r="FH113" s="50">
        <f t="shared" ca="1" si="18"/>
        <v>3.7993857046979862</v>
      </c>
      <c r="FK113" s="50">
        <f t="shared" ca="1" si="14"/>
        <v>3.825711310477411</v>
      </c>
      <c r="FL113" s="50"/>
      <c r="FM113" s="50"/>
      <c r="FN113" s="50"/>
    </row>
    <row r="114" spans="48:170" hidden="1">
      <c r="AV114" s="69"/>
      <c r="AW114" s="104">
        <v>0.151</v>
      </c>
      <c r="AX114" s="8">
        <v>1.8541000000000001</v>
      </c>
      <c r="AY114" s="8">
        <v>1.8848</v>
      </c>
      <c r="AZ114" s="8">
        <v>1.9157</v>
      </c>
      <c r="BA114" s="8">
        <v>1.9469000000000001</v>
      </c>
      <c r="BB114" s="8">
        <v>1.9782999999999999</v>
      </c>
      <c r="BC114" s="8">
        <v>2.0099</v>
      </c>
      <c r="BD114" s="8">
        <v>2.0417999999999998</v>
      </c>
      <c r="BE114" s="8">
        <v>2.0739999999999998</v>
      </c>
      <c r="BF114" s="8">
        <v>2.1063999999999998</v>
      </c>
      <c r="BG114" s="8">
        <v>2.1389999999999998</v>
      </c>
      <c r="BH114" s="8">
        <v>2.1718999999999999</v>
      </c>
      <c r="BI114" s="8">
        <v>2.2050000000000001</v>
      </c>
      <c r="BJ114" s="8">
        <v>2.2360000000000002</v>
      </c>
      <c r="BK114" s="8">
        <v>2.2604000000000002</v>
      </c>
      <c r="BL114" s="8">
        <v>2.2848999999999999</v>
      </c>
      <c r="BM114" s="8">
        <v>2.3094999999999999</v>
      </c>
      <c r="BN114" s="8">
        <v>2.3342999999999998</v>
      </c>
      <c r="BO114" s="8">
        <v>2.3591000000000002</v>
      </c>
      <c r="BP114" s="8">
        <v>2.3839999999999999</v>
      </c>
      <c r="BQ114" s="8">
        <v>2.4089999999999998</v>
      </c>
      <c r="BR114" s="8">
        <v>2.4340999999999999</v>
      </c>
      <c r="BS114" s="8">
        <v>2.4592999999999998</v>
      </c>
      <c r="BT114" s="8">
        <v>2.4845999999999999</v>
      </c>
      <c r="BU114" s="8">
        <v>2.5099999999999998</v>
      </c>
      <c r="BV114" s="8">
        <v>2.5354000000000001</v>
      </c>
      <c r="BW114" s="8">
        <v>2.5609000000000002</v>
      </c>
      <c r="BX114" s="8">
        <v>2.5865</v>
      </c>
      <c r="BY114" s="8">
        <v>2.6122000000000001</v>
      </c>
      <c r="BZ114" s="8">
        <v>2.6379000000000001</v>
      </c>
      <c r="CA114" s="8">
        <v>2.6637</v>
      </c>
      <c r="CB114" s="8">
        <v>2.6896</v>
      </c>
      <c r="CC114" s="8">
        <v>2.7155</v>
      </c>
      <c r="CD114" s="8">
        <v>2.7414999999999998</v>
      </c>
      <c r="CE114" s="8">
        <v>2.7675000000000001</v>
      </c>
      <c r="CF114" s="8">
        <v>2.7934999999999999</v>
      </c>
      <c r="CG114" s="8">
        <v>2.8195999999999999</v>
      </c>
      <c r="CH114" s="8">
        <v>2.8456999999999999</v>
      </c>
      <c r="CI114" s="8">
        <v>2.8717999999999999</v>
      </c>
      <c r="CJ114" s="8">
        <v>2.8978999999999999</v>
      </c>
      <c r="CK114" s="8">
        <v>2.9239999999999999</v>
      </c>
      <c r="CL114" s="8">
        <v>2.9502000000000002</v>
      </c>
      <c r="CM114" s="8">
        <v>2.9763000000000002</v>
      </c>
      <c r="CN114" s="8">
        <v>3.0024000000000002</v>
      </c>
      <c r="CO114" s="8">
        <v>3.0285000000000002</v>
      </c>
      <c r="CP114" s="8">
        <v>3.0545</v>
      </c>
      <c r="CQ114" s="8">
        <v>3.0806</v>
      </c>
      <c r="CR114" s="8">
        <v>3.1065</v>
      </c>
      <c r="CS114" s="8">
        <v>3.1324000000000001</v>
      </c>
      <c r="CT114" s="8">
        <v>3.1583000000000001</v>
      </c>
      <c r="CU114" s="8">
        <v>3.1840000000000002</v>
      </c>
      <c r="CV114" s="8">
        <v>3.2097000000000002</v>
      </c>
      <c r="CW114" s="8">
        <v>3.2353000000000001</v>
      </c>
      <c r="CX114" s="8">
        <v>3.2608000000000001</v>
      </c>
      <c r="CY114" s="8">
        <v>3.2862</v>
      </c>
      <c r="CZ114" s="8">
        <v>3.3113999999999999</v>
      </c>
      <c r="DA114" s="8">
        <v>3.3365</v>
      </c>
      <c r="DB114" s="8">
        <v>3.3614000000000002</v>
      </c>
      <c r="DC114" s="8">
        <v>3.3862000000000001</v>
      </c>
      <c r="DD114" s="8">
        <v>3.4108999999999998</v>
      </c>
      <c r="DE114" s="8">
        <v>3.4352999999999998</v>
      </c>
      <c r="DF114" s="8">
        <v>3.4594999999999998</v>
      </c>
      <c r="DG114" s="8">
        <v>3.4836</v>
      </c>
      <c r="DH114" s="8">
        <v>3.5074000000000001</v>
      </c>
      <c r="DI114" s="8">
        <v>3.5310000000000001</v>
      </c>
      <c r="DJ114" s="8">
        <v>3.5543999999999998</v>
      </c>
      <c r="DK114" s="8">
        <v>3.5775999999999999</v>
      </c>
      <c r="DL114" s="8">
        <v>3.6004999999999998</v>
      </c>
      <c r="DM114" s="8">
        <v>3.6231</v>
      </c>
      <c r="DN114" s="8">
        <v>3.6455000000000002</v>
      </c>
      <c r="DO114" s="8">
        <v>3.6676000000000002</v>
      </c>
      <c r="DP114" s="8">
        <v>3.6894</v>
      </c>
      <c r="DQ114" s="8">
        <v>3.7109000000000001</v>
      </c>
      <c r="DR114" s="8">
        <v>3.7322000000000002</v>
      </c>
      <c r="DS114" s="8">
        <v>3.7532000000000001</v>
      </c>
      <c r="DT114" s="8">
        <v>3.7738999999999998</v>
      </c>
      <c r="DU114" s="8">
        <v>3.7942999999999998</v>
      </c>
      <c r="DV114" s="8">
        <v>3.8144</v>
      </c>
      <c r="DW114" s="8">
        <v>3.8342999999999998</v>
      </c>
      <c r="DX114" s="8">
        <v>3.8538000000000001</v>
      </c>
      <c r="DY114" s="8">
        <v>3.8732000000000002</v>
      </c>
      <c r="DZ114" s="8">
        <v>3.8921999999999999</v>
      </c>
      <c r="EA114" s="8">
        <v>3.9110999999999998</v>
      </c>
      <c r="EB114" s="8">
        <v>3.9297</v>
      </c>
      <c r="EC114" s="8">
        <v>3.9481000000000002</v>
      </c>
      <c r="ED114" s="8">
        <v>3.9664000000000001</v>
      </c>
      <c r="EE114" s="8">
        <v>3.9843999999999999</v>
      </c>
      <c r="EF114" s="8">
        <v>4.0023999999999997</v>
      </c>
      <c r="EG114" s="8">
        <v>4.0202</v>
      </c>
      <c r="EH114" s="8">
        <v>4.0380000000000003</v>
      </c>
      <c r="EI114" s="8">
        <v>4.0557999999999996</v>
      </c>
      <c r="EJ114" s="8">
        <v>4.0735000000000001</v>
      </c>
      <c r="EK114" s="8">
        <v>4.0913000000000004</v>
      </c>
      <c r="EL114" s="8">
        <v>4.1092000000000004</v>
      </c>
      <c r="EM114" s="8">
        <v>4.1272000000000002</v>
      </c>
      <c r="EN114" s="8">
        <v>4.1452999999999998</v>
      </c>
      <c r="EO114" s="8">
        <v>4.1637000000000004</v>
      </c>
      <c r="EP114" s="8">
        <v>4.1824000000000003</v>
      </c>
      <c r="EQ114" s="8">
        <v>4.2013999999999996</v>
      </c>
      <c r="ER114" s="8">
        <v>4.2206999999999999</v>
      </c>
      <c r="ES114" s="8">
        <v>4.2404999999999999</v>
      </c>
      <c r="ET114" s="8">
        <v>4.2606999999999999</v>
      </c>
      <c r="EU114" s="8">
        <v>4.2815000000000003</v>
      </c>
      <c r="EV114" s="8">
        <v>4.3029000000000002</v>
      </c>
      <c r="EW114" s="8">
        <v>4.3247999999999998</v>
      </c>
      <c r="EX114" s="8">
        <v>4.3475000000000001</v>
      </c>
      <c r="EY114" s="8">
        <v>4.3708999999999998</v>
      </c>
      <c r="EZ114" s="8">
        <v>4.3949999999999996</v>
      </c>
      <c r="FA114" s="8">
        <v>4.4199000000000002</v>
      </c>
      <c r="FB114" s="8">
        <v>4.4457000000000004</v>
      </c>
      <c r="FC114" s="106">
        <v>4.4722999999999997</v>
      </c>
      <c r="FE114" s="50">
        <f t="shared" ca="1" si="15"/>
        <v>3.8381952278984404</v>
      </c>
      <c r="FF114" s="50">
        <f t="shared" ca="1" si="16"/>
        <v>3.825711310477411</v>
      </c>
      <c r="FG114" s="50">
        <f t="shared" ca="1" si="17"/>
        <v>3.8128756375838924</v>
      </c>
      <c r="FH114" s="50">
        <f t="shared" ca="1" si="18"/>
        <v>3.7993857046979862</v>
      </c>
      <c r="FK114" s="50">
        <f t="shared" ca="1" si="14"/>
        <v>3.825711310477411</v>
      </c>
      <c r="FL114" s="50"/>
      <c r="FM114" s="50"/>
      <c r="FN114" s="50"/>
    </row>
    <row r="115" spans="48:170" hidden="1">
      <c r="AV115" s="69"/>
      <c r="AW115" s="104">
        <v>0.16200000000000001</v>
      </c>
      <c r="AX115" s="8">
        <v>1.845</v>
      </c>
      <c r="AY115" s="8">
        <v>1.8755999999999999</v>
      </c>
      <c r="AZ115" s="8">
        <v>1.9063000000000001</v>
      </c>
      <c r="BA115" s="8">
        <v>1.9373</v>
      </c>
      <c r="BB115" s="8">
        <v>1.9685999999999999</v>
      </c>
      <c r="BC115" s="8">
        <v>2.0001000000000002</v>
      </c>
      <c r="BD115" s="8">
        <v>2.0318000000000001</v>
      </c>
      <c r="BE115" s="8">
        <v>2.0638000000000001</v>
      </c>
      <c r="BF115" s="8">
        <v>2.0960999999999999</v>
      </c>
      <c r="BG115" s="8">
        <v>2.1284999999999998</v>
      </c>
      <c r="BH115" s="8">
        <v>2.1613000000000002</v>
      </c>
      <c r="BI115" s="8">
        <v>2.1941999999999999</v>
      </c>
      <c r="BJ115" s="8">
        <v>2.2273999999999998</v>
      </c>
      <c r="BK115" s="8">
        <v>2.2604000000000002</v>
      </c>
      <c r="BL115" s="8">
        <v>2.2848999999999999</v>
      </c>
      <c r="BM115" s="8">
        <v>2.3094999999999999</v>
      </c>
      <c r="BN115" s="8">
        <v>2.3342999999999998</v>
      </c>
      <c r="BO115" s="8">
        <v>2.3591000000000002</v>
      </c>
      <c r="BP115" s="8">
        <v>2.3839999999999999</v>
      </c>
      <c r="BQ115" s="8">
        <v>2.4089999999999998</v>
      </c>
      <c r="BR115" s="8">
        <v>2.4340999999999999</v>
      </c>
      <c r="BS115" s="8">
        <v>2.4592999999999998</v>
      </c>
      <c r="BT115" s="8">
        <v>2.4845999999999999</v>
      </c>
      <c r="BU115" s="8">
        <v>2.5099999999999998</v>
      </c>
      <c r="BV115" s="8">
        <v>2.5354000000000001</v>
      </c>
      <c r="BW115" s="8">
        <v>2.5609000000000002</v>
      </c>
      <c r="BX115" s="8">
        <v>2.5865</v>
      </c>
      <c r="BY115" s="8">
        <v>2.6122000000000001</v>
      </c>
      <c r="BZ115" s="8">
        <v>2.6379000000000001</v>
      </c>
      <c r="CA115" s="8">
        <v>2.6637</v>
      </c>
      <c r="CB115" s="8">
        <v>2.6896</v>
      </c>
      <c r="CC115" s="8">
        <v>2.7155</v>
      </c>
      <c r="CD115" s="8">
        <v>2.7414999999999998</v>
      </c>
      <c r="CE115" s="8">
        <v>2.7675000000000001</v>
      </c>
      <c r="CF115" s="8">
        <v>2.7934999999999999</v>
      </c>
      <c r="CG115" s="8">
        <v>2.8195999999999999</v>
      </c>
      <c r="CH115" s="8">
        <v>2.8456999999999999</v>
      </c>
      <c r="CI115" s="8">
        <v>2.8717999999999999</v>
      </c>
      <c r="CJ115" s="8">
        <v>2.8978999999999999</v>
      </c>
      <c r="CK115" s="8">
        <v>2.9239999999999999</v>
      </c>
      <c r="CL115" s="8">
        <v>2.9502000000000002</v>
      </c>
      <c r="CM115" s="8">
        <v>2.9763000000000002</v>
      </c>
      <c r="CN115" s="8">
        <v>3.0024000000000002</v>
      </c>
      <c r="CO115" s="8">
        <v>3.0285000000000002</v>
      </c>
      <c r="CP115" s="8">
        <v>3.0545</v>
      </c>
      <c r="CQ115" s="8">
        <v>3.0806</v>
      </c>
      <c r="CR115" s="8">
        <v>3.1065</v>
      </c>
      <c r="CS115" s="8">
        <v>3.1324000000000001</v>
      </c>
      <c r="CT115" s="8">
        <v>3.1583000000000001</v>
      </c>
      <c r="CU115" s="8">
        <v>3.1840000000000002</v>
      </c>
      <c r="CV115" s="8">
        <v>3.2097000000000002</v>
      </c>
      <c r="CW115" s="8">
        <v>3.2353000000000001</v>
      </c>
      <c r="CX115" s="8">
        <v>3.2608000000000001</v>
      </c>
      <c r="CY115" s="8">
        <v>3.2862</v>
      </c>
      <c r="CZ115" s="8">
        <v>3.3113999999999999</v>
      </c>
      <c r="DA115" s="8">
        <v>3.3365</v>
      </c>
      <c r="DB115" s="8">
        <v>3.3614000000000002</v>
      </c>
      <c r="DC115" s="8">
        <v>3.3862000000000001</v>
      </c>
      <c r="DD115" s="8">
        <v>3.4108999999999998</v>
      </c>
      <c r="DE115" s="8">
        <v>3.4352999999999998</v>
      </c>
      <c r="DF115" s="8">
        <v>3.4594999999999998</v>
      </c>
      <c r="DG115" s="8">
        <v>3.4836</v>
      </c>
      <c r="DH115" s="8">
        <v>3.5074000000000001</v>
      </c>
      <c r="DI115" s="8">
        <v>3.5310000000000001</v>
      </c>
      <c r="DJ115" s="8">
        <v>3.5543999999999998</v>
      </c>
      <c r="DK115" s="8">
        <v>3.5775999999999999</v>
      </c>
      <c r="DL115" s="8">
        <v>3.6004999999999998</v>
      </c>
      <c r="DM115" s="8">
        <v>3.6231</v>
      </c>
      <c r="DN115" s="8">
        <v>3.6455000000000002</v>
      </c>
      <c r="DO115" s="8">
        <v>3.6676000000000002</v>
      </c>
      <c r="DP115" s="8">
        <v>3.6894</v>
      </c>
      <c r="DQ115" s="8">
        <v>3.7109000000000001</v>
      </c>
      <c r="DR115" s="8">
        <v>3.7322000000000002</v>
      </c>
      <c r="DS115" s="8">
        <v>3.7532000000000001</v>
      </c>
      <c r="DT115" s="8">
        <v>3.7738999999999998</v>
      </c>
      <c r="DU115" s="8">
        <v>3.7942999999999998</v>
      </c>
      <c r="DV115" s="8">
        <v>3.8144</v>
      </c>
      <c r="DW115" s="8">
        <v>3.8342999999999998</v>
      </c>
      <c r="DX115" s="8">
        <v>3.8538000000000001</v>
      </c>
      <c r="DY115" s="8">
        <v>3.8732000000000002</v>
      </c>
      <c r="DZ115" s="8">
        <v>3.8921999999999999</v>
      </c>
      <c r="EA115" s="8">
        <v>3.9110999999999998</v>
      </c>
      <c r="EB115" s="8">
        <v>3.9297</v>
      </c>
      <c r="EC115" s="8">
        <v>3.9481000000000002</v>
      </c>
      <c r="ED115" s="8">
        <v>3.9664000000000001</v>
      </c>
      <c r="EE115" s="8">
        <v>3.9843999999999999</v>
      </c>
      <c r="EF115" s="8">
        <v>4.0023999999999997</v>
      </c>
      <c r="EG115" s="8">
        <v>4.0202</v>
      </c>
      <c r="EH115" s="8">
        <v>4.0380000000000003</v>
      </c>
      <c r="EI115" s="8">
        <v>4.0557999999999996</v>
      </c>
      <c r="EJ115" s="8">
        <v>4.0735000000000001</v>
      </c>
      <c r="EK115" s="8">
        <v>4.0913000000000004</v>
      </c>
      <c r="EL115" s="8">
        <v>4.1092000000000004</v>
      </c>
      <c r="EM115" s="8">
        <v>4.1272000000000002</v>
      </c>
      <c r="EN115" s="8">
        <v>4.1452999999999998</v>
      </c>
      <c r="EO115" s="8">
        <v>4.1637000000000004</v>
      </c>
      <c r="EP115" s="8">
        <v>4.1824000000000003</v>
      </c>
      <c r="EQ115" s="8">
        <v>4.2013999999999996</v>
      </c>
      <c r="ER115" s="8">
        <v>4.2206999999999999</v>
      </c>
      <c r="ES115" s="8">
        <v>4.2404999999999999</v>
      </c>
      <c r="ET115" s="8">
        <v>4.2606999999999999</v>
      </c>
      <c r="EU115" s="8">
        <v>4.2815000000000003</v>
      </c>
      <c r="EV115" s="8">
        <v>4.3029000000000002</v>
      </c>
      <c r="EW115" s="8">
        <v>4.3247999999999998</v>
      </c>
      <c r="EX115" s="8">
        <v>4.3475000000000001</v>
      </c>
      <c r="EY115" s="8">
        <v>4.3708999999999998</v>
      </c>
      <c r="EZ115" s="8">
        <v>4.3949999999999996</v>
      </c>
      <c r="FA115" s="8">
        <v>4.4199000000000002</v>
      </c>
      <c r="FB115" s="8">
        <v>4.4457000000000004</v>
      </c>
      <c r="FC115" s="106">
        <v>4.4722999999999997</v>
      </c>
      <c r="FE115" s="50">
        <f t="shared" ca="1" si="15"/>
        <v>3.8381952278984404</v>
      </c>
      <c r="FF115" s="50">
        <f t="shared" ca="1" si="16"/>
        <v>3.825711310477411</v>
      </c>
      <c r="FG115" s="50">
        <f t="shared" ca="1" si="17"/>
        <v>3.8128756375838924</v>
      </c>
      <c r="FH115" s="50">
        <f t="shared" ca="1" si="18"/>
        <v>3.7993857046979862</v>
      </c>
      <c r="FK115" s="50">
        <f t="shared" ca="1" si="14"/>
        <v>3.825711310477411</v>
      </c>
      <c r="FL115" s="50"/>
      <c r="FM115" s="50"/>
      <c r="FN115" s="50"/>
    </row>
    <row r="116" spans="48:170" hidden="1">
      <c r="AV116" s="69"/>
      <c r="AW116" s="104">
        <v>0.17399999999999999</v>
      </c>
      <c r="AX116" s="8">
        <v>1.8361000000000001</v>
      </c>
      <c r="AY116" s="8">
        <v>1.8665</v>
      </c>
      <c r="AZ116" s="8">
        <v>1.8971</v>
      </c>
      <c r="BA116" s="8">
        <v>1.9279999999999999</v>
      </c>
      <c r="BB116" s="8">
        <v>1.9591000000000001</v>
      </c>
      <c r="BC116" s="8">
        <v>1.9903999999999999</v>
      </c>
      <c r="BD116" s="8">
        <v>2.0219999999999998</v>
      </c>
      <c r="BE116" s="8">
        <v>2.0537999999999998</v>
      </c>
      <c r="BF116" s="8">
        <v>2.0859000000000001</v>
      </c>
      <c r="BG116" s="8">
        <v>2.1181999999999999</v>
      </c>
      <c r="BH116" s="8">
        <v>2.1507999999999998</v>
      </c>
      <c r="BI116" s="8">
        <v>2.1836000000000002</v>
      </c>
      <c r="BJ116" s="8">
        <v>2.2166999999999999</v>
      </c>
      <c r="BK116" s="8">
        <v>2.2498999999999998</v>
      </c>
      <c r="BL116" s="8">
        <v>2.2835000000000001</v>
      </c>
      <c r="BM116" s="8">
        <v>2.3094999999999999</v>
      </c>
      <c r="BN116" s="8">
        <v>2.3342999999999998</v>
      </c>
      <c r="BO116" s="8">
        <v>2.3591000000000002</v>
      </c>
      <c r="BP116" s="8">
        <v>2.3839999999999999</v>
      </c>
      <c r="BQ116" s="8">
        <v>2.4089999999999998</v>
      </c>
      <c r="BR116" s="8">
        <v>2.4340999999999999</v>
      </c>
      <c r="BS116" s="8">
        <v>2.4592999999999998</v>
      </c>
      <c r="BT116" s="8">
        <v>2.4845999999999999</v>
      </c>
      <c r="BU116" s="8">
        <v>2.5099999999999998</v>
      </c>
      <c r="BV116" s="8">
        <v>2.5354000000000001</v>
      </c>
      <c r="BW116" s="8">
        <v>2.5609000000000002</v>
      </c>
      <c r="BX116" s="8">
        <v>2.5865</v>
      </c>
      <c r="BY116" s="8">
        <v>2.6122000000000001</v>
      </c>
      <c r="BZ116" s="8">
        <v>2.6379000000000001</v>
      </c>
      <c r="CA116" s="8">
        <v>2.6637</v>
      </c>
      <c r="CB116" s="8">
        <v>2.6896</v>
      </c>
      <c r="CC116" s="8">
        <v>2.7155</v>
      </c>
      <c r="CD116" s="8">
        <v>2.7414999999999998</v>
      </c>
      <c r="CE116" s="8">
        <v>2.7675000000000001</v>
      </c>
      <c r="CF116" s="8">
        <v>2.7934999999999999</v>
      </c>
      <c r="CG116" s="8">
        <v>2.8195999999999999</v>
      </c>
      <c r="CH116" s="8">
        <v>2.8456999999999999</v>
      </c>
      <c r="CI116" s="8">
        <v>2.8717999999999999</v>
      </c>
      <c r="CJ116" s="8">
        <v>2.8978999999999999</v>
      </c>
      <c r="CK116" s="8">
        <v>2.9239999999999999</v>
      </c>
      <c r="CL116" s="8">
        <v>2.9502000000000002</v>
      </c>
      <c r="CM116" s="8">
        <v>2.9763000000000002</v>
      </c>
      <c r="CN116" s="8">
        <v>3.0024000000000002</v>
      </c>
      <c r="CO116" s="8">
        <v>3.0285000000000002</v>
      </c>
      <c r="CP116" s="8">
        <v>3.0545</v>
      </c>
      <c r="CQ116" s="8">
        <v>3.0806</v>
      </c>
      <c r="CR116" s="8">
        <v>3.1065</v>
      </c>
      <c r="CS116" s="8">
        <v>3.1324000000000001</v>
      </c>
      <c r="CT116" s="8">
        <v>3.1583000000000001</v>
      </c>
      <c r="CU116" s="8">
        <v>3.1840000000000002</v>
      </c>
      <c r="CV116" s="8">
        <v>3.2097000000000002</v>
      </c>
      <c r="CW116" s="8">
        <v>3.2353000000000001</v>
      </c>
      <c r="CX116" s="8">
        <v>3.2608000000000001</v>
      </c>
      <c r="CY116" s="8">
        <v>3.2862</v>
      </c>
      <c r="CZ116" s="8">
        <v>3.3113999999999999</v>
      </c>
      <c r="DA116" s="8">
        <v>3.3365</v>
      </c>
      <c r="DB116" s="8">
        <v>3.3614000000000002</v>
      </c>
      <c r="DC116" s="8">
        <v>3.3862000000000001</v>
      </c>
      <c r="DD116" s="8">
        <v>3.4108999999999998</v>
      </c>
      <c r="DE116" s="8">
        <v>3.4352999999999998</v>
      </c>
      <c r="DF116" s="8">
        <v>3.4594999999999998</v>
      </c>
      <c r="DG116" s="8">
        <v>3.4836</v>
      </c>
      <c r="DH116" s="8">
        <v>3.5074000000000001</v>
      </c>
      <c r="DI116" s="8">
        <v>3.5310000000000001</v>
      </c>
      <c r="DJ116" s="8">
        <v>3.5543999999999998</v>
      </c>
      <c r="DK116" s="8">
        <v>3.5775999999999999</v>
      </c>
      <c r="DL116" s="8">
        <v>3.6004999999999998</v>
      </c>
      <c r="DM116" s="8">
        <v>3.6231</v>
      </c>
      <c r="DN116" s="8">
        <v>3.6455000000000002</v>
      </c>
      <c r="DO116" s="8">
        <v>3.6676000000000002</v>
      </c>
      <c r="DP116" s="8">
        <v>3.6894</v>
      </c>
      <c r="DQ116" s="8">
        <v>3.7109000000000001</v>
      </c>
      <c r="DR116" s="8">
        <v>3.7322000000000002</v>
      </c>
      <c r="DS116" s="8">
        <v>3.7532000000000001</v>
      </c>
      <c r="DT116" s="8">
        <v>3.7738999999999998</v>
      </c>
      <c r="DU116" s="8">
        <v>3.7942999999999998</v>
      </c>
      <c r="DV116" s="8">
        <v>3.8144</v>
      </c>
      <c r="DW116" s="8">
        <v>3.8342999999999998</v>
      </c>
      <c r="DX116" s="8">
        <v>3.8538000000000001</v>
      </c>
      <c r="DY116" s="8">
        <v>3.8732000000000002</v>
      </c>
      <c r="DZ116" s="8">
        <v>3.8921999999999999</v>
      </c>
      <c r="EA116" s="8">
        <v>3.9110999999999998</v>
      </c>
      <c r="EB116" s="8">
        <v>3.9297</v>
      </c>
      <c r="EC116" s="8">
        <v>3.9481000000000002</v>
      </c>
      <c r="ED116" s="8">
        <v>3.9664000000000001</v>
      </c>
      <c r="EE116" s="8">
        <v>3.9843999999999999</v>
      </c>
      <c r="EF116" s="8">
        <v>4.0023999999999997</v>
      </c>
      <c r="EG116" s="8">
        <v>4.0202</v>
      </c>
      <c r="EH116" s="8">
        <v>4.0380000000000003</v>
      </c>
      <c r="EI116" s="8">
        <v>4.0557999999999996</v>
      </c>
      <c r="EJ116" s="8">
        <v>4.0735000000000001</v>
      </c>
      <c r="EK116" s="8">
        <v>4.0913000000000004</v>
      </c>
      <c r="EL116" s="8">
        <v>4.1092000000000004</v>
      </c>
      <c r="EM116" s="8">
        <v>4.1272000000000002</v>
      </c>
      <c r="EN116" s="8">
        <v>4.1452999999999998</v>
      </c>
      <c r="EO116" s="8">
        <v>4.1637000000000004</v>
      </c>
      <c r="EP116" s="8">
        <v>4.1824000000000003</v>
      </c>
      <c r="EQ116" s="8">
        <v>4.2013999999999996</v>
      </c>
      <c r="ER116" s="8">
        <v>4.2206999999999999</v>
      </c>
      <c r="ES116" s="8">
        <v>4.2404999999999999</v>
      </c>
      <c r="ET116" s="8">
        <v>4.2606999999999999</v>
      </c>
      <c r="EU116" s="8">
        <v>4.2815000000000003</v>
      </c>
      <c r="EV116" s="8">
        <v>4.3029000000000002</v>
      </c>
      <c r="EW116" s="8">
        <v>4.3247999999999998</v>
      </c>
      <c r="EX116" s="8">
        <v>4.3475000000000001</v>
      </c>
      <c r="EY116" s="8">
        <v>4.3708999999999998</v>
      </c>
      <c r="EZ116" s="8">
        <v>4.3949999999999996</v>
      </c>
      <c r="FA116" s="8">
        <v>4.4199000000000002</v>
      </c>
      <c r="FB116" s="8">
        <v>4.4457000000000004</v>
      </c>
      <c r="FC116" s="106">
        <v>4.4722999999999997</v>
      </c>
      <c r="FE116" s="50">
        <f t="shared" ca="1" si="15"/>
        <v>3.8381952278984404</v>
      </c>
      <c r="FF116" s="50">
        <f t="shared" ca="1" si="16"/>
        <v>3.825711310477411</v>
      </c>
      <c r="FG116" s="50">
        <f t="shared" ca="1" si="17"/>
        <v>3.8128756375838924</v>
      </c>
      <c r="FH116" s="50">
        <f t="shared" ca="1" si="18"/>
        <v>3.7993857046979862</v>
      </c>
      <c r="FK116" s="50">
        <f t="shared" ca="1" si="14"/>
        <v>3.825711310477411</v>
      </c>
      <c r="FL116" s="50"/>
      <c r="FM116" s="50"/>
      <c r="FN116" s="50"/>
    </row>
    <row r="117" spans="48:170" hidden="1">
      <c r="AV117" s="69"/>
      <c r="AW117" s="104">
        <v>0.186</v>
      </c>
      <c r="AX117" s="8">
        <v>1.8273999999999999</v>
      </c>
      <c r="AY117" s="8">
        <v>1.8575999999999999</v>
      </c>
      <c r="AZ117" s="8">
        <v>1.8880999999999999</v>
      </c>
      <c r="BA117" s="8">
        <v>1.9188000000000001</v>
      </c>
      <c r="BB117" s="8">
        <v>1.9497</v>
      </c>
      <c r="BC117" s="8">
        <v>1.9809000000000001</v>
      </c>
      <c r="BD117" s="8">
        <v>2.0124</v>
      </c>
      <c r="BE117" s="8">
        <v>2.044</v>
      </c>
      <c r="BF117" s="8">
        <v>2.0760000000000001</v>
      </c>
      <c r="BG117" s="8">
        <v>2.1080999999999999</v>
      </c>
      <c r="BH117" s="8">
        <v>2.1404999999999998</v>
      </c>
      <c r="BI117" s="8">
        <v>2.1732</v>
      </c>
      <c r="BJ117" s="8">
        <v>2.2061000000000002</v>
      </c>
      <c r="BK117" s="8">
        <v>2.2391999999999999</v>
      </c>
      <c r="BL117" s="8">
        <v>2.2726000000000002</v>
      </c>
      <c r="BM117" s="8">
        <v>2.3062</v>
      </c>
      <c r="BN117" s="8">
        <v>2.3342999999999998</v>
      </c>
      <c r="BO117" s="8">
        <v>2.3591000000000002</v>
      </c>
      <c r="BP117" s="8">
        <v>2.3839999999999999</v>
      </c>
      <c r="BQ117" s="8">
        <v>2.4089999999999998</v>
      </c>
      <c r="BR117" s="8">
        <v>2.4340999999999999</v>
      </c>
      <c r="BS117" s="8">
        <v>2.4592999999999998</v>
      </c>
      <c r="BT117" s="8">
        <v>2.4845999999999999</v>
      </c>
      <c r="BU117" s="8">
        <v>2.5099999999999998</v>
      </c>
      <c r="BV117" s="8">
        <v>2.5354000000000001</v>
      </c>
      <c r="BW117" s="8">
        <v>2.5609000000000002</v>
      </c>
      <c r="BX117" s="8">
        <v>2.5865</v>
      </c>
      <c r="BY117" s="8">
        <v>2.6122000000000001</v>
      </c>
      <c r="BZ117" s="8">
        <v>2.6379000000000001</v>
      </c>
      <c r="CA117" s="8">
        <v>2.6637</v>
      </c>
      <c r="CB117" s="8">
        <v>2.6896</v>
      </c>
      <c r="CC117" s="8">
        <v>2.7155</v>
      </c>
      <c r="CD117" s="8">
        <v>2.7414999999999998</v>
      </c>
      <c r="CE117" s="8">
        <v>2.7675000000000001</v>
      </c>
      <c r="CF117" s="8">
        <v>2.7934999999999999</v>
      </c>
      <c r="CG117" s="8">
        <v>2.8195999999999999</v>
      </c>
      <c r="CH117" s="8">
        <v>2.8456999999999999</v>
      </c>
      <c r="CI117" s="8">
        <v>2.8717999999999999</v>
      </c>
      <c r="CJ117" s="8">
        <v>2.8978999999999999</v>
      </c>
      <c r="CK117" s="8">
        <v>2.9239999999999999</v>
      </c>
      <c r="CL117" s="8">
        <v>2.9502000000000002</v>
      </c>
      <c r="CM117" s="8">
        <v>2.9763000000000002</v>
      </c>
      <c r="CN117" s="8">
        <v>3.0024000000000002</v>
      </c>
      <c r="CO117" s="8">
        <v>3.0285000000000002</v>
      </c>
      <c r="CP117" s="8">
        <v>3.0545</v>
      </c>
      <c r="CQ117" s="8">
        <v>3.0806</v>
      </c>
      <c r="CR117" s="8">
        <v>3.1065</v>
      </c>
      <c r="CS117" s="8">
        <v>3.1324000000000001</v>
      </c>
      <c r="CT117" s="8">
        <v>3.1583000000000001</v>
      </c>
      <c r="CU117" s="8">
        <v>3.1840000000000002</v>
      </c>
      <c r="CV117" s="8">
        <v>3.2097000000000002</v>
      </c>
      <c r="CW117" s="8">
        <v>3.2353000000000001</v>
      </c>
      <c r="CX117" s="8">
        <v>3.2608000000000001</v>
      </c>
      <c r="CY117" s="8">
        <v>3.2862</v>
      </c>
      <c r="CZ117" s="8">
        <v>3.3113999999999999</v>
      </c>
      <c r="DA117" s="8">
        <v>3.3365</v>
      </c>
      <c r="DB117" s="8">
        <v>3.3614000000000002</v>
      </c>
      <c r="DC117" s="8">
        <v>3.3862000000000001</v>
      </c>
      <c r="DD117" s="8">
        <v>3.4108999999999998</v>
      </c>
      <c r="DE117" s="8">
        <v>3.4352999999999998</v>
      </c>
      <c r="DF117" s="8">
        <v>3.4594999999999998</v>
      </c>
      <c r="DG117" s="8">
        <v>3.4836</v>
      </c>
      <c r="DH117" s="8">
        <v>3.5074000000000001</v>
      </c>
      <c r="DI117" s="8">
        <v>3.5310000000000001</v>
      </c>
      <c r="DJ117" s="8">
        <v>3.5543999999999998</v>
      </c>
      <c r="DK117" s="8">
        <v>3.5775999999999999</v>
      </c>
      <c r="DL117" s="8">
        <v>3.6004999999999998</v>
      </c>
      <c r="DM117" s="8">
        <v>3.6231</v>
      </c>
      <c r="DN117" s="8">
        <v>3.6455000000000002</v>
      </c>
      <c r="DO117" s="8">
        <v>3.6676000000000002</v>
      </c>
      <c r="DP117" s="8">
        <v>3.6894</v>
      </c>
      <c r="DQ117" s="8">
        <v>3.7109000000000001</v>
      </c>
      <c r="DR117" s="8">
        <v>3.7322000000000002</v>
      </c>
      <c r="DS117" s="8">
        <v>3.7532000000000001</v>
      </c>
      <c r="DT117" s="8">
        <v>3.7738999999999998</v>
      </c>
      <c r="DU117" s="8">
        <v>3.7942999999999998</v>
      </c>
      <c r="DV117" s="8">
        <v>3.8144</v>
      </c>
      <c r="DW117" s="8">
        <v>3.8342999999999998</v>
      </c>
      <c r="DX117" s="8">
        <v>3.8538000000000001</v>
      </c>
      <c r="DY117" s="8">
        <v>3.8732000000000002</v>
      </c>
      <c r="DZ117" s="8">
        <v>3.8921999999999999</v>
      </c>
      <c r="EA117" s="8">
        <v>3.9110999999999998</v>
      </c>
      <c r="EB117" s="8">
        <v>3.9297</v>
      </c>
      <c r="EC117" s="8">
        <v>3.9481000000000002</v>
      </c>
      <c r="ED117" s="8">
        <v>3.9664000000000001</v>
      </c>
      <c r="EE117" s="8">
        <v>3.9843999999999999</v>
      </c>
      <c r="EF117" s="8">
        <v>4.0023999999999997</v>
      </c>
      <c r="EG117" s="8">
        <v>4.0202</v>
      </c>
      <c r="EH117" s="8">
        <v>4.0380000000000003</v>
      </c>
      <c r="EI117" s="8">
        <v>4.0557999999999996</v>
      </c>
      <c r="EJ117" s="8">
        <v>4.0735000000000001</v>
      </c>
      <c r="EK117" s="8">
        <v>4.0913000000000004</v>
      </c>
      <c r="EL117" s="8">
        <v>4.1092000000000004</v>
      </c>
      <c r="EM117" s="8">
        <v>4.1272000000000002</v>
      </c>
      <c r="EN117" s="8">
        <v>4.1452999999999998</v>
      </c>
      <c r="EO117" s="8">
        <v>4.1637000000000004</v>
      </c>
      <c r="EP117" s="8">
        <v>4.1824000000000003</v>
      </c>
      <c r="EQ117" s="8">
        <v>4.2013999999999996</v>
      </c>
      <c r="ER117" s="8">
        <v>4.2206999999999999</v>
      </c>
      <c r="ES117" s="8">
        <v>4.2404999999999999</v>
      </c>
      <c r="ET117" s="8">
        <v>4.2606999999999999</v>
      </c>
      <c r="EU117" s="8">
        <v>4.2815000000000003</v>
      </c>
      <c r="EV117" s="8">
        <v>4.3029000000000002</v>
      </c>
      <c r="EW117" s="8">
        <v>4.3247999999999998</v>
      </c>
      <c r="EX117" s="8">
        <v>4.3475000000000001</v>
      </c>
      <c r="EY117" s="8">
        <v>4.3708999999999998</v>
      </c>
      <c r="EZ117" s="8">
        <v>4.3949999999999996</v>
      </c>
      <c r="FA117" s="8">
        <v>4.4199000000000002</v>
      </c>
      <c r="FB117" s="8">
        <v>4.4457000000000004</v>
      </c>
      <c r="FC117" s="106">
        <v>4.4722999999999997</v>
      </c>
      <c r="FE117" s="50">
        <f t="shared" ca="1" si="15"/>
        <v>3.8381952278984404</v>
      </c>
      <c r="FF117" s="50">
        <f t="shared" ca="1" si="16"/>
        <v>3.825711310477411</v>
      </c>
      <c r="FG117" s="50">
        <f t="shared" ca="1" si="17"/>
        <v>3.8128756375838924</v>
      </c>
      <c r="FH117" s="50">
        <f t="shared" ca="1" si="18"/>
        <v>3.7993857046979862</v>
      </c>
      <c r="FK117" s="50">
        <f t="shared" ca="1" si="14"/>
        <v>3.825711310477411</v>
      </c>
      <c r="FL117" s="50"/>
      <c r="FM117" s="50"/>
      <c r="FN117" s="50"/>
    </row>
    <row r="118" spans="48:170" hidden="1">
      <c r="AV118" s="69"/>
      <c r="AW118" s="104">
        <v>0.2</v>
      </c>
      <c r="AX118" s="8">
        <v>1.8188</v>
      </c>
      <c r="AY118" s="8">
        <v>1.8488</v>
      </c>
      <c r="AZ118" s="8">
        <v>1.8792</v>
      </c>
      <c r="BA118" s="8">
        <v>1.9097</v>
      </c>
      <c r="BB118" s="8">
        <v>1.9404999999999999</v>
      </c>
      <c r="BC118" s="8">
        <v>1.9716</v>
      </c>
      <c r="BD118" s="8">
        <v>2.0028999999999999</v>
      </c>
      <c r="BE118" s="8">
        <v>2.0344000000000002</v>
      </c>
      <c r="BF118" s="8">
        <v>2.0661999999999998</v>
      </c>
      <c r="BG118" s="8">
        <v>2.0981999999999998</v>
      </c>
      <c r="BH118" s="8">
        <v>2.1305000000000001</v>
      </c>
      <c r="BI118" s="8">
        <v>2.1629999999999998</v>
      </c>
      <c r="BJ118" s="8">
        <v>2.1957</v>
      </c>
      <c r="BK118" s="8">
        <v>2.2286999999999999</v>
      </c>
      <c r="BL118" s="8">
        <v>2.2618999999999998</v>
      </c>
      <c r="BM118" s="8">
        <v>2.2953000000000001</v>
      </c>
      <c r="BN118" s="8">
        <v>2.3290000000000002</v>
      </c>
      <c r="BO118" s="8">
        <v>2.3591000000000002</v>
      </c>
      <c r="BP118" s="8">
        <v>2.3839999999999999</v>
      </c>
      <c r="BQ118" s="8">
        <v>2.4089999999999998</v>
      </c>
      <c r="BR118" s="8">
        <v>2.4340999999999999</v>
      </c>
      <c r="BS118" s="8">
        <v>2.4592999999999998</v>
      </c>
      <c r="BT118" s="8">
        <v>2.4845999999999999</v>
      </c>
      <c r="BU118" s="8">
        <v>2.5099999999999998</v>
      </c>
      <c r="BV118" s="8">
        <v>2.5354000000000001</v>
      </c>
      <c r="BW118" s="8">
        <v>2.5609000000000002</v>
      </c>
      <c r="BX118" s="8">
        <v>2.5865</v>
      </c>
      <c r="BY118" s="8">
        <v>2.6122000000000001</v>
      </c>
      <c r="BZ118" s="8">
        <v>2.6379000000000001</v>
      </c>
      <c r="CA118" s="8">
        <v>2.6637</v>
      </c>
      <c r="CB118" s="8">
        <v>2.6896</v>
      </c>
      <c r="CC118" s="8">
        <v>2.7155</v>
      </c>
      <c r="CD118" s="8">
        <v>2.7414999999999998</v>
      </c>
      <c r="CE118" s="8">
        <v>2.7675000000000001</v>
      </c>
      <c r="CF118" s="8">
        <v>2.7934999999999999</v>
      </c>
      <c r="CG118" s="8">
        <v>2.8195999999999999</v>
      </c>
      <c r="CH118" s="8">
        <v>2.8456999999999999</v>
      </c>
      <c r="CI118" s="8">
        <v>2.8717999999999999</v>
      </c>
      <c r="CJ118" s="8">
        <v>2.8978999999999999</v>
      </c>
      <c r="CK118" s="8">
        <v>2.9239999999999999</v>
      </c>
      <c r="CL118" s="8">
        <v>2.9502000000000002</v>
      </c>
      <c r="CM118" s="8">
        <v>2.9763000000000002</v>
      </c>
      <c r="CN118" s="8">
        <v>3.0024000000000002</v>
      </c>
      <c r="CO118" s="8">
        <v>3.0285000000000002</v>
      </c>
      <c r="CP118" s="8">
        <v>3.0545</v>
      </c>
      <c r="CQ118" s="8">
        <v>3.0806</v>
      </c>
      <c r="CR118" s="8">
        <v>3.1065</v>
      </c>
      <c r="CS118" s="8">
        <v>3.1324000000000001</v>
      </c>
      <c r="CT118" s="8">
        <v>3.1583000000000001</v>
      </c>
      <c r="CU118" s="8">
        <v>3.1840000000000002</v>
      </c>
      <c r="CV118" s="8">
        <v>3.2097000000000002</v>
      </c>
      <c r="CW118" s="8">
        <v>3.2353000000000001</v>
      </c>
      <c r="CX118" s="8">
        <v>3.2608000000000001</v>
      </c>
      <c r="CY118" s="8">
        <v>3.2862</v>
      </c>
      <c r="CZ118" s="8">
        <v>3.3113999999999999</v>
      </c>
      <c r="DA118" s="8">
        <v>3.3365</v>
      </c>
      <c r="DB118" s="8">
        <v>3.3614000000000002</v>
      </c>
      <c r="DC118" s="8">
        <v>3.3862000000000001</v>
      </c>
      <c r="DD118" s="8">
        <v>3.4108999999999998</v>
      </c>
      <c r="DE118" s="8">
        <v>3.4352999999999998</v>
      </c>
      <c r="DF118" s="8">
        <v>3.4594999999999998</v>
      </c>
      <c r="DG118" s="8">
        <v>3.4836</v>
      </c>
      <c r="DH118" s="8">
        <v>3.5074000000000001</v>
      </c>
      <c r="DI118" s="8">
        <v>3.5310000000000001</v>
      </c>
      <c r="DJ118" s="8">
        <v>3.5543999999999998</v>
      </c>
      <c r="DK118" s="8">
        <v>3.5775999999999999</v>
      </c>
      <c r="DL118" s="8">
        <v>3.6004999999999998</v>
      </c>
      <c r="DM118" s="8">
        <v>3.6231</v>
      </c>
      <c r="DN118" s="8">
        <v>3.6455000000000002</v>
      </c>
      <c r="DO118" s="8">
        <v>3.6676000000000002</v>
      </c>
      <c r="DP118" s="8">
        <v>3.6894</v>
      </c>
      <c r="DQ118" s="8">
        <v>3.7109000000000001</v>
      </c>
      <c r="DR118" s="8">
        <v>3.7322000000000002</v>
      </c>
      <c r="DS118" s="8">
        <v>3.7532000000000001</v>
      </c>
      <c r="DT118" s="8">
        <v>3.7738999999999998</v>
      </c>
      <c r="DU118" s="8">
        <v>3.7942999999999998</v>
      </c>
      <c r="DV118" s="8">
        <v>3.8144</v>
      </c>
      <c r="DW118" s="8">
        <v>3.8342999999999998</v>
      </c>
      <c r="DX118" s="8">
        <v>3.8538000000000001</v>
      </c>
      <c r="DY118" s="8">
        <v>3.8732000000000002</v>
      </c>
      <c r="DZ118" s="8">
        <v>3.8921999999999999</v>
      </c>
      <c r="EA118" s="8">
        <v>3.9110999999999998</v>
      </c>
      <c r="EB118" s="8">
        <v>3.9297</v>
      </c>
      <c r="EC118" s="8">
        <v>3.9481000000000002</v>
      </c>
      <c r="ED118" s="8">
        <v>3.9664000000000001</v>
      </c>
      <c r="EE118" s="8">
        <v>3.9843999999999999</v>
      </c>
      <c r="EF118" s="8">
        <v>4.0023999999999997</v>
      </c>
      <c r="EG118" s="8">
        <v>4.0202</v>
      </c>
      <c r="EH118" s="8">
        <v>4.0380000000000003</v>
      </c>
      <c r="EI118" s="8">
        <v>4.0557999999999996</v>
      </c>
      <c r="EJ118" s="8">
        <v>4.0735000000000001</v>
      </c>
      <c r="EK118" s="8">
        <v>4.0913000000000004</v>
      </c>
      <c r="EL118" s="8">
        <v>4.1092000000000004</v>
      </c>
      <c r="EM118" s="8">
        <v>4.1272000000000002</v>
      </c>
      <c r="EN118" s="8">
        <v>4.1452999999999998</v>
      </c>
      <c r="EO118" s="8">
        <v>4.1637000000000004</v>
      </c>
      <c r="EP118" s="8">
        <v>4.1824000000000003</v>
      </c>
      <c r="EQ118" s="8">
        <v>4.2013999999999996</v>
      </c>
      <c r="ER118" s="8">
        <v>4.2206999999999999</v>
      </c>
      <c r="ES118" s="8">
        <v>4.2404999999999999</v>
      </c>
      <c r="ET118" s="8">
        <v>4.2606999999999999</v>
      </c>
      <c r="EU118" s="8">
        <v>4.2815000000000003</v>
      </c>
      <c r="EV118" s="8">
        <v>4.3029000000000002</v>
      </c>
      <c r="EW118" s="8">
        <v>4.3247999999999998</v>
      </c>
      <c r="EX118" s="8">
        <v>4.3475000000000001</v>
      </c>
      <c r="EY118" s="8">
        <v>4.3708999999999998</v>
      </c>
      <c r="EZ118" s="8">
        <v>4.3949999999999996</v>
      </c>
      <c r="FA118" s="8">
        <v>4.4199000000000002</v>
      </c>
      <c r="FB118" s="8">
        <v>4.4457000000000004</v>
      </c>
      <c r="FC118" s="106">
        <v>4.4722999999999997</v>
      </c>
      <c r="FE118" s="50">
        <f t="shared" ca="1" si="15"/>
        <v>3.8381952278984404</v>
      </c>
      <c r="FF118" s="50">
        <f t="shared" ca="1" si="16"/>
        <v>3.825711310477411</v>
      </c>
      <c r="FG118" s="50">
        <f t="shared" ca="1" si="17"/>
        <v>3.8128756375838924</v>
      </c>
      <c r="FH118" s="50">
        <f t="shared" ca="1" si="18"/>
        <v>3.7993857046979862</v>
      </c>
      <c r="FK118" s="50">
        <f t="shared" ca="1" si="14"/>
        <v>3.825711310477411</v>
      </c>
      <c r="FL118" s="50"/>
      <c r="FM118" s="50"/>
      <c r="FN118" s="50"/>
    </row>
    <row r="119" spans="48:170" hidden="1">
      <c r="AV119" s="69"/>
      <c r="AW119" s="104">
        <v>0.214</v>
      </c>
      <c r="AX119" s="8">
        <v>1.8103</v>
      </c>
      <c r="AY119" s="8">
        <v>1.8403</v>
      </c>
      <c r="AZ119" s="8">
        <v>1.8704000000000001</v>
      </c>
      <c r="BA119" s="8">
        <v>1.9009</v>
      </c>
      <c r="BB119" s="8">
        <v>1.9315</v>
      </c>
      <c r="BC119" s="8">
        <v>1.9623999999999999</v>
      </c>
      <c r="BD119" s="8">
        <v>1.9936</v>
      </c>
      <c r="BE119" s="8">
        <v>2.0249999999999999</v>
      </c>
      <c r="BF119" s="8">
        <v>2.0566</v>
      </c>
      <c r="BG119" s="8">
        <v>2.0884999999999998</v>
      </c>
      <c r="BH119" s="8">
        <v>2.1206</v>
      </c>
      <c r="BI119" s="8">
        <v>2.1528999999999998</v>
      </c>
      <c r="BJ119" s="8">
        <v>2.1855000000000002</v>
      </c>
      <c r="BK119" s="8">
        <v>2.2183000000000002</v>
      </c>
      <c r="BL119" s="8">
        <v>2.2513999999999998</v>
      </c>
      <c r="BM119" s="8">
        <v>2.2847</v>
      </c>
      <c r="BN119" s="8">
        <v>2.3182</v>
      </c>
      <c r="BO119" s="8">
        <v>2.3519000000000001</v>
      </c>
      <c r="BP119" s="8">
        <v>2.3839999999999999</v>
      </c>
      <c r="BQ119" s="8">
        <v>2.4089999999999998</v>
      </c>
      <c r="BR119" s="8">
        <v>2.4340999999999999</v>
      </c>
      <c r="BS119" s="8">
        <v>2.4592999999999998</v>
      </c>
      <c r="BT119" s="8">
        <v>2.4845999999999999</v>
      </c>
      <c r="BU119" s="8">
        <v>2.5099999999999998</v>
      </c>
      <c r="BV119" s="8">
        <v>2.5354000000000001</v>
      </c>
      <c r="BW119" s="8">
        <v>2.5609000000000002</v>
      </c>
      <c r="BX119" s="8">
        <v>2.5865</v>
      </c>
      <c r="BY119" s="8">
        <v>2.6122000000000001</v>
      </c>
      <c r="BZ119" s="8">
        <v>2.6379000000000001</v>
      </c>
      <c r="CA119" s="8">
        <v>2.6637</v>
      </c>
      <c r="CB119" s="8">
        <v>2.6896</v>
      </c>
      <c r="CC119" s="8">
        <v>2.7155</v>
      </c>
      <c r="CD119" s="8">
        <v>2.7414999999999998</v>
      </c>
      <c r="CE119" s="8">
        <v>2.7675000000000001</v>
      </c>
      <c r="CF119" s="8">
        <v>2.7934999999999999</v>
      </c>
      <c r="CG119" s="8">
        <v>2.8195999999999999</v>
      </c>
      <c r="CH119" s="8">
        <v>2.8456999999999999</v>
      </c>
      <c r="CI119" s="8">
        <v>2.8717999999999999</v>
      </c>
      <c r="CJ119" s="8">
        <v>2.8978999999999999</v>
      </c>
      <c r="CK119" s="8">
        <v>2.9239999999999999</v>
      </c>
      <c r="CL119" s="8">
        <v>2.9502000000000002</v>
      </c>
      <c r="CM119" s="8">
        <v>2.9763000000000002</v>
      </c>
      <c r="CN119" s="8">
        <v>3.0024000000000002</v>
      </c>
      <c r="CO119" s="8">
        <v>3.0285000000000002</v>
      </c>
      <c r="CP119" s="8">
        <v>3.0545</v>
      </c>
      <c r="CQ119" s="8">
        <v>3.0806</v>
      </c>
      <c r="CR119" s="8">
        <v>3.1065</v>
      </c>
      <c r="CS119" s="8">
        <v>3.1324000000000001</v>
      </c>
      <c r="CT119" s="8">
        <v>3.1583000000000001</v>
      </c>
      <c r="CU119" s="8">
        <v>3.1840000000000002</v>
      </c>
      <c r="CV119" s="8">
        <v>3.2097000000000002</v>
      </c>
      <c r="CW119" s="8">
        <v>3.2353000000000001</v>
      </c>
      <c r="CX119" s="8">
        <v>3.2608000000000001</v>
      </c>
      <c r="CY119" s="8">
        <v>3.2862</v>
      </c>
      <c r="CZ119" s="8">
        <v>3.3113999999999999</v>
      </c>
      <c r="DA119" s="8">
        <v>3.3365</v>
      </c>
      <c r="DB119" s="8">
        <v>3.3614000000000002</v>
      </c>
      <c r="DC119" s="8">
        <v>3.3862000000000001</v>
      </c>
      <c r="DD119" s="8">
        <v>3.4108999999999998</v>
      </c>
      <c r="DE119" s="8">
        <v>3.4352999999999998</v>
      </c>
      <c r="DF119" s="8">
        <v>3.4594999999999998</v>
      </c>
      <c r="DG119" s="8">
        <v>3.4836</v>
      </c>
      <c r="DH119" s="8">
        <v>3.5074000000000001</v>
      </c>
      <c r="DI119" s="8">
        <v>3.5310000000000001</v>
      </c>
      <c r="DJ119" s="8">
        <v>3.5543999999999998</v>
      </c>
      <c r="DK119" s="8">
        <v>3.5775999999999999</v>
      </c>
      <c r="DL119" s="8">
        <v>3.6004999999999998</v>
      </c>
      <c r="DM119" s="8">
        <v>3.6231</v>
      </c>
      <c r="DN119" s="8">
        <v>3.6455000000000002</v>
      </c>
      <c r="DO119" s="8">
        <v>3.6676000000000002</v>
      </c>
      <c r="DP119" s="8">
        <v>3.6894</v>
      </c>
      <c r="DQ119" s="8">
        <v>3.7109000000000001</v>
      </c>
      <c r="DR119" s="8">
        <v>3.7322000000000002</v>
      </c>
      <c r="DS119" s="8">
        <v>3.7532000000000001</v>
      </c>
      <c r="DT119" s="8">
        <v>3.7738999999999998</v>
      </c>
      <c r="DU119" s="8">
        <v>3.7942999999999998</v>
      </c>
      <c r="DV119" s="8">
        <v>3.8144</v>
      </c>
      <c r="DW119" s="8">
        <v>3.8342999999999998</v>
      </c>
      <c r="DX119" s="8">
        <v>3.8538000000000001</v>
      </c>
      <c r="DY119" s="8">
        <v>3.8732000000000002</v>
      </c>
      <c r="DZ119" s="8">
        <v>3.8921999999999999</v>
      </c>
      <c r="EA119" s="8">
        <v>3.9110999999999998</v>
      </c>
      <c r="EB119" s="8">
        <v>3.9297</v>
      </c>
      <c r="EC119" s="8">
        <v>3.9481000000000002</v>
      </c>
      <c r="ED119" s="8">
        <v>3.9664000000000001</v>
      </c>
      <c r="EE119" s="8">
        <v>3.9843999999999999</v>
      </c>
      <c r="EF119" s="8">
        <v>4.0023999999999997</v>
      </c>
      <c r="EG119" s="8">
        <v>4.0202</v>
      </c>
      <c r="EH119" s="8">
        <v>4.0380000000000003</v>
      </c>
      <c r="EI119" s="8">
        <v>4.0557999999999996</v>
      </c>
      <c r="EJ119" s="8">
        <v>4.0735000000000001</v>
      </c>
      <c r="EK119" s="8">
        <v>4.0913000000000004</v>
      </c>
      <c r="EL119" s="8">
        <v>4.1092000000000004</v>
      </c>
      <c r="EM119" s="8">
        <v>4.1272000000000002</v>
      </c>
      <c r="EN119" s="8">
        <v>4.1452999999999998</v>
      </c>
      <c r="EO119" s="8">
        <v>4.1637000000000004</v>
      </c>
      <c r="EP119" s="8">
        <v>4.1824000000000003</v>
      </c>
      <c r="EQ119" s="8">
        <v>4.2013999999999996</v>
      </c>
      <c r="ER119" s="8">
        <v>4.2206999999999999</v>
      </c>
      <c r="ES119" s="8">
        <v>4.2404999999999999</v>
      </c>
      <c r="ET119" s="8">
        <v>4.2606999999999999</v>
      </c>
      <c r="EU119" s="8">
        <v>4.2815000000000003</v>
      </c>
      <c r="EV119" s="8">
        <v>4.3029000000000002</v>
      </c>
      <c r="EW119" s="8">
        <v>4.3247999999999998</v>
      </c>
      <c r="EX119" s="8">
        <v>4.3475000000000001</v>
      </c>
      <c r="EY119" s="8">
        <v>4.3708999999999998</v>
      </c>
      <c r="EZ119" s="8">
        <v>4.3949999999999996</v>
      </c>
      <c r="FA119" s="8">
        <v>4.4199000000000002</v>
      </c>
      <c r="FB119" s="8">
        <v>4.4457000000000004</v>
      </c>
      <c r="FC119" s="106">
        <v>4.4722999999999997</v>
      </c>
      <c r="FE119" s="50">
        <f t="shared" ca="1" si="15"/>
        <v>3.8381952278984404</v>
      </c>
      <c r="FF119" s="50">
        <f t="shared" ca="1" si="16"/>
        <v>3.825711310477411</v>
      </c>
      <c r="FG119" s="50">
        <f t="shared" ca="1" si="17"/>
        <v>3.8128756375838924</v>
      </c>
      <c r="FH119" s="50">
        <f t="shared" ca="1" si="18"/>
        <v>3.7993857046979862</v>
      </c>
      <c r="FK119" s="50">
        <f t="shared" ca="1" si="14"/>
        <v>3.825711310477411</v>
      </c>
      <c r="FL119" s="50"/>
      <c r="FM119" s="50"/>
      <c r="FN119" s="50"/>
    </row>
    <row r="120" spans="48:170" hidden="1">
      <c r="AV120" s="69"/>
      <c r="AW120" s="104">
        <v>0.22900000000000001</v>
      </c>
      <c r="AX120" s="8">
        <v>1.802</v>
      </c>
      <c r="AY120" s="8">
        <v>1.8318000000000001</v>
      </c>
      <c r="AZ120" s="8">
        <v>1.8619000000000001</v>
      </c>
      <c r="BA120" s="8">
        <v>1.8922000000000001</v>
      </c>
      <c r="BB120" s="8">
        <v>1.9227000000000001</v>
      </c>
      <c r="BC120" s="8">
        <v>1.9535</v>
      </c>
      <c r="BD120" s="8">
        <v>1.9844999999999999</v>
      </c>
      <c r="BE120" s="8">
        <v>2.0156999999999998</v>
      </c>
      <c r="BF120" s="8">
        <v>2.0472000000000001</v>
      </c>
      <c r="BG120" s="8">
        <v>2.0789</v>
      </c>
      <c r="BH120" s="8">
        <v>2.1109</v>
      </c>
      <c r="BI120" s="8">
        <v>2.1431</v>
      </c>
      <c r="BJ120" s="8">
        <v>2.1755</v>
      </c>
      <c r="BK120" s="8">
        <v>2.2082000000000002</v>
      </c>
      <c r="BL120" s="8">
        <v>2.2410999999999999</v>
      </c>
      <c r="BM120" s="8">
        <v>2.2742</v>
      </c>
      <c r="BN120" s="8">
        <v>2.3075000000000001</v>
      </c>
      <c r="BO120" s="8">
        <v>2.3411</v>
      </c>
      <c r="BP120" s="8">
        <v>2.375</v>
      </c>
      <c r="BQ120" s="8">
        <v>2.4089999999999998</v>
      </c>
      <c r="BR120" s="8">
        <v>2.4340999999999999</v>
      </c>
      <c r="BS120" s="8">
        <v>2.4592999999999998</v>
      </c>
      <c r="BT120" s="8">
        <v>2.4845999999999999</v>
      </c>
      <c r="BU120" s="8">
        <v>2.5099999999999998</v>
      </c>
      <c r="BV120" s="8">
        <v>2.5354000000000001</v>
      </c>
      <c r="BW120" s="8">
        <v>2.5609000000000002</v>
      </c>
      <c r="BX120" s="8">
        <v>2.5865</v>
      </c>
      <c r="BY120" s="8">
        <v>2.6122000000000001</v>
      </c>
      <c r="BZ120" s="8">
        <v>2.6379000000000001</v>
      </c>
      <c r="CA120" s="8">
        <v>2.6637</v>
      </c>
      <c r="CB120" s="8">
        <v>2.6896</v>
      </c>
      <c r="CC120" s="8">
        <v>2.7155</v>
      </c>
      <c r="CD120" s="8">
        <v>2.7414999999999998</v>
      </c>
      <c r="CE120" s="8">
        <v>2.7675000000000001</v>
      </c>
      <c r="CF120" s="8">
        <v>2.7934999999999999</v>
      </c>
      <c r="CG120" s="8">
        <v>2.8195999999999999</v>
      </c>
      <c r="CH120" s="8">
        <v>2.8456999999999999</v>
      </c>
      <c r="CI120" s="8">
        <v>2.8717999999999999</v>
      </c>
      <c r="CJ120" s="8">
        <v>2.8978999999999999</v>
      </c>
      <c r="CK120" s="8">
        <v>2.9239999999999999</v>
      </c>
      <c r="CL120" s="8">
        <v>2.9502000000000002</v>
      </c>
      <c r="CM120" s="8">
        <v>2.9763000000000002</v>
      </c>
      <c r="CN120" s="8">
        <v>3.0024000000000002</v>
      </c>
      <c r="CO120" s="8">
        <v>3.0285000000000002</v>
      </c>
      <c r="CP120" s="8">
        <v>3.0545</v>
      </c>
      <c r="CQ120" s="8">
        <v>3.0806</v>
      </c>
      <c r="CR120" s="8">
        <v>3.1065</v>
      </c>
      <c r="CS120" s="8">
        <v>3.1324000000000001</v>
      </c>
      <c r="CT120" s="8">
        <v>3.1583000000000001</v>
      </c>
      <c r="CU120" s="8">
        <v>3.1840000000000002</v>
      </c>
      <c r="CV120" s="8">
        <v>3.2097000000000002</v>
      </c>
      <c r="CW120" s="8">
        <v>3.2353000000000001</v>
      </c>
      <c r="CX120" s="8">
        <v>3.2608000000000001</v>
      </c>
      <c r="CY120" s="8">
        <v>3.2862</v>
      </c>
      <c r="CZ120" s="8">
        <v>3.3113999999999999</v>
      </c>
      <c r="DA120" s="8">
        <v>3.3365</v>
      </c>
      <c r="DB120" s="8">
        <v>3.3614000000000002</v>
      </c>
      <c r="DC120" s="8">
        <v>3.3862000000000001</v>
      </c>
      <c r="DD120" s="8">
        <v>3.4108999999999998</v>
      </c>
      <c r="DE120" s="8">
        <v>3.4352999999999998</v>
      </c>
      <c r="DF120" s="8">
        <v>3.4594999999999998</v>
      </c>
      <c r="DG120" s="8">
        <v>3.4836</v>
      </c>
      <c r="DH120" s="8">
        <v>3.5074000000000001</v>
      </c>
      <c r="DI120" s="8">
        <v>3.5310000000000001</v>
      </c>
      <c r="DJ120" s="8">
        <v>3.5543999999999998</v>
      </c>
      <c r="DK120" s="8">
        <v>3.5775999999999999</v>
      </c>
      <c r="DL120" s="8">
        <v>3.6004999999999998</v>
      </c>
      <c r="DM120" s="8">
        <v>3.6231</v>
      </c>
      <c r="DN120" s="8">
        <v>3.6455000000000002</v>
      </c>
      <c r="DO120" s="8">
        <v>3.6676000000000002</v>
      </c>
      <c r="DP120" s="8">
        <v>3.6894</v>
      </c>
      <c r="DQ120" s="8">
        <v>3.7109000000000001</v>
      </c>
      <c r="DR120" s="8">
        <v>3.7322000000000002</v>
      </c>
      <c r="DS120" s="8">
        <v>3.7532000000000001</v>
      </c>
      <c r="DT120" s="8">
        <v>3.7738999999999998</v>
      </c>
      <c r="DU120" s="8">
        <v>3.7942999999999998</v>
      </c>
      <c r="DV120" s="8">
        <v>3.8144</v>
      </c>
      <c r="DW120" s="8">
        <v>3.8342999999999998</v>
      </c>
      <c r="DX120" s="8">
        <v>3.8538000000000001</v>
      </c>
      <c r="DY120" s="8">
        <v>3.8732000000000002</v>
      </c>
      <c r="DZ120" s="8">
        <v>3.8921999999999999</v>
      </c>
      <c r="EA120" s="8">
        <v>3.9110999999999998</v>
      </c>
      <c r="EB120" s="8">
        <v>3.9297</v>
      </c>
      <c r="EC120" s="8">
        <v>3.9481000000000002</v>
      </c>
      <c r="ED120" s="8">
        <v>3.9664000000000001</v>
      </c>
      <c r="EE120" s="8">
        <v>3.9843999999999999</v>
      </c>
      <c r="EF120" s="8">
        <v>4.0023999999999997</v>
      </c>
      <c r="EG120" s="8">
        <v>4.0202</v>
      </c>
      <c r="EH120" s="8">
        <v>4.0380000000000003</v>
      </c>
      <c r="EI120" s="8">
        <v>4.0557999999999996</v>
      </c>
      <c r="EJ120" s="8">
        <v>4.0735000000000001</v>
      </c>
      <c r="EK120" s="8">
        <v>4.0913000000000004</v>
      </c>
      <c r="EL120" s="8">
        <v>4.1092000000000004</v>
      </c>
      <c r="EM120" s="8">
        <v>4.1272000000000002</v>
      </c>
      <c r="EN120" s="8">
        <v>4.1452999999999998</v>
      </c>
      <c r="EO120" s="8">
        <v>4.1637000000000004</v>
      </c>
      <c r="EP120" s="8">
        <v>4.1824000000000003</v>
      </c>
      <c r="EQ120" s="8">
        <v>4.2013999999999996</v>
      </c>
      <c r="ER120" s="8">
        <v>4.2206999999999999</v>
      </c>
      <c r="ES120" s="8">
        <v>4.2404999999999999</v>
      </c>
      <c r="ET120" s="8">
        <v>4.2606999999999999</v>
      </c>
      <c r="EU120" s="8">
        <v>4.2815000000000003</v>
      </c>
      <c r="EV120" s="8">
        <v>4.3029000000000002</v>
      </c>
      <c r="EW120" s="8">
        <v>4.3247999999999998</v>
      </c>
      <c r="EX120" s="8">
        <v>4.3475000000000001</v>
      </c>
      <c r="EY120" s="8">
        <v>4.3708999999999998</v>
      </c>
      <c r="EZ120" s="8">
        <v>4.3949999999999996</v>
      </c>
      <c r="FA120" s="8">
        <v>4.4199000000000002</v>
      </c>
      <c r="FB120" s="8">
        <v>4.4457000000000004</v>
      </c>
      <c r="FC120" s="106">
        <v>4.4722999999999997</v>
      </c>
      <c r="FE120" s="50">
        <f t="shared" ca="1" si="15"/>
        <v>3.8381952278984404</v>
      </c>
      <c r="FF120" s="50">
        <f t="shared" ca="1" si="16"/>
        <v>3.825711310477411</v>
      </c>
      <c r="FG120" s="50">
        <f t="shared" ca="1" si="17"/>
        <v>3.8128756375838924</v>
      </c>
      <c r="FH120" s="50">
        <f t="shared" ca="1" si="18"/>
        <v>3.7993857046979862</v>
      </c>
      <c r="FK120" s="50">
        <f t="shared" ca="1" si="14"/>
        <v>3.825711310477411</v>
      </c>
      <c r="FL120" s="50"/>
      <c r="FM120" s="50"/>
      <c r="FN120" s="50"/>
    </row>
    <row r="121" spans="48:170" hidden="1">
      <c r="AV121" s="69"/>
      <c r="AW121" s="104">
        <v>0.245</v>
      </c>
      <c r="AX121" s="8">
        <v>1.7939000000000001</v>
      </c>
      <c r="AY121" s="8">
        <v>1.8236000000000001</v>
      </c>
      <c r="AZ121" s="8">
        <v>1.8534999999999999</v>
      </c>
      <c r="BA121" s="8">
        <v>1.8835999999999999</v>
      </c>
      <c r="BB121" s="8">
        <v>1.9139999999999999</v>
      </c>
      <c r="BC121" s="8">
        <v>1.9446000000000001</v>
      </c>
      <c r="BD121" s="8">
        <v>1.9755</v>
      </c>
      <c r="BE121" s="8">
        <v>2.0066000000000002</v>
      </c>
      <c r="BF121" s="8">
        <v>2.0379</v>
      </c>
      <c r="BG121" s="8">
        <v>2.0695000000000001</v>
      </c>
      <c r="BH121" s="8">
        <v>2.1013000000000002</v>
      </c>
      <c r="BI121" s="8">
        <v>2.1334</v>
      </c>
      <c r="BJ121" s="8">
        <v>2.1657000000000002</v>
      </c>
      <c r="BK121" s="8">
        <v>2.1981999999999999</v>
      </c>
      <c r="BL121" s="8">
        <v>2.2309000000000001</v>
      </c>
      <c r="BM121" s="8">
        <v>2.2639</v>
      </c>
      <c r="BN121" s="8">
        <v>2.2970999999999999</v>
      </c>
      <c r="BO121" s="8">
        <v>2.3306</v>
      </c>
      <c r="BP121" s="8">
        <v>2.3641999999999999</v>
      </c>
      <c r="BQ121" s="8">
        <v>2.3980999999999999</v>
      </c>
      <c r="BR121" s="8">
        <v>2.4321999999999999</v>
      </c>
      <c r="BS121" s="8">
        <v>2.4592999999999998</v>
      </c>
      <c r="BT121" s="8">
        <v>2.4845999999999999</v>
      </c>
      <c r="BU121" s="8">
        <v>2.5099999999999998</v>
      </c>
      <c r="BV121" s="8">
        <v>2.5354000000000001</v>
      </c>
      <c r="BW121" s="8">
        <v>2.5609000000000002</v>
      </c>
      <c r="BX121" s="8">
        <v>2.5865</v>
      </c>
      <c r="BY121" s="8">
        <v>2.6122000000000001</v>
      </c>
      <c r="BZ121" s="8">
        <v>2.6379000000000001</v>
      </c>
      <c r="CA121" s="8">
        <v>2.6637</v>
      </c>
      <c r="CB121" s="8">
        <v>2.6896</v>
      </c>
      <c r="CC121" s="8">
        <v>2.7155</v>
      </c>
      <c r="CD121" s="8">
        <v>2.7414999999999998</v>
      </c>
      <c r="CE121" s="8">
        <v>2.7675000000000001</v>
      </c>
      <c r="CF121" s="8">
        <v>2.7934999999999999</v>
      </c>
      <c r="CG121" s="8">
        <v>2.8195999999999999</v>
      </c>
      <c r="CH121" s="8">
        <v>2.8456999999999999</v>
      </c>
      <c r="CI121" s="8">
        <v>2.8717999999999999</v>
      </c>
      <c r="CJ121" s="8">
        <v>2.8978999999999999</v>
      </c>
      <c r="CK121" s="8">
        <v>2.9239999999999999</v>
      </c>
      <c r="CL121" s="8">
        <v>2.9502000000000002</v>
      </c>
      <c r="CM121" s="8">
        <v>2.9763000000000002</v>
      </c>
      <c r="CN121" s="8">
        <v>3.0024000000000002</v>
      </c>
      <c r="CO121" s="8">
        <v>3.0285000000000002</v>
      </c>
      <c r="CP121" s="8">
        <v>3.0545</v>
      </c>
      <c r="CQ121" s="8">
        <v>3.0806</v>
      </c>
      <c r="CR121" s="8">
        <v>3.1065</v>
      </c>
      <c r="CS121" s="8">
        <v>3.1324000000000001</v>
      </c>
      <c r="CT121" s="8">
        <v>3.1583000000000001</v>
      </c>
      <c r="CU121" s="8">
        <v>3.1840000000000002</v>
      </c>
      <c r="CV121" s="8">
        <v>3.2097000000000002</v>
      </c>
      <c r="CW121" s="8">
        <v>3.2353000000000001</v>
      </c>
      <c r="CX121" s="8">
        <v>3.2608000000000001</v>
      </c>
      <c r="CY121" s="8">
        <v>3.2862</v>
      </c>
      <c r="CZ121" s="8">
        <v>3.3113999999999999</v>
      </c>
      <c r="DA121" s="8">
        <v>3.3365</v>
      </c>
      <c r="DB121" s="8">
        <v>3.3614000000000002</v>
      </c>
      <c r="DC121" s="8">
        <v>3.3862000000000001</v>
      </c>
      <c r="DD121" s="8">
        <v>3.4108999999999998</v>
      </c>
      <c r="DE121" s="8">
        <v>3.4352999999999998</v>
      </c>
      <c r="DF121" s="8">
        <v>3.4594999999999998</v>
      </c>
      <c r="DG121" s="8">
        <v>3.4836</v>
      </c>
      <c r="DH121" s="8">
        <v>3.5074000000000001</v>
      </c>
      <c r="DI121" s="8">
        <v>3.5310000000000001</v>
      </c>
      <c r="DJ121" s="8">
        <v>3.5543999999999998</v>
      </c>
      <c r="DK121" s="8">
        <v>3.5775999999999999</v>
      </c>
      <c r="DL121" s="8">
        <v>3.6004999999999998</v>
      </c>
      <c r="DM121" s="8">
        <v>3.6231</v>
      </c>
      <c r="DN121" s="8">
        <v>3.6455000000000002</v>
      </c>
      <c r="DO121" s="8">
        <v>3.6676000000000002</v>
      </c>
      <c r="DP121" s="8">
        <v>3.6894</v>
      </c>
      <c r="DQ121" s="8">
        <v>3.7109000000000001</v>
      </c>
      <c r="DR121" s="8">
        <v>3.7322000000000002</v>
      </c>
      <c r="DS121" s="8">
        <v>3.7532000000000001</v>
      </c>
      <c r="DT121" s="8">
        <v>3.7738999999999998</v>
      </c>
      <c r="DU121" s="8">
        <v>3.7942999999999998</v>
      </c>
      <c r="DV121" s="8">
        <v>3.8144</v>
      </c>
      <c r="DW121" s="8">
        <v>3.8342999999999998</v>
      </c>
      <c r="DX121" s="8">
        <v>3.8538000000000001</v>
      </c>
      <c r="DY121" s="8">
        <v>3.8732000000000002</v>
      </c>
      <c r="DZ121" s="8">
        <v>3.8921999999999999</v>
      </c>
      <c r="EA121" s="8">
        <v>3.9110999999999998</v>
      </c>
      <c r="EB121" s="8">
        <v>3.9297</v>
      </c>
      <c r="EC121" s="8">
        <v>3.9481000000000002</v>
      </c>
      <c r="ED121" s="8">
        <v>3.9664000000000001</v>
      </c>
      <c r="EE121" s="8">
        <v>3.9843999999999999</v>
      </c>
      <c r="EF121" s="8">
        <v>4.0023999999999997</v>
      </c>
      <c r="EG121" s="8">
        <v>4.0202</v>
      </c>
      <c r="EH121" s="8">
        <v>4.0380000000000003</v>
      </c>
      <c r="EI121" s="8">
        <v>4.0557999999999996</v>
      </c>
      <c r="EJ121" s="8">
        <v>4.0735000000000001</v>
      </c>
      <c r="EK121" s="8">
        <v>4.0913000000000004</v>
      </c>
      <c r="EL121" s="8">
        <v>4.1092000000000004</v>
      </c>
      <c r="EM121" s="8">
        <v>4.1272000000000002</v>
      </c>
      <c r="EN121" s="8">
        <v>4.1452999999999998</v>
      </c>
      <c r="EO121" s="8">
        <v>4.1637000000000004</v>
      </c>
      <c r="EP121" s="8">
        <v>4.1824000000000003</v>
      </c>
      <c r="EQ121" s="8">
        <v>4.2013999999999996</v>
      </c>
      <c r="ER121" s="8">
        <v>4.2206999999999999</v>
      </c>
      <c r="ES121" s="8">
        <v>4.2404999999999999</v>
      </c>
      <c r="ET121" s="8">
        <v>4.2606999999999999</v>
      </c>
      <c r="EU121" s="8">
        <v>4.2815000000000003</v>
      </c>
      <c r="EV121" s="8">
        <v>4.3029000000000002</v>
      </c>
      <c r="EW121" s="8">
        <v>4.3247999999999998</v>
      </c>
      <c r="EX121" s="8">
        <v>4.3475000000000001</v>
      </c>
      <c r="EY121" s="8">
        <v>4.3708999999999998</v>
      </c>
      <c r="EZ121" s="8">
        <v>4.3949999999999996</v>
      </c>
      <c r="FA121" s="8">
        <v>4.4199000000000002</v>
      </c>
      <c r="FB121" s="8">
        <v>4.4457000000000004</v>
      </c>
      <c r="FC121" s="106">
        <v>4.4722999999999997</v>
      </c>
      <c r="FE121" s="50">
        <f t="shared" ca="1" si="15"/>
        <v>3.8381952278984404</v>
      </c>
      <c r="FF121" s="50">
        <f t="shared" ca="1" si="16"/>
        <v>3.825711310477411</v>
      </c>
      <c r="FG121" s="50">
        <f t="shared" ca="1" si="17"/>
        <v>3.8128756375838924</v>
      </c>
      <c r="FH121" s="50">
        <f t="shared" ca="1" si="18"/>
        <v>3.7993857046979862</v>
      </c>
      <c r="FK121" s="50">
        <f t="shared" ca="1" si="14"/>
        <v>3.825711310477411</v>
      </c>
      <c r="FL121" s="50"/>
      <c r="FM121" s="50"/>
      <c r="FN121" s="50"/>
    </row>
    <row r="122" spans="48:170" hidden="1">
      <c r="AV122" s="69"/>
      <c r="AW122" s="104">
        <v>0.26300000000000001</v>
      </c>
      <c r="AX122" s="8">
        <v>1.7859</v>
      </c>
      <c r="AY122" s="8">
        <v>1.8153999999999999</v>
      </c>
      <c r="AZ122" s="8">
        <v>1.8452</v>
      </c>
      <c r="BA122" s="8">
        <v>1.8752</v>
      </c>
      <c r="BB122" s="8">
        <v>1.9055</v>
      </c>
      <c r="BC122" s="8">
        <v>1.9359999999999999</v>
      </c>
      <c r="BD122" s="8">
        <v>1.9666999999999999</v>
      </c>
      <c r="BE122" s="8">
        <v>1.9977</v>
      </c>
      <c r="BF122" s="8">
        <v>2.0289000000000001</v>
      </c>
      <c r="BG122" s="8">
        <v>2.0602999999999998</v>
      </c>
      <c r="BH122" s="8">
        <v>2.0920000000000001</v>
      </c>
      <c r="BI122" s="8">
        <v>2.1238999999999999</v>
      </c>
      <c r="BJ122" s="8">
        <v>2.1560000000000001</v>
      </c>
      <c r="BK122" s="8">
        <v>2.1884000000000001</v>
      </c>
      <c r="BL122" s="8">
        <v>2.2210000000000001</v>
      </c>
      <c r="BM122" s="8">
        <v>2.2538</v>
      </c>
      <c r="BN122" s="8">
        <v>2.2869000000000002</v>
      </c>
      <c r="BO122" s="8">
        <v>2.3201999999999998</v>
      </c>
      <c r="BP122" s="8">
        <v>2.3536999999999999</v>
      </c>
      <c r="BQ122" s="8">
        <v>2.3874</v>
      </c>
      <c r="BR122" s="8">
        <v>2.4214000000000002</v>
      </c>
      <c r="BS122" s="8">
        <v>2.4556</v>
      </c>
      <c r="BT122" s="8">
        <v>2.4845999999999999</v>
      </c>
      <c r="BU122" s="8">
        <v>2.5099999999999998</v>
      </c>
      <c r="BV122" s="8">
        <v>2.5354000000000001</v>
      </c>
      <c r="BW122" s="8">
        <v>2.5609000000000002</v>
      </c>
      <c r="BX122" s="8">
        <v>2.5865</v>
      </c>
      <c r="BY122" s="8">
        <v>2.6122000000000001</v>
      </c>
      <c r="BZ122" s="8">
        <v>2.6379000000000001</v>
      </c>
      <c r="CA122" s="8">
        <v>2.6637</v>
      </c>
      <c r="CB122" s="8">
        <v>2.6896</v>
      </c>
      <c r="CC122" s="8">
        <v>2.7155</v>
      </c>
      <c r="CD122" s="8">
        <v>2.7414999999999998</v>
      </c>
      <c r="CE122" s="8">
        <v>2.7675000000000001</v>
      </c>
      <c r="CF122" s="8">
        <v>2.7934999999999999</v>
      </c>
      <c r="CG122" s="8">
        <v>2.8195999999999999</v>
      </c>
      <c r="CH122" s="8">
        <v>2.8456999999999999</v>
      </c>
      <c r="CI122" s="8">
        <v>2.8717999999999999</v>
      </c>
      <c r="CJ122" s="8">
        <v>2.8978999999999999</v>
      </c>
      <c r="CK122" s="8">
        <v>2.9239999999999999</v>
      </c>
      <c r="CL122" s="8">
        <v>2.9502000000000002</v>
      </c>
      <c r="CM122" s="8">
        <v>2.9763000000000002</v>
      </c>
      <c r="CN122" s="8">
        <v>3.0024000000000002</v>
      </c>
      <c r="CO122" s="8">
        <v>3.0285000000000002</v>
      </c>
      <c r="CP122" s="8">
        <v>3.0545</v>
      </c>
      <c r="CQ122" s="8">
        <v>3.0806</v>
      </c>
      <c r="CR122" s="8">
        <v>3.1065</v>
      </c>
      <c r="CS122" s="8">
        <v>3.1324000000000001</v>
      </c>
      <c r="CT122" s="8">
        <v>3.1583000000000001</v>
      </c>
      <c r="CU122" s="8">
        <v>3.1840000000000002</v>
      </c>
      <c r="CV122" s="8">
        <v>3.2097000000000002</v>
      </c>
      <c r="CW122" s="8">
        <v>3.2353000000000001</v>
      </c>
      <c r="CX122" s="8">
        <v>3.2608000000000001</v>
      </c>
      <c r="CY122" s="8">
        <v>3.2862</v>
      </c>
      <c r="CZ122" s="8">
        <v>3.3113999999999999</v>
      </c>
      <c r="DA122" s="8">
        <v>3.3365</v>
      </c>
      <c r="DB122" s="8">
        <v>3.3614000000000002</v>
      </c>
      <c r="DC122" s="8">
        <v>3.3862000000000001</v>
      </c>
      <c r="DD122" s="8">
        <v>3.4108999999999998</v>
      </c>
      <c r="DE122" s="8">
        <v>3.4352999999999998</v>
      </c>
      <c r="DF122" s="8">
        <v>3.4594999999999998</v>
      </c>
      <c r="DG122" s="8">
        <v>3.4836</v>
      </c>
      <c r="DH122" s="8">
        <v>3.5074000000000001</v>
      </c>
      <c r="DI122" s="8">
        <v>3.5310000000000001</v>
      </c>
      <c r="DJ122" s="8">
        <v>3.5543999999999998</v>
      </c>
      <c r="DK122" s="8">
        <v>3.5775999999999999</v>
      </c>
      <c r="DL122" s="8">
        <v>3.6004999999999998</v>
      </c>
      <c r="DM122" s="8">
        <v>3.6231</v>
      </c>
      <c r="DN122" s="8">
        <v>3.6455000000000002</v>
      </c>
      <c r="DO122" s="8">
        <v>3.6676000000000002</v>
      </c>
      <c r="DP122" s="8">
        <v>3.6894</v>
      </c>
      <c r="DQ122" s="8">
        <v>3.7109000000000001</v>
      </c>
      <c r="DR122" s="8">
        <v>3.7322000000000002</v>
      </c>
      <c r="DS122" s="8">
        <v>3.7532000000000001</v>
      </c>
      <c r="DT122" s="8">
        <v>3.7738999999999998</v>
      </c>
      <c r="DU122" s="8">
        <v>3.7942999999999998</v>
      </c>
      <c r="DV122" s="8">
        <v>3.8144</v>
      </c>
      <c r="DW122" s="8">
        <v>3.8342999999999998</v>
      </c>
      <c r="DX122" s="8">
        <v>3.8538000000000001</v>
      </c>
      <c r="DY122" s="8">
        <v>3.8732000000000002</v>
      </c>
      <c r="DZ122" s="8">
        <v>3.8921999999999999</v>
      </c>
      <c r="EA122" s="8">
        <v>3.9110999999999998</v>
      </c>
      <c r="EB122" s="8">
        <v>3.9297</v>
      </c>
      <c r="EC122" s="8">
        <v>3.9481000000000002</v>
      </c>
      <c r="ED122" s="8">
        <v>3.9664000000000001</v>
      </c>
      <c r="EE122" s="8">
        <v>3.9843999999999999</v>
      </c>
      <c r="EF122" s="8">
        <v>4.0023999999999997</v>
      </c>
      <c r="EG122" s="8">
        <v>4.0202</v>
      </c>
      <c r="EH122" s="8">
        <v>4.0380000000000003</v>
      </c>
      <c r="EI122" s="8">
        <v>4.0557999999999996</v>
      </c>
      <c r="EJ122" s="8">
        <v>4.0735000000000001</v>
      </c>
      <c r="EK122" s="8">
        <v>4.0913000000000004</v>
      </c>
      <c r="EL122" s="8">
        <v>4.1092000000000004</v>
      </c>
      <c r="EM122" s="8">
        <v>4.1272000000000002</v>
      </c>
      <c r="EN122" s="8">
        <v>4.1452999999999998</v>
      </c>
      <c r="EO122" s="8">
        <v>4.1637000000000004</v>
      </c>
      <c r="EP122" s="8">
        <v>4.1824000000000003</v>
      </c>
      <c r="EQ122" s="8">
        <v>4.2013999999999996</v>
      </c>
      <c r="ER122" s="8">
        <v>4.2206999999999999</v>
      </c>
      <c r="ES122" s="8">
        <v>4.2404999999999999</v>
      </c>
      <c r="ET122" s="8">
        <v>4.2606999999999999</v>
      </c>
      <c r="EU122" s="8">
        <v>4.2815000000000003</v>
      </c>
      <c r="EV122" s="8">
        <v>4.3029000000000002</v>
      </c>
      <c r="EW122" s="8">
        <v>4.3247999999999998</v>
      </c>
      <c r="EX122" s="8">
        <v>4.3475000000000001</v>
      </c>
      <c r="EY122" s="8">
        <v>4.3708999999999998</v>
      </c>
      <c r="EZ122" s="8">
        <v>4.3949999999999996</v>
      </c>
      <c r="FA122" s="8">
        <v>4.4199000000000002</v>
      </c>
      <c r="FB122" s="8">
        <v>4.4457000000000004</v>
      </c>
      <c r="FC122" s="106">
        <v>4.4722999999999997</v>
      </c>
      <c r="FE122" s="50">
        <f t="shared" ca="1" si="15"/>
        <v>3.8381952278984404</v>
      </c>
      <c r="FF122" s="50">
        <f t="shared" ca="1" si="16"/>
        <v>3.825711310477411</v>
      </c>
      <c r="FG122" s="50">
        <f t="shared" ca="1" si="17"/>
        <v>3.8128756375838924</v>
      </c>
      <c r="FH122" s="50">
        <f t="shared" ca="1" si="18"/>
        <v>3.7993857046979862</v>
      </c>
      <c r="FK122" s="50">
        <f t="shared" ca="1" si="14"/>
        <v>3.825711310477411</v>
      </c>
      <c r="FL122" s="50"/>
      <c r="FM122" s="50"/>
      <c r="FN122" s="50"/>
    </row>
    <row r="123" spans="48:170" hidden="1">
      <c r="AV123" s="69"/>
      <c r="AW123" s="104">
        <v>0.28199999999999997</v>
      </c>
      <c r="AX123" s="8">
        <v>1.778</v>
      </c>
      <c r="AY123" s="8">
        <v>1.8073999999999999</v>
      </c>
      <c r="AZ123" s="8">
        <v>1.8371</v>
      </c>
      <c r="BA123" s="8">
        <v>1.867</v>
      </c>
      <c r="BB123" s="8">
        <v>1.8971</v>
      </c>
      <c r="BC123" s="8">
        <v>1.9274</v>
      </c>
      <c r="BD123" s="8">
        <v>1.958</v>
      </c>
      <c r="BE123" s="8">
        <v>1.9888999999999999</v>
      </c>
      <c r="BF123" s="8">
        <v>2.0198999999999998</v>
      </c>
      <c r="BG123" s="8">
        <v>2.0512000000000001</v>
      </c>
      <c r="BH123" s="8">
        <v>2.0828000000000002</v>
      </c>
      <c r="BI123" s="8">
        <v>2.1145</v>
      </c>
      <c r="BJ123" s="8">
        <v>2.1465000000000001</v>
      </c>
      <c r="BK123" s="8">
        <v>2.1787999999999998</v>
      </c>
      <c r="BL123" s="8">
        <v>2.2111999999999998</v>
      </c>
      <c r="BM123" s="8">
        <v>2.2439</v>
      </c>
      <c r="BN123" s="8">
        <v>2.2768000000000002</v>
      </c>
      <c r="BO123" s="8">
        <v>2.31</v>
      </c>
      <c r="BP123" s="8">
        <v>2.3433000000000002</v>
      </c>
      <c r="BQ123" s="8">
        <v>2.3769</v>
      </c>
      <c r="BR123" s="8">
        <v>2.4106999999999998</v>
      </c>
      <c r="BS123" s="8">
        <v>2.4447999999999999</v>
      </c>
      <c r="BT123" s="8">
        <v>2.4790000000000001</v>
      </c>
      <c r="BU123" s="8">
        <v>2.5099999999999998</v>
      </c>
      <c r="BV123" s="8">
        <v>2.5354000000000001</v>
      </c>
      <c r="BW123" s="8">
        <v>2.5609000000000002</v>
      </c>
      <c r="BX123" s="8">
        <v>2.5865</v>
      </c>
      <c r="BY123" s="8">
        <v>2.6122000000000001</v>
      </c>
      <c r="BZ123" s="8">
        <v>2.6379000000000001</v>
      </c>
      <c r="CA123" s="8">
        <v>2.6637</v>
      </c>
      <c r="CB123" s="8">
        <v>2.6896</v>
      </c>
      <c r="CC123" s="8">
        <v>2.7155</v>
      </c>
      <c r="CD123" s="8">
        <v>2.7414999999999998</v>
      </c>
      <c r="CE123" s="8">
        <v>2.7675000000000001</v>
      </c>
      <c r="CF123" s="8">
        <v>2.7934999999999999</v>
      </c>
      <c r="CG123" s="8">
        <v>2.8195999999999999</v>
      </c>
      <c r="CH123" s="8">
        <v>2.8456999999999999</v>
      </c>
      <c r="CI123" s="8">
        <v>2.8717999999999999</v>
      </c>
      <c r="CJ123" s="8">
        <v>2.8978999999999999</v>
      </c>
      <c r="CK123" s="8">
        <v>2.9239999999999999</v>
      </c>
      <c r="CL123" s="8">
        <v>2.9502000000000002</v>
      </c>
      <c r="CM123" s="8">
        <v>2.9763000000000002</v>
      </c>
      <c r="CN123" s="8">
        <v>3.0024000000000002</v>
      </c>
      <c r="CO123" s="8">
        <v>3.0285000000000002</v>
      </c>
      <c r="CP123" s="8">
        <v>3.0545</v>
      </c>
      <c r="CQ123" s="8">
        <v>3.0806</v>
      </c>
      <c r="CR123" s="8">
        <v>3.1065</v>
      </c>
      <c r="CS123" s="8">
        <v>3.1324000000000001</v>
      </c>
      <c r="CT123" s="8">
        <v>3.1583000000000001</v>
      </c>
      <c r="CU123" s="8">
        <v>3.1840000000000002</v>
      </c>
      <c r="CV123" s="8">
        <v>3.2097000000000002</v>
      </c>
      <c r="CW123" s="8">
        <v>3.2353000000000001</v>
      </c>
      <c r="CX123" s="8">
        <v>3.2608000000000001</v>
      </c>
      <c r="CY123" s="8">
        <v>3.2862</v>
      </c>
      <c r="CZ123" s="8">
        <v>3.3113999999999999</v>
      </c>
      <c r="DA123" s="8">
        <v>3.3365</v>
      </c>
      <c r="DB123" s="8">
        <v>3.3614000000000002</v>
      </c>
      <c r="DC123" s="8">
        <v>3.3862000000000001</v>
      </c>
      <c r="DD123" s="8">
        <v>3.4108999999999998</v>
      </c>
      <c r="DE123" s="8">
        <v>3.4352999999999998</v>
      </c>
      <c r="DF123" s="8">
        <v>3.4594999999999998</v>
      </c>
      <c r="DG123" s="8">
        <v>3.4836</v>
      </c>
      <c r="DH123" s="8">
        <v>3.5074000000000001</v>
      </c>
      <c r="DI123" s="8">
        <v>3.5310000000000001</v>
      </c>
      <c r="DJ123" s="8">
        <v>3.5543999999999998</v>
      </c>
      <c r="DK123" s="8">
        <v>3.5775999999999999</v>
      </c>
      <c r="DL123" s="8">
        <v>3.6004999999999998</v>
      </c>
      <c r="DM123" s="8">
        <v>3.6231</v>
      </c>
      <c r="DN123" s="8">
        <v>3.6455000000000002</v>
      </c>
      <c r="DO123" s="8">
        <v>3.6676000000000002</v>
      </c>
      <c r="DP123" s="8">
        <v>3.6894</v>
      </c>
      <c r="DQ123" s="8">
        <v>3.7109000000000001</v>
      </c>
      <c r="DR123" s="8">
        <v>3.7322000000000002</v>
      </c>
      <c r="DS123" s="8">
        <v>3.7532000000000001</v>
      </c>
      <c r="DT123" s="8">
        <v>3.7738999999999998</v>
      </c>
      <c r="DU123" s="8">
        <v>3.7942999999999998</v>
      </c>
      <c r="DV123" s="8">
        <v>3.8144</v>
      </c>
      <c r="DW123" s="8">
        <v>3.8342999999999998</v>
      </c>
      <c r="DX123" s="8">
        <v>3.8538000000000001</v>
      </c>
      <c r="DY123" s="8">
        <v>3.8732000000000002</v>
      </c>
      <c r="DZ123" s="8">
        <v>3.8921999999999999</v>
      </c>
      <c r="EA123" s="8">
        <v>3.9110999999999998</v>
      </c>
      <c r="EB123" s="8">
        <v>3.9297</v>
      </c>
      <c r="EC123" s="8">
        <v>3.9481000000000002</v>
      </c>
      <c r="ED123" s="8">
        <v>3.9664000000000001</v>
      </c>
      <c r="EE123" s="8">
        <v>3.9843999999999999</v>
      </c>
      <c r="EF123" s="8">
        <v>4.0023999999999997</v>
      </c>
      <c r="EG123" s="8">
        <v>4.0202</v>
      </c>
      <c r="EH123" s="8">
        <v>4.0380000000000003</v>
      </c>
      <c r="EI123" s="8">
        <v>4.0557999999999996</v>
      </c>
      <c r="EJ123" s="8">
        <v>4.0735000000000001</v>
      </c>
      <c r="EK123" s="8">
        <v>4.0913000000000004</v>
      </c>
      <c r="EL123" s="8">
        <v>4.1092000000000004</v>
      </c>
      <c r="EM123" s="8">
        <v>4.1272000000000002</v>
      </c>
      <c r="EN123" s="8">
        <v>4.1452999999999998</v>
      </c>
      <c r="EO123" s="8">
        <v>4.1637000000000004</v>
      </c>
      <c r="EP123" s="8">
        <v>4.1824000000000003</v>
      </c>
      <c r="EQ123" s="8">
        <v>4.2013999999999996</v>
      </c>
      <c r="ER123" s="8">
        <v>4.2206999999999999</v>
      </c>
      <c r="ES123" s="8">
        <v>4.2404999999999999</v>
      </c>
      <c r="ET123" s="8">
        <v>4.2606999999999999</v>
      </c>
      <c r="EU123" s="8">
        <v>4.2815000000000003</v>
      </c>
      <c r="EV123" s="8">
        <v>4.3029000000000002</v>
      </c>
      <c r="EW123" s="8">
        <v>4.3247999999999998</v>
      </c>
      <c r="EX123" s="8">
        <v>4.3475000000000001</v>
      </c>
      <c r="EY123" s="8">
        <v>4.3708999999999998</v>
      </c>
      <c r="EZ123" s="8">
        <v>4.3949999999999996</v>
      </c>
      <c r="FA123" s="8">
        <v>4.4199000000000002</v>
      </c>
      <c r="FB123" s="8">
        <v>4.4457000000000004</v>
      </c>
      <c r="FC123" s="106">
        <v>4.4722999999999997</v>
      </c>
      <c r="FE123" s="50">
        <f t="shared" ca="1" si="15"/>
        <v>3.8381952278984404</v>
      </c>
      <c r="FF123" s="50">
        <f t="shared" ca="1" si="16"/>
        <v>3.825711310477411</v>
      </c>
      <c r="FG123" s="50">
        <f t="shared" ca="1" si="17"/>
        <v>3.8128756375838924</v>
      </c>
      <c r="FH123" s="50">
        <f t="shared" ca="1" si="18"/>
        <v>3.7993857046979862</v>
      </c>
      <c r="FK123" s="50">
        <f t="shared" ca="1" si="14"/>
        <v>3.825711310477411</v>
      </c>
      <c r="FL123" s="50"/>
      <c r="FM123" s="50"/>
      <c r="FN123" s="50"/>
    </row>
    <row r="124" spans="48:170" hidden="1">
      <c r="AV124" s="69"/>
      <c r="AW124" s="104">
        <v>0.30199999999999999</v>
      </c>
      <c r="AX124" s="8">
        <v>1.7703</v>
      </c>
      <c r="AY124" s="8">
        <v>1.7996000000000001</v>
      </c>
      <c r="AZ124" s="8">
        <v>1.8290999999999999</v>
      </c>
      <c r="BA124" s="8">
        <v>1.8589</v>
      </c>
      <c r="BB124" s="8">
        <v>1.8889</v>
      </c>
      <c r="BC124" s="8">
        <v>1.9191</v>
      </c>
      <c r="BD124" s="8">
        <v>1.9495</v>
      </c>
      <c r="BE124" s="8">
        <v>1.9802</v>
      </c>
      <c r="BF124" s="8">
        <v>2.0112000000000001</v>
      </c>
      <c r="BG124" s="8">
        <v>2.0423</v>
      </c>
      <c r="BH124" s="8">
        <v>2.0737000000000001</v>
      </c>
      <c r="BI124" s="8">
        <v>2.1053999999999999</v>
      </c>
      <c r="BJ124" s="8">
        <v>2.1372</v>
      </c>
      <c r="BK124" s="8">
        <v>2.1692999999999998</v>
      </c>
      <c r="BL124" s="8">
        <v>2.2016</v>
      </c>
      <c r="BM124" s="8">
        <v>2.2342</v>
      </c>
      <c r="BN124" s="8">
        <v>2.2669000000000001</v>
      </c>
      <c r="BO124" s="8">
        <v>2.2999000000000001</v>
      </c>
      <c r="BP124" s="8">
        <v>2.3332000000000002</v>
      </c>
      <c r="BQ124" s="8">
        <v>2.3666</v>
      </c>
      <c r="BR124" s="8">
        <v>2.4003000000000001</v>
      </c>
      <c r="BS124" s="8">
        <v>2.4340999999999999</v>
      </c>
      <c r="BT124" s="8">
        <v>2.4681999999999999</v>
      </c>
      <c r="BU124" s="8">
        <v>2.5026000000000002</v>
      </c>
      <c r="BV124" s="8">
        <v>2.5354000000000001</v>
      </c>
      <c r="BW124" s="8">
        <v>2.5609000000000002</v>
      </c>
      <c r="BX124" s="8">
        <v>2.5865</v>
      </c>
      <c r="BY124" s="8">
        <v>2.6122000000000001</v>
      </c>
      <c r="BZ124" s="8">
        <v>2.6379000000000001</v>
      </c>
      <c r="CA124" s="8">
        <v>2.6637</v>
      </c>
      <c r="CB124" s="8">
        <v>2.6896</v>
      </c>
      <c r="CC124" s="8">
        <v>2.7155</v>
      </c>
      <c r="CD124" s="8">
        <v>2.7414999999999998</v>
      </c>
      <c r="CE124" s="8">
        <v>2.7675000000000001</v>
      </c>
      <c r="CF124" s="8">
        <v>2.7934999999999999</v>
      </c>
      <c r="CG124" s="8">
        <v>2.8195999999999999</v>
      </c>
      <c r="CH124" s="8">
        <v>2.8456999999999999</v>
      </c>
      <c r="CI124" s="8">
        <v>2.8717999999999999</v>
      </c>
      <c r="CJ124" s="8">
        <v>2.8978999999999999</v>
      </c>
      <c r="CK124" s="8">
        <v>2.9239999999999999</v>
      </c>
      <c r="CL124" s="8">
        <v>2.9502000000000002</v>
      </c>
      <c r="CM124" s="8">
        <v>2.9763000000000002</v>
      </c>
      <c r="CN124" s="8">
        <v>3.0024000000000002</v>
      </c>
      <c r="CO124" s="8">
        <v>3.0285000000000002</v>
      </c>
      <c r="CP124" s="8">
        <v>3.0545</v>
      </c>
      <c r="CQ124" s="8">
        <v>3.0806</v>
      </c>
      <c r="CR124" s="8">
        <v>3.1065</v>
      </c>
      <c r="CS124" s="8">
        <v>3.1324000000000001</v>
      </c>
      <c r="CT124" s="8">
        <v>3.1583000000000001</v>
      </c>
      <c r="CU124" s="8">
        <v>3.1840000000000002</v>
      </c>
      <c r="CV124" s="8">
        <v>3.2097000000000002</v>
      </c>
      <c r="CW124" s="8">
        <v>3.2353000000000001</v>
      </c>
      <c r="CX124" s="8">
        <v>3.2608000000000001</v>
      </c>
      <c r="CY124" s="8">
        <v>3.2862</v>
      </c>
      <c r="CZ124" s="8">
        <v>3.3113999999999999</v>
      </c>
      <c r="DA124" s="8">
        <v>3.3365</v>
      </c>
      <c r="DB124" s="8">
        <v>3.3614000000000002</v>
      </c>
      <c r="DC124" s="8">
        <v>3.3862000000000001</v>
      </c>
      <c r="DD124" s="8">
        <v>3.4108999999999998</v>
      </c>
      <c r="DE124" s="8">
        <v>3.4352999999999998</v>
      </c>
      <c r="DF124" s="8">
        <v>3.4594999999999998</v>
      </c>
      <c r="DG124" s="8">
        <v>3.4836</v>
      </c>
      <c r="DH124" s="8">
        <v>3.5074000000000001</v>
      </c>
      <c r="DI124" s="8">
        <v>3.5310000000000001</v>
      </c>
      <c r="DJ124" s="8">
        <v>3.5543999999999998</v>
      </c>
      <c r="DK124" s="8">
        <v>3.5775999999999999</v>
      </c>
      <c r="DL124" s="8">
        <v>3.6004999999999998</v>
      </c>
      <c r="DM124" s="8">
        <v>3.6231</v>
      </c>
      <c r="DN124" s="8">
        <v>3.6455000000000002</v>
      </c>
      <c r="DO124" s="8">
        <v>3.6676000000000002</v>
      </c>
      <c r="DP124" s="8">
        <v>3.6894</v>
      </c>
      <c r="DQ124" s="8">
        <v>3.7109000000000001</v>
      </c>
      <c r="DR124" s="8">
        <v>3.7322000000000002</v>
      </c>
      <c r="DS124" s="8">
        <v>3.7532000000000001</v>
      </c>
      <c r="DT124" s="8">
        <v>3.7738999999999998</v>
      </c>
      <c r="DU124" s="8">
        <v>3.7942999999999998</v>
      </c>
      <c r="DV124" s="8">
        <v>3.8144</v>
      </c>
      <c r="DW124" s="8">
        <v>3.8342999999999998</v>
      </c>
      <c r="DX124" s="8">
        <v>3.8538000000000001</v>
      </c>
      <c r="DY124" s="8">
        <v>3.8732000000000002</v>
      </c>
      <c r="DZ124" s="8">
        <v>3.8921999999999999</v>
      </c>
      <c r="EA124" s="8">
        <v>3.9110999999999998</v>
      </c>
      <c r="EB124" s="8">
        <v>3.9297</v>
      </c>
      <c r="EC124" s="8">
        <v>3.9481000000000002</v>
      </c>
      <c r="ED124" s="8">
        <v>3.9664000000000001</v>
      </c>
      <c r="EE124" s="8">
        <v>3.9843999999999999</v>
      </c>
      <c r="EF124" s="8">
        <v>4.0023999999999997</v>
      </c>
      <c r="EG124" s="8">
        <v>4.0202</v>
      </c>
      <c r="EH124" s="8">
        <v>4.0380000000000003</v>
      </c>
      <c r="EI124" s="8">
        <v>4.0557999999999996</v>
      </c>
      <c r="EJ124" s="8">
        <v>4.0735000000000001</v>
      </c>
      <c r="EK124" s="8">
        <v>4.0913000000000004</v>
      </c>
      <c r="EL124" s="8">
        <v>4.1092000000000004</v>
      </c>
      <c r="EM124" s="8">
        <v>4.1272000000000002</v>
      </c>
      <c r="EN124" s="8">
        <v>4.1452999999999998</v>
      </c>
      <c r="EO124" s="8">
        <v>4.1637000000000004</v>
      </c>
      <c r="EP124" s="8">
        <v>4.1824000000000003</v>
      </c>
      <c r="EQ124" s="8">
        <v>4.2013999999999996</v>
      </c>
      <c r="ER124" s="8">
        <v>4.2206999999999999</v>
      </c>
      <c r="ES124" s="8">
        <v>4.2404999999999999</v>
      </c>
      <c r="ET124" s="8">
        <v>4.2606999999999999</v>
      </c>
      <c r="EU124" s="8">
        <v>4.2815000000000003</v>
      </c>
      <c r="EV124" s="8">
        <v>4.3029000000000002</v>
      </c>
      <c r="EW124" s="8">
        <v>4.3247999999999998</v>
      </c>
      <c r="EX124" s="8">
        <v>4.3475000000000001</v>
      </c>
      <c r="EY124" s="8">
        <v>4.3708999999999998</v>
      </c>
      <c r="EZ124" s="8">
        <v>4.3949999999999996</v>
      </c>
      <c r="FA124" s="8">
        <v>4.4199000000000002</v>
      </c>
      <c r="FB124" s="8">
        <v>4.4457000000000004</v>
      </c>
      <c r="FC124" s="106">
        <v>4.4722999999999997</v>
      </c>
      <c r="FE124" s="50">
        <f t="shared" ca="1" si="15"/>
        <v>3.8381952278984404</v>
      </c>
      <c r="FF124" s="50">
        <f t="shared" ca="1" si="16"/>
        <v>3.825711310477411</v>
      </c>
      <c r="FG124" s="50">
        <f t="shared" ca="1" si="17"/>
        <v>3.8128756375838924</v>
      </c>
      <c r="FH124" s="50">
        <f t="shared" ca="1" si="18"/>
        <v>3.7993857046979862</v>
      </c>
      <c r="FK124" s="50">
        <f t="shared" ca="1" si="14"/>
        <v>3.825711310477411</v>
      </c>
      <c r="FL124" s="50"/>
      <c r="FM124" s="50"/>
      <c r="FN124" s="50"/>
    </row>
    <row r="125" spans="48:170" hidden="1">
      <c r="AV125" s="69"/>
      <c r="AW125" s="104">
        <v>0.32400000000000001</v>
      </c>
      <c r="AX125" s="8">
        <v>1.7626999999999999</v>
      </c>
      <c r="AY125" s="8">
        <v>1.7919</v>
      </c>
      <c r="AZ125" s="8">
        <v>1.8212999999999999</v>
      </c>
      <c r="BA125" s="8">
        <v>1.8509</v>
      </c>
      <c r="BB125" s="8">
        <v>1.8808</v>
      </c>
      <c r="BC125" s="8">
        <v>1.9109</v>
      </c>
      <c r="BD125" s="8">
        <v>1.9412</v>
      </c>
      <c r="BE125" s="8">
        <v>1.9718</v>
      </c>
      <c r="BF125" s="8">
        <v>2.0026000000000002</v>
      </c>
      <c r="BG125" s="8">
        <v>2.0335999999999999</v>
      </c>
      <c r="BH125" s="8">
        <v>2.0648</v>
      </c>
      <c r="BI125" s="8">
        <v>2.0962999999999998</v>
      </c>
      <c r="BJ125" s="8">
        <v>2.1280999999999999</v>
      </c>
      <c r="BK125" s="8">
        <v>2.16</v>
      </c>
      <c r="BL125" s="8">
        <v>2.1922000000000001</v>
      </c>
      <c r="BM125" s="8">
        <v>2.2246000000000001</v>
      </c>
      <c r="BN125" s="8">
        <v>2.2572000000000001</v>
      </c>
      <c r="BO125" s="8">
        <v>2.2900999999999998</v>
      </c>
      <c r="BP125" s="8">
        <v>2.3231999999999999</v>
      </c>
      <c r="BQ125" s="8">
        <v>2.3565</v>
      </c>
      <c r="BR125" s="8">
        <v>2.39</v>
      </c>
      <c r="BS125" s="8">
        <v>2.4237000000000002</v>
      </c>
      <c r="BT125" s="8">
        <v>2.4577</v>
      </c>
      <c r="BU125" s="8">
        <v>2.4918</v>
      </c>
      <c r="BV125" s="8">
        <v>2.5261999999999998</v>
      </c>
      <c r="BW125" s="8">
        <v>2.5608</v>
      </c>
      <c r="BX125" s="8">
        <v>2.5865</v>
      </c>
      <c r="BY125" s="8">
        <v>2.6122000000000001</v>
      </c>
      <c r="BZ125" s="8">
        <v>2.6379000000000001</v>
      </c>
      <c r="CA125" s="8">
        <v>2.6637</v>
      </c>
      <c r="CB125" s="8">
        <v>2.6896</v>
      </c>
      <c r="CC125" s="8">
        <v>2.7155</v>
      </c>
      <c r="CD125" s="8">
        <v>2.7414999999999998</v>
      </c>
      <c r="CE125" s="8">
        <v>2.7675000000000001</v>
      </c>
      <c r="CF125" s="8">
        <v>2.7934999999999999</v>
      </c>
      <c r="CG125" s="8">
        <v>2.8195999999999999</v>
      </c>
      <c r="CH125" s="8">
        <v>2.8456999999999999</v>
      </c>
      <c r="CI125" s="8">
        <v>2.8717999999999999</v>
      </c>
      <c r="CJ125" s="8">
        <v>2.8978999999999999</v>
      </c>
      <c r="CK125" s="8">
        <v>2.9239999999999999</v>
      </c>
      <c r="CL125" s="8">
        <v>2.9502000000000002</v>
      </c>
      <c r="CM125" s="8">
        <v>2.9763000000000002</v>
      </c>
      <c r="CN125" s="8">
        <v>3.0024000000000002</v>
      </c>
      <c r="CO125" s="8">
        <v>3.0285000000000002</v>
      </c>
      <c r="CP125" s="8">
        <v>3.0545</v>
      </c>
      <c r="CQ125" s="8">
        <v>3.0806</v>
      </c>
      <c r="CR125" s="8">
        <v>3.1065</v>
      </c>
      <c r="CS125" s="8">
        <v>3.1324000000000001</v>
      </c>
      <c r="CT125" s="8">
        <v>3.1583000000000001</v>
      </c>
      <c r="CU125" s="8">
        <v>3.1840000000000002</v>
      </c>
      <c r="CV125" s="8">
        <v>3.2097000000000002</v>
      </c>
      <c r="CW125" s="8">
        <v>3.2353000000000001</v>
      </c>
      <c r="CX125" s="8">
        <v>3.2608000000000001</v>
      </c>
      <c r="CY125" s="8">
        <v>3.2862</v>
      </c>
      <c r="CZ125" s="8">
        <v>3.3113999999999999</v>
      </c>
      <c r="DA125" s="8">
        <v>3.3365</v>
      </c>
      <c r="DB125" s="8">
        <v>3.3614000000000002</v>
      </c>
      <c r="DC125" s="8">
        <v>3.3862000000000001</v>
      </c>
      <c r="DD125" s="8">
        <v>3.4108999999999998</v>
      </c>
      <c r="DE125" s="8">
        <v>3.4352999999999998</v>
      </c>
      <c r="DF125" s="8">
        <v>3.4594999999999998</v>
      </c>
      <c r="DG125" s="8">
        <v>3.4836</v>
      </c>
      <c r="DH125" s="8">
        <v>3.5074000000000001</v>
      </c>
      <c r="DI125" s="8">
        <v>3.5310000000000001</v>
      </c>
      <c r="DJ125" s="8">
        <v>3.5543999999999998</v>
      </c>
      <c r="DK125" s="8">
        <v>3.5775999999999999</v>
      </c>
      <c r="DL125" s="8">
        <v>3.6004999999999998</v>
      </c>
      <c r="DM125" s="8">
        <v>3.6231</v>
      </c>
      <c r="DN125" s="8">
        <v>3.6455000000000002</v>
      </c>
      <c r="DO125" s="8">
        <v>3.6676000000000002</v>
      </c>
      <c r="DP125" s="8">
        <v>3.6894</v>
      </c>
      <c r="DQ125" s="8">
        <v>3.7109000000000001</v>
      </c>
      <c r="DR125" s="8">
        <v>3.7322000000000002</v>
      </c>
      <c r="DS125" s="8">
        <v>3.7532000000000001</v>
      </c>
      <c r="DT125" s="8">
        <v>3.7738999999999998</v>
      </c>
      <c r="DU125" s="8">
        <v>3.7942999999999998</v>
      </c>
      <c r="DV125" s="8">
        <v>3.8144</v>
      </c>
      <c r="DW125" s="8">
        <v>3.8342999999999998</v>
      </c>
      <c r="DX125" s="8">
        <v>3.8538000000000001</v>
      </c>
      <c r="DY125" s="8">
        <v>3.8732000000000002</v>
      </c>
      <c r="DZ125" s="8">
        <v>3.8921999999999999</v>
      </c>
      <c r="EA125" s="8">
        <v>3.9110999999999998</v>
      </c>
      <c r="EB125" s="8">
        <v>3.9297</v>
      </c>
      <c r="EC125" s="8">
        <v>3.9481000000000002</v>
      </c>
      <c r="ED125" s="8">
        <v>3.9664000000000001</v>
      </c>
      <c r="EE125" s="8">
        <v>3.9843999999999999</v>
      </c>
      <c r="EF125" s="8">
        <v>4.0023999999999997</v>
      </c>
      <c r="EG125" s="8">
        <v>4.0202</v>
      </c>
      <c r="EH125" s="8">
        <v>4.0380000000000003</v>
      </c>
      <c r="EI125" s="8">
        <v>4.0557999999999996</v>
      </c>
      <c r="EJ125" s="8">
        <v>4.0735000000000001</v>
      </c>
      <c r="EK125" s="8">
        <v>4.0913000000000004</v>
      </c>
      <c r="EL125" s="8">
        <v>4.1092000000000004</v>
      </c>
      <c r="EM125" s="8">
        <v>4.1272000000000002</v>
      </c>
      <c r="EN125" s="8">
        <v>4.1452999999999998</v>
      </c>
      <c r="EO125" s="8">
        <v>4.1637000000000004</v>
      </c>
      <c r="EP125" s="8">
        <v>4.1824000000000003</v>
      </c>
      <c r="EQ125" s="8">
        <v>4.2013999999999996</v>
      </c>
      <c r="ER125" s="8">
        <v>4.2206999999999999</v>
      </c>
      <c r="ES125" s="8">
        <v>4.2404999999999999</v>
      </c>
      <c r="ET125" s="8">
        <v>4.2606999999999999</v>
      </c>
      <c r="EU125" s="8">
        <v>4.2815000000000003</v>
      </c>
      <c r="EV125" s="8">
        <v>4.3029000000000002</v>
      </c>
      <c r="EW125" s="8">
        <v>4.3247999999999998</v>
      </c>
      <c r="EX125" s="8">
        <v>4.3475000000000001</v>
      </c>
      <c r="EY125" s="8">
        <v>4.3708999999999998</v>
      </c>
      <c r="EZ125" s="8">
        <v>4.3949999999999996</v>
      </c>
      <c r="FA125" s="8">
        <v>4.4199000000000002</v>
      </c>
      <c r="FB125" s="8">
        <v>4.4457000000000004</v>
      </c>
      <c r="FC125" s="106">
        <v>4.4722999999999997</v>
      </c>
      <c r="FE125" s="50">
        <f t="shared" ca="1" si="15"/>
        <v>3.8381952278984404</v>
      </c>
      <c r="FF125" s="50">
        <f t="shared" ca="1" si="16"/>
        <v>3.825711310477411</v>
      </c>
      <c r="FG125" s="50">
        <f t="shared" ca="1" si="17"/>
        <v>3.8128756375838924</v>
      </c>
      <c r="FH125" s="50">
        <f t="shared" ca="1" si="18"/>
        <v>3.7993857046979862</v>
      </c>
      <c r="FK125" s="50">
        <f t="shared" ca="1" si="14"/>
        <v>3.825711310477411</v>
      </c>
      <c r="FL125" s="50"/>
      <c r="FM125" s="50"/>
      <c r="FN125" s="50"/>
    </row>
    <row r="126" spans="48:170" hidden="1">
      <c r="AV126" s="69"/>
      <c r="AW126" s="104">
        <v>0.34699999999999998</v>
      </c>
      <c r="AX126" s="8">
        <v>1.7553000000000001</v>
      </c>
      <c r="AY126" s="8">
        <v>1.7843</v>
      </c>
      <c r="AZ126" s="8">
        <v>1.8136000000000001</v>
      </c>
      <c r="BA126" s="8">
        <v>1.8431</v>
      </c>
      <c r="BB126" s="8">
        <v>1.8728</v>
      </c>
      <c r="BC126" s="8">
        <v>1.9028</v>
      </c>
      <c r="BD126" s="8">
        <v>1.9330000000000001</v>
      </c>
      <c r="BE126" s="8">
        <v>1.9634</v>
      </c>
      <c r="BF126" s="8">
        <v>1.9941</v>
      </c>
      <c r="BG126" s="8">
        <v>2.0249999999999999</v>
      </c>
      <c r="BH126" s="8">
        <v>2.0560999999999998</v>
      </c>
      <c r="BI126" s="8">
        <v>2.0874999999999999</v>
      </c>
      <c r="BJ126" s="8">
        <v>2.1191</v>
      </c>
      <c r="BK126" s="8">
        <v>2.1509</v>
      </c>
      <c r="BL126" s="8">
        <v>2.1829000000000001</v>
      </c>
      <c r="BM126" s="8">
        <v>2.2151999999999998</v>
      </c>
      <c r="BN126" s="8">
        <v>2.2477</v>
      </c>
      <c r="BO126" s="8">
        <v>2.2804000000000002</v>
      </c>
      <c r="BP126" s="8">
        <v>2.3132999999999999</v>
      </c>
      <c r="BQ126" s="8">
        <v>2.3464999999999998</v>
      </c>
      <c r="BR126" s="8">
        <v>2.3799000000000001</v>
      </c>
      <c r="BS126" s="8">
        <v>2.4135</v>
      </c>
      <c r="BT126" s="8">
        <v>2.4472999999999998</v>
      </c>
      <c r="BU126" s="8">
        <v>2.4813000000000001</v>
      </c>
      <c r="BV126" s="8">
        <v>2.5154999999999998</v>
      </c>
      <c r="BW126" s="8">
        <v>2.5499999999999998</v>
      </c>
      <c r="BX126" s="8">
        <v>2.5846</v>
      </c>
      <c r="BY126" s="8">
        <v>2.6122000000000001</v>
      </c>
      <c r="BZ126" s="8">
        <v>2.6379000000000001</v>
      </c>
      <c r="CA126" s="8">
        <v>2.6637</v>
      </c>
      <c r="CB126" s="8">
        <v>2.6896</v>
      </c>
      <c r="CC126" s="8">
        <v>2.7155</v>
      </c>
      <c r="CD126" s="8">
        <v>2.7414999999999998</v>
      </c>
      <c r="CE126" s="8">
        <v>2.7675000000000001</v>
      </c>
      <c r="CF126" s="8">
        <v>2.7934999999999999</v>
      </c>
      <c r="CG126" s="8">
        <v>2.8195999999999999</v>
      </c>
      <c r="CH126" s="8">
        <v>2.8456999999999999</v>
      </c>
      <c r="CI126" s="8">
        <v>2.8717999999999999</v>
      </c>
      <c r="CJ126" s="8">
        <v>2.8978999999999999</v>
      </c>
      <c r="CK126" s="8">
        <v>2.9239999999999999</v>
      </c>
      <c r="CL126" s="8">
        <v>2.9502000000000002</v>
      </c>
      <c r="CM126" s="8">
        <v>2.9763000000000002</v>
      </c>
      <c r="CN126" s="8">
        <v>3.0024000000000002</v>
      </c>
      <c r="CO126" s="8">
        <v>3.0285000000000002</v>
      </c>
      <c r="CP126" s="8">
        <v>3.0545</v>
      </c>
      <c r="CQ126" s="8">
        <v>3.0806</v>
      </c>
      <c r="CR126" s="8">
        <v>3.1065</v>
      </c>
      <c r="CS126" s="8">
        <v>3.1324000000000001</v>
      </c>
      <c r="CT126" s="8">
        <v>3.1583000000000001</v>
      </c>
      <c r="CU126" s="8">
        <v>3.1840000000000002</v>
      </c>
      <c r="CV126" s="8">
        <v>3.2097000000000002</v>
      </c>
      <c r="CW126" s="8">
        <v>3.2353000000000001</v>
      </c>
      <c r="CX126" s="8">
        <v>3.2608000000000001</v>
      </c>
      <c r="CY126" s="8">
        <v>3.2862</v>
      </c>
      <c r="CZ126" s="8">
        <v>3.3113999999999999</v>
      </c>
      <c r="DA126" s="8">
        <v>3.3365</v>
      </c>
      <c r="DB126" s="8">
        <v>3.3614000000000002</v>
      </c>
      <c r="DC126" s="8">
        <v>3.3862000000000001</v>
      </c>
      <c r="DD126" s="8">
        <v>3.4108999999999998</v>
      </c>
      <c r="DE126" s="8">
        <v>3.4352999999999998</v>
      </c>
      <c r="DF126" s="8">
        <v>3.4594999999999998</v>
      </c>
      <c r="DG126" s="8">
        <v>3.4836</v>
      </c>
      <c r="DH126" s="8">
        <v>3.5074000000000001</v>
      </c>
      <c r="DI126" s="8">
        <v>3.5310000000000001</v>
      </c>
      <c r="DJ126" s="8">
        <v>3.5543999999999998</v>
      </c>
      <c r="DK126" s="8">
        <v>3.5775999999999999</v>
      </c>
      <c r="DL126" s="8">
        <v>3.6004999999999998</v>
      </c>
      <c r="DM126" s="8">
        <v>3.6231</v>
      </c>
      <c r="DN126" s="8">
        <v>3.6455000000000002</v>
      </c>
      <c r="DO126" s="8">
        <v>3.6676000000000002</v>
      </c>
      <c r="DP126" s="8">
        <v>3.6894</v>
      </c>
      <c r="DQ126" s="8">
        <v>3.7109000000000001</v>
      </c>
      <c r="DR126" s="8">
        <v>3.7322000000000002</v>
      </c>
      <c r="DS126" s="8">
        <v>3.7532000000000001</v>
      </c>
      <c r="DT126" s="8">
        <v>3.7738999999999998</v>
      </c>
      <c r="DU126" s="8">
        <v>3.7942999999999998</v>
      </c>
      <c r="DV126" s="8">
        <v>3.8144</v>
      </c>
      <c r="DW126" s="8">
        <v>3.8342999999999998</v>
      </c>
      <c r="DX126" s="8">
        <v>3.8538000000000001</v>
      </c>
      <c r="DY126" s="8">
        <v>3.8732000000000002</v>
      </c>
      <c r="DZ126" s="8">
        <v>3.8921999999999999</v>
      </c>
      <c r="EA126" s="8">
        <v>3.9110999999999998</v>
      </c>
      <c r="EB126" s="8">
        <v>3.9297</v>
      </c>
      <c r="EC126" s="8">
        <v>3.9481000000000002</v>
      </c>
      <c r="ED126" s="8">
        <v>3.9664000000000001</v>
      </c>
      <c r="EE126" s="8">
        <v>3.9843999999999999</v>
      </c>
      <c r="EF126" s="8">
        <v>4.0023999999999997</v>
      </c>
      <c r="EG126" s="8">
        <v>4.0202</v>
      </c>
      <c r="EH126" s="8">
        <v>4.0380000000000003</v>
      </c>
      <c r="EI126" s="8">
        <v>4.0557999999999996</v>
      </c>
      <c r="EJ126" s="8">
        <v>4.0735000000000001</v>
      </c>
      <c r="EK126" s="8">
        <v>4.0913000000000004</v>
      </c>
      <c r="EL126" s="8">
        <v>4.1092000000000004</v>
      </c>
      <c r="EM126" s="8">
        <v>4.1272000000000002</v>
      </c>
      <c r="EN126" s="8">
        <v>4.1452999999999998</v>
      </c>
      <c r="EO126" s="8">
        <v>4.1637000000000004</v>
      </c>
      <c r="EP126" s="8">
        <v>4.1824000000000003</v>
      </c>
      <c r="EQ126" s="8">
        <v>4.2013999999999996</v>
      </c>
      <c r="ER126" s="8">
        <v>4.2206999999999999</v>
      </c>
      <c r="ES126" s="8">
        <v>4.2404999999999999</v>
      </c>
      <c r="ET126" s="8">
        <v>4.2606999999999999</v>
      </c>
      <c r="EU126" s="8">
        <v>4.2815000000000003</v>
      </c>
      <c r="EV126" s="8">
        <v>4.3029000000000002</v>
      </c>
      <c r="EW126" s="8">
        <v>4.3247999999999998</v>
      </c>
      <c r="EX126" s="8">
        <v>4.3475000000000001</v>
      </c>
      <c r="EY126" s="8">
        <v>4.3708999999999998</v>
      </c>
      <c r="EZ126" s="8">
        <v>4.3949999999999996</v>
      </c>
      <c r="FA126" s="8">
        <v>4.4199000000000002</v>
      </c>
      <c r="FB126" s="8">
        <v>4.4457000000000004</v>
      </c>
      <c r="FC126" s="106">
        <v>4.4722999999999997</v>
      </c>
      <c r="FE126" s="50">
        <f t="shared" ca="1" si="15"/>
        <v>3.8381952278984404</v>
      </c>
      <c r="FF126" s="50">
        <f t="shared" ca="1" si="16"/>
        <v>3.825711310477411</v>
      </c>
      <c r="FG126" s="50">
        <f t="shared" ca="1" si="17"/>
        <v>3.8128756375838924</v>
      </c>
      <c r="FH126" s="50">
        <f t="shared" ca="1" si="18"/>
        <v>3.7993857046979862</v>
      </c>
      <c r="FK126" s="50">
        <f t="shared" ca="1" si="14"/>
        <v>3.825711310477411</v>
      </c>
      <c r="FL126" s="50"/>
      <c r="FM126" s="50"/>
      <c r="FN126" s="50"/>
    </row>
    <row r="127" spans="48:170" hidden="1">
      <c r="AV127" s="69"/>
      <c r="AW127" s="104">
        <v>0.372</v>
      </c>
      <c r="AX127" s="8">
        <v>1.748</v>
      </c>
      <c r="AY127" s="8">
        <v>1.7768999999999999</v>
      </c>
      <c r="AZ127" s="8">
        <v>1.806</v>
      </c>
      <c r="BA127" s="8">
        <v>1.8353999999999999</v>
      </c>
      <c r="BB127" s="8">
        <v>1.865</v>
      </c>
      <c r="BC127" s="8">
        <v>1.8948</v>
      </c>
      <c r="BD127" s="8">
        <v>1.9249000000000001</v>
      </c>
      <c r="BE127" s="8">
        <v>1.9552</v>
      </c>
      <c r="BF127" s="8">
        <v>1.9858</v>
      </c>
      <c r="BG127" s="8">
        <v>2.0165000000000002</v>
      </c>
      <c r="BH127" s="8">
        <v>2.0474999999999999</v>
      </c>
      <c r="BI127" s="8">
        <v>2.0788000000000002</v>
      </c>
      <c r="BJ127" s="8">
        <v>2.1101999999999999</v>
      </c>
      <c r="BK127" s="8">
        <v>2.1419000000000001</v>
      </c>
      <c r="BL127" s="8">
        <v>2.1738</v>
      </c>
      <c r="BM127" s="8">
        <v>2.2059000000000002</v>
      </c>
      <c r="BN127" s="8">
        <v>2.2383000000000002</v>
      </c>
      <c r="BO127" s="8">
        <v>2.2709000000000001</v>
      </c>
      <c r="BP127" s="8">
        <v>2.3037000000000001</v>
      </c>
      <c r="BQ127" s="8">
        <v>2.3367</v>
      </c>
      <c r="BR127" s="8">
        <v>2.3698999999999999</v>
      </c>
      <c r="BS127" s="8">
        <v>2.4034</v>
      </c>
      <c r="BT127" s="8">
        <v>2.4371</v>
      </c>
      <c r="BU127" s="8">
        <v>2.4708999999999999</v>
      </c>
      <c r="BV127" s="8">
        <v>2.5049999999999999</v>
      </c>
      <c r="BW127" s="8">
        <v>2.5392999999999999</v>
      </c>
      <c r="BX127" s="8">
        <v>2.5737999999999999</v>
      </c>
      <c r="BY127" s="8">
        <v>2.6084999999999998</v>
      </c>
      <c r="BZ127" s="8">
        <v>2.6379000000000001</v>
      </c>
      <c r="CA127" s="8">
        <v>2.6637</v>
      </c>
      <c r="CB127" s="8">
        <v>2.6896</v>
      </c>
      <c r="CC127" s="8">
        <v>2.7155</v>
      </c>
      <c r="CD127" s="8">
        <v>2.7414999999999998</v>
      </c>
      <c r="CE127" s="8">
        <v>2.7675000000000001</v>
      </c>
      <c r="CF127" s="8">
        <v>2.7934999999999999</v>
      </c>
      <c r="CG127" s="8">
        <v>2.8195999999999999</v>
      </c>
      <c r="CH127" s="8">
        <v>2.8456999999999999</v>
      </c>
      <c r="CI127" s="8">
        <v>2.8717999999999999</v>
      </c>
      <c r="CJ127" s="8">
        <v>2.8978999999999999</v>
      </c>
      <c r="CK127" s="8">
        <v>2.9239999999999999</v>
      </c>
      <c r="CL127" s="8">
        <v>2.9502000000000002</v>
      </c>
      <c r="CM127" s="8">
        <v>2.9763000000000002</v>
      </c>
      <c r="CN127" s="8">
        <v>3.0024000000000002</v>
      </c>
      <c r="CO127" s="8">
        <v>3.0285000000000002</v>
      </c>
      <c r="CP127" s="8">
        <v>3.0545</v>
      </c>
      <c r="CQ127" s="8">
        <v>3.0806</v>
      </c>
      <c r="CR127" s="8">
        <v>3.1065</v>
      </c>
      <c r="CS127" s="8">
        <v>3.1324000000000001</v>
      </c>
      <c r="CT127" s="8">
        <v>3.1583000000000001</v>
      </c>
      <c r="CU127" s="8">
        <v>3.1840000000000002</v>
      </c>
      <c r="CV127" s="8">
        <v>3.2097000000000002</v>
      </c>
      <c r="CW127" s="8">
        <v>3.2353000000000001</v>
      </c>
      <c r="CX127" s="8">
        <v>3.2608000000000001</v>
      </c>
      <c r="CY127" s="8">
        <v>3.2862</v>
      </c>
      <c r="CZ127" s="8">
        <v>3.3113999999999999</v>
      </c>
      <c r="DA127" s="8">
        <v>3.3365</v>
      </c>
      <c r="DB127" s="8">
        <v>3.3614000000000002</v>
      </c>
      <c r="DC127" s="8">
        <v>3.3862000000000001</v>
      </c>
      <c r="DD127" s="8">
        <v>3.4108999999999998</v>
      </c>
      <c r="DE127" s="8">
        <v>3.4352999999999998</v>
      </c>
      <c r="DF127" s="8">
        <v>3.4594999999999998</v>
      </c>
      <c r="DG127" s="8">
        <v>3.4836</v>
      </c>
      <c r="DH127" s="8">
        <v>3.5074000000000001</v>
      </c>
      <c r="DI127" s="8">
        <v>3.5310000000000001</v>
      </c>
      <c r="DJ127" s="8">
        <v>3.5543999999999998</v>
      </c>
      <c r="DK127" s="8">
        <v>3.5775999999999999</v>
      </c>
      <c r="DL127" s="8">
        <v>3.6004999999999998</v>
      </c>
      <c r="DM127" s="8">
        <v>3.6231</v>
      </c>
      <c r="DN127" s="8">
        <v>3.6455000000000002</v>
      </c>
      <c r="DO127" s="8">
        <v>3.6676000000000002</v>
      </c>
      <c r="DP127" s="8">
        <v>3.6894</v>
      </c>
      <c r="DQ127" s="8">
        <v>3.7109000000000001</v>
      </c>
      <c r="DR127" s="8">
        <v>3.7322000000000002</v>
      </c>
      <c r="DS127" s="8">
        <v>3.7532000000000001</v>
      </c>
      <c r="DT127" s="8">
        <v>3.7738999999999998</v>
      </c>
      <c r="DU127" s="8">
        <v>3.7942999999999998</v>
      </c>
      <c r="DV127" s="8">
        <v>3.8144</v>
      </c>
      <c r="DW127" s="8">
        <v>3.8342999999999998</v>
      </c>
      <c r="DX127" s="8">
        <v>3.8538000000000001</v>
      </c>
      <c r="DY127" s="8">
        <v>3.8732000000000002</v>
      </c>
      <c r="DZ127" s="8">
        <v>3.8921999999999999</v>
      </c>
      <c r="EA127" s="8">
        <v>3.9110999999999998</v>
      </c>
      <c r="EB127" s="8">
        <v>3.9297</v>
      </c>
      <c r="EC127" s="8">
        <v>3.9481000000000002</v>
      </c>
      <c r="ED127" s="8">
        <v>3.9664000000000001</v>
      </c>
      <c r="EE127" s="8">
        <v>3.9843999999999999</v>
      </c>
      <c r="EF127" s="8">
        <v>4.0023999999999997</v>
      </c>
      <c r="EG127" s="8">
        <v>4.0202</v>
      </c>
      <c r="EH127" s="8">
        <v>4.0380000000000003</v>
      </c>
      <c r="EI127" s="8">
        <v>4.0557999999999996</v>
      </c>
      <c r="EJ127" s="8">
        <v>4.0735000000000001</v>
      </c>
      <c r="EK127" s="8">
        <v>4.0913000000000004</v>
      </c>
      <c r="EL127" s="8">
        <v>4.1092000000000004</v>
      </c>
      <c r="EM127" s="8">
        <v>4.1272000000000002</v>
      </c>
      <c r="EN127" s="8">
        <v>4.1452999999999998</v>
      </c>
      <c r="EO127" s="8">
        <v>4.1637000000000004</v>
      </c>
      <c r="EP127" s="8">
        <v>4.1824000000000003</v>
      </c>
      <c r="EQ127" s="8">
        <v>4.2013999999999996</v>
      </c>
      <c r="ER127" s="8">
        <v>4.2206999999999999</v>
      </c>
      <c r="ES127" s="8">
        <v>4.2404999999999999</v>
      </c>
      <c r="ET127" s="8">
        <v>4.2606999999999999</v>
      </c>
      <c r="EU127" s="8">
        <v>4.2815000000000003</v>
      </c>
      <c r="EV127" s="8">
        <v>4.3029000000000002</v>
      </c>
      <c r="EW127" s="8">
        <v>4.3247999999999998</v>
      </c>
      <c r="EX127" s="8">
        <v>4.3475000000000001</v>
      </c>
      <c r="EY127" s="8">
        <v>4.3708999999999998</v>
      </c>
      <c r="EZ127" s="8">
        <v>4.3949999999999996</v>
      </c>
      <c r="FA127" s="8">
        <v>4.4199000000000002</v>
      </c>
      <c r="FB127" s="8">
        <v>4.4457000000000004</v>
      </c>
      <c r="FC127" s="106">
        <v>4.4722999999999997</v>
      </c>
      <c r="FE127" s="50">
        <f t="shared" ca="1" si="15"/>
        <v>3.8381952278984404</v>
      </c>
      <c r="FF127" s="50">
        <f t="shared" ca="1" si="16"/>
        <v>3.825711310477411</v>
      </c>
      <c r="FG127" s="50">
        <f t="shared" ca="1" si="17"/>
        <v>3.8128756375838924</v>
      </c>
      <c r="FH127" s="50">
        <f t="shared" ca="1" si="18"/>
        <v>3.7993857046979862</v>
      </c>
      <c r="FK127" s="50">
        <f t="shared" ca="1" si="14"/>
        <v>3.825711310477411</v>
      </c>
      <c r="FL127" s="50"/>
      <c r="FM127" s="50"/>
      <c r="FN127" s="50"/>
    </row>
    <row r="128" spans="48:170" hidden="1">
      <c r="AV128" s="69"/>
      <c r="AW128" s="104">
        <v>0.39800000000000002</v>
      </c>
      <c r="AX128" s="8">
        <v>1.7407999999999999</v>
      </c>
      <c r="AY128" s="8">
        <v>1.7695000000000001</v>
      </c>
      <c r="AZ128" s="8">
        <v>1.7986</v>
      </c>
      <c r="BA128" s="8">
        <v>1.8278000000000001</v>
      </c>
      <c r="BB128" s="8">
        <v>1.8573</v>
      </c>
      <c r="BC128" s="8">
        <v>1.887</v>
      </c>
      <c r="BD128" s="8">
        <v>1.917</v>
      </c>
      <c r="BE128" s="8">
        <v>1.9472</v>
      </c>
      <c r="BF128" s="8">
        <v>1.9776</v>
      </c>
      <c r="BG128" s="8">
        <v>2.0082</v>
      </c>
      <c r="BH128" s="8">
        <v>2.0390999999999999</v>
      </c>
      <c r="BI128" s="8">
        <v>2.0701999999999998</v>
      </c>
      <c r="BJ128" s="8">
        <v>2.1015000000000001</v>
      </c>
      <c r="BK128" s="8">
        <v>2.1331000000000002</v>
      </c>
      <c r="BL128" s="8">
        <v>2.1648999999999998</v>
      </c>
      <c r="BM128" s="8">
        <v>2.1968999999999999</v>
      </c>
      <c r="BN128" s="8">
        <v>2.2290999999999999</v>
      </c>
      <c r="BO128" s="8">
        <v>2.2614999999999998</v>
      </c>
      <c r="BP128" s="8">
        <v>2.2942</v>
      </c>
      <c r="BQ128" s="8">
        <v>2.3271000000000002</v>
      </c>
      <c r="BR128" s="8">
        <v>2.3601999999999999</v>
      </c>
      <c r="BS128" s="8">
        <v>2.3935</v>
      </c>
      <c r="BT128" s="8">
        <v>2.427</v>
      </c>
      <c r="BU128" s="8">
        <v>2.4607999999999999</v>
      </c>
      <c r="BV128" s="8">
        <v>2.4946999999999999</v>
      </c>
      <c r="BW128" s="8">
        <v>2.5289000000000001</v>
      </c>
      <c r="BX128" s="8">
        <v>2.5632000000000001</v>
      </c>
      <c r="BY128" s="8">
        <v>2.5977999999999999</v>
      </c>
      <c r="BZ128" s="8">
        <v>2.6326000000000001</v>
      </c>
      <c r="CA128" s="8">
        <v>2.6637</v>
      </c>
      <c r="CB128" s="8">
        <v>2.6896</v>
      </c>
      <c r="CC128" s="8">
        <v>2.7155</v>
      </c>
      <c r="CD128" s="8">
        <v>2.7414999999999998</v>
      </c>
      <c r="CE128" s="8">
        <v>2.7675000000000001</v>
      </c>
      <c r="CF128" s="8">
        <v>2.7934999999999999</v>
      </c>
      <c r="CG128" s="8">
        <v>2.8195999999999999</v>
      </c>
      <c r="CH128" s="8">
        <v>2.8456999999999999</v>
      </c>
      <c r="CI128" s="8">
        <v>2.8717999999999999</v>
      </c>
      <c r="CJ128" s="8">
        <v>2.8978999999999999</v>
      </c>
      <c r="CK128" s="8">
        <v>2.9239999999999999</v>
      </c>
      <c r="CL128" s="8">
        <v>2.9502000000000002</v>
      </c>
      <c r="CM128" s="8">
        <v>2.9763000000000002</v>
      </c>
      <c r="CN128" s="8">
        <v>3.0024000000000002</v>
      </c>
      <c r="CO128" s="8">
        <v>3.0285000000000002</v>
      </c>
      <c r="CP128" s="8">
        <v>3.0545</v>
      </c>
      <c r="CQ128" s="8">
        <v>3.0806</v>
      </c>
      <c r="CR128" s="8">
        <v>3.1065</v>
      </c>
      <c r="CS128" s="8">
        <v>3.1324000000000001</v>
      </c>
      <c r="CT128" s="8">
        <v>3.1583000000000001</v>
      </c>
      <c r="CU128" s="8">
        <v>3.1840000000000002</v>
      </c>
      <c r="CV128" s="8">
        <v>3.2097000000000002</v>
      </c>
      <c r="CW128" s="8">
        <v>3.2353000000000001</v>
      </c>
      <c r="CX128" s="8">
        <v>3.2608000000000001</v>
      </c>
      <c r="CY128" s="8">
        <v>3.2862</v>
      </c>
      <c r="CZ128" s="8">
        <v>3.3113999999999999</v>
      </c>
      <c r="DA128" s="8">
        <v>3.3365</v>
      </c>
      <c r="DB128" s="8">
        <v>3.3614000000000002</v>
      </c>
      <c r="DC128" s="8">
        <v>3.3862000000000001</v>
      </c>
      <c r="DD128" s="8">
        <v>3.4108999999999998</v>
      </c>
      <c r="DE128" s="8">
        <v>3.4352999999999998</v>
      </c>
      <c r="DF128" s="8">
        <v>3.4594999999999998</v>
      </c>
      <c r="DG128" s="8">
        <v>3.4836</v>
      </c>
      <c r="DH128" s="8">
        <v>3.5074000000000001</v>
      </c>
      <c r="DI128" s="8">
        <v>3.5310000000000001</v>
      </c>
      <c r="DJ128" s="8">
        <v>3.5543999999999998</v>
      </c>
      <c r="DK128" s="8">
        <v>3.5775999999999999</v>
      </c>
      <c r="DL128" s="8">
        <v>3.6004999999999998</v>
      </c>
      <c r="DM128" s="8">
        <v>3.6231</v>
      </c>
      <c r="DN128" s="8">
        <v>3.6455000000000002</v>
      </c>
      <c r="DO128" s="8">
        <v>3.6676000000000002</v>
      </c>
      <c r="DP128" s="8">
        <v>3.6894</v>
      </c>
      <c r="DQ128" s="8">
        <v>3.7109000000000001</v>
      </c>
      <c r="DR128" s="8">
        <v>3.7322000000000002</v>
      </c>
      <c r="DS128" s="8">
        <v>3.7532000000000001</v>
      </c>
      <c r="DT128" s="8">
        <v>3.7738999999999998</v>
      </c>
      <c r="DU128" s="8">
        <v>3.7942999999999998</v>
      </c>
      <c r="DV128" s="8">
        <v>3.8144</v>
      </c>
      <c r="DW128" s="8">
        <v>3.8342999999999998</v>
      </c>
      <c r="DX128" s="8">
        <v>3.8538000000000001</v>
      </c>
      <c r="DY128" s="8">
        <v>3.8732000000000002</v>
      </c>
      <c r="DZ128" s="8">
        <v>3.8921999999999999</v>
      </c>
      <c r="EA128" s="8">
        <v>3.9110999999999998</v>
      </c>
      <c r="EB128" s="8">
        <v>3.9297</v>
      </c>
      <c r="EC128" s="8">
        <v>3.9481000000000002</v>
      </c>
      <c r="ED128" s="8">
        <v>3.9664000000000001</v>
      </c>
      <c r="EE128" s="8">
        <v>3.9843999999999999</v>
      </c>
      <c r="EF128" s="8">
        <v>4.0023999999999997</v>
      </c>
      <c r="EG128" s="8">
        <v>4.0202</v>
      </c>
      <c r="EH128" s="8">
        <v>4.0380000000000003</v>
      </c>
      <c r="EI128" s="8">
        <v>4.0557999999999996</v>
      </c>
      <c r="EJ128" s="8">
        <v>4.0735000000000001</v>
      </c>
      <c r="EK128" s="8">
        <v>4.0913000000000004</v>
      </c>
      <c r="EL128" s="8">
        <v>4.1092000000000004</v>
      </c>
      <c r="EM128" s="8">
        <v>4.1272000000000002</v>
      </c>
      <c r="EN128" s="8">
        <v>4.1452999999999998</v>
      </c>
      <c r="EO128" s="8">
        <v>4.1637000000000004</v>
      </c>
      <c r="EP128" s="8">
        <v>4.1824000000000003</v>
      </c>
      <c r="EQ128" s="8">
        <v>4.2013999999999996</v>
      </c>
      <c r="ER128" s="8">
        <v>4.2206999999999999</v>
      </c>
      <c r="ES128" s="8">
        <v>4.2404999999999999</v>
      </c>
      <c r="ET128" s="8">
        <v>4.2606999999999999</v>
      </c>
      <c r="EU128" s="8">
        <v>4.2815000000000003</v>
      </c>
      <c r="EV128" s="8">
        <v>4.3029000000000002</v>
      </c>
      <c r="EW128" s="8">
        <v>4.3247999999999998</v>
      </c>
      <c r="EX128" s="8">
        <v>4.3475000000000001</v>
      </c>
      <c r="EY128" s="8">
        <v>4.3708999999999998</v>
      </c>
      <c r="EZ128" s="8">
        <v>4.3949999999999996</v>
      </c>
      <c r="FA128" s="8">
        <v>4.4199000000000002</v>
      </c>
      <c r="FB128" s="8">
        <v>4.4457000000000004</v>
      </c>
      <c r="FC128" s="106">
        <v>4.4722999999999997</v>
      </c>
      <c r="FE128" s="50">
        <f t="shared" ca="1" si="15"/>
        <v>3.8381952278984404</v>
      </c>
      <c r="FF128" s="50">
        <f t="shared" ca="1" si="16"/>
        <v>3.825711310477411</v>
      </c>
      <c r="FG128" s="50">
        <f t="shared" ca="1" si="17"/>
        <v>3.8128756375838924</v>
      </c>
      <c r="FH128" s="50">
        <f t="shared" ca="1" si="18"/>
        <v>3.7993857046979862</v>
      </c>
      <c r="FK128" s="50">
        <f t="shared" ca="1" si="14"/>
        <v>3.825711310477411</v>
      </c>
      <c r="FL128" s="50"/>
      <c r="FM128" s="50"/>
      <c r="FN128" s="50"/>
    </row>
    <row r="129" spans="48:170" hidden="1">
      <c r="AV129" s="69"/>
      <c r="AW129" s="104">
        <v>0.42699999999999999</v>
      </c>
      <c r="AX129" s="8">
        <v>1.7337</v>
      </c>
      <c r="AY129" s="8">
        <v>1.7624</v>
      </c>
      <c r="AZ129" s="8">
        <v>1.7912999999999999</v>
      </c>
      <c r="BA129" s="8">
        <v>1.8204</v>
      </c>
      <c r="BB129" s="8">
        <v>1.8498000000000001</v>
      </c>
      <c r="BC129" s="8">
        <v>1.8794</v>
      </c>
      <c r="BD129" s="8">
        <v>1.9092</v>
      </c>
      <c r="BE129" s="8">
        <v>1.9393</v>
      </c>
      <c r="BF129" s="8">
        <v>1.9695</v>
      </c>
      <c r="BG129" s="8">
        <v>2.0001000000000002</v>
      </c>
      <c r="BH129" s="8">
        <v>2.0308000000000002</v>
      </c>
      <c r="BI129" s="8">
        <v>2.0617999999999999</v>
      </c>
      <c r="BJ129" s="8">
        <v>2.093</v>
      </c>
      <c r="BK129" s="8">
        <v>2.1244000000000001</v>
      </c>
      <c r="BL129" s="8">
        <v>2.1560999999999999</v>
      </c>
      <c r="BM129" s="8">
        <v>2.1879</v>
      </c>
      <c r="BN129" s="8">
        <v>2.2200000000000002</v>
      </c>
      <c r="BO129" s="8">
        <v>2.2523</v>
      </c>
      <c r="BP129" s="8">
        <v>2.2848999999999999</v>
      </c>
      <c r="BQ129" s="8">
        <v>2.3176000000000001</v>
      </c>
      <c r="BR129" s="8">
        <v>2.3506</v>
      </c>
      <c r="BS129" s="8">
        <v>2.3837999999999999</v>
      </c>
      <c r="BT129" s="8">
        <v>2.4171999999999998</v>
      </c>
      <c r="BU129" s="8">
        <v>2.4508000000000001</v>
      </c>
      <c r="BV129" s="8">
        <v>2.4845999999999999</v>
      </c>
      <c r="BW129" s="8">
        <v>2.5186000000000002</v>
      </c>
      <c r="BX129" s="8">
        <v>2.5528</v>
      </c>
      <c r="BY129" s="8">
        <v>2.5872000000000002</v>
      </c>
      <c r="BZ129" s="8">
        <v>2.6219000000000001</v>
      </c>
      <c r="CA129" s="8">
        <v>2.6566999999999998</v>
      </c>
      <c r="CB129" s="8">
        <v>2.6896</v>
      </c>
      <c r="CC129" s="8">
        <v>2.7155</v>
      </c>
      <c r="CD129" s="8">
        <v>2.7414999999999998</v>
      </c>
      <c r="CE129" s="8">
        <v>2.7675000000000001</v>
      </c>
      <c r="CF129" s="8">
        <v>2.7934999999999999</v>
      </c>
      <c r="CG129" s="8">
        <v>2.8195999999999999</v>
      </c>
      <c r="CH129" s="8">
        <v>2.8456999999999999</v>
      </c>
      <c r="CI129" s="8">
        <v>2.8717999999999999</v>
      </c>
      <c r="CJ129" s="8">
        <v>2.8978999999999999</v>
      </c>
      <c r="CK129" s="8">
        <v>2.9239999999999999</v>
      </c>
      <c r="CL129" s="8">
        <v>2.9502000000000002</v>
      </c>
      <c r="CM129" s="8">
        <v>2.9763000000000002</v>
      </c>
      <c r="CN129" s="8">
        <v>3.0024000000000002</v>
      </c>
      <c r="CO129" s="8">
        <v>3.0285000000000002</v>
      </c>
      <c r="CP129" s="8">
        <v>3.0545</v>
      </c>
      <c r="CQ129" s="8">
        <v>3.0806</v>
      </c>
      <c r="CR129" s="8">
        <v>3.1065</v>
      </c>
      <c r="CS129" s="8">
        <v>3.1324000000000001</v>
      </c>
      <c r="CT129" s="8">
        <v>3.1583000000000001</v>
      </c>
      <c r="CU129" s="8">
        <v>3.1840000000000002</v>
      </c>
      <c r="CV129" s="8">
        <v>3.2097000000000002</v>
      </c>
      <c r="CW129" s="8">
        <v>3.2353000000000001</v>
      </c>
      <c r="CX129" s="8">
        <v>3.2608000000000001</v>
      </c>
      <c r="CY129" s="8">
        <v>3.2862</v>
      </c>
      <c r="CZ129" s="8">
        <v>3.3113999999999999</v>
      </c>
      <c r="DA129" s="8">
        <v>3.3365</v>
      </c>
      <c r="DB129" s="8">
        <v>3.3614000000000002</v>
      </c>
      <c r="DC129" s="8">
        <v>3.3862000000000001</v>
      </c>
      <c r="DD129" s="8">
        <v>3.4108999999999998</v>
      </c>
      <c r="DE129" s="8">
        <v>3.4352999999999998</v>
      </c>
      <c r="DF129" s="8">
        <v>3.4594999999999998</v>
      </c>
      <c r="DG129" s="8">
        <v>3.4836</v>
      </c>
      <c r="DH129" s="8">
        <v>3.5074000000000001</v>
      </c>
      <c r="DI129" s="8">
        <v>3.5310000000000001</v>
      </c>
      <c r="DJ129" s="8">
        <v>3.5543999999999998</v>
      </c>
      <c r="DK129" s="8">
        <v>3.5775999999999999</v>
      </c>
      <c r="DL129" s="8">
        <v>3.6004999999999998</v>
      </c>
      <c r="DM129" s="8">
        <v>3.6231</v>
      </c>
      <c r="DN129" s="8">
        <v>3.6455000000000002</v>
      </c>
      <c r="DO129" s="8">
        <v>3.6676000000000002</v>
      </c>
      <c r="DP129" s="8">
        <v>3.6894</v>
      </c>
      <c r="DQ129" s="8">
        <v>3.7109000000000001</v>
      </c>
      <c r="DR129" s="8">
        <v>3.7322000000000002</v>
      </c>
      <c r="DS129" s="8">
        <v>3.7532000000000001</v>
      </c>
      <c r="DT129" s="8">
        <v>3.7738999999999998</v>
      </c>
      <c r="DU129" s="8">
        <v>3.7942999999999998</v>
      </c>
      <c r="DV129" s="8">
        <v>3.8144</v>
      </c>
      <c r="DW129" s="8">
        <v>3.8342999999999998</v>
      </c>
      <c r="DX129" s="8">
        <v>3.8538000000000001</v>
      </c>
      <c r="DY129" s="8">
        <v>3.8732000000000002</v>
      </c>
      <c r="DZ129" s="8">
        <v>3.8921999999999999</v>
      </c>
      <c r="EA129" s="8">
        <v>3.9110999999999998</v>
      </c>
      <c r="EB129" s="8">
        <v>3.9297</v>
      </c>
      <c r="EC129" s="8">
        <v>3.9481000000000002</v>
      </c>
      <c r="ED129" s="8">
        <v>3.9664000000000001</v>
      </c>
      <c r="EE129" s="8">
        <v>3.9843999999999999</v>
      </c>
      <c r="EF129" s="8">
        <v>4.0023999999999997</v>
      </c>
      <c r="EG129" s="8">
        <v>4.0202</v>
      </c>
      <c r="EH129" s="8">
        <v>4.0380000000000003</v>
      </c>
      <c r="EI129" s="8">
        <v>4.0557999999999996</v>
      </c>
      <c r="EJ129" s="8">
        <v>4.0735000000000001</v>
      </c>
      <c r="EK129" s="8">
        <v>4.0913000000000004</v>
      </c>
      <c r="EL129" s="8">
        <v>4.1092000000000004</v>
      </c>
      <c r="EM129" s="8">
        <v>4.1272000000000002</v>
      </c>
      <c r="EN129" s="8">
        <v>4.1452999999999998</v>
      </c>
      <c r="EO129" s="8">
        <v>4.1637000000000004</v>
      </c>
      <c r="EP129" s="8">
        <v>4.1824000000000003</v>
      </c>
      <c r="EQ129" s="8">
        <v>4.2013999999999996</v>
      </c>
      <c r="ER129" s="8">
        <v>4.2206999999999999</v>
      </c>
      <c r="ES129" s="8">
        <v>4.2404999999999999</v>
      </c>
      <c r="ET129" s="8">
        <v>4.2606999999999999</v>
      </c>
      <c r="EU129" s="8">
        <v>4.2815000000000003</v>
      </c>
      <c r="EV129" s="8">
        <v>4.3029000000000002</v>
      </c>
      <c r="EW129" s="8">
        <v>4.3247999999999998</v>
      </c>
      <c r="EX129" s="8">
        <v>4.3475000000000001</v>
      </c>
      <c r="EY129" s="8">
        <v>4.3708999999999998</v>
      </c>
      <c r="EZ129" s="8">
        <v>4.3949999999999996</v>
      </c>
      <c r="FA129" s="8">
        <v>4.4199000000000002</v>
      </c>
      <c r="FB129" s="8">
        <v>4.4457000000000004</v>
      </c>
      <c r="FC129" s="106">
        <v>4.4722999999999997</v>
      </c>
      <c r="FE129" s="50">
        <f t="shared" ca="1" si="15"/>
        <v>3.8381952278984404</v>
      </c>
      <c r="FF129" s="50">
        <f t="shared" ca="1" si="16"/>
        <v>3.825711310477411</v>
      </c>
      <c r="FG129" s="50">
        <f t="shared" ca="1" si="17"/>
        <v>3.8128756375838924</v>
      </c>
      <c r="FH129" s="50">
        <f t="shared" ca="1" si="18"/>
        <v>3.7993857046979862</v>
      </c>
      <c r="FK129" s="50">
        <f t="shared" ca="1" si="14"/>
        <v>3.825711310477411</v>
      </c>
      <c r="FL129" s="50"/>
      <c r="FM129" s="50"/>
      <c r="FN129" s="50"/>
    </row>
    <row r="130" spans="48:170" hidden="1">
      <c r="AV130" s="69"/>
      <c r="AW130" s="104">
        <v>0.45700000000000002</v>
      </c>
      <c r="AX130" s="8">
        <v>1.7266999999999999</v>
      </c>
      <c r="AY130" s="8">
        <v>1.7553000000000001</v>
      </c>
      <c r="AZ130" s="8">
        <v>1.7841</v>
      </c>
      <c r="BA130" s="8">
        <v>1.8130999999999999</v>
      </c>
      <c r="BB130" s="8">
        <v>1.8423</v>
      </c>
      <c r="BC130" s="8">
        <v>1.8717999999999999</v>
      </c>
      <c r="BD130" s="8">
        <v>1.9015</v>
      </c>
      <c r="BE130" s="8">
        <v>1.9315</v>
      </c>
      <c r="BF130" s="8">
        <v>1.9616</v>
      </c>
      <c r="BG130" s="8">
        <v>1.992</v>
      </c>
      <c r="BH130" s="8">
        <v>2.0226999999999999</v>
      </c>
      <c r="BI130" s="8">
        <v>2.0535000000000001</v>
      </c>
      <c r="BJ130" s="8">
        <v>2.0846</v>
      </c>
      <c r="BK130" s="8">
        <v>2.1158999999999999</v>
      </c>
      <c r="BL130" s="8">
        <v>2.1474000000000002</v>
      </c>
      <c r="BM130" s="8">
        <v>2.1791999999999998</v>
      </c>
      <c r="BN130" s="8">
        <v>2.2111000000000001</v>
      </c>
      <c r="BO130" s="8">
        <v>2.2433000000000001</v>
      </c>
      <c r="BP130" s="8">
        <v>2.2757000000000001</v>
      </c>
      <c r="BQ130" s="8">
        <v>2.3083</v>
      </c>
      <c r="BR130" s="8">
        <v>2.3412000000000002</v>
      </c>
      <c r="BS130" s="8">
        <v>2.3742000000000001</v>
      </c>
      <c r="BT130" s="8">
        <v>2.4075000000000002</v>
      </c>
      <c r="BU130" s="8">
        <v>2.4409000000000001</v>
      </c>
      <c r="BV130" s="8">
        <v>2.4746000000000001</v>
      </c>
      <c r="BW130" s="8">
        <v>2.5085000000000002</v>
      </c>
      <c r="BX130" s="8">
        <v>2.5426000000000002</v>
      </c>
      <c r="BY130" s="8">
        <v>2.5769000000000002</v>
      </c>
      <c r="BZ130" s="8">
        <v>2.6113</v>
      </c>
      <c r="CA130" s="8">
        <v>2.6459999999999999</v>
      </c>
      <c r="CB130" s="8">
        <v>2.6808999999999998</v>
      </c>
      <c r="CC130" s="8">
        <v>2.7155</v>
      </c>
      <c r="CD130" s="8">
        <v>2.7414999999999998</v>
      </c>
      <c r="CE130" s="8">
        <v>2.7675000000000001</v>
      </c>
      <c r="CF130" s="8">
        <v>2.7934999999999999</v>
      </c>
      <c r="CG130" s="8">
        <v>2.8195999999999999</v>
      </c>
      <c r="CH130" s="8">
        <v>2.8456999999999999</v>
      </c>
      <c r="CI130" s="8">
        <v>2.8717999999999999</v>
      </c>
      <c r="CJ130" s="8">
        <v>2.8978999999999999</v>
      </c>
      <c r="CK130" s="8">
        <v>2.9239999999999999</v>
      </c>
      <c r="CL130" s="8">
        <v>2.9502000000000002</v>
      </c>
      <c r="CM130" s="8">
        <v>2.9763000000000002</v>
      </c>
      <c r="CN130" s="8">
        <v>3.0024000000000002</v>
      </c>
      <c r="CO130" s="8">
        <v>3.0285000000000002</v>
      </c>
      <c r="CP130" s="8">
        <v>3.0545</v>
      </c>
      <c r="CQ130" s="8">
        <v>3.0806</v>
      </c>
      <c r="CR130" s="8">
        <v>3.1065</v>
      </c>
      <c r="CS130" s="8">
        <v>3.1324000000000001</v>
      </c>
      <c r="CT130" s="8">
        <v>3.1583000000000001</v>
      </c>
      <c r="CU130" s="8">
        <v>3.1840000000000002</v>
      </c>
      <c r="CV130" s="8">
        <v>3.2097000000000002</v>
      </c>
      <c r="CW130" s="8">
        <v>3.2353000000000001</v>
      </c>
      <c r="CX130" s="8">
        <v>3.2608000000000001</v>
      </c>
      <c r="CY130" s="8">
        <v>3.2862</v>
      </c>
      <c r="CZ130" s="8">
        <v>3.3113999999999999</v>
      </c>
      <c r="DA130" s="8">
        <v>3.3365</v>
      </c>
      <c r="DB130" s="8">
        <v>3.3614000000000002</v>
      </c>
      <c r="DC130" s="8">
        <v>3.3862000000000001</v>
      </c>
      <c r="DD130" s="8">
        <v>3.4108999999999998</v>
      </c>
      <c r="DE130" s="8">
        <v>3.4352999999999998</v>
      </c>
      <c r="DF130" s="8">
        <v>3.4594999999999998</v>
      </c>
      <c r="DG130" s="8">
        <v>3.4836</v>
      </c>
      <c r="DH130" s="8">
        <v>3.5074000000000001</v>
      </c>
      <c r="DI130" s="8">
        <v>3.5310000000000001</v>
      </c>
      <c r="DJ130" s="8">
        <v>3.5543999999999998</v>
      </c>
      <c r="DK130" s="8">
        <v>3.5775999999999999</v>
      </c>
      <c r="DL130" s="8">
        <v>3.6004999999999998</v>
      </c>
      <c r="DM130" s="8">
        <v>3.6231</v>
      </c>
      <c r="DN130" s="8">
        <v>3.6455000000000002</v>
      </c>
      <c r="DO130" s="8">
        <v>3.6676000000000002</v>
      </c>
      <c r="DP130" s="8">
        <v>3.6894</v>
      </c>
      <c r="DQ130" s="8">
        <v>3.7109000000000001</v>
      </c>
      <c r="DR130" s="8">
        <v>3.7322000000000002</v>
      </c>
      <c r="DS130" s="8">
        <v>3.7532000000000001</v>
      </c>
      <c r="DT130" s="8">
        <v>3.7738999999999998</v>
      </c>
      <c r="DU130" s="8">
        <v>3.7942999999999998</v>
      </c>
      <c r="DV130" s="8">
        <v>3.8144</v>
      </c>
      <c r="DW130" s="8">
        <v>3.8342999999999998</v>
      </c>
      <c r="DX130" s="8">
        <v>3.8538000000000001</v>
      </c>
      <c r="DY130" s="8">
        <v>3.8732000000000002</v>
      </c>
      <c r="DZ130" s="8">
        <v>3.8921999999999999</v>
      </c>
      <c r="EA130" s="8">
        <v>3.9110999999999998</v>
      </c>
      <c r="EB130" s="8">
        <v>3.9297</v>
      </c>
      <c r="EC130" s="8">
        <v>3.9481000000000002</v>
      </c>
      <c r="ED130" s="8">
        <v>3.9664000000000001</v>
      </c>
      <c r="EE130" s="8">
        <v>3.9843999999999999</v>
      </c>
      <c r="EF130" s="8">
        <v>4.0023999999999997</v>
      </c>
      <c r="EG130" s="8">
        <v>4.0202</v>
      </c>
      <c r="EH130" s="8">
        <v>4.0380000000000003</v>
      </c>
      <c r="EI130" s="8">
        <v>4.0557999999999996</v>
      </c>
      <c r="EJ130" s="8">
        <v>4.0735000000000001</v>
      </c>
      <c r="EK130" s="8">
        <v>4.0913000000000004</v>
      </c>
      <c r="EL130" s="8">
        <v>4.1092000000000004</v>
      </c>
      <c r="EM130" s="8">
        <v>4.1272000000000002</v>
      </c>
      <c r="EN130" s="8">
        <v>4.1452999999999998</v>
      </c>
      <c r="EO130" s="8">
        <v>4.1637000000000004</v>
      </c>
      <c r="EP130" s="8">
        <v>4.1824000000000003</v>
      </c>
      <c r="EQ130" s="8">
        <v>4.2013999999999996</v>
      </c>
      <c r="ER130" s="8">
        <v>4.2206999999999999</v>
      </c>
      <c r="ES130" s="8">
        <v>4.2404999999999999</v>
      </c>
      <c r="ET130" s="8">
        <v>4.2606999999999999</v>
      </c>
      <c r="EU130" s="8">
        <v>4.2815000000000003</v>
      </c>
      <c r="EV130" s="8">
        <v>4.3029000000000002</v>
      </c>
      <c r="EW130" s="8">
        <v>4.3247999999999998</v>
      </c>
      <c r="EX130" s="8">
        <v>4.3475000000000001</v>
      </c>
      <c r="EY130" s="8">
        <v>4.3708999999999998</v>
      </c>
      <c r="EZ130" s="8">
        <v>4.3949999999999996</v>
      </c>
      <c r="FA130" s="8">
        <v>4.4199000000000002</v>
      </c>
      <c r="FB130" s="8">
        <v>4.4457000000000004</v>
      </c>
      <c r="FC130" s="106">
        <v>4.4722999999999997</v>
      </c>
      <c r="FE130" s="50">
        <f t="shared" ca="1" si="15"/>
        <v>3.8381952278984404</v>
      </c>
      <c r="FF130" s="50">
        <f t="shared" ca="1" si="16"/>
        <v>3.825711310477411</v>
      </c>
      <c r="FG130" s="50">
        <f t="shared" ca="1" si="17"/>
        <v>3.8128756375838924</v>
      </c>
      <c r="FH130" s="50">
        <f t="shared" ca="1" si="18"/>
        <v>3.7993857046979862</v>
      </c>
      <c r="FK130" s="50">
        <f t="shared" ca="1" si="14"/>
        <v>3.825711310477411</v>
      </c>
      <c r="FL130" s="50"/>
      <c r="FM130" s="50"/>
      <c r="FN130" s="50"/>
    </row>
    <row r="131" spans="48:170" hidden="1">
      <c r="AV131" s="69"/>
      <c r="AW131" s="104">
        <v>0.49</v>
      </c>
      <c r="AX131" s="8">
        <v>1.7199</v>
      </c>
      <c r="AY131" s="8">
        <v>1.7483</v>
      </c>
      <c r="AZ131" s="8">
        <v>1.7769999999999999</v>
      </c>
      <c r="BA131" s="8">
        <v>1.8059000000000001</v>
      </c>
      <c r="BB131" s="8">
        <v>1.835</v>
      </c>
      <c r="BC131" s="8">
        <v>1.8644000000000001</v>
      </c>
      <c r="BD131" s="8">
        <v>1.8939999999999999</v>
      </c>
      <c r="BE131" s="8">
        <v>1.9238</v>
      </c>
      <c r="BF131" s="8">
        <v>1.9539</v>
      </c>
      <c r="BG131" s="8">
        <v>1.9841</v>
      </c>
      <c r="BH131" s="8">
        <v>2.0146999999999999</v>
      </c>
      <c r="BI131" s="8">
        <v>2.0453999999999999</v>
      </c>
      <c r="BJ131" s="8">
        <v>2.0762999999999998</v>
      </c>
      <c r="BK131" s="8">
        <v>2.1074999999999999</v>
      </c>
      <c r="BL131" s="8">
        <v>2.1389</v>
      </c>
      <c r="BM131" s="8">
        <v>2.1705000000000001</v>
      </c>
      <c r="BN131" s="8">
        <v>2.2023999999999999</v>
      </c>
      <c r="BO131" s="8">
        <v>2.2343999999999999</v>
      </c>
      <c r="BP131" s="8">
        <v>2.2667000000000002</v>
      </c>
      <c r="BQ131" s="8">
        <v>2.2991999999999999</v>
      </c>
      <c r="BR131" s="8">
        <v>2.3319000000000001</v>
      </c>
      <c r="BS131" s="8">
        <v>2.3647999999999998</v>
      </c>
      <c r="BT131" s="8">
        <v>2.3978999999999999</v>
      </c>
      <c r="BU131" s="8">
        <v>2.4312999999999998</v>
      </c>
      <c r="BV131" s="8">
        <v>2.4647999999999999</v>
      </c>
      <c r="BW131" s="8">
        <v>2.4984999999999999</v>
      </c>
      <c r="BX131" s="8">
        <v>2.5325000000000002</v>
      </c>
      <c r="BY131" s="8">
        <v>2.5666000000000002</v>
      </c>
      <c r="BZ131" s="8">
        <v>2.601</v>
      </c>
      <c r="CA131" s="8">
        <v>2.6355</v>
      </c>
      <c r="CB131" s="8">
        <v>2.6701999999999999</v>
      </c>
      <c r="CC131" s="8">
        <v>2.7052</v>
      </c>
      <c r="CD131" s="8">
        <v>2.7403</v>
      </c>
      <c r="CE131" s="8">
        <v>2.7675000000000001</v>
      </c>
      <c r="CF131" s="8">
        <v>2.7934999999999999</v>
      </c>
      <c r="CG131" s="8">
        <v>2.8195999999999999</v>
      </c>
      <c r="CH131" s="8">
        <v>2.8456999999999999</v>
      </c>
      <c r="CI131" s="8">
        <v>2.8717999999999999</v>
      </c>
      <c r="CJ131" s="8">
        <v>2.8978999999999999</v>
      </c>
      <c r="CK131" s="8">
        <v>2.9239999999999999</v>
      </c>
      <c r="CL131" s="8">
        <v>2.9502000000000002</v>
      </c>
      <c r="CM131" s="8">
        <v>2.9763000000000002</v>
      </c>
      <c r="CN131" s="8">
        <v>3.0024000000000002</v>
      </c>
      <c r="CO131" s="8">
        <v>3.0285000000000002</v>
      </c>
      <c r="CP131" s="8">
        <v>3.0545</v>
      </c>
      <c r="CQ131" s="8">
        <v>3.0806</v>
      </c>
      <c r="CR131" s="8">
        <v>3.1065</v>
      </c>
      <c r="CS131" s="8">
        <v>3.1324000000000001</v>
      </c>
      <c r="CT131" s="8">
        <v>3.1583000000000001</v>
      </c>
      <c r="CU131" s="8">
        <v>3.1840000000000002</v>
      </c>
      <c r="CV131" s="8">
        <v>3.2097000000000002</v>
      </c>
      <c r="CW131" s="8">
        <v>3.2353000000000001</v>
      </c>
      <c r="CX131" s="8">
        <v>3.2608000000000001</v>
      </c>
      <c r="CY131" s="8">
        <v>3.2862</v>
      </c>
      <c r="CZ131" s="8">
        <v>3.3113999999999999</v>
      </c>
      <c r="DA131" s="8">
        <v>3.3365</v>
      </c>
      <c r="DB131" s="8">
        <v>3.3614000000000002</v>
      </c>
      <c r="DC131" s="8">
        <v>3.3862000000000001</v>
      </c>
      <c r="DD131" s="8">
        <v>3.4108999999999998</v>
      </c>
      <c r="DE131" s="8">
        <v>3.4352999999999998</v>
      </c>
      <c r="DF131" s="8">
        <v>3.4594999999999998</v>
      </c>
      <c r="DG131" s="8">
        <v>3.4836</v>
      </c>
      <c r="DH131" s="8">
        <v>3.5074000000000001</v>
      </c>
      <c r="DI131" s="8">
        <v>3.5310000000000001</v>
      </c>
      <c r="DJ131" s="8">
        <v>3.5543999999999998</v>
      </c>
      <c r="DK131" s="8">
        <v>3.5775999999999999</v>
      </c>
      <c r="DL131" s="8">
        <v>3.6004999999999998</v>
      </c>
      <c r="DM131" s="8">
        <v>3.6231</v>
      </c>
      <c r="DN131" s="8">
        <v>3.6455000000000002</v>
      </c>
      <c r="DO131" s="8">
        <v>3.6676000000000002</v>
      </c>
      <c r="DP131" s="8">
        <v>3.6894</v>
      </c>
      <c r="DQ131" s="8">
        <v>3.7109000000000001</v>
      </c>
      <c r="DR131" s="8">
        <v>3.7322000000000002</v>
      </c>
      <c r="DS131" s="8">
        <v>3.7532000000000001</v>
      </c>
      <c r="DT131" s="8">
        <v>3.7738999999999998</v>
      </c>
      <c r="DU131" s="8">
        <v>3.7942999999999998</v>
      </c>
      <c r="DV131" s="8">
        <v>3.8144</v>
      </c>
      <c r="DW131" s="8">
        <v>3.8342999999999998</v>
      </c>
      <c r="DX131" s="8">
        <v>3.8538000000000001</v>
      </c>
      <c r="DY131" s="8">
        <v>3.8732000000000002</v>
      </c>
      <c r="DZ131" s="8">
        <v>3.8921999999999999</v>
      </c>
      <c r="EA131" s="8">
        <v>3.9110999999999998</v>
      </c>
      <c r="EB131" s="8">
        <v>3.9297</v>
      </c>
      <c r="EC131" s="8">
        <v>3.9481000000000002</v>
      </c>
      <c r="ED131" s="8">
        <v>3.9664000000000001</v>
      </c>
      <c r="EE131" s="8">
        <v>3.9843999999999999</v>
      </c>
      <c r="EF131" s="8">
        <v>4.0023999999999997</v>
      </c>
      <c r="EG131" s="8">
        <v>4.0202</v>
      </c>
      <c r="EH131" s="8">
        <v>4.0380000000000003</v>
      </c>
      <c r="EI131" s="8">
        <v>4.0557999999999996</v>
      </c>
      <c r="EJ131" s="8">
        <v>4.0735000000000001</v>
      </c>
      <c r="EK131" s="8">
        <v>4.0913000000000004</v>
      </c>
      <c r="EL131" s="8">
        <v>4.1092000000000004</v>
      </c>
      <c r="EM131" s="8">
        <v>4.1272000000000002</v>
      </c>
      <c r="EN131" s="8">
        <v>4.1452999999999998</v>
      </c>
      <c r="EO131" s="8">
        <v>4.1637000000000004</v>
      </c>
      <c r="EP131" s="8">
        <v>4.1824000000000003</v>
      </c>
      <c r="EQ131" s="8">
        <v>4.2013999999999996</v>
      </c>
      <c r="ER131" s="8">
        <v>4.2206999999999999</v>
      </c>
      <c r="ES131" s="8">
        <v>4.2404999999999999</v>
      </c>
      <c r="ET131" s="8">
        <v>4.2606999999999999</v>
      </c>
      <c r="EU131" s="8">
        <v>4.2815000000000003</v>
      </c>
      <c r="EV131" s="8">
        <v>4.3029000000000002</v>
      </c>
      <c r="EW131" s="8">
        <v>4.3247999999999998</v>
      </c>
      <c r="EX131" s="8">
        <v>4.3475000000000001</v>
      </c>
      <c r="EY131" s="8">
        <v>4.3708999999999998</v>
      </c>
      <c r="EZ131" s="8">
        <v>4.3949999999999996</v>
      </c>
      <c r="FA131" s="8">
        <v>4.4199000000000002</v>
      </c>
      <c r="FB131" s="8">
        <v>4.4457000000000004</v>
      </c>
      <c r="FC131" s="106">
        <v>4.4722999999999997</v>
      </c>
      <c r="FE131" s="50">
        <f t="shared" ca="1" si="15"/>
        <v>3.8381952278984404</v>
      </c>
      <c r="FF131" s="50">
        <f t="shared" ca="1" si="16"/>
        <v>3.825711310477411</v>
      </c>
      <c r="FG131" s="50">
        <f t="shared" ca="1" si="17"/>
        <v>3.8128756375838924</v>
      </c>
      <c r="FH131" s="50">
        <f t="shared" ca="1" si="18"/>
        <v>3.7993857046979862</v>
      </c>
      <c r="FK131" s="50">
        <f t="shared" ca="1" si="14"/>
        <v>3.825711310477411</v>
      </c>
      <c r="FL131" s="50"/>
      <c r="FM131" s="50"/>
      <c r="FN131" s="50"/>
    </row>
    <row r="132" spans="48:170" hidden="1">
      <c r="AV132" s="69"/>
      <c r="AW132" s="104">
        <v>0.52500000000000002</v>
      </c>
      <c r="AX132" s="8">
        <v>1.7132000000000001</v>
      </c>
      <c r="AY132" s="8">
        <v>1.7415</v>
      </c>
      <c r="AZ132" s="8">
        <v>1.7701</v>
      </c>
      <c r="BA132" s="8">
        <v>1.7988</v>
      </c>
      <c r="BB132" s="8">
        <v>1.8279000000000001</v>
      </c>
      <c r="BC132" s="8">
        <v>1.8571</v>
      </c>
      <c r="BD132" s="8">
        <v>1.8866000000000001</v>
      </c>
      <c r="BE132" s="8">
        <v>1.9162999999999999</v>
      </c>
      <c r="BF132" s="8">
        <v>1.9461999999999999</v>
      </c>
      <c r="BG132" s="8">
        <v>1.9763999999999999</v>
      </c>
      <c r="BH132" s="8">
        <v>2.0068000000000001</v>
      </c>
      <c r="BI132" s="8">
        <v>2.0373999999999999</v>
      </c>
      <c r="BJ132" s="8">
        <v>2.0682</v>
      </c>
      <c r="BK132" s="8">
        <v>2.0992999999999999</v>
      </c>
      <c r="BL132" s="8">
        <v>2.1305000000000001</v>
      </c>
      <c r="BM132" s="8">
        <v>2.1619999999999999</v>
      </c>
      <c r="BN132" s="8">
        <v>2.1937000000000002</v>
      </c>
      <c r="BO132" s="8">
        <v>2.2256999999999998</v>
      </c>
      <c r="BP132" s="8">
        <v>2.2578</v>
      </c>
      <c r="BQ132" s="8">
        <v>2.2902</v>
      </c>
      <c r="BR132" s="8">
        <v>2.3228</v>
      </c>
      <c r="BS132" s="8">
        <v>2.3555000000000001</v>
      </c>
      <c r="BT132" s="8">
        <v>2.3885000000000001</v>
      </c>
      <c r="BU132" s="8">
        <v>2.4218000000000002</v>
      </c>
      <c r="BV132" s="8">
        <v>2.4552</v>
      </c>
      <c r="BW132" s="8">
        <v>2.4887999999999999</v>
      </c>
      <c r="BX132" s="8">
        <v>2.5226000000000002</v>
      </c>
      <c r="BY132" s="8">
        <v>2.5566</v>
      </c>
      <c r="BZ132" s="8">
        <v>2.5908000000000002</v>
      </c>
      <c r="CA132" s="8">
        <v>2.6252</v>
      </c>
      <c r="CB132" s="8">
        <v>2.6598000000000002</v>
      </c>
      <c r="CC132" s="8">
        <v>2.6945999999999999</v>
      </c>
      <c r="CD132" s="8">
        <v>2.7294999999999998</v>
      </c>
      <c r="CE132" s="8">
        <v>2.7646999999999999</v>
      </c>
      <c r="CF132" s="8">
        <v>2.7934999999999999</v>
      </c>
      <c r="CG132" s="8">
        <v>2.8195999999999999</v>
      </c>
      <c r="CH132" s="8">
        <v>2.8456999999999999</v>
      </c>
      <c r="CI132" s="8">
        <v>2.8717999999999999</v>
      </c>
      <c r="CJ132" s="8">
        <v>2.8978999999999999</v>
      </c>
      <c r="CK132" s="8">
        <v>2.9239999999999999</v>
      </c>
      <c r="CL132" s="8">
        <v>2.9502000000000002</v>
      </c>
      <c r="CM132" s="8">
        <v>2.9763000000000002</v>
      </c>
      <c r="CN132" s="8">
        <v>3.0024000000000002</v>
      </c>
      <c r="CO132" s="8">
        <v>3.0285000000000002</v>
      </c>
      <c r="CP132" s="8">
        <v>3.0545</v>
      </c>
      <c r="CQ132" s="8">
        <v>3.0806</v>
      </c>
      <c r="CR132" s="8">
        <v>3.1065</v>
      </c>
      <c r="CS132" s="8">
        <v>3.1324000000000001</v>
      </c>
      <c r="CT132" s="8">
        <v>3.1583000000000001</v>
      </c>
      <c r="CU132" s="8">
        <v>3.1840000000000002</v>
      </c>
      <c r="CV132" s="8">
        <v>3.2097000000000002</v>
      </c>
      <c r="CW132" s="8">
        <v>3.2353000000000001</v>
      </c>
      <c r="CX132" s="8">
        <v>3.2608000000000001</v>
      </c>
      <c r="CY132" s="8">
        <v>3.2862</v>
      </c>
      <c r="CZ132" s="8">
        <v>3.3113999999999999</v>
      </c>
      <c r="DA132" s="8">
        <v>3.3365</v>
      </c>
      <c r="DB132" s="8">
        <v>3.3614000000000002</v>
      </c>
      <c r="DC132" s="8">
        <v>3.3862000000000001</v>
      </c>
      <c r="DD132" s="8">
        <v>3.4108999999999998</v>
      </c>
      <c r="DE132" s="8">
        <v>3.4352999999999998</v>
      </c>
      <c r="DF132" s="8">
        <v>3.4594999999999998</v>
      </c>
      <c r="DG132" s="8">
        <v>3.4836</v>
      </c>
      <c r="DH132" s="8">
        <v>3.5074000000000001</v>
      </c>
      <c r="DI132" s="8">
        <v>3.5310000000000001</v>
      </c>
      <c r="DJ132" s="8">
        <v>3.5543999999999998</v>
      </c>
      <c r="DK132" s="8">
        <v>3.5775999999999999</v>
      </c>
      <c r="DL132" s="8">
        <v>3.6004999999999998</v>
      </c>
      <c r="DM132" s="8">
        <v>3.6231</v>
      </c>
      <c r="DN132" s="8">
        <v>3.6455000000000002</v>
      </c>
      <c r="DO132" s="8">
        <v>3.6676000000000002</v>
      </c>
      <c r="DP132" s="8">
        <v>3.6894</v>
      </c>
      <c r="DQ132" s="8">
        <v>3.7109000000000001</v>
      </c>
      <c r="DR132" s="8">
        <v>3.7322000000000002</v>
      </c>
      <c r="DS132" s="8">
        <v>3.7532000000000001</v>
      </c>
      <c r="DT132" s="8">
        <v>3.7738999999999998</v>
      </c>
      <c r="DU132" s="8">
        <v>3.7942999999999998</v>
      </c>
      <c r="DV132" s="8">
        <v>3.8144</v>
      </c>
      <c r="DW132" s="8">
        <v>3.8342999999999998</v>
      </c>
      <c r="DX132" s="8">
        <v>3.8538000000000001</v>
      </c>
      <c r="DY132" s="8">
        <v>3.8732000000000002</v>
      </c>
      <c r="DZ132" s="8">
        <v>3.8921999999999999</v>
      </c>
      <c r="EA132" s="8">
        <v>3.9110999999999998</v>
      </c>
      <c r="EB132" s="8">
        <v>3.9297</v>
      </c>
      <c r="EC132" s="8">
        <v>3.9481000000000002</v>
      </c>
      <c r="ED132" s="8">
        <v>3.9664000000000001</v>
      </c>
      <c r="EE132" s="8">
        <v>3.9843999999999999</v>
      </c>
      <c r="EF132" s="8">
        <v>4.0023999999999997</v>
      </c>
      <c r="EG132" s="8">
        <v>4.0202</v>
      </c>
      <c r="EH132" s="8">
        <v>4.0380000000000003</v>
      </c>
      <c r="EI132" s="8">
        <v>4.0557999999999996</v>
      </c>
      <c r="EJ132" s="8">
        <v>4.0735000000000001</v>
      </c>
      <c r="EK132" s="8">
        <v>4.0913000000000004</v>
      </c>
      <c r="EL132" s="8">
        <v>4.1092000000000004</v>
      </c>
      <c r="EM132" s="8">
        <v>4.1272000000000002</v>
      </c>
      <c r="EN132" s="8">
        <v>4.1452999999999998</v>
      </c>
      <c r="EO132" s="8">
        <v>4.1637000000000004</v>
      </c>
      <c r="EP132" s="8">
        <v>4.1824000000000003</v>
      </c>
      <c r="EQ132" s="8">
        <v>4.2013999999999996</v>
      </c>
      <c r="ER132" s="8">
        <v>4.2206999999999999</v>
      </c>
      <c r="ES132" s="8">
        <v>4.2404999999999999</v>
      </c>
      <c r="ET132" s="8">
        <v>4.2606999999999999</v>
      </c>
      <c r="EU132" s="8">
        <v>4.2815000000000003</v>
      </c>
      <c r="EV132" s="8">
        <v>4.3029000000000002</v>
      </c>
      <c r="EW132" s="8">
        <v>4.3247999999999998</v>
      </c>
      <c r="EX132" s="8">
        <v>4.3475000000000001</v>
      </c>
      <c r="EY132" s="8">
        <v>4.3708999999999998</v>
      </c>
      <c r="EZ132" s="8">
        <v>4.3949999999999996</v>
      </c>
      <c r="FA132" s="8">
        <v>4.4199000000000002</v>
      </c>
      <c r="FB132" s="8">
        <v>4.4457000000000004</v>
      </c>
      <c r="FC132" s="106">
        <v>4.4722999999999997</v>
      </c>
      <c r="FE132" s="50">
        <f t="shared" ca="1" si="15"/>
        <v>3.8381952278984404</v>
      </c>
      <c r="FF132" s="50">
        <f t="shared" ca="1" si="16"/>
        <v>3.825711310477411</v>
      </c>
      <c r="FG132" s="50">
        <f t="shared" ca="1" si="17"/>
        <v>3.8128756375838924</v>
      </c>
      <c r="FH132" s="50">
        <f t="shared" ca="1" si="18"/>
        <v>3.7993857046979862</v>
      </c>
      <c r="FK132" s="50">
        <f t="shared" ca="1" si="14"/>
        <v>3.825711310477411</v>
      </c>
      <c r="FL132" s="50"/>
      <c r="FM132" s="50"/>
      <c r="FN132" s="50"/>
    </row>
    <row r="133" spans="48:170" hidden="1">
      <c r="AV133" s="69"/>
      <c r="AW133" s="104">
        <v>0.56200000000000006</v>
      </c>
      <c r="AX133" s="8">
        <v>1.7064999999999999</v>
      </c>
      <c r="AY133" s="8">
        <v>1.7347999999999999</v>
      </c>
      <c r="AZ133" s="8">
        <v>1.7632000000000001</v>
      </c>
      <c r="BA133" s="8">
        <v>1.7919</v>
      </c>
      <c r="BB133" s="8">
        <v>1.8208</v>
      </c>
      <c r="BC133" s="8">
        <v>1.8499000000000001</v>
      </c>
      <c r="BD133" s="8">
        <v>1.8793</v>
      </c>
      <c r="BE133" s="8">
        <v>1.9089</v>
      </c>
      <c r="BF133" s="8">
        <v>1.9387000000000001</v>
      </c>
      <c r="BG133" s="8">
        <v>1.9688000000000001</v>
      </c>
      <c r="BH133" s="8">
        <v>1.9990000000000001</v>
      </c>
      <c r="BI133" s="8">
        <v>2.0295000000000001</v>
      </c>
      <c r="BJ133" s="8">
        <v>2.0602</v>
      </c>
      <c r="BK133" s="8">
        <v>2.0912000000000002</v>
      </c>
      <c r="BL133" s="8">
        <v>2.1223000000000001</v>
      </c>
      <c r="BM133" s="8">
        <v>2.1537000000000002</v>
      </c>
      <c r="BN133" s="8">
        <v>2.1852999999999998</v>
      </c>
      <c r="BO133" s="8">
        <v>2.2170999999999998</v>
      </c>
      <c r="BP133" s="8">
        <v>2.2490999999999999</v>
      </c>
      <c r="BQ133" s="8">
        <v>2.2812999999999999</v>
      </c>
      <c r="BR133" s="8">
        <v>2.3138000000000001</v>
      </c>
      <c r="BS133" s="8">
        <v>2.3464999999999998</v>
      </c>
      <c r="BT133" s="8">
        <v>2.3793000000000002</v>
      </c>
      <c r="BU133" s="8">
        <v>2.4123999999999999</v>
      </c>
      <c r="BV133" s="8">
        <v>2.4457</v>
      </c>
      <c r="BW133" s="8">
        <v>2.4792000000000001</v>
      </c>
      <c r="BX133" s="8">
        <v>2.5127999999999999</v>
      </c>
      <c r="BY133" s="8">
        <v>2.5467</v>
      </c>
      <c r="BZ133" s="8">
        <v>2.5808</v>
      </c>
      <c r="CA133" s="8">
        <v>2.6151</v>
      </c>
      <c r="CB133" s="8">
        <v>2.6495000000000002</v>
      </c>
      <c r="CC133" s="8">
        <v>2.6842000000000001</v>
      </c>
      <c r="CD133" s="8">
        <v>2.7189999999999999</v>
      </c>
      <c r="CE133" s="8">
        <v>2.754</v>
      </c>
      <c r="CF133" s="8">
        <v>2.7892000000000001</v>
      </c>
      <c r="CG133" s="8">
        <v>2.8195999999999999</v>
      </c>
      <c r="CH133" s="8">
        <v>2.8456999999999999</v>
      </c>
      <c r="CI133" s="8">
        <v>2.8717999999999999</v>
      </c>
      <c r="CJ133" s="8">
        <v>2.8978999999999999</v>
      </c>
      <c r="CK133" s="8">
        <v>2.9239999999999999</v>
      </c>
      <c r="CL133" s="8">
        <v>2.9502000000000002</v>
      </c>
      <c r="CM133" s="8">
        <v>2.9763000000000002</v>
      </c>
      <c r="CN133" s="8">
        <v>3.0024000000000002</v>
      </c>
      <c r="CO133" s="8">
        <v>3.0285000000000002</v>
      </c>
      <c r="CP133" s="8">
        <v>3.0545</v>
      </c>
      <c r="CQ133" s="8">
        <v>3.0806</v>
      </c>
      <c r="CR133" s="8">
        <v>3.1065</v>
      </c>
      <c r="CS133" s="8">
        <v>3.1324000000000001</v>
      </c>
      <c r="CT133" s="8">
        <v>3.1583000000000001</v>
      </c>
      <c r="CU133" s="8">
        <v>3.1840000000000002</v>
      </c>
      <c r="CV133" s="8">
        <v>3.2097000000000002</v>
      </c>
      <c r="CW133" s="8">
        <v>3.2353000000000001</v>
      </c>
      <c r="CX133" s="8">
        <v>3.2608000000000001</v>
      </c>
      <c r="CY133" s="8">
        <v>3.2862</v>
      </c>
      <c r="CZ133" s="8">
        <v>3.3113999999999999</v>
      </c>
      <c r="DA133" s="8">
        <v>3.3365</v>
      </c>
      <c r="DB133" s="8">
        <v>3.3614000000000002</v>
      </c>
      <c r="DC133" s="8">
        <v>3.3862000000000001</v>
      </c>
      <c r="DD133" s="8">
        <v>3.4108999999999998</v>
      </c>
      <c r="DE133" s="8">
        <v>3.4352999999999998</v>
      </c>
      <c r="DF133" s="8">
        <v>3.4594999999999998</v>
      </c>
      <c r="DG133" s="8">
        <v>3.4836</v>
      </c>
      <c r="DH133" s="8">
        <v>3.5074000000000001</v>
      </c>
      <c r="DI133" s="8">
        <v>3.5310000000000001</v>
      </c>
      <c r="DJ133" s="8">
        <v>3.5543999999999998</v>
      </c>
      <c r="DK133" s="8">
        <v>3.5775999999999999</v>
      </c>
      <c r="DL133" s="8">
        <v>3.6004999999999998</v>
      </c>
      <c r="DM133" s="8">
        <v>3.6231</v>
      </c>
      <c r="DN133" s="8">
        <v>3.6455000000000002</v>
      </c>
      <c r="DO133" s="8">
        <v>3.6676000000000002</v>
      </c>
      <c r="DP133" s="8">
        <v>3.6894</v>
      </c>
      <c r="DQ133" s="8">
        <v>3.7109000000000001</v>
      </c>
      <c r="DR133" s="8">
        <v>3.7322000000000002</v>
      </c>
      <c r="DS133" s="8">
        <v>3.7532000000000001</v>
      </c>
      <c r="DT133" s="8">
        <v>3.7738999999999998</v>
      </c>
      <c r="DU133" s="8">
        <v>3.7942999999999998</v>
      </c>
      <c r="DV133" s="8">
        <v>3.8144</v>
      </c>
      <c r="DW133" s="8">
        <v>3.8342999999999998</v>
      </c>
      <c r="DX133" s="8">
        <v>3.8538000000000001</v>
      </c>
      <c r="DY133" s="8">
        <v>3.8732000000000002</v>
      </c>
      <c r="DZ133" s="8">
        <v>3.8921999999999999</v>
      </c>
      <c r="EA133" s="8">
        <v>3.9110999999999998</v>
      </c>
      <c r="EB133" s="8">
        <v>3.9297</v>
      </c>
      <c r="EC133" s="8">
        <v>3.9481000000000002</v>
      </c>
      <c r="ED133" s="8">
        <v>3.9664000000000001</v>
      </c>
      <c r="EE133" s="8">
        <v>3.9843999999999999</v>
      </c>
      <c r="EF133" s="8">
        <v>4.0023999999999997</v>
      </c>
      <c r="EG133" s="8">
        <v>4.0202</v>
      </c>
      <c r="EH133" s="8">
        <v>4.0380000000000003</v>
      </c>
      <c r="EI133" s="8">
        <v>4.0557999999999996</v>
      </c>
      <c r="EJ133" s="8">
        <v>4.0735000000000001</v>
      </c>
      <c r="EK133" s="8">
        <v>4.0913000000000004</v>
      </c>
      <c r="EL133" s="8">
        <v>4.1092000000000004</v>
      </c>
      <c r="EM133" s="8">
        <v>4.1272000000000002</v>
      </c>
      <c r="EN133" s="8">
        <v>4.1452999999999998</v>
      </c>
      <c r="EO133" s="8">
        <v>4.1637000000000004</v>
      </c>
      <c r="EP133" s="8">
        <v>4.1824000000000003</v>
      </c>
      <c r="EQ133" s="8">
        <v>4.2013999999999996</v>
      </c>
      <c r="ER133" s="8">
        <v>4.2206999999999999</v>
      </c>
      <c r="ES133" s="8">
        <v>4.2404999999999999</v>
      </c>
      <c r="ET133" s="8">
        <v>4.2606999999999999</v>
      </c>
      <c r="EU133" s="8">
        <v>4.2815000000000003</v>
      </c>
      <c r="EV133" s="8">
        <v>4.3029000000000002</v>
      </c>
      <c r="EW133" s="8">
        <v>4.3247999999999998</v>
      </c>
      <c r="EX133" s="8">
        <v>4.3475000000000001</v>
      </c>
      <c r="EY133" s="8">
        <v>4.3708999999999998</v>
      </c>
      <c r="EZ133" s="8">
        <v>4.3949999999999996</v>
      </c>
      <c r="FA133" s="8">
        <v>4.4199000000000002</v>
      </c>
      <c r="FB133" s="8">
        <v>4.4457000000000004</v>
      </c>
      <c r="FC133" s="106">
        <v>4.4722999999999997</v>
      </c>
      <c r="FE133" s="50">
        <f t="shared" ca="1" si="15"/>
        <v>3.8381952278984404</v>
      </c>
      <c r="FF133" s="50">
        <f t="shared" ca="1" si="16"/>
        <v>3.825711310477411</v>
      </c>
      <c r="FG133" s="50">
        <f t="shared" ca="1" si="17"/>
        <v>3.8128756375838924</v>
      </c>
      <c r="FH133" s="50">
        <f t="shared" ca="1" si="18"/>
        <v>3.7993857046979862</v>
      </c>
      <c r="FK133" s="50">
        <f t="shared" ca="1" si="14"/>
        <v>3.825711310477411</v>
      </c>
      <c r="FL133" s="50"/>
      <c r="FM133" s="50"/>
      <c r="FN133" s="50"/>
    </row>
    <row r="134" spans="48:170" hidden="1">
      <c r="AV134" s="69"/>
      <c r="AW134" s="104">
        <v>0.60299999999999998</v>
      </c>
      <c r="AX134" s="8">
        <v>1.7</v>
      </c>
      <c r="AY134" s="8">
        <v>1.7281</v>
      </c>
      <c r="AZ134" s="8">
        <v>1.7565</v>
      </c>
      <c r="BA134" s="8">
        <v>1.7850999999999999</v>
      </c>
      <c r="BB134" s="8">
        <v>1.8139000000000001</v>
      </c>
      <c r="BC134" s="8">
        <v>1.8429</v>
      </c>
      <c r="BD134" s="8">
        <v>1.8721000000000001</v>
      </c>
      <c r="BE134" s="8">
        <v>1.9016</v>
      </c>
      <c r="BF134" s="8">
        <v>1.9313</v>
      </c>
      <c r="BG134" s="8">
        <v>1.9613</v>
      </c>
      <c r="BH134" s="8">
        <v>1.9914000000000001</v>
      </c>
      <c r="BI134" s="8">
        <v>2.0217999999999998</v>
      </c>
      <c r="BJ134" s="8">
        <v>2.0524</v>
      </c>
      <c r="BK134" s="8">
        <v>2.0832000000000002</v>
      </c>
      <c r="BL134" s="8">
        <v>2.1141999999999999</v>
      </c>
      <c r="BM134" s="8">
        <v>2.1455000000000002</v>
      </c>
      <c r="BN134" s="8">
        <v>2.1768999999999998</v>
      </c>
      <c r="BO134" s="8">
        <v>2.2086000000000001</v>
      </c>
      <c r="BP134" s="8">
        <v>2.2404999999999999</v>
      </c>
      <c r="BQ134" s="8">
        <v>2.2726000000000002</v>
      </c>
      <c r="BR134" s="8">
        <v>2.3050000000000002</v>
      </c>
      <c r="BS134" s="8">
        <v>2.3374999999999999</v>
      </c>
      <c r="BT134" s="8">
        <v>2.3702000000000001</v>
      </c>
      <c r="BU134" s="8">
        <v>2.4032</v>
      </c>
      <c r="BV134" s="8">
        <v>2.4363999999999999</v>
      </c>
      <c r="BW134" s="8">
        <v>2.4697</v>
      </c>
      <c r="BX134" s="8">
        <v>2.5032999999999999</v>
      </c>
      <c r="BY134" s="8">
        <v>2.5369999999999999</v>
      </c>
      <c r="BZ134" s="8">
        <v>2.5710000000000002</v>
      </c>
      <c r="CA134" s="8">
        <v>2.6051000000000002</v>
      </c>
      <c r="CB134" s="8">
        <v>2.6394000000000002</v>
      </c>
      <c r="CC134" s="8">
        <v>2.6739000000000002</v>
      </c>
      <c r="CD134" s="8">
        <v>2.7086000000000001</v>
      </c>
      <c r="CE134" s="8">
        <v>2.7435</v>
      </c>
      <c r="CF134" s="8">
        <v>2.7785000000000002</v>
      </c>
      <c r="CG134" s="8">
        <v>2.8138000000000001</v>
      </c>
      <c r="CH134" s="8">
        <v>2.8456999999999999</v>
      </c>
      <c r="CI134" s="8">
        <v>2.8717999999999999</v>
      </c>
      <c r="CJ134" s="8">
        <v>2.8978999999999999</v>
      </c>
      <c r="CK134" s="8">
        <v>2.9239999999999999</v>
      </c>
      <c r="CL134" s="8">
        <v>2.9502000000000002</v>
      </c>
      <c r="CM134" s="8">
        <v>2.9763000000000002</v>
      </c>
      <c r="CN134" s="8">
        <v>3.0024000000000002</v>
      </c>
      <c r="CO134" s="8">
        <v>3.0285000000000002</v>
      </c>
      <c r="CP134" s="8">
        <v>3.0545</v>
      </c>
      <c r="CQ134" s="8">
        <v>3.0806</v>
      </c>
      <c r="CR134" s="8">
        <v>3.1065</v>
      </c>
      <c r="CS134" s="8">
        <v>3.1324000000000001</v>
      </c>
      <c r="CT134" s="8">
        <v>3.1583000000000001</v>
      </c>
      <c r="CU134" s="8">
        <v>3.1840000000000002</v>
      </c>
      <c r="CV134" s="8">
        <v>3.2097000000000002</v>
      </c>
      <c r="CW134" s="8">
        <v>3.2353000000000001</v>
      </c>
      <c r="CX134" s="8">
        <v>3.2608000000000001</v>
      </c>
      <c r="CY134" s="8">
        <v>3.2862</v>
      </c>
      <c r="CZ134" s="8">
        <v>3.3113999999999999</v>
      </c>
      <c r="DA134" s="8">
        <v>3.3365</v>
      </c>
      <c r="DB134" s="8">
        <v>3.3614000000000002</v>
      </c>
      <c r="DC134" s="8">
        <v>3.3862000000000001</v>
      </c>
      <c r="DD134" s="8">
        <v>3.4108999999999998</v>
      </c>
      <c r="DE134" s="8">
        <v>3.4352999999999998</v>
      </c>
      <c r="DF134" s="8">
        <v>3.4594999999999998</v>
      </c>
      <c r="DG134" s="8">
        <v>3.4836</v>
      </c>
      <c r="DH134" s="8">
        <v>3.5074000000000001</v>
      </c>
      <c r="DI134" s="8">
        <v>3.5310000000000001</v>
      </c>
      <c r="DJ134" s="8">
        <v>3.5543999999999998</v>
      </c>
      <c r="DK134" s="8">
        <v>3.5775999999999999</v>
      </c>
      <c r="DL134" s="8">
        <v>3.6004999999999998</v>
      </c>
      <c r="DM134" s="8">
        <v>3.6231</v>
      </c>
      <c r="DN134" s="8">
        <v>3.6455000000000002</v>
      </c>
      <c r="DO134" s="8">
        <v>3.6676000000000002</v>
      </c>
      <c r="DP134" s="8">
        <v>3.6894</v>
      </c>
      <c r="DQ134" s="8">
        <v>3.7109000000000001</v>
      </c>
      <c r="DR134" s="8">
        <v>3.7322000000000002</v>
      </c>
      <c r="DS134" s="8">
        <v>3.7532000000000001</v>
      </c>
      <c r="DT134" s="8">
        <v>3.7738999999999998</v>
      </c>
      <c r="DU134" s="8">
        <v>3.7942999999999998</v>
      </c>
      <c r="DV134" s="8">
        <v>3.8144</v>
      </c>
      <c r="DW134" s="8">
        <v>3.8342999999999998</v>
      </c>
      <c r="DX134" s="8">
        <v>3.8538000000000001</v>
      </c>
      <c r="DY134" s="8">
        <v>3.8732000000000002</v>
      </c>
      <c r="DZ134" s="8">
        <v>3.8921999999999999</v>
      </c>
      <c r="EA134" s="8">
        <v>3.9110999999999998</v>
      </c>
      <c r="EB134" s="8">
        <v>3.9297</v>
      </c>
      <c r="EC134" s="8">
        <v>3.9481000000000002</v>
      </c>
      <c r="ED134" s="8">
        <v>3.9664000000000001</v>
      </c>
      <c r="EE134" s="8">
        <v>3.9843999999999999</v>
      </c>
      <c r="EF134" s="8">
        <v>4.0023999999999997</v>
      </c>
      <c r="EG134" s="8">
        <v>4.0202</v>
      </c>
      <c r="EH134" s="8">
        <v>4.0380000000000003</v>
      </c>
      <c r="EI134" s="8">
        <v>4.0557999999999996</v>
      </c>
      <c r="EJ134" s="8">
        <v>4.0735000000000001</v>
      </c>
      <c r="EK134" s="8">
        <v>4.0913000000000004</v>
      </c>
      <c r="EL134" s="8">
        <v>4.1092000000000004</v>
      </c>
      <c r="EM134" s="8">
        <v>4.1272000000000002</v>
      </c>
      <c r="EN134" s="8">
        <v>4.1452999999999998</v>
      </c>
      <c r="EO134" s="8">
        <v>4.1637000000000004</v>
      </c>
      <c r="EP134" s="8">
        <v>4.1824000000000003</v>
      </c>
      <c r="EQ134" s="8">
        <v>4.2013999999999996</v>
      </c>
      <c r="ER134" s="8">
        <v>4.2206999999999999</v>
      </c>
      <c r="ES134" s="8">
        <v>4.2404999999999999</v>
      </c>
      <c r="ET134" s="8">
        <v>4.2606999999999999</v>
      </c>
      <c r="EU134" s="8">
        <v>4.2815000000000003</v>
      </c>
      <c r="EV134" s="8">
        <v>4.3029000000000002</v>
      </c>
      <c r="EW134" s="8">
        <v>4.3247999999999998</v>
      </c>
      <c r="EX134" s="8">
        <v>4.3475000000000001</v>
      </c>
      <c r="EY134" s="8">
        <v>4.3708999999999998</v>
      </c>
      <c r="EZ134" s="8">
        <v>4.3949999999999996</v>
      </c>
      <c r="FA134" s="8">
        <v>4.4199000000000002</v>
      </c>
      <c r="FB134" s="8">
        <v>4.4457000000000004</v>
      </c>
      <c r="FC134" s="106">
        <v>4.4722999999999997</v>
      </c>
      <c r="FE134" s="50">
        <f t="shared" ca="1" si="15"/>
        <v>3.8381952278984404</v>
      </c>
      <c r="FF134" s="50">
        <f t="shared" ca="1" si="16"/>
        <v>3.825711310477411</v>
      </c>
      <c r="FG134" s="50">
        <f t="shared" ca="1" si="17"/>
        <v>3.8128756375838924</v>
      </c>
      <c r="FH134" s="50">
        <f t="shared" ca="1" si="18"/>
        <v>3.7993857046979862</v>
      </c>
      <c r="FK134" s="50">
        <f t="shared" ca="1" si="14"/>
        <v>3.825711310477411</v>
      </c>
      <c r="FL134" s="50"/>
      <c r="FM134" s="50"/>
      <c r="FN134" s="50"/>
    </row>
    <row r="135" spans="48:170" hidden="1">
      <c r="AV135" s="69"/>
      <c r="AW135" s="104">
        <v>0.64600000000000002</v>
      </c>
      <c r="AX135" s="8">
        <v>1.6936</v>
      </c>
      <c r="AY135" s="8">
        <v>1.7216</v>
      </c>
      <c r="AZ135" s="8">
        <v>1.7499</v>
      </c>
      <c r="BA135" s="8">
        <v>1.7783</v>
      </c>
      <c r="BB135" s="8">
        <v>1.8069999999999999</v>
      </c>
      <c r="BC135" s="8">
        <v>1.8360000000000001</v>
      </c>
      <c r="BD135" s="8">
        <v>1.8651</v>
      </c>
      <c r="BE135" s="8">
        <v>1.8945000000000001</v>
      </c>
      <c r="BF135" s="8">
        <v>1.9240999999999999</v>
      </c>
      <c r="BG135" s="8">
        <v>1.9539</v>
      </c>
      <c r="BH135" s="8">
        <v>1.9839</v>
      </c>
      <c r="BI135" s="8">
        <v>2.0142000000000002</v>
      </c>
      <c r="BJ135" s="8">
        <v>2.0446</v>
      </c>
      <c r="BK135" s="8">
        <v>2.0752999999999999</v>
      </c>
      <c r="BL135" s="8">
        <v>2.1063000000000001</v>
      </c>
      <c r="BM135" s="8">
        <v>2.1374</v>
      </c>
      <c r="BN135" s="8">
        <v>2.1686999999999999</v>
      </c>
      <c r="BO135" s="8">
        <v>2.2002999999999999</v>
      </c>
      <c r="BP135" s="8">
        <v>2.2321</v>
      </c>
      <c r="BQ135" s="8">
        <v>2.2641</v>
      </c>
      <c r="BR135" s="8">
        <v>2.2963</v>
      </c>
      <c r="BS135" s="8">
        <v>2.3287</v>
      </c>
      <c r="BT135" s="8">
        <v>2.3613</v>
      </c>
      <c r="BU135" s="8">
        <v>2.3942000000000001</v>
      </c>
      <c r="BV135" s="8">
        <v>2.4272</v>
      </c>
      <c r="BW135" s="8">
        <v>2.4603999999999999</v>
      </c>
      <c r="BX135" s="8">
        <v>2.4937999999999998</v>
      </c>
      <c r="BY135" s="8">
        <v>2.5274999999999999</v>
      </c>
      <c r="BZ135" s="8">
        <v>2.5613000000000001</v>
      </c>
      <c r="CA135" s="8">
        <v>2.5952999999999999</v>
      </c>
      <c r="CB135" s="8">
        <v>2.6295000000000002</v>
      </c>
      <c r="CC135" s="8">
        <v>2.6638999999999999</v>
      </c>
      <c r="CD135" s="8">
        <v>2.6983999999999999</v>
      </c>
      <c r="CE135" s="8">
        <v>2.7332000000000001</v>
      </c>
      <c r="CF135" s="8">
        <v>2.7681</v>
      </c>
      <c r="CG135" s="8">
        <v>2.8031999999999999</v>
      </c>
      <c r="CH135" s="8">
        <v>2.8384</v>
      </c>
      <c r="CI135" s="8">
        <v>2.8717999999999999</v>
      </c>
      <c r="CJ135" s="8">
        <v>2.8978999999999999</v>
      </c>
      <c r="CK135" s="8">
        <v>2.9239999999999999</v>
      </c>
      <c r="CL135" s="8">
        <v>2.9502000000000002</v>
      </c>
      <c r="CM135" s="8">
        <v>2.9763000000000002</v>
      </c>
      <c r="CN135" s="8">
        <v>3.0024000000000002</v>
      </c>
      <c r="CO135" s="8">
        <v>3.0285000000000002</v>
      </c>
      <c r="CP135" s="8">
        <v>3.0545</v>
      </c>
      <c r="CQ135" s="8">
        <v>3.0806</v>
      </c>
      <c r="CR135" s="8">
        <v>3.1065</v>
      </c>
      <c r="CS135" s="8">
        <v>3.1324000000000001</v>
      </c>
      <c r="CT135" s="8">
        <v>3.1583000000000001</v>
      </c>
      <c r="CU135" s="8">
        <v>3.1840000000000002</v>
      </c>
      <c r="CV135" s="8">
        <v>3.2097000000000002</v>
      </c>
      <c r="CW135" s="8">
        <v>3.2353000000000001</v>
      </c>
      <c r="CX135" s="8">
        <v>3.2608000000000001</v>
      </c>
      <c r="CY135" s="8">
        <v>3.2862</v>
      </c>
      <c r="CZ135" s="8">
        <v>3.3113999999999999</v>
      </c>
      <c r="DA135" s="8">
        <v>3.3365</v>
      </c>
      <c r="DB135" s="8">
        <v>3.3614000000000002</v>
      </c>
      <c r="DC135" s="8">
        <v>3.3862000000000001</v>
      </c>
      <c r="DD135" s="8">
        <v>3.4108999999999998</v>
      </c>
      <c r="DE135" s="8">
        <v>3.4352999999999998</v>
      </c>
      <c r="DF135" s="8">
        <v>3.4594999999999998</v>
      </c>
      <c r="DG135" s="8">
        <v>3.4836</v>
      </c>
      <c r="DH135" s="8">
        <v>3.5074000000000001</v>
      </c>
      <c r="DI135" s="8">
        <v>3.5310000000000001</v>
      </c>
      <c r="DJ135" s="8">
        <v>3.5543999999999998</v>
      </c>
      <c r="DK135" s="8">
        <v>3.5775999999999999</v>
      </c>
      <c r="DL135" s="8">
        <v>3.6004999999999998</v>
      </c>
      <c r="DM135" s="8">
        <v>3.6231</v>
      </c>
      <c r="DN135" s="8">
        <v>3.6455000000000002</v>
      </c>
      <c r="DO135" s="8">
        <v>3.6676000000000002</v>
      </c>
      <c r="DP135" s="8">
        <v>3.6894</v>
      </c>
      <c r="DQ135" s="8">
        <v>3.7109000000000001</v>
      </c>
      <c r="DR135" s="8">
        <v>3.7322000000000002</v>
      </c>
      <c r="DS135" s="8">
        <v>3.7532000000000001</v>
      </c>
      <c r="DT135" s="8">
        <v>3.7738999999999998</v>
      </c>
      <c r="DU135" s="8">
        <v>3.7942999999999998</v>
      </c>
      <c r="DV135" s="8">
        <v>3.8144</v>
      </c>
      <c r="DW135" s="8">
        <v>3.8342999999999998</v>
      </c>
      <c r="DX135" s="8">
        <v>3.8538000000000001</v>
      </c>
      <c r="DY135" s="8">
        <v>3.8732000000000002</v>
      </c>
      <c r="DZ135" s="8">
        <v>3.8921999999999999</v>
      </c>
      <c r="EA135" s="8">
        <v>3.9110999999999998</v>
      </c>
      <c r="EB135" s="8">
        <v>3.9297</v>
      </c>
      <c r="EC135" s="8">
        <v>3.9481000000000002</v>
      </c>
      <c r="ED135" s="8">
        <v>3.9664000000000001</v>
      </c>
      <c r="EE135" s="8">
        <v>3.9843999999999999</v>
      </c>
      <c r="EF135" s="8">
        <v>4.0023999999999997</v>
      </c>
      <c r="EG135" s="8">
        <v>4.0202</v>
      </c>
      <c r="EH135" s="8">
        <v>4.0380000000000003</v>
      </c>
      <c r="EI135" s="8">
        <v>4.0557999999999996</v>
      </c>
      <c r="EJ135" s="8">
        <v>4.0735000000000001</v>
      </c>
      <c r="EK135" s="8">
        <v>4.0913000000000004</v>
      </c>
      <c r="EL135" s="8">
        <v>4.1092000000000004</v>
      </c>
      <c r="EM135" s="8">
        <v>4.1272000000000002</v>
      </c>
      <c r="EN135" s="8">
        <v>4.1452999999999998</v>
      </c>
      <c r="EO135" s="8">
        <v>4.1637000000000004</v>
      </c>
      <c r="EP135" s="8">
        <v>4.1824000000000003</v>
      </c>
      <c r="EQ135" s="8">
        <v>4.2013999999999996</v>
      </c>
      <c r="ER135" s="8">
        <v>4.2206999999999999</v>
      </c>
      <c r="ES135" s="8">
        <v>4.2404999999999999</v>
      </c>
      <c r="ET135" s="8">
        <v>4.2606999999999999</v>
      </c>
      <c r="EU135" s="8">
        <v>4.2815000000000003</v>
      </c>
      <c r="EV135" s="8">
        <v>4.3029000000000002</v>
      </c>
      <c r="EW135" s="8">
        <v>4.3247999999999998</v>
      </c>
      <c r="EX135" s="8">
        <v>4.3475000000000001</v>
      </c>
      <c r="EY135" s="8">
        <v>4.3708999999999998</v>
      </c>
      <c r="EZ135" s="8">
        <v>4.3949999999999996</v>
      </c>
      <c r="FA135" s="8">
        <v>4.4199000000000002</v>
      </c>
      <c r="FB135" s="8">
        <v>4.4457000000000004</v>
      </c>
      <c r="FC135" s="106">
        <v>4.4722999999999997</v>
      </c>
      <c r="FE135" s="50">
        <f t="shared" ca="1" si="15"/>
        <v>3.8381952278984404</v>
      </c>
      <c r="FF135" s="50">
        <f t="shared" ca="1" si="16"/>
        <v>3.825711310477411</v>
      </c>
      <c r="FG135" s="50">
        <f t="shared" ca="1" si="17"/>
        <v>3.8128756375838924</v>
      </c>
      <c r="FH135" s="50">
        <f t="shared" ca="1" si="18"/>
        <v>3.7993857046979862</v>
      </c>
      <c r="FK135" s="50">
        <f t="shared" ca="1" si="14"/>
        <v>3.825711310477411</v>
      </c>
      <c r="FL135" s="50"/>
      <c r="FM135" s="50"/>
      <c r="FN135" s="50"/>
    </row>
    <row r="136" spans="48:170" hidden="1">
      <c r="AV136" s="69"/>
      <c r="AW136" s="104">
        <v>0.69199999999999995</v>
      </c>
      <c r="AX136" s="8">
        <v>1.6873</v>
      </c>
      <c r="AY136" s="8">
        <v>1.7152000000000001</v>
      </c>
      <c r="AZ136" s="8">
        <v>1.7434000000000001</v>
      </c>
      <c r="BA136" s="8">
        <v>1.7717000000000001</v>
      </c>
      <c r="BB136" s="8">
        <v>1.8003</v>
      </c>
      <c r="BC136" s="8">
        <v>1.8290999999999999</v>
      </c>
      <c r="BD136" s="8">
        <v>1.8582000000000001</v>
      </c>
      <c r="BE136" s="8">
        <v>1.8874</v>
      </c>
      <c r="BF136" s="8">
        <v>1.9169</v>
      </c>
      <c r="BG136" s="8">
        <v>1.9466000000000001</v>
      </c>
      <c r="BH136" s="8">
        <v>1.9764999999999999</v>
      </c>
      <c r="BI136" s="8">
        <v>2.0066999999999999</v>
      </c>
      <c r="BJ136" s="8">
        <v>2.0369999999999999</v>
      </c>
      <c r="BK136" s="8">
        <v>2.0676000000000001</v>
      </c>
      <c r="BL136" s="8">
        <v>2.0983999999999998</v>
      </c>
      <c r="BM136" s="8">
        <v>2.1294</v>
      </c>
      <c r="BN136" s="8">
        <v>2.1606999999999998</v>
      </c>
      <c r="BO136" s="8">
        <v>2.1920999999999999</v>
      </c>
      <c r="BP136" s="8">
        <v>2.2238000000000002</v>
      </c>
      <c r="BQ136" s="8">
        <v>2.2557</v>
      </c>
      <c r="BR136" s="8">
        <v>2.2877999999999998</v>
      </c>
      <c r="BS136" s="8">
        <v>2.3199999999999998</v>
      </c>
      <c r="BT136" s="8">
        <v>2.3525</v>
      </c>
      <c r="BU136" s="8">
        <v>2.3853</v>
      </c>
      <c r="BV136" s="8">
        <v>2.4182000000000001</v>
      </c>
      <c r="BW136" s="8">
        <v>2.4512999999999998</v>
      </c>
      <c r="BX136" s="8">
        <v>2.4845999999999999</v>
      </c>
      <c r="BY136" s="8">
        <v>2.5181</v>
      </c>
      <c r="BZ136" s="8">
        <v>2.5518000000000001</v>
      </c>
      <c r="CA136" s="8">
        <v>2.5855999999999999</v>
      </c>
      <c r="CB136" s="8">
        <v>2.6196999999999999</v>
      </c>
      <c r="CC136" s="8">
        <v>2.6539999999999999</v>
      </c>
      <c r="CD136" s="8">
        <v>2.6884000000000001</v>
      </c>
      <c r="CE136" s="8">
        <v>2.7229999999999999</v>
      </c>
      <c r="CF136" s="8">
        <v>2.7578</v>
      </c>
      <c r="CG136" s="8">
        <v>2.7927</v>
      </c>
      <c r="CH136" s="8">
        <v>2.8279000000000001</v>
      </c>
      <c r="CI136" s="8">
        <v>2.8631000000000002</v>
      </c>
      <c r="CJ136" s="8">
        <v>2.8978999999999999</v>
      </c>
      <c r="CK136" s="8">
        <v>2.9239999999999999</v>
      </c>
      <c r="CL136" s="8">
        <v>2.9502000000000002</v>
      </c>
      <c r="CM136" s="8">
        <v>2.9763000000000002</v>
      </c>
      <c r="CN136" s="8">
        <v>3.0024000000000002</v>
      </c>
      <c r="CO136" s="8">
        <v>3.0285000000000002</v>
      </c>
      <c r="CP136" s="8">
        <v>3.0545</v>
      </c>
      <c r="CQ136" s="8">
        <v>3.0806</v>
      </c>
      <c r="CR136" s="8">
        <v>3.1065</v>
      </c>
      <c r="CS136" s="8">
        <v>3.1324000000000001</v>
      </c>
      <c r="CT136" s="8">
        <v>3.1583000000000001</v>
      </c>
      <c r="CU136" s="8">
        <v>3.1840000000000002</v>
      </c>
      <c r="CV136" s="8">
        <v>3.2097000000000002</v>
      </c>
      <c r="CW136" s="8">
        <v>3.2353000000000001</v>
      </c>
      <c r="CX136" s="8">
        <v>3.2608000000000001</v>
      </c>
      <c r="CY136" s="8">
        <v>3.2862</v>
      </c>
      <c r="CZ136" s="8">
        <v>3.3113999999999999</v>
      </c>
      <c r="DA136" s="8">
        <v>3.3365</v>
      </c>
      <c r="DB136" s="8">
        <v>3.3614000000000002</v>
      </c>
      <c r="DC136" s="8">
        <v>3.3862000000000001</v>
      </c>
      <c r="DD136" s="8">
        <v>3.4108999999999998</v>
      </c>
      <c r="DE136" s="8">
        <v>3.4352999999999998</v>
      </c>
      <c r="DF136" s="8">
        <v>3.4594999999999998</v>
      </c>
      <c r="DG136" s="8">
        <v>3.4836</v>
      </c>
      <c r="DH136" s="8">
        <v>3.5074000000000001</v>
      </c>
      <c r="DI136" s="8">
        <v>3.5310000000000001</v>
      </c>
      <c r="DJ136" s="8">
        <v>3.5543999999999998</v>
      </c>
      <c r="DK136" s="8">
        <v>3.5775999999999999</v>
      </c>
      <c r="DL136" s="8">
        <v>3.6004999999999998</v>
      </c>
      <c r="DM136" s="8">
        <v>3.6231</v>
      </c>
      <c r="DN136" s="8">
        <v>3.6455000000000002</v>
      </c>
      <c r="DO136" s="8">
        <v>3.6676000000000002</v>
      </c>
      <c r="DP136" s="8">
        <v>3.6894</v>
      </c>
      <c r="DQ136" s="8">
        <v>3.7109000000000001</v>
      </c>
      <c r="DR136" s="8">
        <v>3.7322000000000002</v>
      </c>
      <c r="DS136" s="8">
        <v>3.7532000000000001</v>
      </c>
      <c r="DT136" s="8">
        <v>3.7738999999999998</v>
      </c>
      <c r="DU136" s="8">
        <v>3.7942999999999998</v>
      </c>
      <c r="DV136" s="8">
        <v>3.8144</v>
      </c>
      <c r="DW136" s="8">
        <v>3.8342999999999998</v>
      </c>
      <c r="DX136" s="8">
        <v>3.8538000000000001</v>
      </c>
      <c r="DY136" s="8">
        <v>3.8732000000000002</v>
      </c>
      <c r="DZ136" s="8">
        <v>3.8921999999999999</v>
      </c>
      <c r="EA136" s="8">
        <v>3.9110999999999998</v>
      </c>
      <c r="EB136" s="8">
        <v>3.9297</v>
      </c>
      <c r="EC136" s="8">
        <v>3.9481000000000002</v>
      </c>
      <c r="ED136" s="8">
        <v>3.9664000000000001</v>
      </c>
      <c r="EE136" s="8">
        <v>3.9843999999999999</v>
      </c>
      <c r="EF136" s="8">
        <v>4.0023999999999997</v>
      </c>
      <c r="EG136" s="8">
        <v>4.0202</v>
      </c>
      <c r="EH136" s="8">
        <v>4.0380000000000003</v>
      </c>
      <c r="EI136" s="8">
        <v>4.0557999999999996</v>
      </c>
      <c r="EJ136" s="8">
        <v>4.0735000000000001</v>
      </c>
      <c r="EK136" s="8">
        <v>4.0913000000000004</v>
      </c>
      <c r="EL136" s="8">
        <v>4.1092000000000004</v>
      </c>
      <c r="EM136" s="8">
        <v>4.1272000000000002</v>
      </c>
      <c r="EN136" s="8">
        <v>4.1452999999999998</v>
      </c>
      <c r="EO136" s="8">
        <v>4.1637000000000004</v>
      </c>
      <c r="EP136" s="8">
        <v>4.1824000000000003</v>
      </c>
      <c r="EQ136" s="8">
        <v>4.2013999999999996</v>
      </c>
      <c r="ER136" s="8">
        <v>4.2206999999999999</v>
      </c>
      <c r="ES136" s="8">
        <v>4.2404999999999999</v>
      </c>
      <c r="ET136" s="8">
        <v>4.2606999999999999</v>
      </c>
      <c r="EU136" s="8">
        <v>4.2815000000000003</v>
      </c>
      <c r="EV136" s="8">
        <v>4.3029000000000002</v>
      </c>
      <c r="EW136" s="8">
        <v>4.3247999999999998</v>
      </c>
      <c r="EX136" s="8">
        <v>4.3475000000000001</v>
      </c>
      <c r="EY136" s="8">
        <v>4.3708999999999998</v>
      </c>
      <c r="EZ136" s="8">
        <v>4.3949999999999996</v>
      </c>
      <c r="FA136" s="8">
        <v>4.4199000000000002</v>
      </c>
      <c r="FB136" s="8">
        <v>4.4457000000000004</v>
      </c>
      <c r="FC136" s="106">
        <v>4.4722999999999997</v>
      </c>
      <c r="FE136" s="50">
        <f t="shared" ca="1" si="15"/>
        <v>3.8381952278984404</v>
      </c>
      <c r="FF136" s="50">
        <f t="shared" ca="1" si="16"/>
        <v>3.825711310477411</v>
      </c>
      <c r="FG136" s="50">
        <f t="shared" ca="1" si="17"/>
        <v>3.8128756375838924</v>
      </c>
      <c r="FH136" s="50">
        <f t="shared" ca="1" si="18"/>
        <v>3.7993857046979862</v>
      </c>
      <c r="FK136" s="50">
        <f t="shared" ca="1" si="14"/>
        <v>3.825711310477411</v>
      </c>
      <c r="FL136" s="50"/>
      <c r="FM136" s="50"/>
      <c r="FN136" s="50"/>
    </row>
    <row r="137" spans="48:170" hidden="1">
      <c r="AV137" s="69"/>
      <c r="AW137" s="104">
        <v>0.74099999999999999</v>
      </c>
      <c r="AX137" s="8">
        <v>1.6811</v>
      </c>
      <c r="AY137" s="8">
        <v>1.7089000000000001</v>
      </c>
      <c r="AZ137" s="8">
        <v>1.7370000000000001</v>
      </c>
      <c r="BA137" s="8">
        <v>1.7652000000000001</v>
      </c>
      <c r="BB137" s="8">
        <v>1.7937000000000001</v>
      </c>
      <c r="BC137" s="8">
        <v>1.8224</v>
      </c>
      <c r="BD137" s="8">
        <v>1.8512999999999999</v>
      </c>
      <c r="BE137" s="8">
        <v>1.8805000000000001</v>
      </c>
      <c r="BF137" s="8">
        <v>1.9098999999999999</v>
      </c>
      <c r="BG137" s="8">
        <v>1.9395</v>
      </c>
      <c r="BH137" s="8">
        <v>1.9693000000000001</v>
      </c>
      <c r="BI137" s="8">
        <v>1.9993000000000001</v>
      </c>
      <c r="BJ137" s="8">
        <v>2.0295999999999998</v>
      </c>
      <c r="BK137" s="8">
        <v>2.06</v>
      </c>
      <c r="BL137" s="8">
        <v>2.0907</v>
      </c>
      <c r="BM137" s="8">
        <v>2.1215999999999999</v>
      </c>
      <c r="BN137" s="8">
        <v>2.1526999999999998</v>
      </c>
      <c r="BO137" s="8">
        <v>2.1840999999999999</v>
      </c>
      <c r="BP137" s="8">
        <v>2.2155999999999998</v>
      </c>
      <c r="BQ137" s="8">
        <v>2.2473999999999998</v>
      </c>
      <c r="BR137" s="8">
        <v>2.2793999999999999</v>
      </c>
      <c r="BS137" s="8">
        <v>2.3115000000000001</v>
      </c>
      <c r="BT137" s="8">
        <v>2.3439000000000001</v>
      </c>
      <c r="BU137" s="8">
        <v>2.3765000000000001</v>
      </c>
      <c r="BV137" s="8">
        <v>2.4093</v>
      </c>
      <c r="BW137" s="8">
        <v>2.4422999999999999</v>
      </c>
      <c r="BX137" s="8">
        <v>2.4754999999999998</v>
      </c>
      <c r="BY137" s="8">
        <v>2.5087999999999999</v>
      </c>
      <c r="BZ137" s="8">
        <v>2.5424000000000002</v>
      </c>
      <c r="CA137" s="8">
        <v>2.5762</v>
      </c>
      <c r="CB137" s="8">
        <v>2.6101000000000001</v>
      </c>
      <c r="CC137" s="8">
        <v>2.6442000000000001</v>
      </c>
      <c r="CD137" s="8">
        <v>2.6785000000000001</v>
      </c>
      <c r="CE137" s="8">
        <v>2.7130000000000001</v>
      </c>
      <c r="CF137" s="8">
        <v>2.7477</v>
      </c>
      <c r="CG137" s="8">
        <v>2.7825000000000002</v>
      </c>
      <c r="CH137" s="8">
        <v>2.8174999999999999</v>
      </c>
      <c r="CI137" s="8">
        <v>2.8525999999999998</v>
      </c>
      <c r="CJ137" s="8">
        <v>2.8879000000000001</v>
      </c>
      <c r="CK137" s="8">
        <v>2.9232999999999998</v>
      </c>
      <c r="CL137" s="8">
        <v>2.9502000000000002</v>
      </c>
      <c r="CM137" s="8">
        <v>2.9763000000000002</v>
      </c>
      <c r="CN137" s="8">
        <v>3.0024000000000002</v>
      </c>
      <c r="CO137" s="8">
        <v>3.0285000000000002</v>
      </c>
      <c r="CP137" s="8">
        <v>3.0545</v>
      </c>
      <c r="CQ137" s="8">
        <v>3.0806</v>
      </c>
      <c r="CR137" s="8">
        <v>3.1065</v>
      </c>
      <c r="CS137" s="8">
        <v>3.1324000000000001</v>
      </c>
      <c r="CT137" s="8">
        <v>3.1583000000000001</v>
      </c>
      <c r="CU137" s="8">
        <v>3.1840000000000002</v>
      </c>
      <c r="CV137" s="8">
        <v>3.2097000000000002</v>
      </c>
      <c r="CW137" s="8">
        <v>3.2353000000000001</v>
      </c>
      <c r="CX137" s="8">
        <v>3.2608000000000001</v>
      </c>
      <c r="CY137" s="8">
        <v>3.2862</v>
      </c>
      <c r="CZ137" s="8">
        <v>3.3113999999999999</v>
      </c>
      <c r="DA137" s="8">
        <v>3.3365</v>
      </c>
      <c r="DB137" s="8">
        <v>3.3614000000000002</v>
      </c>
      <c r="DC137" s="8">
        <v>3.3862000000000001</v>
      </c>
      <c r="DD137" s="8">
        <v>3.4108999999999998</v>
      </c>
      <c r="DE137" s="8">
        <v>3.4352999999999998</v>
      </c>
      <c r="DF137" s="8">
        <v>3.4594999999999998</v>
      </c>
      <c r="DG137" s="8">
        <v>3.4836</v>
      </c>
      <c r="DH137" s="8">
        <v>3.5074000000000001</v>
      </c>
      <c r="DI137" s="8">
        <v>3.5310000000000001</v>
      </c>
      <c r="DJ137" s="8">
        <v>3.5543999999999998</v>
      </c>
      <c r="DK137" s="8">
        <v>3.5775999999999999</v>
      </c>
      <c r="DL137" s="8">
        <v>3.6004999999999998</v>
      </c>
      <c r="DM137" s="8">
        <v>3.6231</v>
      </c>
      <c r="DN137" s="8">
        <v>3.6455000000000002</v>
      </c>
      <c r="DO137" s="8">
        <v>3.6676000000000002</v>
      </c>
      <c r="DP137" s="8">
        <v>3.6894</v>
      </c>
      <c r="DQ137" s="8">
        <v>3.7109000000000001</v>
      </c>
      <c r="DR137" s="8">
        <v>3.7322000000000002</v>
      </c>
      <c r="DS137" s="8">
        <v>3.7532000000000001</v>
      </c>
      <c r="DT137" s="8">
        <v>3.7738999999999998</v>
      </c>
      <c r="DU137" s="8">
        <v>3.7942999999999998</v>
      </c>
      <c r="DV137" s="8">
        <v>3.8144</v>
      </c>
      <c r="DW137" s="8">
        <v>3.8342999999999998</v>
      </c>
      <c r="DX137" s="8">
        <v>3.8538000000000001</v>
      </c>
      <c r="DY137" s="8">
        <v>3.8732000000000002</v>
      </c>
      <c r="DZ137" s="8">
        <v>3.8921999999999999</v>
      </c>
      <c r="EA137" s="8">
        <v>3.9110999999999998</v>
      </c>
      <c r="EB137" s="8">
        <v>3.9297</v>
      </c>
      <c r="EC137" s="8">
        <v>3.9481000000000002</v>
      </c>
      <c r="ED137" s="8">
        <v>3.9664000000000001</v>
      </c>
      <c r="EE137" s="8">
        <v>3.9843999999999999</v>
      </c>
      <c r="EF137" s="8">
        <v>4.0023999999999997</v>
      </c>
      <c r="EG137" s="8">
        <v>4.0202</v>
      </c>
      <c r="EH137" s="8">
        <v>4.0380000000000003</v>
      </c>
      <c r="EI137" s="8">
        <v>4.0557999999999996</v>
      </c>
      <c r="EJ137" s="8">
        <v>4.0735000000000001</v>
      </c>
      <c r="EK137" s="8">
        <v>4.0913000000000004</v>
      </c>
      <c r="EL137" s="8">
        <v>4.1092000000000004</v>
      </c>
      <c r="EM137" s="8">
        <v>4.1272000000000002</v>
      </c>
      <c r="EN137" s="8">
        <v>4.1452999999999998</v>
      </c>
      <c r="EO137" s="8">
        <v>4.1637000000000004</v>
      </c>
      <c r="EP137" s="8">
        <v>4.1824000000000003</v>
      </c>
      <c r="EQ137" s="8">
        <v>4.2013999999999996</v>
      </c>
      <c r="ER137" s="8">
        <v>4.2206999999999999</v>
      </c>
      <c r="ES137" s="8">
        <v>4.2404999999999999</v>
      </c>
      <c r="ET137" s="8">
        <v>4.2606999999999999</v>
      </c>
      <c r="EU137" s="8">
        <v>4.2815000000000003</v>
      </c>
      <c r="EV137" s="8">
        <v>4.3029000000000002</v>
      </c>
      <c r="EW137" s="8">
        <v>4.3247999999999998</v>
      </c>
      <c r="EX137" s="8">
        <v>4.3475000000000001</v>
      </c>
      <c r="EY137" s="8">
        <v>4.3708999999999998</v>
      </c>
      <c r="EZ137" s="8">
        <v>4.3949999999999996</v>
      </c>
      <c r="FA137" s="8">
        <v>4.4199000000000002</v>
      </c>
      <c r="FB137" s="8">
        <v>4.4457000000000004</v>
      </c>
      <c r="FC137" s="106">
        <v>4.4722999999999997</v>
      </c>
      <c r="FE137" s="50">
        <f t="shared" ca="1" si="15"/>
        <v>3.8381952278984404</v>
      </c>
      <c r="FF137" s="50">
        <f t="shared" ca="1" si="16"/>
        <v>3.825711310477411</v>
      </c>
      <c r="FG137" s="50">
        <f t="shared" ca="1" si="17"/>
        <v>3.8128756375838924</v>
      </c>
      <c r="FH137" s="50">
        <f t="shared" ca="1" si="18"/>
        <v>3.7993857046979862</v>
      </c>
      <c r="FK137" s="50">
        <f t="shared" ca="1" si="14"/>
        <v>3.825711310477411</v>
      </c>
      <c r="FL137" s="50"/>
      <c r="FM137" s="50"/>
      <c r="FN137" s="50"/>
    </row>
    <row r="138" spans="48:170" hidden="1">
      <c r="AV138" s="69"/>
      <c r="AW138" s="104">
        <v>0.79400000000000004</v>
      </c>
      <c r="AX138" s="8">
        <v>1.675</v>
      </c>
      <c r="AY138" s="8">
        <v>1.7027000000000001</v>
      </c>
      <c r="AZ138" s="8">
        <v>1.7306999999999999</v>
      </c>
      <c r="BA138" s="8">
        <v>1.7587999999999999</v>
      </c>
      <c r="BB138" s="8">
        <v>1.7871999999999999</v>
      </c>
      <c r="BC138" s="8">
        <v>1.8158000000000001</v>
      </c>
      <c r="BD138" s="8">
        <v>1.8446</v>
      </c>
      <c r="BE138" s="8">
        <v>1.8736999999999999</v>
      </c>
      <c r="BF138" s="8">
        <v>1.9029</v>
      </c>
      <c r="BG138" s="8">
        <v>1.9323999999999999</v>
      </c>
      <c r="BH138" s="8">
        <v>1.9621</v>
      </c>
      <c r="BI138" s="8">
        <v>1.9921</v>
      </c>
      <c r="BJ138" s="8">
        <v>2.0222000000000002</v>
      </c>
      <c r="BK138" s="8">
        <v>2.0526</v>
      </c>
      <c r="BL138" s="8">
        <v>2.0831</v>
      </c>
      <c r="BM138" s="8">
        <v>2.1139000000000001</v>
      </c>
      <c r="BN138" s="8">
        <v>2.1448999999999998</v>
      </c>
      <c r="BO138" s="8">
        <v>2.1762000000000001</v>
      </c>
      <c r="BP138" s="8">
        <v>2.2075999999999998</v>
      </c>
      <c r="BQ138" s="8">
        <v>2.2391999999999999</v>
      </c>
      <c r="BR138" s="8">
        <v>2.2711000000000001</v>
      </c>
      <c r="BS138" s="8">
        <v>2.3031000000000001</v>
      </c>
      <c r="BT138" s="8">
        <v>2.3353999999999999</v>
      </c>
      <c r="BU138" s="8">
        <v>2.3679000000000001</v>
      </c>
      <c r="BV138" s="8">
        <v>2.4005000000000001</v>
      </c>
      <c r="BW138" s="8">
        <v>2.4333999999999998</v>
      </c>
      <c r="BX138" s="8">
        <v>2.4664999999999999</v>
      </c>
      <c r="BY138" s="8">
        <v>2.4996999999999998</v>
      </c>
      <c r="BZ138" s="8">
        <v>2.5331999999999999</v>
      </c>
      <c r="CA138" s="8">
        <v>2.5668000000000002</v>
      </c>
      <c r="CB138" s="8">
        <v>2.6006</v>
      </c>
      <c r="CC138" s="8">
        <v>2.6345999999999998</v>
      </c>
      <c r="CD138" s="8">
        <v>2.6688000000000001</v>
      </c>
      <c r="CE138" s="8">
        <v>2.7031999999999998</v>
      </c>
      <c r="CF138" s="8">
        <v>2.7376999999999998</v>
      </c>
      <c r="CG138" s="8">
        <v>2.7724000000000002</v>
      </c>
      <c r="CH138" s="8">
        <v>2.8073000000000001</v>
      </c>
      <c r="CI138" s="8">
        <v>2.8422999999999998</v>
      </c>
      <c r="CJ138" s="8">
        <v>2.8774000000000002</v>
      </c>
      <c r="CK138" s="8">
        <v>2.9127999999999998</v>
      </c>
      <c r="CL138" s="8">
        <v>2.9481999999999999</v>
      </c>
      <c r="CM138" s="8">
        <v>2.9763000000000002</v>
      </c>
      <c r="CN138" s="8">
        <v>3.0024000000000002</v>
      </c>
      <c r="CO138" s="8">
        <v>3.0285000000000002</v>
      </c>
      <c r="CP138" s="8">
        <v>3.0545</v>
      </c>
      <c r="CQ138" s="8">
        <v>3.0806</v>
      </c>
      <c r="CR138" s="8">
        <v>3.1065</v>
      </c>
      <c r="CS138" s="8">
        <v>3.1324000000000001</v>
      </c>
      <c r="CT138" s="8">
        <v>3.1583000000000001</v>
      </c>
      <c r="CU138" s="8">
        <v>3.1840000000000002</v>
      </c>
      <c r="CV138" s="8">
        <v>3.2097000000000002</v>
      </c>
      <c r="CW138" s="8">
        <v>3.2353000000000001</v>
      </c>
      <c r="CX138" s="8">
        <v>3.2608000000000001</v>
      </c>
      <c r="CY138" s="8">
        <v>3.2862</v>
      </c>
      <c r="CZ138" s="8">
        <v>3.3113999999999999</v>
      </c>
      <c r="DA138" s="8">
        <v>3.3365</v>
      </c>
      <c r="DB138" s="8">
        <v>3.3614000000000002</v>
      </c>
      <c r="DC138" s="8">
        <v>3.3862000000000001</v>
      </c>
      <c r="DD138" s="8">
        <v>3.4108999999999998</v>
      </c>
      <c r="DE138" s="8">
        <v>3.4352999999999998</v>
      </c>
      <c r="DF138" s="8">
        <v>3.4594999999999998</v>
      </c>
      <c r="DG138" s="8">
        <v>3.4836</v>
      </c>
      <c r="DH138" s="8">
        <v>3.5074000000000001</v>
      </c>
      <c r="DI138" s="8">
        <v>3.5310000000000001</v>
      </c>
      <c r="DJ138" s="8">
        <v>3.5543999999999998</v>
      </c>
      <c r="DK138" s="8">
        <v>3.5775999999999999</v>
      </c>
      <c r="DL138" s="8">
        <v>3.6004999999999998</v>
      </c>
      <c r="DM138" s="8">
        <v>3.6231</v>
      </c>
      <c r="DN138" s="8">
        <v>3.6455000000000002</v>
      </c>
      <c r="DO138" s="8">
        <v>3.6676000000000002</v>
      </c>
      <c r="DP138" s="8">
        <v>3.6894</v>
      </c>
      <c r="DQ138" s="8">
        <v>3.7109000000000001</v>
      </c>
      <c r="DR138" s="8">
        <v>3.7322000000000002</v>
      </c>
      <c r="DS138" s="8">
        <v>3.7532000000000001</v>
      </c>
      <c r="DT138" s="8">
        <v>3.7738999999999998</v>
      </c>
      <c r="DU138" s="8">
        <v>3.7942999999999998</v>
      </c>
      <c r="DV138" s="8">
        <v>3.8144</v>
      </c>
      <c r="DW138" s="8">
        <v>3.8342999999999998</v>
      </c>
      <c r="DX138" s="8">
        <v>3.8538000000000001</v>
      </c>
      <c r="DY138" s="8">
        <v>3.8732000000000002</v>
      </c>
      <c r="DZ138" s="8">
        <v>3.8921999999999999</v>
      </c>
      <c r="EA138" s="8">
        <v>3.9110999999999998</v>
      </c>
      <c r="EB138" s="8">
        <v>3.9297</v>
      </c>
      <c r="EC138" s="8">
        <v>3.9481000000000002</v>
      </c>
      <c r="ED138" s="8">
        <v>3.9664000000000001</v>
      </c>
      <c r="EE138" s="8">
        <v>3.9843999999999999</v>
      </c>
      <c r="EF138" s="8">
        <v>4.0023999999999997</v>
      </c>
      <c r="EG138" s="8">
        <v>4.0202</v>
      </c>
      <c r="EH138" s="8">
        <v>4.0380000000000003</v>
      </c>
      <c r="EI138" s="8">
        <v>4.0557999999999996</v>
      </c>
      <c r="EJ138" s="8">
        <v>4.0735000000000001</v>
      </c>
      <c r="EK138" s="8">
        <v>4.0913000000000004</v>
      </c>
      <c r="EL138" s="8">
        <v>4.1092000000000004</v>
      </c>
      <c r="EM138" s="8">
        <v>4.1272000000000002</v>
      </c>
      <c r="EN138" s="8">
        <v>4.1452999999999998</v>
      </c>
      <c r="EO138" s="8">
        <v>4.1637000000000004</v>
      </c>
      <c r="EP138" s="8">
        <v>4.1824000000000003</v>
      </c>
      <c r="EQ138" s="8">
        <v>4.2013999999999996</v>
      </c>
      <c r="ER138" s="8">
        <v>4.2206999999999999</v>
      </c>
      <c r="ES138" s="8">
        <v>4.2404999999999999</v>
      </c>
      <c r="ET138" s="8">
        <v>4.2606999999999999</v>
      </c>
      <c r="EU138" s="8">
        <v>4.2815000000000003</v>
      </c>
      <c r="EV138" s="8">
        <v>4.3029000000000002</v>
      </c>
      <c r="EW138" s="8">
        <v>4.3247999999999998</v>
      </c>
      <c r="EX138" s="8">
        <v>4.3475000000000001</v>
      </c>
      <c r="EY138" s="8">
        <v>4.3708999999999998</v>
      </c>
      <c r="EZ138" s="8">
        <v>4.3949999999999996</v>
      </c>
      <c r="FA138" s="8">
        <v>4.4199000000000002</v>
      </c>
      <c r="FB138" s="8">
        <v>4.4457000000000004</v>
      </c>
      <c r="FC138" s="106">
        <v>4.4722999999999997</v>
      </c>
      <c r="FE138" s="50">
        <f t="shared" ca="1" si="15"/>
        <v>3.8381952278984404</v>
      </c>
      <c r="FF138" s="50">
        <f t="shared" ca="1" si="16"/>
        <v>3.825711310477411</v>
      </c>
      <c r="FG138" s="50">
        <f t="shared" ca="1" si="17"/>
        <v>3.8128756375838924</v>
      </c>
      <c r="FH138" s="50">
        <f t="shared" ca="1" si="18"/>
        <v>3.7993857046979862</v>
      </c>
      <c r="FK138" s="50">
        <f t="shared" ca="1" si="14"/>
        <v>3.825711310477411</v>
      </c>
      <c r="FL138" s="50"/>
      <c r="FM138" s="50"/>
      <c r="FN138" s="50"/>
    </row>
    <row r="139" spans="48:170" hidden="1">
      <c r="AV139" s="69"/>
      <c r="AW139" s="104">
        <v>0.85099999999999998</v>
      </c>
      <c r="AX139" s="8">
        <v>1.669</v>
      </c>
      <c r="AY139" s="8">
        <v>1.6967000000000001</v>
      </c>
      <c r="AZ139" s="8">
        <v>1.7244999999999999</v>
      </c>
      <c r="BA139" s="8">
        <v>1.7524999999999999</v>
      </c>
      <c r="BB139" s="8">
        <v>1.7807999999999999</v>
      </c>
      <c r="BC139" s="8">
        <v>1.8092999999999999</v>
      </c>
      <c r="BD139" s="8">
        <v>1.8380000000000001</v>
      </c>
      <c r="BE139" s="8">
        <v>1.867</v>
      </c>
      <c r="BF139" s="8">
        <v>1.8960999999999999</v>
      </c>
      <c r="BG139" s="8">
        <v>1.9255</v>
      </c>
      <c r="BH139" s="8">
        <v>1.9551000000000001</v>
      </c>
      <c r="BI139" s="8">
        <v>1.9849000000000001</v>
      </c>
      <c r="BJ139" s="8">
        <v>2.0150000000000001</v>
      </c>
      <c r="BK139" s="8">
        <v>2.0451999999999999</v>
      </c>
      <c r="BL139" s="8">
        <v>2.0756999999999999</v>
      </c>
      <c r="BM139" s="8">
        <v>2.1063999999999998</v>
      </c>
      <c r="BN139" s="8">
        <v>2.1373000000000002</v>
      </c>
      <c r="BO139" s="8">
        <v>2.1684000000000001</v>
      </c>
      <c r="BP139" s="8">
        <v>2.1997</v>
      </c>
      <c r="BQ139" s="8">
        <v>2.2311999999999999</v>
      </c>
      <c r="BR139" s="8">
        <v>2.2629999999999999</v>
      </c>
      <c r="BS139" s="8">
        <v>2.2949000000000002</v>
      </c>
      <c r="BT139" s="8">
        <v>2.327</v>
      </c>
      <c r="BU139" s="8">
        <v>2.3593999999999999</v>
      </c>
      <c r="BV139" s="8">
        <v>2.3919000000000001</v>
      </c>
      <c r="BW139" s="8">
        <v>2.4247000000000001</v>
      </c>
      <c r="BX139" s="8">
        <v>2.4575999999999998</v>
      </c>
      <c r="BY139" s="8">
        <v>2.4908000000000001</v>
      </c>
      <c r="BZ139" s="8">
        <v>2.5240999999999998</v>
      </c>
      <c r="CA139" s="8">
        <v>2.5575999999999999</v>
      </c>
      <c r="CB139" s="8">
        <v>2.5912999999999999</v>
      </c>
      <c r="CC139" s="8">
        <v>2.6252</v>
      </c>
      <c r="CD139" s="8">
        <v>2.6593</v>
      </c>
      <c r="CE139" s="8">
        <v>2.6934999999999998</v>
      </c>
      <c r="CF139" s="8">
        <v>2.7279</v>
      </c>
      <c r="CG139" s="8">
        <v>2.7625000000000002</v>
      </c>
      <c r="CH139" s="8">
        <v>2.7972000000000001</v>
      </c>
      <c r="CI139" s="8">
        <v>2.8321000000000001</v>
      </c>
      <c r="CJ139" s="8">
        <v>2.8671000000000002</v>
      </c>
      <c r="CK139" s="8">
        <v>2.9022999999999999</v>
      </c>
      <c r="CL139" s="8">
        <v>2.9376000000000002</v>
      </c>
      <c r="CM139" s="8">
        <v>2.9731000000000001</v>
      </c>
      <c r="CN139" s="8">
        <v>3.0024000000000002</v>
      </c>
      <c r="CO139" s="8">
        <v>3.0285000000000002</v>
      </c>
      <c r="CP139" s="8">
        <v>3.0545</v>
      </c>
      <c r="CQ139" s="8">
        <v>3.0806</v>
      </c>
      <c r="CR139" s="8">
        <v>3.1065</v>
      </c>
      <c r="CS139" s="8">
        <v>3.1324000000000001</v>
      </c>
      <c r="CT139" s="8">
        <v>3.1583000000000001</v>
      </c>
      <c r="CU139" s="8">
        <v>3.1840000000000002</v>
      </c>
      <c r="CV139" s="8">
        <v>3.2097000000000002</v>
      </c>
      <c r="CW139" s="8">
        <v>3.2353000000000001</v>
      </c>
      <c r="CX139" s="8">
        <v>3.2608000000000001</v>
      </c>
      <c r="CY139" s="8">
        <v>3.2862</v>
      </c>
      <c r="CZ139" s="8">
        <v>3.3113999999999999</v>
      </c>
      <c r="DA139" s="8">
        <v>3.3365</v>
      </c>
      <c r="DB139" s="8">
        <v>3.3614000000000002</v>
      </c>
      <c r="DC139" s="8">
        <v>3.3862000000000001</v>
      </c>
      <c r="DD139" s="8">
        <v>3.4108999999999998</v>
      </c>
      <c r="DE139" s="8">
        <v>3.4352999999999998</v>
      </c>
      <c r="DF139" s="8">
        <v>3.4594999999999998</v>
      </c>
      <c r="DG139" s="8">
        <v>3.4836</v>
      </c>
      <c r="DH139" s="8">
        <v>3.5074000000000001</v>
      </c>
      <c r="DI139" s="8">
        <v>3.5310000000000001</v>
      </c>
      <c r="DJ139" s="8">
        <v>3.5543999999999998</v>
      </c>
      <c r="DK139" s="8">
        <v>3.5775999999999999</v>
      </c>
      <c r="DL139" s="8">
        <v>3.6004999999999998</v>
      </c>
      <c r="DM139" s="8">
        <v>3.6231</v>
      </c>
      <c r="DN139" s="8">
        <v>3.6455000000000002</v>
      </c>
      <c r="DO139" s="8">
        <v>3.6676000000000002</v>
      </c>
      <c r="DP139" s="8">
        <v>3.6894</v>
      </c>
      <c r="DQ139" s="8">
        <v>3.7109000000000001</v>
      </c>
      <c r="DR139" s="8">
        <v>3.7322000000000002</v>
      </c>
      <c r="DS139" s="8">
        <v>3.7532000000000001</v>
      </c>
      <c r="DT139" s="8">
        <v>3.7738999999999998</v>
      </c>
      <c r="DU139" s="8">
        <v>3.7942999999999998</v>
      </c>
      <c r="DV139" s="8">
        <v>3.8144</v>
      </c>
      <c r="DW139" s="8">
        <v>3.8342999999999998</v>
      </c>
      <c r="DX139" s="8">
        <v>3.8538000000000001</v>
      </c>
      <c r="DY139" s="8">
        <v>3.8732000000000002</v>
      </c>
      <c r="DZ139" s="8">
        <v>3.8921999999999999</v>
      </c>
      <c r="EA139" s="8">
        <v>3.9110999999999998</v>
      </c>
      <c r="EB139" s="8">
        <v>3.9297</v>
      </c>
      <c r="EC139" s="8">
        <v>3.9481000000000002</v>
      </c>
      <c r="ED139" s="8">
        <v>3.9664000000000001</v>
      </c>
      <c r="EE139" s="8">
        <v>3.9843999999999999</v>
      </c>
      <c r="EF139" s="8">
        <v>4.0023999999999997</v>
      </c>
      <c r="EG139" s="8">
        <v>4.0202</v>
      </c>
      <c r="EH139" s="8">
        <v>4.0380000000000003</v>
      </c>
      <c r="EI139" s="8">
        <v>4.0557999999999996</v>
      </c>
      <c r="EJ139" s="8">
        <v>4.0735000000000001</v>
      </c>
      <c r="EK139" s="8">
        <v>4.0913000000000004</v>
      </c>
      <c r="EL139" s="8">
        <v>4.1092000000000004</v>
      </c>
      <c r="EM139" s="8">
        <v>4.1272000000000002</v>
      </c>
      <c r="EN139" s="8">
        <v>4.1452999999999998</v>
      </c>
      <c r="EO139" s="8">
        <v>4.1637000000000004</v>
      </c>
      <c r="EP139" s="8">
        <v>4.1824000000000003</v>
      </c>
      <c r="EQ139" s="8">
        <v>4.2013999999999996</v>
      </c>
      <c r="ER139" s="8">
        <v>4.2206999999999999</v>
      </c>
      <c r="ES139" s="8">
        <v>4.2404999999999999</v>
      </c>
      <c r="ET139" s="8">
        <v>4.2606999999999999</v>
      </c>
      <c r="EU139" s="8">
        <v>4.2815000000000003</v>
      </c>
      <c r="EV139" s="8">
        <v>4.3029000000000002</v>
      </c>
      <c r="EW139" s="8">
        <v>4.3247999999999998</v>
      </c>
      <c r="EX139" s="8">
        <v>4.3475000000000001</v>
      </c>
      <c r="EY139" s="8">
        <v>4.3708999999999998</v>
      </c>
      <c r="EZ139" s="8">
        <v>4.3949999999999996</v>
      </c>
      <c r="FA139" s="8">
        <v>4.4199000000000002</v>
      </c>
      <c r="FB139" s="8">
        <v>4.4457000000000004</v>
      </c>
      <c r="FC139" s="106">
        <v>4.4722999999999997</v>
      </c>
      <c r="FE139" s="50">
        <f t="shared" ca="1" si="15"/>
        <v>3.8381952278984404</v>
      </c>
      <c r="FF139" s="50">
        <f t="shared" ca="1" si="16"/>
        <v>3.825711310477411</v>
      </c>
      <c r="FG139" s="50">
        <f t="shared" ca="1" si="17"/>
        <v>3.8128756375838924</v>
      </c>
      <c r="FH139" s="50">
        <f t="shared" ca="1" si="18"/>
        <v>3.7993857046979862</v>
      </c>
      <c r="FK139" s="50">
        <f t="shared" ca="1" si="14"/>
        <v>3.825711310477411</v>
      </c>
      <c r="FL139" s="50"/>
      <c r="FM139" s="50"/>
      <c r="FN139" s="50"/>
    </row>
    <row r="140" spans="48:170" hidden="1">
      <c r="AV140" s="69"/>
      <c r="AW140" s="104">
        <v>0.91200000000000003</v>
      </c>
      <c r="AX140" s="8">
        <v>1.6631</v>
      </c>
      <c r="AY140" s="8">
        <v>1.6907000000000001</v>
      </c>
      <c r="AZ140" s="8">
        <v>1.7183999999999999</v>
      </c>
      <c r="BA140" s="8">
        <v>1.7463</v>
      </c>
      <c r="BB140" s="8">
        <v>1.7745</v>
      </c>
      <c r="BC140" s="8">
        <v>1.8028999999999999</v>
      </c>
      <c r="BD140" s="8">
        <v>1.8314999999999999</v>
      </c>
      <c r="BE140" s="8">
        <v>1.8604000000000001</v>
      </c>
      <c r="BF140" s="8">
        <v>1.8894</v>
      </c>
      <c r="BG140" s="8">
        <v>1.9187000000000001</v>
      </c>
      <c r="BH140" s="8">
        <v>1.9481999999999999</v>
      </c>
      <c r="BI140" s="8">
        <v>1.9779</v>
      </c>
      <c r="BJ140" s="8">
        <v>2.0078</v>
      </c>
      <c r="BK140" s="8">
        <v>2.0379999999999998</v>
      </c>
      <c r="BL140" s="8">
        <v>2.0682999999999998</v>
      </c>
      <c r="BM140" s="8">
        <v>2.0989</v>
      </c>
      <c r="BN140" s="8">
        <v>2.1297000000000001</v>
      </c>
      <c r="BO140" s="8">
        <v>2.1606999999999998</v>
      </c>
      <c r="BP140" s="8">
        <v>2.1919</v>
      </c>
      <c r="BQ140" s="8">
        <v>2.2233000000000001</v>
      </c>
      <c r="BR140" s="8">
        <v>2.2549999999999999</v>
      </c>
      <c r="BS140" s="8">
        <v>2.2867999999999999</v>
      </c>
      <c r="BT140" s="8">
        <v>2.3188</v>
      </c>
      <c r="BU140" s="8">
        <v>2.3511000000000002</v>
      </c>
      <c r="BV140" s="8">
        <v>2.3835000000000002</v>
      </c>
      <c r="BW140" s="8">
        <v>2.4161000000000001</v>
      </c>
      <c r="BX140" s="8">
        <v>2.4489000000000001</v>
      </c>
      <c r="BY140" s="8">
        <v>2.4820000000000002</v>
      </c>
      <c r="BZ140" s="8">
        <v>2.5152000000000001</v>
      </c>
      <c r="CA140" s="8">
        <v>2.5486</v>
      </c>
      <c r="CB140" s="8">
        <v>2.5821999999999998</v>
      </c>
      <c r="CC140" s="8">
        <v>2.6158999999999999</v>
      </c>
      <c r="CD140" s="8">
        <v>2.6499000000000001</v>
      </c>
      <c r="CE140" s="8">
        <v>2.6840000000000002</v>
      </c>
      <c r="CF140" s="8">
        <v>2.7183000000000002</v>
      </c>
      <c r="CG140" s="8">
        <v>2.7526999999999999</v>
      </c>
      <c r="CH140" s="8">
        <v>2.7873000000000001</v>
      </c>
      <c r="CI140" s="8">
        <v>2.8220999999999998</v>
      </c>
      <c r="CJ140" s="8">
        <v>2.8570000000000002</v>
      </c>
      <c r="CK140" s="8">
        <v>2.8921000000000001</v>
      </c>
      <c r="CL140" s="8">
        <v>2.9272999999999998</v>
      </c>
      <c r="CM140" s="8">
        <v>2.9626000000000001</v>
      </c>
      <c r="CN140" s="8">
        <v>2.9981</v>
      </c>
      <c r="CO140" s="8">
        <v>3.0285000000000002</v>
      </c>
      <c r="CP140" s="8">
        <v>3.0545</v>
      </c>
      <c r="CQ140" s="8">
        <v>3.0806</v>
      </c>
      <c r="CR140" s="8">
        <v>3.1065</v>
      </c>
      <c r="CS140" s="8">
        <v>3.1324000000000001</v>
      </c>
      <c r="CT140" s="8">
        <v>3.1583000000000001</v>
      </c>
      <c r="CU140" s="8">
        <v>3.1840000000000002</v>
      </c>
      <c r="CV140" s="8">
        <v>3.2097000000000002</v>
      </c>
      <c r="CW140" s="8">
        <v>3.2353000000000001</v>
      </c>
      <c r="CX140" s="8">
        <v>3.2608000000000001</v>
      </c>
      <c r="CY140" s="8">
        <v>3.2862</v>
      </c>
      <c r="CZ140" s="8">
        <v>3.3113999999999999</v>
      </c>
      <c r="DA140" s="8">
        <v>3.3365</v>
      </c>
      <c r="DB140" s="8">
        <v>3.3614000000000002</v>
      </c>
      <c r="DC140" s="8">
        <v>3.3862000000000001</v>
      </c>
      <c r="DD140" s="8">
        <v>3.4108999999999998</v>
      </c>
      <c r="DE140" s="8">
        <v>3.4352999999999998</v>
      </c>
      <c r="DF140" s="8">
        <v>3.4594999999999998</v>
      </c>
      <c r="DG140" s="8">
        <v>3.4836</v>
      </c>
      <c r="DH140" s="8">
        <v>3.5074000000000001</v>
      </c>
      <c r="DI140" s="8">
        <v>3.5310000000000001</v>
      </c>
      <c r="DJ140" s="8">
        <v>3.5543999999999998</v>
      </c>
      <c r="DK140" s="8">
        <v>3.5775999999999999</v>
      </c>
      <c r="DL140" s="8">
        <v>3.6004999999999998</v>
      </c>
      <c r="DM140" s="8">
        <v>3.6231</v>
      </c>
      <c r="DN140" s="8">
        <v>3.6455000000000002</v>
      </c>
      <c r="DO140" s="8">
        <v>3.6676000000000002</v>
      </c>
      <c r="DP140" s="8">
        <v>3.6894</v>
      </c>
      <c r="DQ140" s="8">
        <v>3.7109000000000001</v>
      </c>
      <c r="DR140" s="8">
        <v>3.7322000000000002</v>
      </c>
      <c r="DS140" s="8">
        <v>3.7532000000000001</v>
      </c>
      <c r="DT140" s="8">
        <v>3.7738999999999998</v>
      </c>
      <c r="DU140" s="8">
        <v>3.7942999999999998</v>
      </c>
      <c r="DV140" s="8">
        <v>3.8144</v>
      </c>
      <c r="DW140" s="8">
        <v>3.8342999999999998</v>
      </c>
      <c r="DX140" s="8">
        <v>3.8538000000000001</v>
      </c>
      <c r="DY140" s="8">
        <v>3.8732000000000002</v>
      </c>
      <c r="DZ140" s="8">
        <v>3.8921999999999999</v>
      </c>
      <c r="EA140" s="8">
        <v>3.9110999999999998</v>
      </c>
      <c r="EB140" s="8">
        <v>3.9297</v>
      </c>
      <c r="EC140" s="8">
        <v>3.9481000000000002</v>
      </c>
      <c r="ED140" s="8">
        <v>3.9664000000000001</v>
      </c>
      <c r="EE140" s="8">
        <v>3.9843999999999999</v>
      </c>
      <c r="EF140" s="8">
        <v>4.0023999999999997</v>
      </c>
      <c r="EG140" s="8">
        <v>4.0202</v>
      </c>
      <c r="EH140" s="8">
        <v>4.0380000000000003</v>
      </c>
      <c r="EI140" s="8">
        <v>4.0557999999999996</v>
      </c>
      <c r="EJ140" s="8">
        <v>4.0735000000000001</v>
      </c>
      <c r="EK140" s="8">
        <v>4.0913000000000004</v>
      </c>
      <c r="EL140" s="8">
        <v>4.1092000000000004</v>
      </c>
      <c r="EM140" s="8">
        <v>4.1272000000000002</v>
      </c>
      <c r="EN140" s="8">
        <v>4.1452999999999998</v>
      </c>
      <c r="EO140" s="8">
        <v>4.1637000000000004</v>
      </c>
      <c r="EP140" s="8">
        <v>4.1824000000000003</v>
      </c>
      <c r="EQ140" s="8">
        <v>4.2013999999999996</v>
      </c>
      <c r="ER140" s="8">
        <v>4.2206999999999999</v>
      </c>
      <c r="ES140" s="8">
        <v>4.2404999999999999</v>
      </c>
      <c r="ET140" s="8">
        <v>4.2606999999999999</v>
      </c>
      <c r="EU140" s="8">
        <v>4.2815000000000003</v>
      </c>
      <c r="EV140" s="8">
        <v>4.3029000000000002</v>
      </c>
      <c r="EW140" s="8">
        <v>4.3247999999999998</v>
      </c>
      <c r="EX140" s="8">
        <v>4.3475000000000001</v>
      </c>
      <c r="EY140" s="8">
        <v>4.3708999999999998</v>
      </c>
      <c r="EZ140" s="8">
        <v>4.3949999999999996</v>
      </c>
      <c r="FA140" s="8">
        <v>4.4199000000000002</v>
      </c>
      <c r="FB140" s="8">
        <v>4.4457000000000004</v>
      </c>
      <c r="FC140" s="106">
        <v>4.4722999999999997</v>
      </c>
      <c r="FE140" s="50">
        <f t="shared" ca="1" si="15"/>
        <v>3.8381952278984404</v>
      </c>
      <c r="FF140" s="50">
        <f t="shared" ca="1" si="16"/>
        <v>3.825711310477411</v>
      </c>
      <c r="FG140" s="50">
        <f t="shared" ca="1" si="17"/>
        <v>3.8128756375838924</v>
      </c>
      <c r="FH140" s="50">
        <f t="shared" ca="1" si="18"/>
        <v>3.7993857046979862</v>
      </c>
      <c r="FK140" s="50">
        <f t="shared" ref="FK140:FK171" ca="1" si="19">FORECAST(AN$22,OFFSET($AX140,0,MATCH(AN$22,$AX$107:$FC$107,1)-1,1,2),OFFSET($AX$107,0,MATCH(AN$22,$AX$107:$FC$107,1)-1,1,2))</f>
        <v>3.825711310477411</v>
      </c>
      <c r="FL140" s="50"/>
      <c r="FM140" s="50"/>
      <c r="FN140" s="50"/>
    </row>
    <row r="141" spans="48:170" hidden="1">
      <c r="AV141" s="69"/>
      <c r="AW141" s="104">
        <v>0.97699999999999998</v>
      </c>
      <c r="AX141" s="8">
        <v>1.6573</v>
      </c>
      <c r="AY141" s="8">
        <v>1.6847000000000001</v>
      </c>
      <c r="AZ141" s="8">
        <v>1.7123999999999999</v>
      </c>
      <c r="BA141" s="8">
        <v>1.7402</v>
      </c>
      <c r="BB141" s="8">
        <v>1.7683</v>
      </c>
      <c r="BC141" s="8">
        <v>1.7966</v>
      </c>
      <c r="BD141" s="8">
        <v>1.8250999999999999</v>
      </c>
      <c r="BE141" s="8">
        <v>1.8539000000000001</v>
      </c>
      <c r="BF141" s="8">
        <v>1.8828</v>
      </c>
      <c r="BG141" s="8">
        <v>1.9119999999999999</v>
      </c>
      <c r="BH141" s="8">
        <v>1.9414</v>
      </c>
      <c r="BI141" s="8">
        <v>1.9710000000000001</v>
      </c>
      <c r="BJ141" s="8">
        <v>2.0007999999999999</v>
      </c>
      <c r="BK141" s="8">
        <v>2.0308999999999999</v>
      </c>
      <c r="BL141" s="8">
        <v>2.0611000000000002</v>
      </c>
      <c r="BM141" s="8">
        <v>2.0916000000000001</v>
      </c>
      <c r="BN141" s="8">
        <v>2.1223000000000001</v>
      </c>
      <c r="BO141" s="8">
        <v>2.1532</v>
      </c>
      <c r="BP141" s="8">
        <v>2.1842999999999999</v>
      </c>
      <c r="BQ141" s="8">
        <v>2.2155999999999998</v>
      </c>
      <c r="BR141" s="8">
        <v>2.2471000000000001</v>
      </c>
      <c r="BS141" s="8">
        <v>2.2787999999999999</v>
      </c>
      <c r="BT141" s="8">
        <v>2.3107000000000002</v>
      </c>
      <c r="BU141" s="8">
        <v>2.3428</v>
      </c>
      <c r="BV141" s="8">
        <v>2.3752</v>
      </c>
      <c r="BW141" s="8">
        <v>2.4077000000000002</v>
      </c>
      <c r="BX141" s="8">
        <v>2.4403999999999999</v>
      </c>
      <c r="BY141" s="8">
        <v>2.4733000000000001</v>
      </c>
      <c r="BZ141" s="8">
        <v>2.5064000000000002</v>
      </c>
      <c r="CA141" s="8">
        <v>2.5396999999999998</v>
      </c>
      <c r="CB141" s="8">
        <v>2.5731000000000002</v>
      </c>
      <c r="CC141" s="8">
        <v>2.6067999999999998</v>
      </c>
      <c r="CD141" s="8">
        <v>2.6406000000000001</v>
      </c>
      <c r="CE141" s="8">
        <v>2.6745999999999999</v>
      </c>
      <c r="CF141" s="8">
        <v>2.7088000000000001</v>
      </c>
      <c r="CG141" s="8">
        <v>2.7431000000000001</v>
      </c>
      <c r="CH141" s="8">
        <v>2.7776000000000001</v>
      </c>
      <c r="CI141" s="8">
        <v>2.8121999999999998</v>
      </c>
      <c r="CJ141" s="8">
        <v>2.847</v>
      </c>
      <c r="CK141" s="8">
        <v>2.8818999999999999</v>
      </c>
      <c r="CL141" s="8">
        <v>2.9169999999999998</v>
      </c>
      <c r="CM141" s="8">
        <v>2.9521999999999999</v>
      </c>
      <c r="CN141" s="8">
        <v>2.9876</v>
      </c>
      <c r="CO141" s="8">
        <v>3.0230000000000001</v>
      </c>
      <c r="CP141" s="8">
        <v>3.0545</v>
      </c>
      <c r="CQ141" s="8">
        <v>3.0806</v>
      </c>
      <c r="CR141" s="8">
        <v>3.1065</v>
      </c>
      <c r="CS141" s="8">
        <v>3.1324000000000001</v>
      </c>
      <c r="CT141" s="8">
        <v>3.1583000000000001</v>
      </c>
      <c r="CU141" s="8">
        <v>3.1840000000000002</v>
      </c>
      <c r="CV141" s="8">
        <v>3.2097000000000002</v>
      </c>
      <c r="CW141" s="8">
        <v>3.2353000000000001</v>
      </c>
      <c r="CX141" s="8">
        <v>3.2608000000000001</v>
      </c>
      <c r="CY141" s="8">
        <v>3.2862</v>
      </c>
      <c r="CZ141" s="8">
        <v>3.3113999999999999</v>
      </c>
      <c r="DA141" s="8">
        <v>3.3365</v>
      </c>
      <c r="DB141" s="8">
        <v>3.3614000000000002</v>
      </c>
      <c r="DC141" s="8">
        <v>3.3862000000000001</v>
      </c>
      <c r="DD141" s="8">
        <v>3.4108999999999998</v>
      </c>
      <c r="DE141" s="8">
        <v>3.4352999999999998</v>
      </c>
      <c r="DF141" s="8">
        <v>3.4594999999999998</v>
      </c>
      <c r="DG141" s="8">
        <v>3.4836</v>
      </c>
      <c r="DH141" s="8">
        <v>3.5074000000000001</v>
      </c>
      <c r="DI141" s="8">
        <v>3.5310000000000001</v>
      </c>
      <c r="DJ141" s="8">
        <v>3.5543999999999998</v>
      </c>
      <c r="DK141" s="8">
        <v>3.5775999999999999</v>
      </c>
      <c r="DL141" s="8">
        <v>3.6004999999999998</v>
      </c>
      <c r="DM141" s="8">
        <v>3.6231</v>
      </c>
      <c r="DN141" s="8">
        <v>3.6455000000000002</v>
      </c>
      <c r="DO141" s="8">
        <v>3.6676000000000002</v>
      </c>
      <c r="DP141" s="8">
        <v>3.6894</v>
      </c>
      <c r="DQ141" s="8">
        <v>3.7109000000000001</v>
      </c>
      <c r="DR141" s="8">
        <v>3.7322000000000002</v>
      </c>
      <c r="DS141" s="8">
        <v>3.7532000000000001</v>
      </c>
      <c r="DT141" s="8">
        <v>3.7738999999999998</v>
      </c>
      <c r="DU141" s="8">
        <v>3.7942999999999998</v>
      </c>
      <c r="DV141" s="8">
        <v>3.8144</v>
      </c>
      <c r="DW141" s="8">
        <v>3.8342999999999998</v>
      </c>
      <c r="DX141" s="8">
        <v>3.8538000000000001</v>
      </c>
      <c r="DY141" s="8">
        <v>3.8732000000000002</v>
      </c>
      <c r="DZ141" s="8">
        <v>3.8921999999999999</v>
      </c>
      <c r="EA141" s="8">
        <v>3.9110999999999998</v>
      </c>
      <c r="EB141" s="8">
        <v>3.9297</v>
      </c>
      <c r="EC141" s="8">
        <v>3.9481000000000002</v>
      </c>
      <c r="ED141" s="8">
        <v>3.9664000000000001</v>
      </c>
      <c r="EE141" s="8">
        <v>3.9843999999999999</v>
      </c>
      <c r="EF141" s="8">
        <v>4.0023999999999997</v>
      </c>
      <c r="EG141" s="8">
        <v>4.0202</v>
      </c>
      <c r="EH141" s="8">
        <v>4.0380000000000003</v>
      </c>
      <c r="EI141" s="8">
        <v>4.0557999999999996</v>
      </c>
      <c r="EJ141" s="8">
        <v>4.0735000000000001</v>
      </c>
      <c r="EK141" s="8">
        <v>4.0913000000000004</v>
      </c>
      <c r="EL141" s="8">
        <v>4.1092000000000004</v>
      </c>
      <c r="EM141" s="8">
        <v>4.1272000000000002</v>
      </c>
      <c r="EN141" s="8">
        <v>4.1452999999999998</v>
      </c>
      <c r="EO141" s="8">
        <v>4.1637000000000004</v>
      </c>
      <c r="EP141" s="8">
        <v>4.1824000000000003</v>
      </c>
      <c r="EQ141" s="8">
        <v>4.2013999999999996</v>
      </c>
      <c r="ER141" s="8">
        <v>4.2206999999999999</v>
      </c>
      <c r="ES141" s="8">
        <v>4.2404999999999999</v>
      </c>
      <c r="ET141" s="8">
        <v>4.2606999999999999</v>
      </c>
      <c r="EU141" s="8">
        <v>4.2815000000000003</v>
      </c>
      <c r="EV141" s="8">
        <v>4.3029000000000002</v>
      </c>
      <c r="EW141" s="8">
        <v>4.3247999999999998</v>
      </c>
      <c r="EX141" s="8">
        <v>4.3475000000000001</v>
      </c>
      <c r="EY141" s="8">
        <v>4.3708999999999998</v>
      </c>
      <c r="EZ141" s="8">
        <v>4.3949999999999996</v>
      </c>
      <c r="FA141" s="8">
        <v>4.4199000000000002</v>
      </c>
      <c r="FB141" s="8">
        <v>4.4457000000000004</v>
      </c>
      <c r="FC141" s="106">
        <v>4.4722999999999997</v>
      </c>
      <c r="FE141" s="50">
        <f t="shared" ca="1" si="15"/>
        <v>3.8381952278984404</v>
      </c>
      <c r="FF141" s="50">
        <f t="shared" ca="1" si="16"/>
        <v>3.825711310477411</v>
      </c>
      <c r="FG141" s="50">
        <f t="shared" ca="1" si="17"/>
        <v>3.8128756375838924</v>
      </c>
      <c r="FH141" s="50">
        <f t="shared" ca="1" si="18"/>
        <v>3.7993857046979862</v>
      </c>
      <c r="FK141" s="50">
        <f t="shared" ca="1" si="19"/>
        <v>3.825711310477411</v>
      </c>
      <c r="FL141" s="50"/>
      <c r="FM141" s="50"/>
      <c r="FN141" s="50"/>
    </row>
    <row r="142" spans="48:170" hidden="1">
      <c r="AV142" s="69"/>
      <c r="AW142" s="104">
        <v>1.0469999999999999</v>
      </c>
      <c r="AX142" s="8">
        <v>1.6516</v>
      </c>
      <c r="AY142" s="8">
        <v>1.6789000000000001</v>
      </c>
      <c r="AZ142" s="8">
        <v>1.7064999999999999</v>
      </c>
      <c r="BA142" s="8">
        <v>1.7342</v>
      </c>
      <c r="BB142" s="8">
        <v>1.7622</v>
      </c>
      <c r="BC142" s="8">
        <v>1.7904</v>
      </c>
      <c r="BD142" s="8">
        <v>1.8188</v>
      </c>
      <c r="BE142" s="8">
        <v>1.8474999999999999</v>
      </c>
      <c r="BF142" s="8">
        <v>1.8763000000000001</v>
      </c>
      <c r="BG142" s="8">
        <v>1.9054</v>
      </c>
      <c r="BH142" s="8">
        <v>1.9347000000000001</v>
      </c>
      <c r="BI142" s="8">
        <v>1.9641999999999999</v>
      </c>
      <c r="BJ142" s="8">
        <v>1.9939</v>
      </c>
      <c r="BK142" s="8">
        <v>2.0238</v>
      </c>
      <c r="BL142" s="8">
        <v>2.0539999999999998</v>
      </c>
      <c r="BM142" s="8">
        <v>2.0844</v>
      </c>
      <c r="BN142" s="8">
        <v>2.1149</v>
      </c>
      <c r="BO142" s="8">
        <v>2.1457000000000002</v>
      </c>
      <c r="BP142" s="8">
        <v>2.1766999999999999</v>
      </c>
      <c r="BQ142" s="8">
        <v>2.2079</v>
      </c>
      <c r="BR142" s="8">
        <v>2.2393000000000001</v>
      </c>
      <c r="BS142" s="8">
        <v>2.2709000000000001</v>
      </c>
      <c r="BT142" s="8">
        <v>2.3027000000000002</v>
      </c>
      <c r="BU142" s="8">
        <v>2.3348</v>
      </c>
      <c r="BV142" s="8">
        <v>2.367</v>
      </c>
      <c r="BW142" s="8">
        <v>2.3994</v>
      </c>
      <c r="BX142" s="8">
        <v>2.4319999999999999</v>
      </c>
      <c r="BY142" s="8">
        <v>2.4647999999999999</v>
      </c>
      <c r="BZ142" s="8">
        <v>2.4977</v>
      </c>
      <c r="CA142" s="8">
        <v>2.5308999999999999</v>
      </c>
      <c r="CB142" s="8">
        <v>2.5642999999999998</v>
      </c>
      <c r="CC142" s="8">
        <v>2.5977999999999999</v>
      </c>
      <c r="CD142" s="8">
        <v>2.6315</v>
      </c>
      <c r="CE142" s="8">
        <v>2.6654</v>
      </c>
      <c r="CF142" s="8">
        <v>2.6993999999999998</v>
      </c>
      <c r="CG142" s="8">
        <v>2.7336</v>
      </c>
      <c r="CH142" s="8">
        <v>2.7679999999999998</v>
      </c>
      <c r="CI142" s="8">
        <v>2.8025000000000002</v>
      </c>
      <c r="CJ142" s="8">
        <v>2.8372000000000002</v>
      </c>
      <c r="CK142" s="8">
        <v>2.8719999999999999</v>
      </c>
      <c r="CL142" s="8">
        <v>2.907</v>
      </c>
      <c r="CM142" s="8">
        <v>2.9420999999999999</v>
      </c>
      <c r="CN142" s="8">
        <v>2.9773000000000001</v>
      </c>
      <c r="CO142" s="8">
        <v>3.0125999999999999</v>
      </c>
      <c r="CP142" s="8">
        <v>3.0480999999999998</v>
      </c>
      <c r="CQ142" s="8">
        <v>3.0806</v>
      </c>
      <c r="CR142" s="8">
        <v>3.1065</v>
      </c>
      <c r="CS142" s="8">
        <v>3.1324000000000001</v>
      </c>
      <c r="CT142" s="8">
        <v>3.1583000000000001</v>
      </c>
      <c r="CU142" s="8">
        <v>3.1840000000000002</v>
      </c>
      <c r="CV142" s="8">
        <v>3.2097000000000002</v>
      </c>
      <c r="CW142" s="8">
        <v>3.2353000000000001</v>
      </c>
      <c r="CX142" s="8">
        <v>3.2608000000000001</v>
      </c>
      <c r="CY142" s="8">
        <v>3.2862</v>
      </c>
      <c r="CZ142" s="8">
        <v>3.3113999999999999</v>
      </c>
      <c r="DA142" s="8">
        <v>3.3365</v>
      </c>
      <c r="DB142" s="8">
        <v>3.3614000000000002</v>
      </c>
      <c r="DC142" s="8">
        <v>3.3862000000000001</v>
      </c>
      <c r="DD142" s="8">
        <v>3.4108999999999998</v>
      </c>
      <c r="DE142" s="8">
        <v>3.4352999999999998</v>
      </c>
      <c r="DF142" s="8">
        <v>3.4594999999999998</v>
      </c>
      <c r="DG142" s="8">
        <v>3.4836</v>
      </c>
      <c r="DH142" s="8">
        <v>3.5074000000000001</v>
      </c>
      <c r="DI142" s="8">
        <v>3.5310000000000001</v>
      </c>
      <c r="DJ142" s="8">
        <v>3.5543999999999998</v>
      </c>
      <c r="DK142" s="8">
        <v>3.5775999999999999</v>
      </c>
      <c r="DL142" s="8">
        <v>3.6004999999999998</v>
      </c>
      <c r="DM142" s="8">
        <v>3.6231</v>
      </c>
      <c r="DN142" s="8">
        <v>3.6455000000000002</v>
      </c>
      <c r="DO142" s="8">
        <v>3.6676000000000002</v>
      </c>
      <c r="DP142" s="8">
        <v>3.6894</v>
      </c>
      <c r="DQ142" s="8">
        <v>3.7109000000000001</v>
      </c>
      <c r="DR142" s="8">
        <v>3.7322000000000002</v>
      </c>
      <c r="DS142" s="8">
        <v>3.7532000000000001</v>
      </c>
      <c r="DT142" s="8">
        <v>3.7738999999999998</v>
      </c>
      <c r="DU142" s="8">
        <v>3.7942999999999998</v>
      </c>
      <c r="DV142" s="8">
        <v>3.8144</v>
      </c>
      <c r="DW142" s="8">
        <v>3.8342999999999998</v>
      </c>
      <c r="DX142" s="8">
        <v>3.8538000000000001</v>
      </c>
      <c r="DY142" s="8">
        <v>3.8732000000000002</v>
      </c>
      <c r="DZ142" s="8">
        <v>3.8921999999999999</v>
      </c>
      <c r="EA142" s="8">
        <v>3.9110999999999998</v>
      </c>
      <c r="EB142" s="8">
        <v>3.9297</v>
      </c>
      <c r="EC142" s="8">
        <v>3.9481000000000002</v>
      </c>
      <c r="ED142" s="8">
        <v>3.9664000000000001</v>
      </c>
      <c r="EE142" s="8">
        <v>3.9843999999999999</v>
      </c>
      <c r="EF142" s="8">
        <v>4.0023999999999997</v>
      </c>
      <c r="EG142" s="8">
        <v>4.0202</v>
      </c>
      <c r="EH142" s="8">
        <v>4.0380000000000003</v>
      </c>
      <c r="EI142" s="8">
        <v>4.0557999999999996</v>
      </c>
      <c r="EJ142" s="8">
        <v>4.0735000000000001</v>
      </c>
      <c r="EK142" s="8">
        <v>4.0913000000000004</v>
      </c>
      <c r="EL142" s="8">
        <v>4.1092000000000004</v>
      </c>
      <c r="EM142" s="8">
        <v>4.1272000000000002</v>
      </c>
      <c r="EN142" s="8">
        <v>4.1452999999999998</v>
      </c>
      <c r="EO142" s="8">
        <v>4.1637000000000004</v>
      </c>
      <c r="EP142" s="8">
        <v>4.1824000000000003</v>
      </c>
      <c r="EQ142" s="8">
        <v>4.2013999999999996</v>
      </c>
      <c r="ER142" s="8">
        <v>4.2206999999999999</v>
      </c>
      <c r="ES142" s="8">
        <v>4.2404999999999999</v>
      </c>
      <c r="ET142" s="8">
        <v>4.2606999999999999</v>
      </c>
      <c r="EU142" s="8">
        <v>4.2815000000000003</v>
      </c>
      <c r="EV142" s="8">
        <v>4.3029000000000002</v>
      </c>
      <c r="EW142" s="8">
        <v>4.3247999999999998</v>
      </c>
      <c r="EX142" s="8">
        <v>4.3475000000000001</v>
      </c>
      <c r="EY142" s="8">
        <v>4.3708999999999998</v>
      </c>
      <c r="EZ142" s="8">
        <v>4.3949999999999996</v>
      </c>
      <c r="FA142" s="8">
        <v>4.4199000000000002</v>
      </c>
      <c r="FB142" s="8">
        <v>4.4457000000000004</v>
      </c>
      <c r="FC142" s="106">
        <v>4.4722999999999997</v>
      </c>
      <c r="FE142" s="50">
        <f t="shared" ca="1" si="15"/>
        <v>3.8381952278984404</v>
      </c>
      <c r="FF142" s="50">
        <f t="shared" ca="1" si="16"/>
        <v>3.825711310477411</v>
      </c>
      <c r="FG142" s="50">
        <f t="shared" ca="1" si="17"/>
        <v>3.8128756375838924</v>
      </c>
      <c r="FH142" s="50">
        <f t="shared" ca="1" si="18"/>
        <v>3.7993857046979862</v>
      </c>
      <c r="FK142" s="50">
        <f t="shared" ca="1" si="19"/>
        <v>3.825711310477411</v>
      </c>
      <c r="FL142" s="50"/>
      <c r="FM142" s="50"/>
      <c r="FN142" s="50"/>
    </row>
    <row r="143" spans="48:170" hidden="1">
      <c r="AV143" s="69"/>
      <c r="AW143" s="104">
        <v>1.1220000000000001</v>
      </c>
      <c r="AX143" s="8">
        <v>1.6459999999999999</v>
      </c>
      <c r="AY143" s="8">
        <v>1.6732</v>
      </c>
      <c r="AZ143" s="8">
        <v>1.7005999999999999</v>
      </c>
      <c r="BA143" s="8">
        <v>1.7282999999999999</v>
      </c>
      <c r="BB143" s="8">
        <v>1.7562</v>
      </c>
      <c r="BC143" s="8">
        <v>1.7843</v>
      </c>
      <c r="BD143" s="8">
        <v>1.8126</v>
      </c>
      <c r="BE143" s="8">
        <v>1.8411999999999999</v>
      </c>
      <c r="BF143" s="8">
        <v>1.8698999999999999</v>
      </c>
      <c r="BG143" s="8">
        <v>1.8989</v>
      </c>
      <c r="BH143" s="8">
        <v>1.9280999999999999</v>
      </c>
      <c r="BI143" s="8">
        <v>1.9575</v>
      </c>
      <c r="BJ143" s="8">
        <v>1.9871000000000001</v>
      </c>
      <c r="BK143" s="8">
        <v>2.0169000000000001</v>
      </c>
      <c r="BL143" s="8">
        <v>2.0470000000000002</v>
      </c>
      <c r="BM143" s="8">
        <v>2.0773000000000001</v>
      </c>
      <c r="BN143" s="8">
        <v>2.1076999999999999</v>
      </c>
      <c r="BO143" s="8">
        <v>2.1383999999999999</v>
      </c>
      <c r="BP143" s="8">
        <v>2.1692999999999998</v>
      </c>
      <c r="BQ143" s="8">
        <v>2.2004000000000001</v>
      </c>
      <c r="BR143" s="8">
        <v>2.2317</v>
      </c>
      <c r="BS143" s="8">
        <v>2.2631999999999999</v>
      </c>
      <c r="BT143" s="8">
        <v>2.2949000000000002</v>
      </c>
      <c r="BU143" s="8">
        <v>2.3268</v>
      </c>
      <c r="BV143" s="8">
        <v>2.3589000000000002</v>
      </c>
      <c r="BW143" s="8">
        <v>2.3912</v>
      </c>
      <c r="BX143" s="8">
        <v>2.4237000000000002</v>
      </c>
      <c r="BY143" s="8">
        <v>2.4563999999999999</v>
      </c>
      <c r="BZ143" s="8">
        <v>2.4891999999999999</v>
      </c>
      <c r="CA143" s="8">
        <v>2.5223</v>
      </c>
      <c r="CB143" s="8">
        <v>2.5554999999999999</v>
      </c>
      <c r="CC143" s="8">
        <v>2.5889000000000002</v>
      </c>
      <c r="CD143" s="8">
        <v>2.6225000000000001</v>
      </c>
      <c r="CE143" s="8">
        <v>2.6562999999999999</v>
      </c>
      <c r="CF143" s="8">
        <v>2.6901999999999999</v>
      </c>
      <c r="CG143" s="8">
        <v>2.7242999999999999</v>
      </c>
      <c r="CH143" s="8">
        <v>2.7585999999999999</v>
      </c>
      <c r="CI143" s="8">
        <v>2.7930000000000001</v>
      </c>
      <c r="CJ143" s="8">
        <v>2.8275000000000001</v>
      </c>
      <c r="CK143" s="8">
        <v>2.8622000000000001</v>
      </c>
      <c r="CL143" s="8">
        <v>2.8971</v>
      </c>
      <c r="CM143" s="8">
        <v>2.9319999999999999</v>
      </c>
      <c r="CN143" s="8">
        <v>2.9670999999999998</v>
      </c>
      <c r="CO143" s="8">
        <v>3.0023</v>
      </c>
      <c r="CP143" s="8">
        <v>3.0377000000000001</v>
      </c>
      <c r="CQ143" s="8">
        <v>3.0731000000000002</v>
      </c>
      <c r="CR143" s="8">
        <v>3.1065</v>
      </c>
      <c r="CS143" s="8">
        <v>3.1324000000000001</v>
      </c>
      <c r="CT143" s="8">
        <v>3.1583000000000001</v>
      </c>
      <c r="CU143" s="8">
        <v>3.1840000000000002</v>
      </c>
      <c r="CV143" s="8">
        <v>3.2097000000000002</v>
      </c>
      <c r="CW143" s="8">
        <v>3.2353000000000001</v>
      </c>
      <c r="CX143" s="8">
        <v>3.2608000000000001</v>
      </c>
      <c r="CY143" s="8">
        <v>3.2862</v>
      </c>
      <c r="CZ143" s="8">
        <v>3.3113999999999999</v>
      </c>
      <c r="DA143" s="8">
        <v>3.3365</v>
      </c>
      <c r="DB143" s="8">
        <v>3.3614000000000002</v>
      </c>
      <c r="DC143" s="8">
        <v>3.3862000000000001</v>
      </c>
      <c r="DD143" s="8">
        <v>3.4108999999999998</v>
      </c>
      <c r="DE143" s="8">
        <v>3.4352999999999998</v>
      </c>
      <c r="DF143" s="8">
        <v>3.4594999999999998</v>
      </c>
      <c r="DG143" s="8">
        <v>3.4836</v>
      </c>
      <c r="DH143" s="8">
        <v>3.5074000000000001</v>
      </c>
      <c r="DI143" s="8">
        <v>3.5310000000000001</v>
      </c>
      <c r="DJ143" s="8">
        <v>3.5543999999999998</v>
      </c>
      <c r="DK143" s="8">
        <v>3.5775999999999999</v>
      </c>
      <c r="DL143" s="8">
        <v>3.6004999999999998</v>
      </c>
      <c r="DM143" s="8">
        <v>3.6231</v>
      </c>
      <c r="DN143" s="8">
        <v>3.6455000000000002</v>
      </c>
      <c r="DO143" s="8">
        <v>3.6676000000000002</v>
      </c>
      <c r="DP143" s="8">
        <v>3.6894</v>
      </c>
      <c r="DQ143" s="8">
        <v>3.7109000000000001</v>
      </c>
      <c r="DR143" s="8">
        <v>3.7322000000000002</v>
      </c>
      <c r="DS143" s="8">
        <v>3.7532000000000001</v>
      </c>
      <c r="DT143" s="8">
        <v>3.7738999999999998</v>
      </c>
      <c r="DU143" s="8">
        <v>3.7942999999999998</v>
      </c>
      <c r="DV143" s="8">
        <v>3.8144</v>
      </c>
      <c r="DW143" s="8">
        <v>3.8342999999999998</v>
      </c>
      <c r="DX143" s="8">
        <v>3.8538000000000001</v>
      </c>
      <c r="DY143" s="8">
        <v>3.8732000000000002</v>
      </c>
      <c r="DZ143" s="8">
        <v>3.8921999999999999</v>
      </c>
      <c r="EA143" s="8">
        <v>3.9110999999999998</v>
      </c>
      <c r="EB143" s="8">
        <v>3.9297</v>
      </c>
      <c r="EC143" s="8">
        <v>3.9481000000000002</v>
      </c>
      <c r="ED143" s="8">
        <v>3.9664000000000001</v>
      </c>
      <c r="EE143" s="8">
        <v>3.9843999999999999</v>
      </c>
      <c r="EF143" s="8">
        <v>4.0023999999999997</v>
      </c>
      <c r="EG143" s="8">
        <v>4.0202</v>
      </c>
      <c r="EH143" s="8">
        <v>4.0380000000000003</v>
      </c>
      <c r="EI143" s="8">
        <v>4.0557999999999996</v>
      </c>
      <c r="EJ143" s="8">
        <v>4.0735000000000001</v>
      </c>
      <c r="EK143" s="8">
        <v>4.0913000000000004</v>
      </c>
      <c r="EL143" s="8">
        <v>4.1092000000000004</v>
      </c>
      <c r="EM143" s="8">
        <v>4.1272000000000002</v>
      </c>
      <c r="EN143" s="8">
        <v>4.1452999999999998</v>
      </c>
      <c r="EO143" s="8">
        <v>4.1637000000000004</v>
      </c>
      <c r="EP143" s="8">
        <v>4.1824000000000003</v>
      </c>
      <c r="EQ143" s="8">
        <v>4.2013999999999996</v>
      </c>
      <c r="ER143" s="8">
        <v>4.2206999999999999</v>
      </c>
      <c r="ES143" s="8">
        <v>4.2404999999999999</v>
      </c>
      <c r="ET143" s="8">
        <v>4.2606999999999999</v>
      </c>
      <c r="EU143" s="8">
        <v>4.2815000000000003</v>
      </c>
      <c r="EV143" s="8">
        <v>4.3029000000000002</v>
      </c>
      <c r="EW143" s="8">
        <v>4.3247999999999998</v>
      </c>
      <c r="EX143" s="8">
        <v>4.3475000000000001</v>
      </c>
      <c r="EY143" s="8">
        <v>4.3708999999999998</v>
      </c>
      <c r="EZ143" s="8">
        <v>4.3949999999999996</v>
      </c>
      <c r="FA143" s="8">
        <v>4.4199000000000002</v>
      </c>
      <c r="FB143" s="8">
        <v>4.4457000000000004</v>
      </c>
      <c r="FC143" s="106">
        <v>4.4722999999999997</v>
      </c>
      <c r="FE143" s="50">
        <f t="shared" ca="1" si="15"/>
        <v>3.8381952278984404</v>
      </c>
      <c r="FF143" s="50">
        <f t="shared" ca="1" si="16"/>
        <v>3.825711310477411</v>
      </c>
      <c r="FG143" s="50">
        <f t="shared" ca="1" si="17"/>
        <v>3.8128756375838924</v>
      </c>
      <c r="FH143" s="50">
        <f t="shared" ca="1" si="18"/>
        <v>3.7993857046979862</v>
      </c>
      <c r="FK143" s="50">
        <f t="shared" ca="1" si="19"/>
        <v>3.825711310477411</v>
      </c>
      <c r="FL143" s="50"/>
      <c r="FM143" s="50"/>
      <c r="FN143" s="50"/>
    </row>
    <row r="144" spans="48:170" hidden="1">
      <c r="AV144" s="69"/>
      <c r="AW144" s="104">
        <v>1.202</v>
      </c>
      <c r="AX144" s="8">
        <v>1.6404000000000001</v>
      </c>
      <c r="AY144" s="8">
        <v>1.6676</v>
      </c>
      <c r="AZ144" s="8">
        <v>1.6949000000000001</v>
      </c>
      <c r="BA144" s="8">
        <v>1.7224999999999999</v>
      </c>
      <c r="BB144" s="8">
        <v>1.7503</v>
      </c>
      <c r="BC144" s="8">
        <v>1.7783</v>
      </c>
      <c r="BD144" s="8">
        <v>1.8065</v>
      </c>
      <c r="BE144" s="8">
        <v>1.835</v>
      </c>
      <c r="BF144" s="8">
        <v>1.8635999999999999</v>
      </c>
      <c r="BG144" s="8">
        <v>1.8925000000000001</v>
      </c>
      <c r="BH144" s="8">
        <v>1.9216</v>
      </c>
      <c r="BI144" s="8">
        <v>1.9509000000000001</v>
      </c>
      <c r="BJ144" s="8">
        <v>1.9803999999999999</v>
      </c>
      <c r="BK144" s="8">
        <v>2.0102000000000002</v>
      </c>
      <c r="BL144" s="8">
        <v>2.0400999999999998</v>
      </c>
      <c r="BM144" s="8">
        <v>2.0703</v>
      </c>
      <c r="BN144" s="8">
        <v>2.1006</v>
      </c>
      <c r="BO144" s="8">
        <v>2.1312000000000002</v>
      </c>
      <c r="BP144" s="8">
        <v>2.1619999999999999</v>
      </c>
      <c r="BQ144" s="8">
        <v>2.1930000000000001</v>
      </c>
      <c r="BR144" s="8">
        <v>2.2242000000000002</v>
      </c>
      <c r="BS144" s="8">
        <v>2.2555999999999998</v>
      </c>
      <c r="BT144" s="8">
        <v>2.2871999999999999</v>
      </c>
      <c r="BU144" s="8">
        <v>2.319</v>
      </c>
      <c r="BV144" s="8">
        <v>2.3509000000000002</v>
      </c>
      <c r="BW144" s="8">
        <v>2.3831000000000002</v>
      </c>
      <c r="BX144" s="8">
        <v>2.4155000000000002</v>
      </c>
      <c r="BY144" s="8">
        <v>2.4481000000000002</v>
      </c>
      <c r="BZ144" s="8">
        <v>2.4807999999999999</v>
      </c>
      <c r="CA144" s="8">
        <v>2.5137999999999998</v>
      </c>
      <c r="CB144" s="8">
        <v>2.5468999999999999</v>
      </c>
      <c r="CC144" s="8">
        <v>2.5802</v>
      </c>
      <c r="CD144" s="8">
        <v>2.6137000000000001</v>
      </c>
      <c r="CE144" s="8">
        <v>2.6473</v>
      </c>
      <c r="CF144" s="8">
        <v>2.6810999999999998</v>
      </c>
      <c r="CG144" s="8">
        <v>2.7151000000000001</v>
      </c>
      <c r="CH144" s="8">
        <v>2.7492999999999999</v>
      </c>
      <c r="CI144" s="8">
        <v>2.7835000000000001</v>
      </c>
      <c r="CJ144" s="8">
        <v>2.8180000000000001</v>
      </c>
      <c r="CK144" s="8">
        <v>2.8525999999999998</v>
      </c>
      <c r="CL144" s="8">
        <v>2.8873000000000002</v>
      </c>
      <c r="CM144" s="8">
        <v>2.9220999999999999</v>
      </c>
      <c r="CN144" s="8">
        <v>2.9571000000000001</v>
      </c>
      <c r="CO144" s="8">
        <v>2.9922</v>
      </c>
      <c r="CP144" s="8">
        <v>3.0274000000000001</v>
      </c>
      <c r="CQ144" s="8">
        <v>3.0628000000000002</v>
      </c>
      <c r="CR144" s="8">
        <v>3.0981999999999998</v>
      </c>
      <c r="CS144" s="8">
        <v>3.1324000000000001</v>
      </c>
      <c r="CT144" s="8">
        <v>3.1583000000000001</v>
      </c>
      <c r="CU144" s="8">
        <v>3.1840000000000002</v>
      </c>
      <c r="CV144" s="8">
        <v>3.2097000000000002</v>
      </c>
      <c r="CW144" s="8">
        <v>3.2353000000000001</v>
      </c>
      <c r="CX144" s="8">
        <v>3.2608000000000001</v>
      </c>
      <c r="CY144" s="8">
        <v>3.2862</v>
      </c>
      <c r="CZ144" s="8">
        <v>3.3113999999999999</v>
      </c>
      <c r="DA144" s="8">
        <v>3.3365</v>
      </c>
      <c r="DB144" s="8">
        <v>3.3614000000000002</v>
      </c>
      <c r="DC144" s="8">
        <v>3.3862000000000001</v>
      </c>
      <c r="DD144" s="8">
        <v>3.4108999999999998</v>
      </c>
      <c r="DE144" s="8">
        <v>3.4352999999999998</v>
      </c>
      <c r="DF144" s="8">
        <v>3.4594999999999998</v>
      </c>
      <c r="DG144" s="8">
        <v>3.4836</v>
      </c>
      <c r="DH144" s="8">
        <v>3.5074000000000001</v>
      </c>
      <c r="DI144" s="8">
        <v>3.5310000000000001</v>
      </c>
      <c r="DJ144" s="8">
        <v>3.5543999999999998</v>
      </c>
      <c r="DK144" s="8">
        <v>3.5775999999999999</v>
      </c>
      <c r="DL144" s="8">
        <v>3.6004999999999998</v>
      </c>
      <c r="DM144" s="8">
        <v>3.6231</v>
      </c>
      <c r="DN144" s="8">
        <v>3.6455000000000002</v>
      </c>
      <c r="DO144" s="8">
        <v>3.6676000000000002</v>
      </c>
      <c r="DP144" s="8">
        <v>3.6894</v>
      </c>
      <c r="DQ144" s="8">
        <v>3.7109000000000001</v>
      </c>
      <c r="DR144" s="8">
        <v>3.7322000000000002</v>
      </c>
      <c r="DS144" s="8">
        <v>3.7532000000000001</v>
      </c>
      <c r="DT144" s="8">
        <v>3.7738999999999998</v>
      </c>
      <c r="DU144" s="8">
        <v>3.7942999999999998</v>
      </c>
      <c r="DV144" s="8">
        <v>3.8144</v>
      </c>
      <c r="DW144" s="8">
        <v>3.8342999999999998</v>
      </c>
      <c r="DX144" s="8">
        <v>3.8538000000000001</v>
      </c>
      <c r="DY144" s="8">
        <v>3.8732000000000002</v>
      </c>
      <c r="DZ144" s="8">
        <v>3.8921999999999999</v>
      </c>
      <c r="EA144" s="8">
        <v>3.9110999999999998</v>
      </c>
      <c r="EB144" s="8">
        <v>3.9297</v>
      </c>
      <c r="EC144" s="8">
        <v>3.9481000000000002</v>
      </c>
      <c r="ED144" s="8">
        <v>3.9664000000000001</v>
      </c>
      <c r="EE144" s="8">
        <v>3.9843999999999999</v>
      </c>
      <c r="EF144" s="8">
        <v>4.0023999999999997</v>
      </c>
      <c r="EG144" s="8">
        <v>4.0202</v>
      </c>
      <c r="EH144" s="8">
        <v>4.0380000000000003</v>
      </c>
      <c r="EI144" s="8">
        <v>4.0557999999999996</v>
      </c>
      <c r="EJ144" s="8">
        <v>4.0735000000000001</v>
      </c>
      <c r="EK144" s="8">
        <v>4.0913000000000004</v>
      </c>
      <c r="EL144" s="8">
        <v>4.1092000000000004</v>
      </c>
      <c r="EM144" s="8">
        <v>4.1272000000000002</v>
      </c>
      <c r="EN144" s="8">
        <v>4.1452999999999998</v>
      </c>
      <c r="EO144" s="8">
        <v>4.1637000000000004</v>
      </c>
      <c r="EP144" s="8">
        <v>4.1824000000000003</v>
      </c>
      <c r="EQ144" s="8">
        <v>4.2013999999999996</v>
      </c>
      <c r="ER144" s="8">
        <v>4.2206999999999999</v>
      </c>
      <c r="ES144" s="8">
        <v>4.2404999999999999</v>
      </c>
      <c r="ET144" s="8">
        <v>4.2606999999999999</v>
      </c>
      <c r="EU144" s="8">
        <v>4.2815000000000003</v>
      </c>
      <c r="EV144" s="8">
        <v>4.3029000000000002</v>
      </c>
      <c r="EW144" s="8">
        <v>4.3247999999999998</v>
      </c>
      <c r="EX144" s="8">
        <v>4.3475000000000001</v>
      </c>
      <c r="EY144" s="8">
        <v>4.3708999999999998</v>
      </c>
      <c r="EZ144" s="8">
        <v>4.3949999999999996</v>
      </c>
      <c r="FA144" s="8">
        <v>4.4199000000000002</v>
      </c>
      <c r="FB144" s="8">
        <v>4.4457000000000004</v>
      </c>
      <c r="FC144" s="106">
        <v>4.4722999999999997</v>
      </c>
      <c r="FE144" s="50">
        <f t="shared" ca="1" si="15"/>
        <v>3.8381952278984404</v>
      </c>
      <c r="FF144" s="50">
        <f t="shared" ca="1" si="16"/>
        <v>3.825711310477411</v>
      </c>
      <c r="FG144" s="50">
        <f t="shared" ca="1" si="17"/>
        <v>3.8128756375838924</v>
      </c>
      <c r="FH144" s="50">
        <f t="shared" ca="1" si="18"/>
        <v>3.7993857046979862</v>
      </c>
      <c r="FK144" s="50">
        <f t="shared" ca="1" si="19"/>
        <v>3.825711310477411</v>
      </c>
      <c r="FL144" s="50"/>
      <c r="FM144" s="50"/>
      <c r="FN144" s="50"/>
    </row>
    <row r="145" spans="48:170" hidden="1">
      <c r="AV145" s="69"/>
      <c r="AW145" s="104">
        <v>1.288</v>
      </c>
      <c r="AX145" s="8">
        <v>1.635</v>
      </c>
      <c r="AY145" s="8">
        <v>1.6619999999999999</v>
      </c>
      <c r="AZ145" s="8">
        <v>1.6893</v>
      </c>
      <c r="BA145" s="8">
        <v>1.7168000000000001</v>
      </c>
      <c r="BB145" s="8">
        <v>1.7444999999999999</v>
      </c>
      <c r="BC145" s="8">
        <v>1.7724</v>
      </c>
      <c r="BD145" s="8">
        <v>1.8005</v>
      </c>
      <c r="BE145" s="8">
        <v>1.8289</v>
      </c>
      <c r="BF145" s="8">
        <v>1.8573999999999999</v>
      </c>
      <c r="BG145" s="8">
        <v>1.8862000000000001</v>
      </c>
      <c r="BH145" s="8">
        <v>1.9152</v>
      </c>
      <c r="BI145" s="8">
        <v>1.9443999999999999</v>
      </c>
      <c r="BJ145" s="8">
        <v>1.9738</v>
      </c>
      <c r="BK145" s="8">
        <v>2.0034999999999998</v>
      </c>
      <c r="BL145" s="8">
        <v>2.0333000000000001</v>
      </c>
      <c r="BM145" s="8">
        <v>2.0634000000000001</v>
      </c>
      <c r="BN145" s="8">
        <v>2.0935999999999999</v>
      </c>
      <c r="BO145" s="8">
        <v>2.1240999999999999</v>
      </c>
      <c r="BP145" s="8">
        <v>2.1547999999999998</v>
      </c>
      <c r="BQ145" s="8">
        <v>2.1857000000000002</v>
      </c>
      <c r="BR145" s="8">
        <v>2.2168000000000001</v>
      </c>
      <c r="BS145" s="8">
        <v>2.2481</v>
      </c>
      <c r="BT145" s="8">
        <v>2.2795999999999998</v>
      </c>
      <c r="BU145" s="8">
        <v>2.3111999999999999</v>
      </c>
      <c r="BV145" s="8">
        <v>2.3431000000000002</v>
      </c>
      <c r="BW145" s="8">
        <v>2.3752</v>
      </c>
      <c r="BX145" s="8">
        <v>2.4075000000000002</v>
      </c>
      <c r="BY145" s="8">
        <v>2.4399000000000002</v>
      </c>
      <c r="BZ145" s="8">
        <v>2.4725999999999999</v>
      </c>
      <c r="CA145" s="8">
        <v>2.5053999999999998</v>
      </c>
      <c r="CB145" s="8">
        <v>2.5384000000000002</v>
      </c>
      <c r="CC145" s="8">
        <v>2.5716000000000001</v>
      </c>
      <c r="CD145" s="8">
        <v>2.605</v>
      </c>
      <c r="CE145" s="8">
        <v>2.6385000000000001</v>
      </c>
      <c r="CF145" s="8">
        <v>2.6722000000000001</v>
      </c>
      <c r="CG145" s="8">
        <v>2.7061000000000002</v>
      </c>
      <c r="CH145" s="8">
        <v>2.7401</v>
      </c>
      <c r="CI145" s="8">
        <v>2.7743000000000002</v>
      </c>
      <c r="CJ145" s="8">
        <v>2.8086000000000002</v>
      </c>
      <c r="CK145" s="8">
        <v>2.8431000000000002</v>
      </c>
      <c r="CL145" s="8">
        <v>2.8776999999999999</v>
      </c>
      <c r="CM145" s="8">
        <v>2.9123999999999999</v>
      </c>
      <c r="CN145" s="8">
        <v>2.9472999999999998</v>
      </c>
      <c r="CO145" s="8">
        <v>2.9823</v>
      </c>
      <c r="CP145" s="8">
        <v>3.0173999999999999</v>
      </c>
      <c r="CQ145" s="8">
        <v>3.0526</v>
      </c>
      <c r="CR145" s="8">
        <v>3.0878999999999999</v>
      </c>
      <c r="CS145" s="8">
        <v>3.1233</v>
      </c>
      <c r="CT145" s="8">
        <v>3.1583000000000001</v>
      </c>
      <c r="CU145" s="8">
        <v>3.1840000000000002</v>
      </c>
      <c r="CV145" s="8">
        <v>3.2097000000000002</v>
      </c>
      <c r="CW145" s="8">
        <v>3.2353000000000001</v>
      </c>
      <c r="CX145" s="8">
        <v>3.2608000000000001</v>
      </c>
      <c r="CY145" s="8">
        <v>3.2862</v>
      </c>
      <c r="CZ145" s="8">
        <v>3.3113999999999999</v>
      </c>
      <c r="DA145" s="8">
        <v>3.3365</v>
      </c>
      <c r="DB145" s="8">
        <v>3.3614000000000002</v>
      </c>
      <c r="DC145" s="8">
        <v>3.3862000000000001</v>
      </c>
      <c r="DD145" s="8">
        <v>3.4108999999999998</v>
      </c>
      <c r="DE145" s="8">
        <v>3.4352999999999998</v>
      </c>
      <c r="DF145" s="8">
        <v>3.4594999999999998</v>
      </c>
      <c r="DG145" s="8">
        <v>3.4836</v>
      </c>
      <c r="DH145" s="8">
        <v>3.5074000000000001</v>
      </c>
      <c r="DI145" s="8">
        <v>3.5310000000000001</v>
      </c>
      <c r="DJ145" s="8">
        <v>3.5543999999999998</v>
      </c>
      <c r="DK145" s="8">
        <v>3.5775999999999999</v>
      </c>
      <c r="DL145" s="8">
        <v>3.6004999999999998</v>
      </c>
      <c r="DM145" s="8">
        <v>3.6231</v>
      </c>
      <c r="DN145" s="8">
        <v>3.6455000000000002</v>
      </c>
      <c r="DO145" s="8">
        <v>3.6676000000000002</v>
      </c>
      <c r="DP145" s="8">
        <v>3.6894</v>
      </c>
      <c r="DQ145" s="8">
        <v>3.7109000000000001</v>
      </c>
      <c r="DR145" s="8">
        <v>3.7322000000000002</v>
      </c>
      <c r="DS145" s="8">
        <v>3.7532000000000001</v>
      </c>
      <c r="DT145" s="8">
        <v>3.7738999999999998</v>
      </c>
      <c r="DU145" s="8">
        <v>3.7942999999999998</v>
      </c>
      <c r="DV145" s="8">
        <v>3.8144</v>
      </c>
      <c r="DW145" s="8">
        <v>3.8342999999999998</v>
      </c>
      <c r="DX145" s="8">
        <v>3.8538000000000001</v>
      </c>
      <c r="DY145" s="8">
        <v>3.8732000000000002</v>
      </c>
      <c r="DZ145" s="8">
        <v>3.8921999999999999</v>
      </c>
      <c r="EA145" s="8">
        <v>3.9110999999999998</v>
      </c>
      <c r="EB145" s="8">
        <v>3.9297</v>
      </c>
      <c r="EC145" s="8">
        <v>3.9481000000000002</v>
      </c>
      <c r="ED145" s="8">
        <v>3.9664000000000001</v>
      </c>
      <c r="EE145" s="8">
        <v>3.9843999999999999</v>
      </c>
      <c r="EF145" s="8">
        <v>4.0023999999999997</v>
      </c>
      <c r="EG145" s="8">
        <v>4.0202</v>
      </c>
      <c r="EH145" s="8">
        <v>4.0380000000000003</v>
      </c>
      <c r="EI145" s="8">
        <v>4.0557999999999996</v>
      </c>
      <c r="EJ145" s="8">
        <v>4.0735000000000001</v>
      </c>
      <c r="EK145" s="8">
        <v>4.0913000000000004</v>
      </c>
      <c r="EL145" s="8">
        <v>4.1092000000000004</v>
      </c>
      <c r="EM145" s="8">
        <v>4.1272000000000002</v>
      </c>
      <c r="EN145" s="8">
        <v>4.1452999999999998</v>
      </c>
      <c r="EO145" s="8">
        <v>4.1637000000000004</v>
      </c>
      <c r="EP145" s="8">
        <v>4.1824000000000003</v>
      </c>
      <c r="EQ145" s="8">
        <v>4.2013999999999996</v>
      </c>
      <c r="ER145" s="8">
        <v>4.2206999999999999</v>
      </c>
      <c r="ES145" s="8">
        <v>4.2404999999999999</v>
      </c>
      <c r="ET145" s="8">
        <v>4.2606999999999999</v>
      </c>
      <c r="EU145" s="8">
        <v>4.2815000000000003</v>
      </c>
      <c r="EV145" s="8">
        <v>4.3029000000000002</v>
      </c>
      <c r="EW145" s="8">
        <v>4.3247999999999998</v>
      </c>
      <c r="EX145" s="8">
        <v>4.3475000000000001</v>
      </c>
      <c r="EY145" s="8">
        <v>4.3708999999999998</v>
      </c>
      <c r="EZ145" s="8">
        <v>4.3949999999999996</v>
      </c>
      <c r="FA145" s="8">
        <v>4.4199000000000002</v>
      </c>
      <c r="FB145" s="8">
        <v>4.4457000000000004</v>
      </c>
      <c r="FC145" s="106">
        <v>4.4722999999999997</v>
      </c>
      <c r="FE145" s="50">
        <f t="shared" ca="1" si="15"/>
        <v>3.8381952278984404</v>
      </c>
      <c r="FF145" s="50">
        <f t="shared" ca="1" si="16"/>
        <v>3.825711310477411</v>
      </c>
      <c r="FG145" s="50">
        <f t="shared" ca="1" si="17"/>
        <v>3.8128756375838924</v>
      </c>
      <c r="FH145" s="50">
        <f t="shared" ca="1" si="18"/>
        <v>3.7993857046979862</v>
      </c>
      <c r="FK145" s="50">
        <f t="shared" ca="1" si="19"/>
        <v>3.825711310477411</v>
      </c>
      <c r="FL145" s="50"/>
      <c r="FM145" s="50"/>
      <c r="FN145" s="50"/>
    </row>
    <row r="146" spans="48:170" hidden="1">
      <c r="AV146" s="69"/>
      <c r="AW146" s="104">
        <v>1.38</v>
      </c>
      <c r="AX146" s="8">
        <v>1.6295999999999999</v>
      </c>
      <c r="AY146" s="8">
        <v>1.6566000000000001</v>
      </c>
      <c r="AZ146" s="8">
        <v>1.6837</v>
      </c>
      <c r="BA146" s="8">
        <v>1.7111000000000001</v>
      </c>
      <c r="BB146" s="8">
        <v>1.7386999999999999</v>
      </c>
      <c r="BC146" s="8">
        <v>1.7665</v>
      </c>
      <c r="BD146" s="8">
        <v>1.7946</v>
      </c>
      <c r="BE146" s="8">
        <v>1.8228</v>
      </c>
      <c r="BF146" s="8">
        <v>1.8512999999999999</v>
      </c>
      <c r="BG146" s="8">
        <v>1.88</v>
      </c>
      <c r="BH146" s="8">
        <v>1.9089</v>
      </c>
      <c r="BI146" s="8">
        <v>1.9379999999999999</v>
      </c>
      <c r="BJ146" s="8">
        <v>1.9673</v>
      </c>
      <c r="BK146" s="8">
        <v>1.9968999999999999</v>
      </c>
      <c r="BL146" s="8">
        <v>2.0266000000000002</v>
      </c>
      <c r="BM146" s="8">
        <v>2.0566</v>
      </c>
      <c r="BN146" s="8">
        <v>2.0868000000000002</v>
      </c>
      <c r="BO146" s="8">
        <v>2.1171000000000002</v>
      </c>
      <c r="BP146" s="8">
        <v>2.1476999999999999</v>
      </c>
      <c r="BQ146" s="8">
        <v>2.1785000000000001</v>
      </c>
      <c r="BR146" s="8">
        <v>2.2094999999999998</v>
      </c>
      <c r="BS146" s="8">
        <v>2.2406999999999999</v>
      </c>
      <c r="BT146" s="8">
        <v>2.2721</v>
      </c>
      <c r="BU146" s="8">
        <v>2.3035999999999999</v>
      </c>
      <c r="BV146" s="8">
        <v>2.3353999999999999</v>
      </c>
      <c r="BW146" s="8">
        <v>2.3673999999999999</v>
      </c>
      <c r="BX146" s="8">
        <v>2.3996</v>
      </c>
      <c r="BY146" s="8">
        <v>2.4319000000000002</v>
      </c>
      <c r="BZ146" s="8">
        <v>2.4645000000000001</v>
      </c>
      <c r="CA146" s="8">
        <v>2.4971999999999999</v>
      </c>
      <c r="CB146" s="8">
        <v>2.5301</v>
      </c>
      <c r="CC146" s="8">
        <v>2.5632000000000001</v>
      </c>
      <c r="CD146" s="8">
        <v>2.5964</v>
      </c>
      <c r="CE146" s="8">
        <v>2.6297999999999999</v>
      </c>
      <c r="CF146" s="8">
        <v>2.6634000000000002</v>
      </c>
      <c r="CG146" s="8">
        <v>2.6972</v>
      </c>
      <c r="CH146" s="8">
        <v>2.7311000000000001</v>
      </c>
      <c r="CI146" s="8">
        <v>2.7652000000000001</v>
      </c>
      <c r="CJ146" s="8">
        <v>2.7993999999999999</v>
      </c>
      <c r="CK146" s="8">
        <v>2.8336999999999999</v>
      </c>
      <c r="CL146" s="8">
        <v>2.8681999999999999</v>
      </c>
      <c r="CM146" s="8">
        <v>2.9028</v>
      </c>
      <c r="CN146" s="8">
        <v>2.9376000000000002</v>
      </c>
      <c r="CO146" s="8">
        <v>2.9725000000000001</v>
      </c>
      <c r="CP146" s="8">
        <v>3.0074999999999998</v>
      </c>
      <c r="CQ146" s="8">
        <v>3.0425</v>
      </c>
      <c r="CR146" s="8">
        <v>3.0777000000000001</v>
      </c>
      <c r="CS146" s="8">
        <v>3.113</v>
      </c>
      <c r="CT146" s="8">
        <v>3.1484000000000001</v>
      </c>
      <c r="CU146" s="8">
        <v>3.1838000000000002</v>
      </c>
      <c r="CV146" s="8">
        <v>3.2097000000000002</v>
      </c>
      <c r="CW146" s="8">
        <v>3.2353000000000001</v>
      </c>
      <c r="CX146" s="8">
        <v>3.2608000000000001</v>
      </c>
      <c r="CY146" s="8">
        <v>3.2862</v>
      </c>
      <c r="CZ146" s="8">
        <v>3.3113999999999999</v>
      </c>
      <c r="DA146" s="8">
        <v>3.3365</v>
      </c>
      <c r="DB146" s="8">
        <v>3.3614000000000002</v>
      </c>
      <c r="DC146" s="8">
        <v>3.3862000000000001</v>
      </c>
      <c r="DD146" s="8">
        <v>3.4108999999999998</v>
      </c>
      <c r="DE146" s="8">
        <v>3.4352999999999998</v>
      </c>
      <c r="DF146" s="8">
        <v>3.4594999999999998</v>
      </c>
      <c r="DG146" s="8">
        <v>3.4836</v>
      </c>
      <c r="DH146" s="8">
        <v>3.5074000000000001</v>
      </c>
      <c r="DI146" s="8">
        <v>3.5310000000000001</v>
      </c>
      <c r="DJ146" s="8">
        <v>3.5543999999999998</v>
      </c>
      <c r="DK146" s="8">
        <v>3.5775999999999999</v>
      </c>
      <c r="DL146" s="8">
        <v>3.6004999999999998</v>
      </c>
      <c r="DM146" s="8">
        <v>3.6231</v>
      </c>
      <c r="DN146" s="8">
        <v>3.6455000000000002</v>
      </c>
      <c r="DO146" s="8">
        <v>3.6676000000000002</v>
      </c>
      <c r="DP146" s="8">
        <v>3.6894</v>
      </c>
      <c r="DQ146" s="8">
        <v>3.7109000000000001</v>
      </c>
      <c r="DR146" s="8">
        <v>3.7322000000000002</v>
      </c>
      <c r="DS146" s="8">
        <v>3.7532000000000001</v>
      </c>
      <c r="DT146" s="8">
        <v>3.7738999999999998</v>
      </c>
      <c r="DU146" s="8">
        <v>3.7942999999999998</v>
      </c>
      <c r="DV146" s="8">
        <v>3.8144</v>
      </c>
      <c r="DW146" s="8">
        <v>3.8342999999999998</v>
      </c>
      <c r="DX146" s="8">
        <v>3.8538000000000001</v>
      </c>
      <c r="DY146" s="8">
        <v>3.8732000000000002</v>
      </c>
      <c r="DZ146" s="8">
        <v>3.8921999999999999</v>
      </c>
      <c r="EA146" s="8">
        <v>3.9110999999999998</v>
      </c>
      <c r="EB146" s="8">
        <v>3.9297</v>
      </c>
      <c r="EC146" s="8">
        <v>3.9481000000000002</v>
      </c>
      <c r="ED146" s="8">
        <v>3.9664000000000001</v>
      </c>
      <c r="EE146" s="8">
        <v>3.9843999999999999</v>
      </c>
      <c r="EF146" s="8">
        <v>4.0023999999999997</v>
      </c>
      <c r="EG146" s="8">
        <v>4.0202</v>
      </c>
      <c r="EH146" s="8">
        <v>4.0380000000000003</v>
      </c>
      <c r="EI146" s="8">
        <v>4.0557999999999996</v>
      </c>
      <c r="EJ146" s="8">
        <v>4.0735000000000001</v>
      </c>
      <c r="EK146" s="8">
        <v>4.0913000000000004</v>
      </c>
      <c r="EL146" s="8">
        <v>4.1092000000000004</v>
      </c>
      <c r="EM146" s="8">
        <v>4.1272000000000002</v>
      </c>
      <c r="EN146" s="8">
        <v>4.1452999999999998</v>
      </c>
      <c r="EO146" s="8">
        <v>4.1637000000000004</v>
      </c>
      <c r="EP146" s="8">
        <v>4.1824000000000003</v>
      </c>
      <c r="EQ146" s="8">
        <v>4.2013999999999996</v>
      </c>
      <c r="ER146" s="8">
        <v>4.2206999999999999</v>
      </c>
      <c r="ES146" s="8">
        <v>4.2404999999999999</v>
      </c>
      <c r="ET146" s="8">
        <v>4.2606999999999999</v>
      </c>
      <c r="EU146" s="8">
        <v>4.2815000000000003</v>
      </c>
      <c r="EV146" s="8">
        <v>4.3029000000000002</v>
      </c>
      <c r="EW146" s="8">
        <v>4.3247999999999998</v>
      </c>
      <c r="EX146" s="8">
        <v>4.3475000000000001</v>
      </c>
      <c r="EY146" s="8">
        <v>4.3708999999999998</v>
      </c>
      <c r="EZ146" s="8">
        <v>4.3949999999999996</v>
      </c>
      <c r="FA146" s="8">
        <v>4.4199000000000002</v>
      </c>
      <c r="FB146" s="8">
        <v>4.4457000000000004</v>
      </c>
      <c r="FC146" s="106">
        <v>4.4722999999999997</v>
      </c>
      <c r="FE146" s="50">
        <f t="shared" ca="1" si="15"/>
        <v>3.8381952278984404</v>
      </c>
      <c r="FF146" s="50">
        <f t="shared" ca="1" si="16"/>
        <v>3.825711310477411</v>
      </c>
      <c r="FG146" s="50">
        <f t="shared" ca="1" si="17"/>
        <v>3.8128756375838924</v>
      </c>
      <c r="FH146" s="50">
        <f t="shared" ca="1" si="18"/>
        <v>3.7993857046979862</v>
      </c>
      <c r="FK146" s="50">
        <f t="shared" ca="1" si="19"/>
        <v>3.825711310477411</v>
      </c>
      <c r="FL146" s="50"/>
      <c r="FM146" s="50"/>
      <c r="FN146" s="50"/>
    </row>
    <row r="147" spans="48:170" hidden="1">
      <c r="AV147" s="69"/>
      <c r="AW147" s="104">
        <v>1.4790000000000001</v>
      </c>
      <c r="AX147" s="8">
        <v>1.6243000000000001</v>
      </c>
      <c r="AY147" s="8">
        <v>1.6512</v>
      </c>
      <c r="AZ147" s="8">
        <v>1.6782999999999999</v>
      </c>
      <c r="BA147" s="8">
        <v>1.7056</v>
      </c>
      <c r="BB147" s="8">
        <v>1.7331000000000001</v>
      </c>
      <c r="BC147" s="8">
        <v>1.7607999999999999</v>
      </c>
      <c r="BD147" s="8">
        <v>1.7887999999999999</v>
      </c>
      <c r="BE147" s="8">
        <v>1.8169</v>
      </c>
      <c r="BF147" s="8">
        <v>1.8452999999999999</v>
      </c>
      <c r="BG147" s="8">
        <v>1.8738999999999999</v>
      </c>
      <c r="BH147" s="8">
        <v>1.9027000000000001</v>
      </c>
      <c r="BI147" s="8">
        <v>1.9317</v>
      </c>
      <c r="BJ147" s="8">
        <v>1.9610000000000001</v>
      </c>
      <c r="BK147" s="8">
        <v>1.9903999999999999</v>
      </c>
      <c r="BL147" s="8">
        <v>2.02</v>
      </c>
      <c r="BM147" s="8">
        <v>2.0499000000000001</v>
      </c>
      <c r="BN147" s="8">
        <v>2.08</v>
      </c>
      <c r="BO147" s="8">
        <v>2.1101999999999999</v>
      </c>
      <c r="BP147" s="8">
        <v>2.1406999999999998</v>
      </c>
      <c r="BQ147" s="8">
        <v>2.1714000000000002</v>
      </c>
      <c r="BR147" s="8">
        <v>2.2023000000000001</v>
      </c>
      <c r="BS147" s="8">
        <v>2.2334000000000001</v>
      </c>
      <c r="BT147" s="8">
        <v>2.2646999999999999</v>
      </c>
      <c r="BU147" s="8">
        <v>2.2961999999999998</v>
      </c>
      <c r="BV147" s="8">
        <v>2.3277999999999999</v>
      </c>
      <c r="BW147" s="8">
        <v>2.3597000000000001</v>
      </c>
      <c r="BX147" s="8">
        <v>2.3917999999999999</v>
      </c>
      <c r="BY147" s="8">
        <v>2.4239999999999999</v>
      </c>
      <c r="BZ147" s="8">
        <v>2.4565000000000001</v>
      </c>
      <c r="CA147" s="8">
        <v>2.4891000000000001</v>
      </c>
      <c r="CB147" s="8">
        <v>2.5219</v>
      </c>
      <c r="CC147" s="8">
        <v>2.5548000000000002</v>
      </c>
      <c r="CD147" s="8">
        <v>2.5880000000000001</v>
      </c>
      <c r="CE147" s="8">
        <v>2.6213000000000002</v>
      </c>
      <c r="CF147" s="8">
        <v>2.6547999999999998</v>
      </c>
      <c r="CG147" s="8">
        <v>2.6884000000000001</v>
      </c>
      <c r="CH147" s="8">
        <v>2.7222</v>
      </c>
      <c r="CI147" s="8">
        <v>2.7562000000000002</v>
      </c>
      <c r="CJ147" s="8">
        <v>2.7902999999999998</v>
      </c>
      <c r="CK147" s="8">
        <v>2.8245</v>
      </c>
      <c r="CL147" s="8">
        <v>2.8589000000000002</v>
      </c>
      <c r="CM147" s="8">
        <v>2.8934000000000002</v>
      </c>
      <c r="CN147" s="8">
        <v>2.9281000000000001</v>
      </c>
      <c r="CO147" s="8">
        <v>2.9628000000000001</v>
      </c>
      <c r="CP147" s="8">
        <v>2.9977</v>
      </c>
      <c r="CQ147" s="8">
        <v>3.0327000000000002</v>
      </c>
      <c r="CR147" s="8">
        <v>3.0676999999999999</v>
      </c>
      <c r="CS147" s="8">
        <v>3.1029</v>
      </c>
      <c r="CT147" s="8">
        <v>3.1381000000000001</v>
      </c>
      <c r="CU147" s="8">
        <v>3.1734</v>
      </c>
      <c r="CV147" s="8">
        <v>3.2088000000000001</v>
      </c>
      <c r="CW147" s="8">
        <v>3.2353000000000001</v>
      </c>
      <c r="CX147" s="8">
        <v>3.2608000000000001</v>
      </c>
      <c r="CY147" s="8">
        <v>3.2862</v>
      </c>
      <c r="CZ147" s="8">
        <v>3.3113999999999999</v>
      </c>
      <c r="DA147" s="8">
        <v>3.3365</v>
      </c>
      <c r="DB147" s="8">
        <v>3.3614000000000002</v>
      </c>
      <c r="DC147" s="8">
        <v>3.3862000000000001</v>
      </c>
      <c r="DD147" s="8">
        <v>3.4108999999999998</v>
      </c>
      <c r="DE147" s="8">
        <v>3.4352999999999998</v>
      </c>
      <c r="DF147" s="8">
        <v>3.4594999999999998</v>
      </c>
      <c r="DG147" s="8">
        <v>3.4836</v>
      </c>
      <c r="DH147" s="8">
        <v>3.5074000000000001</v>
      </c>
      <c r="DI147" s="8">
        <v>3.5310000000000001</v>
      </c>
      <c r="DJ147" s="8">
        <v>3.5543999999999998</v>
      </c>
      <c r="DK147" s="8">
        <v>3.5775999999999999</v>
      </c>
      <c r="DL147" s="8">
        <v>3.6004999999999998</v>
      </c>
      <c r="DM147" s="8">
        <v>3.6231</v>
      </c>
      <c r="DN147" s="8">
        <v>3.6455000000000002</v>
      </c>
      <c r="DO147" s="8">
        <v>3.6676000000000002</v>
      </c>
      <c r="DP147" s="8">
        <v>3.6894</v>
      </c>
      <c r="DQ147" s="8">
        <v>3.7109000000000001</v>
      </c>
      <c r="DR147" s="8">
        <v>3.7322000000000002</v>
      </c>
      <c r="DS147" s="8">
        <v>3.7532000000000001</v>
      </c>
      <c r="DT147" s="8">
        <v>3.7738999999999998</v>
      </c>
      <c r="DU147" s="8">
        <v>3.7942999999999998</v>
      </c>
      <c r="DV147" s="8">
        <v>3.8144</v>
      </c>
      <c r="DW147" s="8">
        <v>3.8342999999999998</v>
      </c>
      <c r="DX147" s="8">
        <v>3.8538000000000001</v>
      </c>
      <c r="DY147" s="8">
        <v>3.8732000000000002</v>
      </c>
      <c r="DZ147" s="8">
        <v>3.8921999999999999</v>
      </c>
      <c r="EA147" s="8">
        <v>3.9110999999999998</v>
      </c>
      <c r="EB147" s="8">
        <v>3.9297</v>
      </c>
      <c r="EC147" s="8">
        <v>3.9481000000000002</v>
      </c>
      <c r="ED147" s="8">
        <v>3.9664000000000001</v>
      </c>
      <c r="EE147" s="8">
        <v>3.9843999999999999</v>
      </c>
      <c r="EF147" s="8">
        <v>4.0023999999999997</v>
      </c>
      <c r="EG147" s="8">
        <v>4.0202</v>
      </c>
      <c r="EH147" s="8">
        <v>4.0380000000000003</v>
      </c>
      <c r="EI147" s="8">
        <v>4.0557999999999996</v>
      </c>
      <c r="EJ147" s="8">
        <v>4.0735000000000001</v>
      </c>
      <c r="EK147" s="8">
        <v>4.0913000000000004</v>
      </c>
      <c r="EL147" s="8">
        <v>4.1092000000000004</v>
      </c>
      <c r="EM147" s="8">
        <v>4.1272000000000002</v>
      </c>
      <c r="EN147" s="8">
        <v>4.1452999999999998</v>
      </c>
      <c r="EO147" s="8">
        <v>4.1637000000000004</v>
      </c>
      <c r="EP147" s="8">
        <v>4.1824000000000003</v>
      </c>
      <c r="EQ147" s="8">
        <v>4.2013999999999996</v>
      </c>
      <c r="ER147" s="8">
        <v>4.2206999999999999</v>
      </c>
      <c r="ES147" s="8">
        <v>4.2404999999999999</v>
      </c>
      <c r="ET147" s="8">
        <v>4.2606999999999999</v>
      </c>
      <c r="EU147" s="8">
        <v>4.2815000000000003</v>
      </c>
      <c r="EV147" s="8">
        <v>4.3029000000000002</v>
      </c>
      <c r="EW147" s="8">
        <v>4.3247999999999998</v>
      </c>
      <c r="EX147" s="8">
        <v>4.3475000000000001</v>
      </c>
      <c r="EY147" s="8">
        <v>4.3708999999999998</v>
      </c>
      <c r="EZ147" s="8">
        <v>4.3949999999999996</v>
      </c>
      <c r="FA147" s="8">
        <v>4.4199000000000002</v>
      </c>
      <c r="FB147" s="8">
        <v>4.4457000000000004</v>
      </c>
      <c r="FC147" s="106">
        <v>4.4722999999999997</v>
      </c>
      <c r="FE147" s="50">
        <f t="shared" ca="1" si="15"/>
        <v>3.8381952278984404</v>
      </c>
      <c r="FF147" s="50">
        <f t="shared" ca="1" si="16"/>
        <v>3.825711310477411</v>
      </c>
      <c r="FG147" s="50">
        <f t="shared" ca="1" si="17"/>
        <v>3.8128756375838924</v>
      </c>
      <c r="FH147" s="50">
        <f t="shared" ca="1" si="18"/>
        <v>3.7993857046979862</v>
      </c>
      <c r="FK147" s="50">
        <f t="shared" ca="1" si="19"/>
        <v>3.825711310477411</v>
      </c>
      <c r="FL147" s="50"/>
      <c r="FM147" s="50"/>
      <c r="FN147" s="50"/>
    </row>
    <row r="148" spans="48:170" hidden="1">
      <c r="AV148" s="69"/>
      <c r="AW148" s="104">
        <v>1.585</v>
      </c>
      <c r="AX148" s="8">
        <v>1.6191</v>
      </c>
      <c r="AY148" s="8">
        <v>1.6458999999999999</v>
      </c>
      <c r="AZ148" s="8">
        <v>1.6729000000000001</v>
      </c>
      <c r="BA148" s="8">
        <v>1.7000999999999999</v>
      </c>
      <c r="BB148" s="8">
        <v>1.7275</v>
      </c>
      <c r="BC148" s="8">
        <v>1.7552000000000001</v>
      </c>
      <c r="BD148" s="8">
        <v>1.7829999999999999</v>
      </c>
      <c r="BE148" s="8">
        <v>1.8110999999999999</v>
      </c>
      <c r="BF148" s="8">
        <v>1.8393999999999999</v>
      </c>
      <c r="BG148" s="8">
        <v>1.8678999999999999</v>
      </c>
      <c r="BH148" s="8">
        <v>1.8966000000000001</v>
      </c>
      <c r="BI148" s="8">
        <v>1.9255</v>
      </c>
      <c r="BJ148" s="8">
        <v>1.9547000000000001</v>
      </c>
      <c r="BK148" s="8">
        <v>1.984</v>
      </c>
      <c r="BL148" s="8">
        <v>2.0135999999999998</v>
      </c>
      <c r="BM148" s="8">
        <v>2.0432999999999999</v>
      </c>
      <c r="BN148" s="8">
        <v>2.0733000000000001</v>
      </c>
      <c r="BO148" s="8">
        <v>2.1034999999999999</v>
      </c>
      <c r="BP148" s="8">
        <v>2.1339000000000001</v>
      </c>
      <c r="BQ148" s="8">
        <v>2.1644000000000001</v>
      </c>
      <c r="BR148" s="8">
        <v>2.1951999999999998</v>
      </c>
      <c r="BS148" s="8">
        <v>2.2262</v>
      </c>
      <c r="BT148" s="8">
        <v>2.2574000000000001</v>
      </c>
      <c r="BU148" s="8">
        <v>2.2888000000000002</v>
      </c>
      <c r="BV148" s="8">
        <v>2.3203999999999998</v>
      </c>
      <c r="BW148" s="8">
        <v>2.3521000000000001</v>
      </c>
      <c r="BX148" s="8">
        <v>2.3841000000000001</v>
      </c>
      <c r="BY148" s="8">
        <v>2.4161999999999999</v>
      </c>
      <c r="BZ148" s="8">
        <v>2.4485999999999999</v>
      </c>
      <c r="CA148" s="8">
        <v>2.4811000000000001</v>
      </c>
      <c r="CB148" s="8">
        <v>2.5137999999999998</v>
      </c>
      <c r="CC148" s="8">
        <v>2.5466000000000002</v>
      </c>
      <c r="CD148" s="8">
        <v>2.5796999999999999</v>
      </c>
      <c r="CE148" s="8">
        <v>2.6128999999999998</v>
      </c>
      <c r="CF148" s="8">
        <v>2.6463000000000001</v>
      </c>
      <c r="CG148" s="8">
        <v>2.6798000000000002</v>
      </c>
      <c r="CH148" s="8">
        <v>2.7134999999999998</v>
      </c>
      <c r="CI148" s="8">
        <v>2.7473000000000001</v>
      </c>
      <c r="CJ148" s="8">
        <v>2.7812999999999999</v>
      </c>
      <c r="CK148" s="8">
        <v>2.8155000000000001</v>
      </c>
      <c r="CL148" s="8">
        <v>2.8496999999999999</v>
      </c>
      <c r="CM148" s="8">
        <v>2.8841000000000001</v>
      </c>
      <c r="CN148" s="8">
        <v>2.9186999999999999</v>
      </c>
      <c r="CO148" s="8">
        <v>2.9533</v>
      </c>
      <c r="CP148" s="8">
        <v>2.9881000000000002</v>
      </c>
      <c r="CQ148" s="8">
        <v>3.0228999999999999</v>
      </c>
      <c r="CR148" s="8">
        <v>3.0579000000000001</v>
      </c>
      <c r="CS148" s="8">
        <v>3.0929000000000002</v>
      </c>
      <c r="CT148" s="8">
        <v>3.1280999999999999</v>
      </c>
      <c r="CU148" s="8">
        <v>3.1633</v>
      </c>
      <c r="CV148" s="8">
        <v>3.1985000000000001</v>
      </c>
      <c r="CW148" s="8">
        <v>3.2339000000000002</v>
      </c>
      <c r="CX148" s="8">
        <v>3.2608000000000001</v>
      </c>
      <c r="CY148" s="8">
        <v>3.2862</v>
      </c>
      <c r="CZ148" s="8">
        <v>3.3113999999999999</v>
      </c>
      <c r="DA148" s="8">
        <v>3.3365</v>
      </c>
      <c r="DB148" s="8">
        <v>3.3614000000000002</v>
      </c>
      <c r="DC148" s="8">
        <v>3.3862000000000001</v>
      </c>
      <c r="DD148" s="8">
        <v>3.4108999999999998</v>
      </c>
      <c r="DE148" s="8">
        <v>3.4352999999999998</v>
      </c>
      <c r="DF148" s="8">
        <v>3.4594999999999998</v>
      </c>
      <c r="DG148" s="8">
        <v>3.4836</v>
      </c>
      <c r="DH148" s="8">
        <v>3.5074000000000001</v>
      </c>
      <c r="DI148" s="8">
        <v>3.5310000000000001</v>
      </c>
      <c r="DJ148" s="8">
        <v>3.5543999999999998</v>
      </c>
      <c r="DK148" s="8">
        <v>3.5775999999999999</v>
      </c>
      <c r="DL148" s="8">
        <v>3.6004999999999998</v>
      </c>
      <c r="DM148" s="8">
        <v>3.6231</v>
      </c>
      <c r="DN148" s="8">
        <v>3.6455000000000002</v>
      </c>
      <c r="DO148" s="8">
        <v>3.6676000000000002</v>
      </c>
      <c r="DP148" s="8">
        <v>3.6894</v>
      </c>
      <c r="DQ148" s="8">
        <v>3.7109000000000001</v>
      </c>
      <c r="DR148" s="8">
        <v>3.7322000000000002</v>
      </c>
      <c r="DS148" s="8">
        <v>3.7532000000000001</v>
      </c>
      <c r="DT148" s="8">
        <v>3.7738999999999998</v>
      </c>
      <c r="DU148" s="8">
        <v>3.7942999999999998</v>
      </c>
      <c r="DV148" s="8">
        <v>3.8144</v>
      </c>
      <c r="DW148" s="8">
        <v>3.8342999999999998</v>
      </c>
      <c r="DX148" s="8">
        <v>3.8538000000000001</v>
      </c>
      <c r="DY148" s="8">
        <v>3.8732000000000002</v>
      </c>
      <c r="DZ148" s="8">
        <v>3.8921999999999999</v>
      </c>
      <c r="EA148" s="8">
        <v>3.9110999999999998</v>
      </c>
      <c r="EB148" s="8">
        <v>3.9297</v>
      </c>
      <c r="EC148" s="8">
        <v>3.9481000000000002</v>
      </c>
      <c r="ED148" s="8">
        <v>3.9664000000000001</v>
      </c>
      <c r="EE148" s="8">
        <v>3.9843999999999999</v>
      </c>
      <c r="EF148" s="8">
        <v>4.0023999999999997</v>
      </c>
      <c r="EG148" s="8">
        <v>4.0202</v>
      </c>
      <c r="EH148" s="8">
        <v>4.0380000000000003</v>
      </c>
      <c r="EI148" s="8">
        <v>4.0557999999999996</v>
      </c>
      <c r="EJ148" s="8">
        <v>4.0735000000000001</v>
      </c>
      <c r="EK148" s="8">
        <v>4.0913000000000004</v>
      </c>
      <c r="EL148" s="8">
        <v>4.1092000000000004</v>
      </c>
      <c r="EM148" s="8">
        <v>4.1272000000000002</v>
      </c>
      <c r="EN148" s="8">
        <v>4.1452999999999998</v>
      </c>
      <c r="EO148" s="8">
        <v>4.1637000000000004</v>
      </c>
      <c r="EP148" s="8">
        <v>4.1824000000000003</v>
      </c>
      <c r="EQ148" s="8">
        <v>4.2013999999999996</v>
      </c>
      <c r="ER148" s="8">
        <v>4.2206999999999999</v>
      </c>
      <c r="ES148" s="8">
        <v>4.2404999999999999</v>
      </c>
      <c r="ET148" s="8">
        <v>4.2606999999999999</v>
      </c>
      <c r="EU148" s="8">
        <v>4.2815000000000003</v>
      </c>
      <c r="EV148" s="8">
        <v>4.3029000000000002</v>
      </c>
      <c r="EW148" s="8">
        <v>4.3247999999999998</v>
      </c>
      <c r="EX148" s="8">
        <v>4.3475000000000001</v>
      </c>
      <c r="EY148" s="8">
        <v>4.3708999999999998</v>
      </c>
      <c r="EZ148" s="8">
        <v>4.3949999999999996</v>
      </c>
      <c r="FA148" s="8">
        <v>4.4199000000000002</v>
      </c>
      <c r="FB148" s="8">
        <v>4.4457000000000004</v>
      </c>
      <c r="FC148" s="106">
        <v>4.4722999999999997</v>
      </c>
      <c r="FE148" s="50">
        <f t="shared" ca="1" si="15"/>
        <v>3.8381952278984404</v>
      </c>
      <c r="FF148" s="50">
        <f t="shared" ca="1" si="16"/>
        <v>3.825711310477411</v>
      </c>
      <c r="FG148" s="50">
        <f t="shared" ca="1" si="17"/>
        <v>3.8128756375838924</v>
      </c>
      <c r="FH148" s="50">
        <f t="shared" ca="1" si="18"/>
        <v>3.7993857046979862</v>
      </c>
      <c r="FK148" s="50">
        <f t="shared" ca="1" si="19"/>
        <v>3.825711310477411</v>
      </c>
      <c r="FL148" s="50"/>
      <c r="FM148" s="50"/>
      <c r="FN148" s="50"/>
    </row>
    <row r="149" spans="48:170" hidden="1">
      <c r="AV149" s="69"/>
      <c r="AW149" s="104">
        <v>1.698</v>
      </c>
      <c r="AX149" s="8">
        <v>1.6140000000000001</v>
      </c>
      <c r="AY149" s="8">
        <v>1.6407</v>
      </c>
      <c r="AZ149" s="8">
        <v>1.6676</v>
      </c>
      <c r="BA149" s="8">
        <v>1.6947000000000001</v>
      </c>
      <c r="BB149" s="8">
        <v>1.722</v>
      </c>
      <c r="BC149" s="8">
        <v>1.7496</v>
      </c>
      <c r="BD149" s="8">
        <v>1.7774000000000001</v>
      </c>
      <c r="BE149" s="8">
        <v>1.8052999999999999</v>
      </c>
      <c r="BF149" s="8">
        <v>1.8334999999999999</v>
      </c>
      <c r="BG149" s="8">
        <v>1.8620000000000001</v>
      </c>
      <c r="BH149" s="8">
        <v>1.8906000000000001</v>
      </c>
      <c r="BI149" s="8">
        <v>1.9194</v>
      </c>
      <c r="BJ149" s="8">
        <v>1.9484999999999999</v>
      </c>
      <c r="BK149" s="8">
        <v>1.9777</v>
      </c>
      <c r="BL149" s="8">
        <v>2.0072000000000001</v>
      </c>
      <c r="BM149" s="8">
        <v>2.0367999999999999</v>
      </c>
      <c r="BN149" s="8">
        <v>2.0667</v>
      </c>
      <c r="BO149" s="8">
        <v>2.0968</v>
      </c>
      <c r="BP149" s="8">
        <v>2.1271</v>
      </c>
      <c r="BQ149" s="8">
        <v>2.1576</v>
      </c>
      <c r="BR149" s="8">
        <v>2.1882999999999999</v>
      </c>
      <c r="BS149" s="8">
        <v>2.2191999999999998</v>
      </c>
      <c r="BT149" s="8">
        <v>2.2502</v>
      </c>
      <c r="BU149" s="8">
        <v>2.2814999999999999</v>
      </c>
      <c r="BV149" s="8">
        <v>2.3130000000000002</v>
      </c>
      <c r="BW149" s="8">
        <v>2.3447</v>
      </c>
      <c r="BX149" s="8">
        <v>2.3765000000000001</v>
      </c>
      <c r="BY149" s="8">
        <v>2.4085999999999999</v>
      </c>
      <c r="BZ149" s="8">
        <v>2.4407999999999999</v>
      </c>
      <c r="CA149" s="8">
        <v>2.4731999999999998</v>
      </c>
      <c r="CB149" s="8">
        <v>2.5057999999999998</v>
      </c>
      <c r="CC149" s="8">
        <v>2.5386000000000002</v>
      </c>
      <c r="CD149" s="8">
        <v>2.5714999999999999</v>
      </c>
      <c r="CE149" s="8">
        <v>2.6046</v>
      </c>
      <c r="CF149" s="8">
        <v>2.6379000000000001</v>
      </c>
      <c r="CG149" s="8">
        <v>2.6713</v>
      </c>
      <c r="CH149" s="8">
        <v>2.7048999999999999</v>
      </c>
      <c r="CI149" s="8">
        <v>2.7385999999999999</v>
      </c>
      <c r="CJ149" s="8">
        <v>2.7725</v>
      </c>
      <c r="CK149" s="8">
        <v>2.8065000000000002</v>
      </c>
      <c r="CL149" s="8">
        <v>2.8407</v>
      </c>
      <c r="CM149" s="8">
        <v>2.875</v>
      </c>
      <c r="CN149" s="8">
        <v>2.9094000000000002</v>
      </c>
      <c r="CO149" s="8">
        <v>2.9439000000000002</v>
      </c>
      <c r="CP149" s="8">
        <v>2.9786000000000001</v>
      </c>
      <c r="CQ149" s="8">
        <v>3.0133000000000001</v>
      </c>
      <c r="CR149" s="8">
        <v>3.0482</v>
      </c>
      <c r="CS149" s="8">
        <v>3.0831</v>
      </c>
      <c r="CT149" s="8">
        <v>3.1181000000000001</v>
      </c>
      <c r="CU149" s="8">
        <v>3.1532</v>
      </c>
      <c r="CV149" s="8">
        <v>3.1884000000000001</v>
      </c>
      <c r="CW149" s="8">
        <v>3.2235999999999998</v>
      </c>
      <c r="CX149" s="8">
        <v>3.2589000000000001</v>
      </c>
      <c r="CY149" s="8">
        <v>3.2862</v>
      </c>
      <c r="CZ149" s="8">
        <v>3.3113999999999999</v>
      </c>
      <c r="DA149" s="8">
        <v>3.3365</v>
      </c>
      <c r="DB149" s="8">
        <v>3.3614000000000002</v>
      </c>
      <c r="DC149" s="8">
        <v>3.3862000000000001</v>
      </c>
      <c r="DD149" s="8">
        <v>3.4108999999999998</v>
      </c>
      <c r="DE149" s="8">
        <v>3.4352999999999998</v>
      </c>
      <c r="DF149" s="8">
        <v>3.4594999999999998</v>
      </c>
      <c r="DG149" s="8">
        <v>3.4836</v>
      </c>
      <c r="DH149" s="8">
        <v>3.5074000000000001</v>
      </c>
      <c r="DI149" s="8">
        <v>3.5310000000000001</v>
      </c>
      <c r="DJ149" s="8">
        <v>3.5543999999999998</v>
      </c>
      <c r="DK149" s="8">
        <v>3.5775999999999999</v>
      </c>
      <c r="DL149" s="8">
        <v>3.6004999999999998</v>
      </c>
      <c r="DM149" s="8">
        <v>3.6231</v>
      </c>
      <c r="DN149" s="8">
        <v>3.6455000000000002</v>
      </c>
      <c r="DO149" s="8">
        <v>3.6676000000000002</v>
      </c>
      <c r="DP149" s="8">
        <v>3.6894</v>
      </c>
      <c r="DQ149" s="8">
        <v>3.7109000000000001</v>
      </c>
      <c r="DR149" s="8">
        <v>3.7322000000000002</v>
      </c>
      <c r="DS149" s="8">
        <v>3.7532000000000001</v>
      </c>
      <c r="DT149" s="8">
        <v>3.7738999999999998</v>
      </c>
      <c r="DU149" s="8">
        <v>3.7942999999999998</v>
      </c>
      <c r="DV149" s="8">
        <v>3.8144</v>
      </c>
      <c r="DW149" s="8">
        <v>3.8342999999999998</v>
      </c>
      <c r="DX149" s="8">
        <v>3.8538000000000001</v>
      </c>
      <c r="DY149" s="8">
        <v>3.8732000000000002</v>
      </c>
      <c r="DZ149" s="8">
        <v>3.8921999999999999</v>
      </c>
      <c r="EA149" s="8">
        <v>3.9110999999999998</v>
      </c>
      <c r="EB149" s="8">
        <v>3.9297</v>
      </c>
      <c r="EC149" s="8">
        <v>3.9481000000000002</v>
      </c>
      <c r="ED149" s="8">
        <v>3.9664000000000001</v>
      </c>
      <c r="EE149" s="8">
        <v>3.9843999999999999</v>
      </c>
      <c r="EF149" s="8">
        <v>4.0023999999999997</v>
      </c>
      <c r="EG149" s="8">
        <v>4.0202</v>
      </c>
      <c r="EH149" s="8">
        <v>4.0380000000000003</v>
      </c>
      <c r="EI149" s="8">
        <v>4.0557999999999996</v>
      </c>
      <c r="EJ149" s="8">
        <v>4.0735000000000001</v>
      </c>
      <c r="EK149" s="8">
        <v>4.0913000000000004</v>
      </c>
      <c r="EL149" s="8">
        <v>4.1092000000000004</v>
      </c>
      <c r="EM149" s="8">
        <v>4.1272000000000002</v>
      </c>
      <c r="EN149" s="8">
        <v>4.1452999999999998</v>
      </c>
      <c r="EO149" s="8">
        <v>4.1637000000000004</v>
      </c>
      <c r="EP149" s="8">
        <v>4.1824000000000003</v>
      </c>
      <c r="EQ149" s="8">
        <v>4.2013999999999996</v>
      </c>
      <c r="ER149" s="8">
        <v>4.2206999999999999</v>
      </c>
      <c r="ES149" s="8">
        <v>4.2404999999999999</v>
      </c>
      <c r="ET149" s="8">
        <v>4.2606999999999999</v>
      </c>
      <c r="EU149" s="8">
        <v>4.2815000000000003</v>
      </c>
      <c r="EV149" s="8">
        <v>4.3029000000000002</v>
      </c>
      <c r="EW149" s="8">
        <v>4.3247999999999998</v>
      </c>
      <c r="EX149" s="8">
        <v>4.3475000000000001</v>
      </c>
      <c r="EY149" s="8">
        <v>4.3708999999999998</v>
      </c>
      <c r="EZ149" s="8">
        <v>4.3949999999999996</v>
      </c>
      <c r="FA149" s="8">
        <v>4.4199000000000002</v>
      </c>
      <c r="FB149" s="8">
        <v>4.4457000000000004</v>
      </c>
      <c r="FC149" s="106">
        <v>4.4722999999999997</v>
      </c>
      <c r="FE149" s="50">
        <f t="shared" ca="1" si="15"/>
        <v>3.8381952278984404</v>
      </c>
      <c r="FF149" s="50">
        <f t="shared" ca="1" si="16"/>
        <v>3.825711310477411</v>
      </c>
      <c r="FG149" s="50">
        <f t="shared" ca="1" si="17"/>
        <v>3.8128756375838924</v>
      </c>
      <c r="FH149" s="50">
        <f t="shared" ca="1" si="18"/>
        <v>3.7993857046979862</v>
      </c>
      <c r="FK149" s="50">
        <f t="shared" ca="1" si="19"/>
        <v>3.825711310477411</v>
      </c>
      <c r="FL149" s="50"/>
      <c r="FM149" s="50"/>
      <c r="FN149" s="50"/>
    </row>
    <row r="150" spans="48:170" hidden="1">
      <c r="AV150" s="69"/>
      <c r="AW150" s="104">
        <v>1.82</v>
      </c>
      <c r="AX150" s="8">
        <v>1.6089</v>
      </c>
      <c r="AY150" s="8">
        <v>1.6355</v>
      </c>
      <c r="AZ150" s="8">
        <v>1.6623000000000001</v>
      </c>
      <c r="BA150" s="8">
        <v>1.6894</v>
      </c>
      <c r="BB150" s="8">
        <v>1.7165999999999999</v>
      </c>
      <c r="BC150" s="8">
        <v>1.7441</v>
      </c>
      <c r="BD150" s="8">
        <v>1.7718</v>
      </c>
      <c r="BE150" s="8">
        <v>1.7997000000000001</v>
      </c>
      <c r="BF150" s="8">
        <v>1.8278000000000001</v>
      </c>
      <c r="BG150" s="8">
        <v>1.8561000000000001</v>
      </c>
      <c r="BH150" s="8">
        <v>1.8846000000000001</v>
      </c>
      <c r="BI150" s="8">
        <v>1.9134</v>
      </c>
      <c r="BJ150" s="8">
        <v>1.9422999999999999</v>
      </c>
      <c r="BK150" s="8">
        <v>1.9715</v>
      </c>
      <c r="BL150" s="8">
        <v>2.0009000000000001</v>
      </c>
      <c r="BM150" s="8">
        <v>2.0305</v>
      </c>
      <c r="BN150" s="8">
        <v>2.0602</v>
      </c>
      <c r="BO150" s="8">
        <v>2.0901999999999998</v>
      </c>
      <c r="BP150" s="8">
        <v>2.1204000000000001</v>
      </c>
      <c r="BQ150" s="8">
        <v>2.1507999999999998</v>
      </c>
      <c r="BR150" s="8">
        <v>2.1814</v>
      </c>
      <c r="BS150" s="8">
        <v>2.2122000000000002</v>
      </c>
      <c r="BT150" s="8">
        <v>2.2431999999999999</v>
      </c>
      <c r="BU150" s="8">
        <v>2.2744</v>
      </c>
      <c r="BV150" s="8">
        <v>2.3058000000000001</v>
      </c>
      <c r="BW150" s="8">
        <v>2.3372999999999999</v>
      </c>
      <c r="BX150" s="8">
        <v>2.3691</v>
      </c>
      <c r="BY150" s="8">
        <v>2.4009999999999998</v>
      </c>
      <c r="BZ150" s="8">
        <v>2.4331</v>
      </c>
      <c r="CA150" s="8">
        <v>2.4655</v>
      </c>
      <c r="CB150" s="8">
        <v>2.4979</v>
      </c>
      <c r="CC150" s="8">
        <v>2.5306000000000002</v>
      </c>
      <c r="CD150" s="8">
        <v>2.5634000000000001</v>
      </c>
      <c r="CE150" s="8">
        <v>2.5964</v>
      </c>
      <c r="CF150" s="8">
        <v>2.6295999999999999</v>
      </c>
      <c r="CG150" s="8">
        <v>2.6629</v>
      </c>
      <c r="CH150" s="8">
        <v>2.6964000000000001</v>
      </c>
      <c r="CI150" s="8">
        <v>2.73</v>
      </c>
      <c r="CJ150" s="8">
        <v>2.7637999999999998</v>
      </c>
      <c r="CK150" s="8">
        <v>2.7976999999999999</v>
      </c>
      <c r="CL150" s="8">
        <v>2.8317999999999999</v>
      </c>
      <c r="CM150" s="8">
        <v>2.8660000000000001</v>
      </c>
      <c r="CN150" s="8">
        <v>2.9003000000000001</v>
      </c>
      <c r="CO150" s="8">
        <v>2.9346999999999999</v>
      </c>
      <c r="CP150" s="8">
        <v>2.9691999999999998</v>
      </c>
      <c r="CQ150" s="8">
        <v>3.0038999999999998</v>
      </c>
      <c r="CR150" s="8">
        <v>3.0386000000000002</v>
      </c>
      <c r="CS150" s="8">
        <v>3.0735000000000001</v>
      </c>
      <c r="CT150" s="8">
        <v>3.1084000000000001</v>
      </c>
      <c r="CU150" s="8">
        <v>3.1433</v>
      </c>
      <c r="CV150" s="8">
        <v>3.1783999999999999</v>
      </c>
      <c r="CW150" s="8">
        <v>3.2134999999999998</v>
      </c>
      <c r="CX150" s="8">
        <v>3.2486000000000002</v>
      </c>
      <c r="CY150" s="8">
        <v>3.2837999999999998</v>
      </c>
      <c r="CZ150" s="8">
        <v>3.3113999999999999</v>
      </c>
      <c r="DA150" s="8">
        <v>3.3365</v>
      </c>
      <c r="DB150" s="8">
        <v>3.3614000000000002</v>
      </c>
      <c r="DC150" s="8">
        <v>3.3862000000000001</v>
      </c>
      <c r="DD150" s="8">
        <v>3.4108999999999998</v>
      </c>
      <c r="DE150" s="8">
        <v>3.4352999999999998</v>
      </c>
      <c r="DF150" s="8">
        <v>3.4594999999999998</v>
      </c>
      <c r="DG150" s="8">
        <v>3.4836</v>
      </c>
      <c r="DH150" s="8">
        <v>3.5074000000000001</v>
      </c>
      <c r="DI150" s="8">
        <v>3.5310000000000001</v>
      </c>
      <c r="DJ150" s="8">
        <v>3.5543999999999998</v>
      </c>
      <c r="DK150" s="8">
        <v>3.5775999999999999</v>
      </c>
      <c r="DL150" s="8">
        <v>3.6004999999999998</v>
      </c>
      <c r="DM150" s="8">
        <v>3.6231</v>
      </c>
      <c r="DN150" s="8">
        <v>3.6455000000000002</v>
      </c>
      <c r="DO150" s="8">
        <v>3.6676000000000002</v>
      </c>
      <c r="DP150" s="8">
        <v>3.6894</v>
      </c>
      <c r="DQ150" s="8">
        <v>3.7109000000000001</v>
      </c>
      <c r="DR150" s="8">
        <v>3.7322000000000002</v>
      </c>
      <c r="DS150" s="8">
        <v>3.7532000000000001</v>
      </c>
      <c r="DT150" s="8">
        <v>3.7738999999999998</v>
      </c>
      <c r="DU150" s="8">
        <v>3.7942999999999998</v>
      </c>
      <c r="DV150" s="8">
        <v>3.8144</v>
      </c>
      <c r="DW150" s="8">
        <v>3.8342999999999998</v>
      </c>
      <c r="DX150" s="8">
        <v>3.8538000000000001</v>
      </c>
      <c r="DY150" s="8">
        <v>3.8732000000000002</v>
      </c>
      <c r="DZ150" s="8">
        <v>3.8921999999999999</v>
      </c>
      <c r="EA150" s="8">
        <v>3.9110999999999998</v>
      </c>
      <c r="EB150" s="8">
        <v>3.9297</v>
      </c>
      <c r="EC150" s="8">
        <v>3.9481000000000002</v>
      </c>
      <c r="ED150" s="8">
        <v>3.9664000000000001</v>
      </c>
      <c r="EE150" s="8">
        <v>3.9843999999999999</v>
      </c>
      <c r="EF150" s="8">
        <v>4.0023999999999997</v>
      </c>
      <c r="EG150" s="8">
        <v>4.0202</v>
      </c>
      <c r="EH150" s="8">
        <v>4.0380000000000003</v>
      </c>
      <c r="EI150" s="8">
        <v>4.0557999999999996</v>
      </c>
      <c r="EJ150" s="8">
        <v>4.0735000000000001</v>
      </c>
      <c r="EK150" s="8">
        <v>4.0913000000000004</v>
      </c>
      <c r="EL150" s="8">
        <v>4.1092000000000004</v>
      </c>
      <c r="EM150" s="8">
        <v>4.1272000000000002</v>
      </c>
      <c r="EN150" s="8">
        <v>4.1452999999999998</v>
      </c>
      <c r="EO150" s="8">
        <v>4.1637000000000004</v>
      </c>
      <c r="EP150" s="8">
        <v>4.1824000000000003</v>
      </c>
      <c r="EQ150" s="8">
        <v>4.2013999999999996</v>
      </c>
      <c r="ER150" s="8">
        <v>4.2206999999999999</v>
      </c>
      <c r="ES150" s="8">
        <v>4.2404999999999999</v>
      </c>
      <c r="ET150" s="8">
        <v>4.2606999999999999</v>
      </c>
      <c r="EU150" s="8">
        <v>4.2815000000000003</v>
      </c>
      <c r="EV150" s="8">
        <v>4.3029000000000002</v>
      </c>
      <c r="EW150" s="8">
        <v>4.3247999999999998</v>
      </c>
      <c r="EX150" s="8">
        <v>4.3475000000000001</v>
      </c>
      <c r="EY150" s="8">
        <v>4.3708999999999998</v>
      </c>
      <c r="EZ150" s="8">
        <v>4.3949999999999996</v>
      </c>
      <c r="FA150" s="8">
        <v>4.4199000000000002</v>
      </c>
      <c r="FB150" s="8">
        <v>4.4457000000000004</v>
      </c>
      <c r="FC150" s="106">
        <v>4.4722999999999997</v>
      </c>
      <c r="FE150" s="50">
        <f t="shared" ca="1" si="15"/>
        <v>3.8381952278984404</v>
      </c>
      <c r="FF150" s="50">
        <f t="shared" ca="1" si="16"/>
        <v>3.825711310477411</v>
      </c>
      <c r="FG150" s="50">
        <f t="shared" ca="1" si="17"/>
        <v>3.8128756375838924</v>
      </c>
      <c r="FH150" s="50">
        <f t="shared" ca="1" si="18"/>
        <v>3.7993857046979862</v>
      </c>
      <c r="FK150" s="50">
        <f t="shared" ca="1" si="19"/>
        <v>3.825711310477411</v>
      </c>
      <c r="FL150" s="50"/>
      <c r="FM150" s="50"/>
      <c r="FN150" s="50"/>
    </row>
    <row r="151" spans="48:170" hidden="1">
      <c r="AV151" s="69"/>
      <c r="AW151" s="104">
        <v>1.95</v>
      </c>
      <c r="AX151" s="8">
        <v>1.6039000000000001</v>
      </c>
      <c r="AY151" s="8">
        <v>1.6304000000000001</v>
      </c>
      <c r="AZ151" s="8">
        <v>1.6572</v>
      </c>
      <c r="BA151" s="8">
        <v>1.6840999999999999</v>
      </c>
      <c r="BB151" s="8">
        <v>1.7113</v>
      </c>
      <c r="BC151" s="8">
        <v>1.7386999999999999</v>
      </c>
      <c r="BD151" s="8">
        <v>1.7663</v>
      </c>
      <c r="BE151" s="8">
        <v>1.7941</v>
      </c>
      <c r="BF151" s="8">
        <v>1.8221000000000001</v>
      </c>
      <c r="BG151" s="8">
        <v>1.8504</v>
      </c>
      <c r="BH151" s="8">
        <v>1.8788</v>
      </c>
      <c r="BI151" s="8">
        <v>1.9075</v>
      </c>
      <c r="BJ151" s="8">
        <v>1.9362999999999999</v>
      </c>
      <c r="BK151" s="8">
        <v>1.9654</v>
      </c>
      <c r="BL151" s="8">
        <v>1.9946999999999999</v>
      </c>
      <c r="BM151" s="8">
        <v>2.0242</v>
      </c>
      <c r="BN151" s="8">
        <v>2.0539000000000001</v>
      </c>
      <c r="BO151" s="8">
        <v>2.0838000000000001</v>
      </c>
      <c r="BP151" s="8">
        <v>2.1139000000000001</v>
      </c>
      <c r="BQ151" s="8">
        <v>2.1442000000000001</v>
      </c>
      <c r="BR151" s="8">
        <v>2.1745999999999999</v>
      </c>
      <c r="BS151" s="8">
        <v>2.2052999999999998</v>
      </c>
      <c r="BT151" s="8">
        <v>2.2362000000000002</v>
      </c>
      <c r="BU151" s="8">
        <v>2.2673000000000001</v>
      </c>
      <c r="BV151" s="8">
        <v>2.2986</v>
      </c>
      <c r="BW151" s="8">
        <v>2.3300999999999998</v>
      </c>
      <c r="BX151" s="8">
        <v>2.3616999999999999</v>
      </c>
      <c r="BY151" s="8">
        <v>2.3936000000000002</v>
      </c>
      <c r="BZ151" s="8">
        <v>2.4256000000000002</v>
      </c>
      <c r="CA151" s="8">
        <v>2.4578000000000002</v>
      </c>
      <c r="CB151" s="8">
        <v>2.4902000000000002</v>
      </c>
      <c r="CC151" s="8">
        <v>2.5228000000000002</v>
      </c>
      <c r="CD151" s="8">
        <v>2.5554999999999999</v>
      </c>
      <c r="CE151" s="8">
        <v>2.5884</v>
      </c>
      <c r="CF151" s="8">
        <v>2.6215000000000002</v>
      </c>
      <c r="CG151" s="8">
        <v>2.6547000000000001</v>
      </c>
      <c r="CH151" s="8">
        <v>2.6880000000000002</v>
      </c>
      <c r="CI151" s="8">
        <v>2.7216</v>
      </c>
      <c r="CJ151" s="8">
        <v>2.7551999999999999</v>
      </c>
      <c r="CK151" s="8">
        <v>2.7890999999999999</v>
      </c>
      <c r="CL151" s="8">
        <v>2.823</v>
      </c>
      <c r="CM151" s="8">
        <v>2.8571</v>
      </c>
      <c r="CN151" s="8">
        <v>2.8913000000000002</v>
      </c>
      <c r="CO151" s="8">
        <v>2.9256000000000002</v>
      </c>
      <c r="CP151" s="8">
        <v>2.96</v>
      </c>
      <c r="CQ151" s="8">
        <v>2.9946000000000002</v>
      </c>
      <c r="CR151" s="8">
        <v>3.0291999999999999</v>
      </c>
      <c r="CS151" s="8">
        <v>3.0638999999999998</v>
      </c>
      <c r="CT151" s="8">
        <v>3.0987</v>
      </c>
      <c r="CU151" s="8">
        <v>3.1335999999999999</v>
      </c>
      <c r="CV151" s="8">
        <v>3.1684999999999999</v>
      </c>
      <c r="CW151" s="8">
        <v>3.2035</v>
      </c>
      <c r="CX151" s="8">
        <v>3.2385999999999999</v>
      </c>
      <c r="CY151" s="8">
        <v>3.2736000000000001</v>
      </c>
      <c r="CZ151" s="8">
        <v>3.3087</v>
      </c>
      <c r="DA151" s="8">
        <v>3.3365</v>
      </c>
      <c r="DB151" s="8">
        <v>3.3614000000000002</v>
      </c>
      <c r="DC151" s="8">
        <v>3.3862000000000001</v>
      </c>
      <c r="DD151" s="8">
        <v>3.4108999999999998</v>
      </c>
      <c r="DE151" s="8">
        <v>3.4352999999999998</v>
      </c>
      <c r="DF151" s="8">
        <v>3.4594999999999998</v>
      </c>
      <c r="DG151" s="8">
        <v>3.4836</v>
      </c>
      <c r="DH151" s="8">
        <v>3.5074000000000001</v>
      </c>
      <c r="DI151" s="8">
        <v>3.5310000000000001</v>
      </c>
      <c r="DJ151" s="8">
        <v>3.5543999999999998</v>
      </c>
      <c r="DK151" s="8">
        <v>3.5775999999999999</v>
      </c>
      <c r="DL151" s="8">
        <v>3.6004999999999998</v>
      </c>
      <c r="DM151" s="8">
        <v>3.6231</v>
      </c>
      <c r="DN151" s="8">
        <v>3.6455000000000002</v>
      </c>
      <c r="DO151" s="8">
        <v>3.6676000000000002</v>
      </c>
      <c r="DP151" s="8">
        <v>3.6894</v>
      </c>
      <c r="DQ151" s="8">
        <v>3.7109000000000001</v>
      </c>
      <c r="DR151" s="8">
        <v>3.7322000000000002</v>
      </c>
      <c r="DS151" s="8">
        <v>3.7532000000000001</v>
      </c>
      <c r="DT151" s="8">
        <v>3.7738999999999998</v>
      </c>
      <c r="DU151" s="8">
        <v>3.7942999999999998</v>
      </c>
      <c r="DV151" s="8">
        <v>3.8144</v>
      </c>
      <c r="DW151" s="8">
        <v>3.8342999999999998</v>
      </c>
      <c r="DX151" s="8">
        <v>3.8538000000000001</v>
      </c>
      <c r="DY151" s="8">
        <v>3.8732000000000002</v>
      </c>
      <c r="DZ151" s="8">
        <v>3.8921999999999999</v>
      </c>
      <c r="EA151" s="8">
        <v>3.9110999999999998</v>
      </c>
      <c r="EB151" s="8">
        <v>3.9297</v>
      </c>
      <c r="EC151" s="8">
        <v>3.9481000000000002</v>
      </c>
      <c r="ED151" s="8">
        <v>3.9664000000000001</v>
      </c>
      <c r="EE151" s="8">
        <v>3.9843999999999999</v>
      </c>
      <c r="EF151" s="8">
        <v>4.0023999999999997</v>
      </c>
      <c r="EG151" s="8">
        <v>4.0202</v>
      </c>
      <c r="EH151" s="8">
        <v>4.0380000000000003</v>
      </c>
      <c r="EI151" s="8">
        <v>4.0557999999999996</v>
      </c>
      <c r="EJ151" s="8">
        <v>4.0735000000000001</v>
      </c>
      <c r="EK151" s="8">
        <v>4.0913000000000004</v>
      </c>
      <c r="EL151" s="8">
        <v>4.1092000000000004</v>
      </c>
      <c r="EM151" s="8">
        <v>4.1272000000000002</v>
      </c>
      <c r="EN151" s="8">
        <v>4.1452999999999998</v>
      </c>
      <c r="EO151" s="8">
        <v>4.1637000000000004</v>
      </c>
      <c r="EP151" s="8">
        <v>4.1824000000000003</v>
      </c>
      <c r="EQ151" s="8">
        <v>4.2013999999999996</v>
      </c>
      <c r="ER151" s="8">
        <v>4.2206999999999999</v>
      </c>
      <c r="ES151" s="8">
        <v>4.2404999999999999</v>
      </c>
      <c r="ET151" s="8">
        <v>4.2606999999999999</v>
      </c>
      <c r="EU151" s="8">
        <v>4.2815000000000003</v>
      </c>
      <c r="EV151" s="8">
        <v>4.3029000000000002</v>
      </c>
      <c r="EW151" s="8">
        <v>4.3247999999999998</v>
      </c>
      <c r="EX151" s="8">
        <v>4.3475000000000001</v>
      </c>
      <c r="EY151" s="8">
        <v>4.3708999999999998</v>
      </c>
      <c r="EZ151" s="8">
        <v>4.3949999999999996</v>
      </c>
      <c r="FA151" s="8">
        <v>4.4199000000000002</v>
      </c>
      <c r="FB151" s="8">
        <v>4.4457000000000004</v>
      </c>
      <c r="FC151" s="106">
        <v>4.4722999999999997</v>
      </c>
      <c r="FE151" s="50">
        <f t="shared" ca="1" si="15"/>
        <v>3.8381952278984404</v>
      </c>
      <c r="FF151" s="50">
        <f t="shared" ca="1" si="16"/>
        <v>3.825711310477411</v>
      </c>
      <c r="FG151" s="50">
        <f t="shared" ca="1" si="17"/>
        <v>3.8128756375838924</v>
      </c>
      <c r="FH151" s="50">
        <f t="shared" ca="1" si="18"/>
        <v>3.7993857046979862</v>
      </c>
      <c r="FK151" s="50">
        <f t="shared" ca="1" si="19"/>
        <v>3.825711310477411</v>
      </c>
      <c r="FL151" s="50"/>
      <c r="FM151" s="50"/>
      <c r="FN151" s="50"/>
    </row>
    <row r="152" spans="48:170" hidden="1">
      <c r="AV152" s="69"/>
      <c r="AW152" s="104">
        <v>2.089</v>
      </c>
      <c r="AX152" s="8">
        <v>1.599</v>
      </c>
      <c r="AY152" s="8">
        <v>1.6254999999999999</v>
      </c>
      <c r="AZ152" s="8">
        <v>1.6520999999999999</v>
      </c>
      <c r="BA152" s="8">
        <v>1.679</v>
      </c>
      <c r="BB152" s="8">
        <v>1.7060999999999999</v>
      </c>
      <c r="BC152" s="8">
        <v>1.7334000000000001</v>
      </c>
      <c r="BD152" s="8">
        <v>1.7608999999999999</v>
      </c>
      <c r="BE152" s="8">
        <v>1.7886</v>
      </c>
      <c r="BF152" s="8">
        <v>1.8166</v>
      </c>
      <c r="BG152" s="8">
        <v>1.8447</v>
      </c>
      <c r="BH152" s="8">
        <v>1.8731</v>
      </c>
      <c r="BI152" s="8">
        <v>1.9016</v>
      </c>
      <c r="BJ152" s="8">
        <v>1.9303999999999999</v>
      </c>
      <c r="BK152" s="8">
        <v>1.9594</v>
      </c>
      <c r="BL152" s="8">
        <v>1.9885999999999999</v>
      </c>
      <c r="BM152" s="8">
        <v>2.0179999999999998</v>
      </c>
      <c r="BN152" s="8">
        <v>2.0476000000000001</v>
      </c>
      <c r="BO152" s="8">
        <v>2.0773999999999999</v>
      </c>
      <c r="BP152" s="8">
        <v>2.1074000000000002</v>
      </c>
      <c r="BQ152" s="8">
        <v>2.1375999999999999</v>
      </c>
      <c r="BR152" s="8">
        <v>2.1680000000000001</v>
      </c>
      <c r="BS152" s="8">
        <v>2.1985999999999999</v>
      </c>
      <c r="BT152" s="8">
        <v>2.2294</v>
      </c>
      <c r="BU152" s="8">
        <v>2.2604000000000002</v>
      </c>
      <c r="BV152" s="8">
        <v>2.2915999999999999</v>
      </c>
      <c r="BW152" s="8">
        <v>2.3229000000000002</v>
      </c>
      <c r="BX152" s="8">
        <v>2.3544999999999998</v>
      </c>
      <c r="BY152" s="8">
        <v>2.3862999999999999</v>
      </c>
      <c r="BZ152" s="8">
        <v>2.4182000000000001</v>
      </c>
      <c r="CA152" s="8">
        <v>2.4502999999999999</v>
      </c>
      <c r="CB152" s="8">
        <v>2.4826000000000001</v>
      </c>
      <c r="CC152" s="8">
        <v>2.5150000000000001</v>
      </c>
      <c r="CD152" s="8">
        <v>2.5476999999999999</v>
      </c>
      <c r="CE152" s="8">
        <v>2.5804999999999998</v>
      </c>
      <c r="CF152" s="8">
        <v>2.6133999999999999</v>
      </c>
      <c r="CG152" s="8">
        <v>2.6465000000000001</v>
      </c>
      <c r="CH152" s="8">
        <v>2.6798000000000002</v>
      </c>
      <c r="CI152" s="8">
        <v>2.7132000000000001</v>
      </c>
      <c r="CJ152" s="8">
        <v>2.7467999999999999</v>
      </c>
      <c r="CK152" s="8">
        <v>2.7805</v>
      </c>
      <c r="CL152" s="8">
        <v>2.8144</v>
      </c>
      <c r="CM152" s="8">
        <v>2.8483000000000001</v>
      </c>
      <c r="CN152" s="8">
        <v>2.8824000000000001</v>
      </c>
      <c r="CO152" s="8">
        <v>2.9167000000000001</v>
      </c>
      <c r="CP152" s="8">
        <v>2.9510000000000001</v>
      </c>
      <c r="CQ152" s="8">
        <v>2.9853999999999998</v>
      </c>
      <c r="CR152" s="8">
        <v>3.0198999999999998</v>
      </c>
      <c r="CS152" s="8">
        <v>3.0545</v>
      </c>
      <c r="CT152" s="8">
        <v>3.0891999999999999</v>
      </c>
      <c r="CU152" s="8">
        <v>3.1240000000000001</v>
      </c>
      <c r="CV152" s="8">
        <v>3.1587999999999998</v>
      </c>
      <c r="CW152" s="8">
        <v>3.1937000000000002</v>
      </c>
      <c r="CX152" s="8">
        <v>3.2286999999999999</v>
      </c>
      <c r="CY152" s="8">
        <v>3.2635999999999998</v>
      </c>
      <c r="CZ152" s="8">
        <v>3.2986</v>
      </c>
      <c r="DA152" s="8">
        <v>3.3336000000000001</v>
      </c>
      <c r="DB152" s="8">
        <v>3.3614000000000002</v>
      </c>
      <c r="DC152" s="8">
        <v>3.3862000000000001</v>
      </c>
      <c r="DD152" s="8">
        <v>3.4108999999999998</v>
      </c>
      <c r="DE152" s="8">
        <v>3.4352999999999998</v>
      </c>
      <c r="DF152" s="8">
        <v>3.4594999999999998</v>
      </c>
      <c r="DG152" s="8">
        <v>3.4836</v>
      </c>
      <c r="DH152" s="8">
        <v>3.5074000000000001</v>
      </c>
      <c r="DI152" s="8">
        <v>3.5310000000000001</v>
      </c>
      <c r="DJ152" s="8">
        <v>3.5543999999999998</v>
      </c>
      <c r="DK152" s="8">
        <v>3.5775999999999999</v>
      </c>
      <c r="DL152" s="8">
        <v>3.6004999999999998</v>
      </c>
      <c r="DM152" s="8">
        <v>3.6231</v>
      </c>
      <c r="DN152" s="8">
        <v>3.6455000000000002</v>
      </c>
      <c r="DO152" s="8">
        <v>3.6676000000000002</v>
      </c>
      <c r="DP152" s="8">
        <v>3.6894</v>
      </c>
      <c r="DQ152" s="8">
        <v>3.7109000000000001</v>
      </c>
      <c r="DR152" s="8">
        <v>3.7322000000000002</v>
      </c>
      <c r="DS152" s="8">
        <v>3.7532000000000001</v>
      </c>
      <c r="DT152" s="8">
        <v>3.7738999999999998</v>
      </c>
      <c r="DU152" s="8">
        <v>3.7942999999999998</v>
      </c>
      <c r="DV152" s="8">
        <v>3.8144</v>
      </c>
      <c r="DW152" s="8">
        <v>3.8342999999999998</v>
      </c>
      <c r="DX152" s="8">
        <v>3.8538000000000001</v>
      </c>
      <c r="DY152" s="8">
        <v>3.8732000000000002</v>
      </c>
      <c r="DZ152" s="8">
        <v>3.8921999999999999</v>
      </c>
      <c r="EA152" s="8">
        <v>3.9110999999999998</v>
      </c>
      <c r="EB152" s="8">
        <v>3.9297</v>
      </c>
      <c r="EC152" s="8">
        <v>3.9481000000000002</v>
      </c>
      <c r="ED152" s="8">
        <v>3.9664000000000001</v>
      </c>
      <c r="EE152" s="8">
        <v>3.9843999999999999</v>
      </c>
      <c r="EF152" s="8">
        <v>4.0023999999999997</v>
      </c>
      <c r="EG152" s="8">
        <v>4.0202</v>
      </c>
      <c r="EH152" s="8">
        <v>4.0380000000000003</v>
      </c>
      <c r="EI152" s="8">
        <v>4.0557999999999996</v>
      </c>
      <c r="EJ152" s="8">
        <v>4.0735000000000001</v>
      </c>
      <c r="EK152" s="8">
        <v>4.0913000000000004</v>
      </c>
      <c r="EL152" s="8">
        <v>4.1092000000000004</v>
      </c>
      <c r="EM152" s="8">
        <v>4.1272000000000002</v>
      </c>
      <c r="EN152" s="8">
        <v>4.1452999999999998</v>
      </c>
      <c r="EO152" s="8">
        <v>4.1637000000000004</v>
      </c>
      <c r="EP152" s="8">
        <v>4.1824000000000003</v>
      </c>
      <c r="EQ152" s="8">
        <v>4.2013999999999996</v>
      </c>
      <c r="ER152" s="8">
        <v>4.2206999999999999</v>
      </c>
      <c r="ES152" s="8">
        <v>4.2404999999999999</v>
      </c>
      <c r="ET152" s="8">
        <v>4.2606999999999999</v>
      </c>
      <c r="EU152" s="8">
        <v>4.2815000000000003</v>
      </c>
      <c r="EV152" s="8">
        <v>4.3029000000000002</v>
      </c>
      <c r="EW152" s="8">
        <v>4.3247999999999998</v>
      </c>
      <c r="EX152" s="8">
        <v>4.3475000000000001</v>
      </c>
      <c r="EY152" s="8">
        <v>4.3708999999999998</v>
      </c>
      <c r="EZ152" s="8">
        <v>4.3949999999999996</v>
      </c>
      <c r="FA152" s="8">
        <v>4.4199000000000002</v>
      </c>
      <c r="FB152" s="8">
        <v>4.4457000000000004</v>
      </c>
      <c r="FC152" s="106">
        <v>4.4722999999999997</v>
      </c>
      <c r="FE152" s="50">
        <f t="shared" ca="1" si="15"/>
        <v>3.8381952278984404</v>
      </c>
      <c r="FF152" s="50">
        <f t="shared" ca="1" si="16"/>
        <v>3.825711310477411</v>
      </c>
      <c r="FG152" s="50">
        <f t="shared" ca="1" si="17"/>
        <v>3.8128756375838924</v>
      </c>
      <c r="FH152" s="50">
        <f t="shared" ca="1" si="18"/>
        <v>3.7993857046979862</v>
      </c>
      <c r="FK152" s="50">
        <f t="shared" ca="1" si="19"/>
        <v>3.825711310477411</v>
      </c>
      <c r="FL152" s="50"/>
      <c r="FM152" s="50"/>
      <c r="FN152" s="50"/>
    </row>
    <row r="153" spans="48:170" hidden="1">
      <c r="AV153" s="69"/>
      <c r="AW153" s="104">
        <v>2.2389999999999999</v>
      </c>
      <c r="AX153" s="8">
        <v>1.5942000000000001</v>
      </c>
      <c r="AY153" s="8">
        <v>1.6205000000000001</v>
      </c>
      <c r="AZ153" s="8">
        <v>1.6471</v>
      </c>
      <c r="BA153" s="8">
        <v>1.6738999999999999</v>
      </c>
      <c r="BB153" s="8">
        <v>1.7009000000000001</v>
      </c>
      <c r="BC153" s="8">
        <v>1.7281</v>
      </c>
      <c r="BD153" s="8">
        <v>1.7556</v>
      </c>
      <c r="BE153" s="8">
        <v>1.7831999999999999</v>
      </c>
      <c r="BF153" s="8">
        <v>1.8110999999999999</v>
      </c>
      <c r="BG153" s="8">
        <v>1.8391</v>
      </c>
      <c r="BH153" s="8">
        <v>1.8673999999999999</v>
      </c>
      <c r="BI153" s="8">
        <v>1.8958999999999999</v>
      </c>
      <c r="BJ153" s="8">
        <v>1.9246000000000001</v>
      </c>
      <c r="BK153" s="8">
        <v>1.9535</v>
      </c>
      <c r="BL153" s="8">
        <v>1.9825999999999999</v>
      </c>
      <c r="BM153" s="8">
        <v>2.0118999999999998</v>
      </c>
      <c r="BN153" s="8">
        <v>2.0413999999999999</v>
      </c>
      <c r="BO153" s="8">
        <v>2.0710999999999999</v>
      </c>
      <c r="BP153" s="8">
        <v>2.101</v>
      </c>
      <c r="BQ153" s="8">
        <v>2.1311</v>
      </c>
      <c r="BR153" s="8">
        <v>2.1614</v>
      </c>
      <c r="BS153" s="8">
        <v>2.1919</v>
      </c>
      <c r="BT153" s="8">
        <v>2.2225999999999999</v>
      </c>
      <c r="BU153" s="8">
        <v>2.2534999999999998</v>
      </c>
      <c r="BV153" s="8">
        <v>2.2846000000000002</v>
      </c>
      <c r="BW153" s="8">
        <v>2.3159000000000001</v>
      </c>
      <c r="BX153" s="8">
        <v>2.3473999999999999</v>
      </c>
      <c r="BY153" s="8">
        <v>2.379</v>
      </c>
      <c r="BZ153" s="8">
        <v>2.4108999999999998</v>
      </c>
      <c r="CA153" s="8">
        <v>2.4428999999999998</v>
      </c>
      <c r="CB153" s="8">
        <v>2.4750999999999999</v>
      </c>
      <c r="CC153" s="8">
        <v>2.5074000000000001</v>
      </c>
      <c r="CD153" s="8">
        <v>2.54</v>
      </c>
      <c r="CE153" s="8">
        <v>2.5727000000000002</v>
      </c>
      <c r="CF153" s="8">
        <v>2.6055000000000001</v>
      </c>
      <c r="CG153" s="8">
        <v>2.6385000000000001</v>
      </c>
      <c r="CH153" s="8">
        <v>2.6717</v>
      </c>
      <c r="CI153" s="8">
        <v>2.7050000000000001</v>
      </c>
      <c r="CJ153" s="8">
        <v>2.7385000000000002</v>
      </c>
      <c r="CK153" s="8">
        <v>2.7721</v>
      </c>
      <c r="CL153" s="8">
        <v>2.8058000000000001</v>
      </c>
      <c r="CM153" s="8">
        <v>2.8397000000000001</v>
      </c>
      <c r="CN153" s="8">
        <v>2.8736999999999999</v>
      </c>
      <c r="CO153" s="8">
        <v>2.9077999999999999</v>
      </c>
      <c r="CP153" s="8">
        <v>2.9420000000000002</v>
      </c>
      <c r="CQ153" s="8">
        <v>2.9763999999999999</v>
      </c>
      <c r="CR153" s="8">
        <v>3.0108000000000001</v>
      </c>
      <c r="CS153" s="8">
        <v>3.0453000000000001</v>
      </c>
      <c r="CT153" s="8">
        <v>3.0798999999999999</v>
      </c>
      <c r="CU153" s="8">
        <v>3.1145999999999998</v>
      </c>
      <c r="CV153" s="8">
        <v>3.1493000000000002</v>
      </c>
      <c r="CW153" s="8">
        <v>3.1840999999999999</v>
      </c>
      <c r="CX153" s="8">
        <v>3.2189000000000001</v>
      </c>
      <c r="CY153" s="8">
        <v>3.2536999999999998</v>
      </c>
      <c r="CZ153" s="8">
        <v>3.2886000000000002</v>
      </c>
      <c r="DA153" s="8">
        <v>3.3235000000000001</v>
      </c>
      <c r="DB153" s="8">
        <v>3.3584000000000001</v>
      </c>
      <c r="DC153" s="8">
        <v>3.3862000000000001</v>
      </c>
      <c r="DD153" s="8">
        <v>3.4108999999999998</v>
      </c>
      <c r="DE153" s="8">
        <v>3.4352999999999998</v>
      </c>
      <c r="DF153" s="8">
        <v>3.4594999999999998</v>
      </c>
      <c r="DG153" s="8">
        <v>3.4836</v>
      </c>
      <c r="DH153" s="8">
        <v>3.5074000000000001</v>
      </c>
      <c r="DI153" s="8">
        <v>3.5310000000000001</v>
      </c>
      <c r="DJ153" s="8">
        <v>3.5543999999999998</v>
      </c>
      <c r="DK153" s="8">
        <v>3.5775999999999999</v>
      </c>
      <c r="DL153" s="8">
        <v>3.6004999999999998</v>
      </c>
      <c r="DM153" s="8">
        <v>3.6231</v>
      </c>
      <c r="DN153" s="8">
        <v>3.6455000000000002</v>
      </c>
      <c r="DO153" s="8">
        <v>3.6676000000000002</v>
      </c>
      <c r="DP153" s="8">
        <v>3.6894</v>
      </c>
      <c r="DQ153" s="8">
        <v>3.7109000000000001</v>
      </c>
      <c r="DR153" s="8">
        <v>3.7322000000000002</v>
      </c>
      <c r="DS153" s="8">
        <v>3.7532000000000001</v>
      </c>
      <c r="DT153" s="8">
        <v>3.7738999999999998</v>
      </c>
      <c r="DU153" s="8">
        <v>3.7942999999999998</v>
      </c>
      <c r="DV153" s="8">
        <v>3.8144</v>
      </c>
      <c r="DW153" s="8">
        <v>3.8342999999999998</v>
      </c>
      <c r="DX153" s="8">
        <v>3.8538000000000001</v>
      </c>
      <c r="DY153" s="8">
        <v>3.8732000000000002</v>
      </c>
      <c r="DZ153" s="8">
        <v>3.8921999999999999</v>
      </c>
      <c r="EA153" s="8">
        <v>3.9110999999999998</v>
      </c>
      <c r="EB153" s="8">
        <v>3.9297</v>
      </c>
      <c r="EC153" s="8">
        <v>3.9481000000000002</v>
      </c>
      <c r="ED153" s="8">
        <v>3.9664000000000001</v>
      </c>
      <c r="EE153" s="8">
        <v>3.9843999999999999</v>
      </c>
      <c r="EF153" s="8">
        <v>4.0023999999999997</v>
      </c>
      <c r="EG153" s="8">
        <v>4.0202</v>
      </c>
      <c r="EH153" s="8">
        <v>4.0380000000000003</v>
      </c>
      <c r="EI153" s="8">
        <v>4.0557999999999996</v>
      </c>
      <c r="EJ153" s="8">
        <v>4.0735000000000001</v>
      </c>
      <c r="EK153" s="8">
        <v>4.0913000000000004</v>
      </c>
      <c r="EL153" s="8">
        <v>4.1092000000000004</v>
      </c>
      <c r="EM153" s="8">
        <v>4.1272000000000002</v>
      </c>
      <c r="EN153" s="8">
        <v>4.1452999999999998</v>
      </c>
      <c r="EO153" s="8">
        <v>4.1637000000000004</v>
      </c>
      <c r="EP153" s="8">
        <v>4.1824000000000003</v>
      </c>
      <c r="EQ153" s="8">
        <v>4.2013999999999996</v>
      </c>
      <c r="ER153" s="8">
        <v>4.2206999999999999</v>
      </c>
      <c r="ES153" s="8">
        <v>4.2404999999999999</v>
      </c>
      <c r="ET153" s="8">
        <v>4.2606999999999999</v>
      </c>
      <c r="EU153" s="8">
        <v>4.2815000000000003</v>
      </c>
      <c r="EV153" s="8">
        <v>4.3029000000000002</v>
      </c>
      <c r="EW153" s="8">
        <v>4.3247999999999998</v>
      </c>
      <c r="EX153" s="8">
        <v>4.3475000000000001</v>
      </c>
      <c r="EY153" s="8">
        <v>4.3708999999999998</v>
      </c>
      <c r="EZ153" s="8">
        <v>4.3949999999999996</v>
      </c>
      <c r="FA153" s="8">
        <v>4.4199000000000002</v>
      </c>
      <c r="FB153" s="8">
        <v>4.4457000000000004</v>
      </c>
      <c r="FC153" s="106">
        <v>4.4722999999999997</v>
      </c>
      <c r="FE153" s="50">
        <f t="shared" ca="1" si="15"/>
        <v>3.8381952278984404</v>
      </c>
      <c r="FF153" s="50">
        <f t="shared" ca="1" si="16"/>
        <v>3.825711310477411</v>
      </c>
      <c r="FG153" s="50">
        <f t="shared" ca="1" si="17"/>
        <v>3.8128756375838924</v>
      </c>
      <c r="FH153" s="50">
        <f t="shared" ca="1" si="18"/>
        <v>3.7993857046979862</v>
      </c>
      <c r="FK153" s="50">
        <f t="shared" ca="1" si="19"/>
        <v>3.825711310477411</v>
      </c>
      <c r="FL153" s="50"/>
      <c r="FM153" s="50"/>
      <c r="FN153" s="50"/>
    </row>
    <row r="154" spans="48:170" hidden="1">
      <c r="AV154" s="69"/>
      <c r="AW154" s="104">
        <v>2.399</v>
      </c>
      <c r="AX154" s="8">
        <v>1.5893999999999999</v>
      </c>
      <c r="AY154" s="8">
        <v>1.6156999999999999</v>
      </c>
      <c r="AZ154" s="8">
        <v>1.6422000000000001</v>
      </c>
      <c r="BA154" s="8">
        <v>1.6689000000000001</v>
      </c>
      <c r="BB154" s="8">
        <v>1.6958</v>
      </c>
      <c r="BC154" s="8">
        <v>1.7230000000000001</v>
      </c>
      <c r="BD154" s="8">
        <v>1.7503</v>
      </c>
      <c r="BE154" s="8">
        <v>1.7779</v>
      </c>
      <c r="BF154" s="8">
        <v>1.8056000000000001</v>
      </c>
      <c r="BG154" s="8">
        <v>1.8335999999999999</v>
      </c>
      <c r="BH154" s="8">
        <v>1.8617999999999999</v>
      </c>
      <c r="BI154" s="8">
        <v>1.8902000000000001</v>
      </c>
      <c r="BJ154" s="8">
        <v>1.9188000000000001</v>
      </c>
      <c r="BK154" s="8">
        <v>1.9476</v>
      </c>
      <c r="BL154" s="8">
        <v>1.9765999999999999</v>
      </c>
      <c r="BM154" s="8">
        <v>2.0057999999999998</v>
      </c>
      <c r="BN154" s="8">
        <v>2.0352999999999999</v>
      </c>
      <c r="BO154" s="8">
        <v>2.0649000000000002</v>
      </c>
      <c r="BP154" s="8">
        <v>2.0947</v>
      </c>
      <c r="BQ154" s="8">
        <v>2.1246999999999998</v>
      </c>
      <c r="BR154" s="8">
        <v>2.1549999999999998</v>
      </c>
      <c r="BS154" s="8">
        <v>2.1854</v>
      </c>
      <c r="BT154" s="8">
        <v>2.2160000000000002</v>
      </c>
      <c r="BU154" s="8">
        <v>2.2467999999999999</v>
      </c>
      <c r="BV154" s="8">
        <v>2.2778</v>
      </c>
      <c r="BW154" s="8">
        <v>2.3090000000000002</v>
      </c>
      <c r="BX154" s="8">
        <v>2.3403999999999998</v>
      </c>
      <c r="BY154" s="8">
        <v>2.3719000000000001</v>
      </c>
      <c r="BZ154" s="8">
        <v>2.4037000000000002</v>
      </c>
      <c r="CA154" s="8">
        <v>2.4356</v>
      </c>
      <c r="CB154" s="8">
        <v>2.4676999999999998</v>
      </c>
      <c r="CC154" s="8">
        <v>2.4998999999999998</v>
      </c>
      <c r="CD154" s="8">
        <v>2.5324</v>
      </c>
      <c r="CE154" s="8">
        <v>2.5649999999999999</v>
      </c>
      <c r="CF154" s="8">
        <v>2.5977000000000001</v>
      </c>
      <c r="CG154" s="8">
        <v>2.6305999999999998</v>
      </c>
      <c r="CH154" s="8">
        <v>2.6637</v>
      </c>
      <c r="CI154" s="8">
        <v>2.6968999999999999</v>
      </c>
      <c r="CJ154" s="8">
        <v>2.7303000000000002</v>
      </c>
      <c r="CK154" s="8">
        <v>2.7637999999999998</v>
      </c>
      <c r="CL154" s="8">
        <v>2.7974999999999999</v>
      </c>
      <c r="CM154" s="8">
        <v>2.8311999999999999</v>
      </c>
      <c r="CN154" s="8">
        <v>2.8651</v>
      </c>
      <c r="CO154" s="8">
        <v>2.8990999999999998</v>
      </c>
      <c r="CP154" s="8">
        <v>2.9331999999999998</v>
      </c>
      <c r="CQ154" s="8">
        <v>2.9674999999999998</v>
      </c>
      <c r="CR154" s="8">
        <v>3.0017999999999998</v>
      </c>
      <c r="CS154" s="8">
        <v>3.0362</v>
      </c>
      <c r="CT154" s="8">
        <v>3.0707</v>
      </c>
      <c r="CU154" s="8">
        <v>3.1052</v>
      </c>
      <c r="CV154" s="8">
        <v>3.1398999999999999</v>
      </c>
      <c r="CW154" s="8">
        <v>3.1745000000000001</v>
      </c>
      <c r="CX154" s="8">
        <v>3.2092999999999998</v>
      </c>
      <c r="CY154" s="8">
        <v>3.2440000000000002</v>
      </c>
      <c r="CZ154" s="8">
        <v>3.2787999999999999</v>
      </c>
      <c r="DA154" s="8">
        <v>3.3136000000000001</v>
      </c>
      <c r="DB154" s="8">
        <v>3.3483999999999998</v>
      </c>
      <c r="DC154" s="8">
        <v>3.3832</v>
      </c>
      <c r="DD154" s="8">
        <v>3.4108999999999998</v>
      </c>
      <c r="DE154" s="8">
        <v>3.4352999999999998</v>
      </c>
      <c r="DF154" s="8">
        <v>3.4594999999999998</v>
      </c>
      <c r="DG154" s="8">
        <v>3.4836</v>
      </c>
      <c r="DH154" s="8">
        <v>3.5074000000000001</v>
      </c>
      <c r="DI154" s="8">
        <v>3.5310000000000001</v>
      </c>
      <c r="DJ154" s="8">
        <v>3.5543999999999998</v>
      </c>
      <c r="DK154" s="8">
        <v>3.5775999999999999</v>
      </c>
      <c r="DL154" s="8">
        <v>3.6004999999999998</v>
      </c>
      <c r="DM154" s="8">
        <v>3.6231</v>
      </c>
      <c r="DN154" s="8">
        <v>3.6455000000000002</v>
      </c>
      <c r="DO154" s="8">
        <v>3.6676000000000002</v>
      </c>
      <c r="DP154" s="8">
        <v>3.6894</v>
      </c>
      <c r="DQ154" s="8">
        <v>3.7109000000000001</v>
      </c>
      <c r="DR154" s="8">
        <v>3.7322000000000002</v>
      </c>
      <c r="DS154" s="8">
        <v>3.7532000000000001</v>
      </c>
      <c r="DT154" s="8">
        <v>3.7738999999999998</v>
      </c>
      <c r="DU154" s="8">
        <v>3.7942999999999998</v>
      </c>
      <c r="DV154" s="8">
        <v>3.8144</v>
      </c>
      <c r="DW154" s="8">
        <v>3.8342999999999998</v>
      </c>
      <c r="DX154" s="8">
        <v>3.8538000000000001</v>
      </c>
      <c r="DY154" s="8">
        <v>3.8732000000000002</v>
      </c>
      <c r="DZ154" s="8">
        <v>3.8921999999999999</v>
      </c>
      <c r="EA154" s="8">
        <v>3.9110999999999998</v>
      </c>
      <c r="EB154" s="8">
        <v>3.9297</v>
      </c>
      <c r="EC154" s="8">
        <v>3.9481000000000002</v>
      </c>
      <c r="ED154" s="8">
        <v>3.9664000000000001</v>
      </c>
      <c r="EE154" s="8">
        <v>3.9843999999999999</v>
      </c>
      <c r="EF154" s="8">
        <v>4.0023999999999997</v>
      </c>
      <c r="EG154" s="8">
        <v>4.0202</v>
      </c>
      <c r="EH154" s="8">
        <v>4.0380000000000003</v>
      </c>
      <c r="EI154" s="8">
        <v>4.0557999999999996</v>
      </c>
      <c r="EJ154" s="8">
        <v>4.0735000000000001</v>
      </c>
      <c r="EK154" s="8">
        <v>4.0913000000000004</v>
      </c>
      <c r="EL154" s="8">
        <v>4.1092000000000004</v>
      </c>
      <c r="EM154" s="8">
        <v>4.1272000000000002</v>
      </c>
      <c r="EN154" s="8">
        <v>4.1452999999999998</v>
      </c>
      <c r="EO154" s="8">
        <v>4.1637000000000004</v>
      </c>
      <c r="EP154" s="8">
        <v>4.1824000000000003</v>
      </c>
      <c r="EQ154" s="8">
        <v>4.2013999999999996</v>
      </c>
      <c r="ER154" s="8">
        <v>4.2206999999999999</v>
      </c>
      <c r="ES154" s="8">
        <v>4.2404999999999999</v>
      </c>
      <c r="ET154" s="8">
        <v>4.2606999999999999</v>
      </c>
      <c r="EU154" s="8">
        <v>4.2815000000000003</v>
      </c>
      <c r="EV154" s="8">
        <v>4.3029000000000002</v>
      </c>
      <c r="EW154" s="8">
        <v>4.3247999999999998</v>
      </c>
      <c r="EX154" s="8">
        <v>4.3475000000000001</v>
      </c>
      <c r="EY154" s="8">
        <v>4.3708999999999998</v>
      </c>
      <c r="EZ154" s="8">
        <v>4.3949999999999996</v>
      </c>
      <c r="FA154" s="8">
        <v>4.4199000000000002</v>
      </c>
      <c r="FB154" s="8">
        <v>4.4457000000000004</v>
      </c>
      <c r="FC154" s="106">
        <v>4.4722999999999997</v>
      </c>
      <c r="FE154" s="50">
        <f t="shared" ca="1" si="15"/>
        <v>3.8381952278984404</v>
      </c>
      <c r="FF154" s="50">
        <f t="shared" ca="1" si="16"/>
        <v>3.825711310477411</v>
      </c>
      <c r="FG154" s="50">
        <f t="shared" ca="1" si="17"/>
        <v>3.8128756375838924</v>
      </c>
      <c r="FH154" s="50">
        <f t="shared" ca="1" si="18"/>
        <v>3.7993857046979862</v>
      </c>
      <c r="FK154" s="50">
        <f t="shared" ca="1" si="19"/>
        <v>3.825711310477411</v>
      </c>
      <c r="FL154" s="50"/>
      <c r="FM154" s="50"/>
      <c r="FN154" s="50"/>
    </row>
    <row r="155" spans="48:170" hidden="1">
      <c r="AV155" s="69"/>
      <c r="AW155" s="104">
        <v>2.57</v>
      </c>
      <c r="AX155" s="8">
        <v>1.5847</v>
      </c>
      <c r="AY155" s="8">
        <v>1.6109</v>
      </c>
      <c r="AZ155" s="8">
        <v>1.6373</v>
      </c>
      <c r="BA155" s="8">
        <v>1.6639999999999999</v>
      </c>
      <c r="BB155" s="8">
        <v>1.6908000000000001</v>
      </c>
      <c r="BC155" s="8">
        <v>1.7179</v>
      </c>
      <c r="BD155" s="8">
        <v>1.7451000000000001</v>
      </c>
      <c r="BE155" s="8">
        <v>1.7726</v>
      </c>
      <c r="BF155" s="8">
        <v>1.8003</v>
      </c>
      <c r="BG155" s="8">
        <v>1.8282</v>
      </c>
      <c r="BH155" s="8">
        <v>1.8563000000000001</v>
      </c>
      <c r="BI155" s="8">
        <v>1.8846000000000001</v>
      </c>
      <c r="BJ155" s="8">
        <v>1.9131</v>
      </c>
      <c r="BK155" s="8">
        <v>1.9418</v>
      </c>
      <c r="BL155" s="8">
        <v>1.9708000000000001</v>
      </c>
      <c r="BM155" s="8">
        <v>1.9999</v>
      </c>
      <c r="BN155" s="8">
        <v>2.0291999999999999</v>
      </c>
      <c r="BO155" s="8">
        <v>2.0588000000000002</v>
      </c>
      <c r="BP155" s="8">
        <v>2.0884999999999998</v>
      </c>
      <c r="BQ155" s="8">
        <v>2.1185</v>
      </c>
      <c r="BR155" s="8">
        <v>2.1486000000000001</v>
      </c>
      <c r="BS155" s="8">
        <v>2.1789000000000001</v>
      </c>
      <c r="BT155" s="8">
        <v>2.2094</v>
      </c>
      <c r="BU155" s="8">
        <v>2.2402000000000002</v>
      </c>
      <c r="BV155" s="8">
        <v>2.2711000000000001</v>
      </c>
      <c r="BW155" s="8">
        <v>2.3022</v>
      </c>
      <c r="BX155" s="8">
        <v>2.3334000000000001</v>
      </c>
      <c r="BY155" s="8">
        <v>2.3649</v>
      </c>
      <c r="BZ155" s="8">
        <v>2.3965000000000001</v>
      </c>
      <c r="CA155" s="8">
        <v>2.4283999999999999</v>
      </c>
      <c r="CB155" s="8">
        <v>2.4603999999999999</v>
      </c>
      <c r="CC155" s="8">
        <v>2.4925000000000002</v>
      </c>
      <c r="CD155" s="8">
        <v>2.5249000000000001</v>
      </c>
      <c r="CE155" s="8">
        <v>2.5573999999999999</v>
      </c>
      <c r="CF155" s="8">
        <v>2.59</v>
      </c>
      <c r="CG155" s="8">
        <v>2.6229</v>
      </c>
      <c r="CH155" s="8">
        <v>2.6558000000000002</v>
      </c>
      <c r="CI155" s="8">
        <v>2.6890000000000001</v>
      </c>
      <c r="CJ155" s="8">
        <v>2.7222</v>
      </c>
      <c r="CK155" s="8">
        <v>2.7555999999999998</v>
      </c>
      <c r="CL155" s="8">
        <v>2.7892000000000001</v>
      </c>
      <c r="CM155" s="8">
        <v>2.8229000000000002</v>
      </c>
      <c r="CN155" s="8">
        <v>2.8565999999999998</v>
      </c>
      <c r="CO155" s="8">
        <v>2.8906000000000001</v>
      </c>
      <c r="CP155" s="8">
        <v>2.9245999999999999</v>
      </c>
      <c r="CQ155" s="8">
        <v>2.9586999999999999</v>
      </c>
      <c r="CR155" s="8">
        <v>2.9929000000000001</v>
      </c>
      <c r="CS155" s="8">
        <v>3.0272000000000001</v>
      </c>
      <c r="CT155" s="8">
        <v>3.0615999999999999</v>
      </c>
      <c r="CU155" s="8">
        <v>3.0960999999999999</v>
      </c>
      <c r="CV155" s="8">
        <v>3.1305999999999998</v>
      </c>
      <c r="CW155" s="8">
        <v>3.1650999999999998</v>
      </c>
      <c r="CX155" s="8">
        <v>3.1998000000000002</v>
      </c>
      <c r="CY155" s="8">
        <v>3.2343999999999999</v>
      </c>
      <c r="CZ155" s="8">
        <v>3.2690999999999999</v>
      </c>
      <c r="DA155" s="8">
        <v>3.3037999999999998</v>
      </c>
      <c r="DB155" s="8">
        <v>3.3384999999999998</v>
      </c>
      <c r="DC155" s="8">
        <v>3.3732000000000002</v>
      </c>
      <c r="DD155" s="8">
        <v>3.4077999999999999</v>
      </c>
      <c r="DE155" s="8">
        <v>3.4352999999999998</v>
      </c>
      <c r="DF155" s="8">
        <v>3.4594999999999998</v>
      </c>
      <c r="DG155" s="8">
        <v>3.4836</v>
      </c>
      <c r="DH155" s="8">
        <v>3.5074000000000001</v>
      </c>
      <c r="DI155" s="8">
        <v>3.5310000000000001</v>
      </c>
      <c r="DJ155" s="8">
        <v>3.5543999999999998</v>
      </c>
      <c r="DK155" s="8">
        <v>3.5775999999999999</v>
      </c>
      <c r="DL155" s="8">
        <v>3.6004999999999998</v>
      </c>
      <c r="DM155" s="8">
        <v>3.6231</v>
      </c>
      <c r="DN155" s="8">
        <v>3.6455000000000002</v>
      </c>
      <c r="DO155" s="8">
        <v>3.6676000000000002</v>
      </c>
      <c r="DP155" s="8">
        <v>3.6894</v>
      </c>
      <c r="DQ155" s="8">
        <v>3.7109000000000001</v>
      </c>
      <c r="DR155" s="8">
        <v>3.7322000000000002</v>
      </c>
      <c r="DS155" s="8">
        <v>3.7532000000000001</v>
      </c>
      <c r="DT155" s="8">
        <v>3.7738999999999998</v>
      </c>
      <c r="DU155" s="8">
        <v>3.7942999999999998</v>
      </c>
      <c r="DV155" s="8">
        <v>3.8144</v>
      </c>
      <c r="DW155" s="8">
        <v>3.8342999999999998</v>
      </c>
      <c r="DX155" s="8">
        <v>3.8538000000000001</v>
      </c>
      <c r="DY155" s="8">
        <v>3.8732000000000002</v>
      </c>
      <c r="DZ155" s="8">
        <v>3.8921999999999999</v>
      </c>
      <c r="EA155" s="8">
        <v>3.9110999999999998</v>
      </c>
      <c r="EB155" s="8">
        <v>3.9297</v>
      </c>
      <c r="EC155" s="8">
        <v>3.9481000000000002</v>
      </c>
      <c r="ED155" s="8">
        <v>3.9664000000000001</v>
      </c>
      <c r="EE155" s="8">
        <v>3.9843999999999999</v>
      </c>
      <c r="EF155" s="8">
        <v>4.0023999999999997</v>
      </c>
      <c r="EG155" s="8">
        <v>4.0202</v>
      </c>
      <c r="EH155" s="8">
        <v>4.0380000000000003</v>
      </c>
      <c r="EI155" s="8">
        <v>4.0557999999999996</v>
      </c>
      <c r="EJ155" s="8">
        <v>4.0735000000000001</v>
      </c>
      <c r="EK155" s="8">
        <v>4.0913000000000004</v>
      </c>
      <c r="EL155" s="8">
        <v>4.1092000000000004</v>
      </c>
      <c r="EM155" s="8">
        <v>4.1272000000000002</v>
      </c>
      <c r="EN155" s="8">
        <v>4.1452999999999998</v>
      </c>
      <c r="EO155" s="8">
        <v>4.1637000000000004</v>
      </c>
      <c r="EP155" s="8">
        <v>4.1824000000000003</v>
      </c>
      <c r="EQ155" s="8">
        <v>4.2013999999999996</v>
      </c>
      <c r="ER155" s="8">
        <v>4.2206999999999999</v>
      </c>
      <c r="ES155" s="8">
        <v>4.2404999999999999</v>
      </c>
      <c r="ET155" s="8">
        <v>4.2606999999999999</v>
      </c>
      <c r="EU155" s="8">
        <v>4.2815000000000003</v>
      </c>
      <c r="EV155" s="8">
        <v>4.3029000000000002</v>
      </c>
      <c r="EW155" s="8">
        <v>4.3247999999999998</v>
      </c>
      <c r="EX155" s="8">
        <v>4.3475000000000001</v>
      </c>
      <c r="EY155" s="8">
        <v>4.3708999999999998</v>
      </c>
      <c r="EZ155" s="8">
        <v>4.3949999999999996</v>
      </c>
      <c r="FA155" s="8">
        <v>4.4199000000000002</v>
      </c>
      <c r="FB155" s="8">
        <v>4.4457000000000004</v>
      </c>
      <c r="FC155" s="106">
        <v>4.4722999999999997</v>
      </c>
      <c r="FE155" s="50">
        <f t="shared" ca="1" si="15"/>
        <v>3.8381952278984404</v>
      </c>
      <c r="FF155" s="50">
        <f t="shared" ca="1" si="16"/>
        <v>3.825711310477411</v>
      </c>
      <c r="FG155" s="50">
        <f t="shared" ca="1" si="17"/>
        <v>3.8128756375838924</v>
      </c>
      <c r="FH155" s="50">
        <f t="shared" ca="1" si="18"/>
        <v>3.7993857046979862</v>
      </c>
      <c r="FK155" s="50">
        <f t="shared" ca="1" si="19"/>
        <v>3.825711310477411</v>
      </c>
      <c r="FL155" s="50"/>
      <c r="FM155" s="50"/>
      <c r="FN155" s="50"/>
    </row>
    <row r="156" spans="48:170" hidden="1">
      <c r="AV156" s="69"/>
      <c r="AW156" s="104">
        <v>2.754</v>
      </c>
      <c r="AX156" s="8">
        <v>1.5801000000000001</v>
      </c>
      <c r="AY156" s="8">
        <v>1.6062000000000001</v>
      </c>
      <c r="AZ156" s="8">
        <v>1.6325000000000001</v>
      </c>
      <c r="BA156" s="8">
        <v>1.6591</v>
      </c>
      <c r="BB156" s="8">
        <v>1.6859</v>
      </c>
      <c r="BC156" s="8">
        <v>1.7128000000000001</v>
      </c>
      <c r="BD156" s="8">
        <v>1.74</v>
      </c>
      <c r="BE156" s="8">
        <v>1.7674000000000001</v>
      </c>
      <c r="BF156" s="8">
        <v>1.7949999999999999</v>
      </c>
      <c r="BG156" s="8">
        <v>1.8228</v>
      </c>
      <c r="BH156" s="8">
        <v>1.8509</v>
      </c>
      <c r="BI156" s="8">
        <v>1.8791</v>
      </c>
      <c r="BJ156" s="8">
        <v>1.9075</v>
      </c>
      <c r="BK156" s="8">
        <v>1.9361999999999999</v>
      </c>
      <c r="BL156" s="8">
        <v>1.9650000000000001</v>
      </c>
      <c r="BM156" s="8">
        <v>1.9941</v>
      </c>
      <c r="BN156" s="8">
        <v>2.0232999999999999</v>
      </c>
      <c r="BO156" s="8">
        <v>2.0528</v>
      </c>
      <c r="BP156" s="8">
        <v>2.0823999999999998</v>
      </c>
      <c r="BQ156" s="8">
        <v>2.1122999999999998</v>
      </c>
      <c r="BR156" s="8">
        <v>2.1423000000000001</v>
      </c>
      <c r="BS156" s="8">
        <v>2.1726000000000001</v>
      </c>
      <c r="BT156" s="8">
        <v>2.2029999999999998</v>
      </c>
      <c r="BU156" s="8">
        <v>2.2336</v>
      </c>
      <c r="BV156" s="8">
        <v>2.2644000000000002</v>
      </c>
      <c r="BW156" s="8">
        <v>2.2953999999999999</v>
      </c>
      <c r="BX156" s="8">
        <v>2.3266</v>
      </c>
      <c r="BY156" s="8">
        <v>2.3580000000000001</v>
      </c>
      <c r="BZ156" s="8">
        <v>2.3895</v>
      </c>
      <c r="CA156" s="8">
        <v>2.4213</v>
      </c>
      <c r="CB156" s="8">
        <v>2.4531999999999998</v>
      </c>
      <c r="CC156" s="8">
        <v>2.4851999999999999</v>
      </c>
      <c r="CD156" s="8">
        <v>2.5175000000000001</v>
      </c>
      <c r="CE156" s="8">
        <v>2.5499000000000001</v>
      </c>
      <c r="CF156" s="8">
        <v>2.5825</v>
      </c>
      <c r="CG156" s="8">
        <v>2.6152000000000002</v>
      </c>
      <c r="CH156" s="8">
        <v>2.6480999999999999</v>
      </c>
      <c r="CI156" s="8">
        <v>2.6810999999999998</v>
      </c>
      <c r="CJ156" s="8">
        <v>2.7143000000000002</v>
      </c>
      <c r="CK156" s="8">
        <v>2.7475999999999998</v>
      </c>
      <c r="CL156" s="8">
        <v>2.7810000000000001</v>
      </c>
      <c r="CM156" s="8">
        <v>2.8146</v>
      </c>
      <c r="CN156" s="8">
        <v>2.8483000000000001</v>
      </c>
      <c r="CO156" s="8">
        <v>2.8820999999999999</v>
      </c>
      <c r="CP156" s="8">
        <v>2.9159999999999999</v>
      </c>
      <c r="CQ156" s="8">
        <v>2.95</v>
      </c>
      <c r="CR156" s="8">
        <v>2.9842</v>
      </c>
      <c r="CS156" s="8">
        <v>3.0184000000000002</v>
      </c>
      <c r="CT156" s="8">
        <v>3.0526</v>
      </c>
      <c r="CU156" s="8">
        <v>3.0870000000000002</v>
      </c>
      <c r="CV156" s="8">
        <v>3.1214</v>
      </c>
      <c r="CW156" s="8">
        <v>3.1558999999999999</v>
      </c>
      <c r="CX156" s="8">
        <v>3.1903999999999999</v>
      </c>
      <c r="CY156" s="8">
        <v>3.2250000000000001</v>
      </c>
      <c r="CZ156" s="8">
        <v>3.2595000000000001</v>
      </c>
      <c r="DA156" s="8">
        <v>3.2940999999999998</v>
      </c>
      <c r="DB156" s="8">
        <v>3.3287</v>
      </c>
      <c r="DC156" s="8">
        <v>3.3633000000000002</v>
      </c>
      <c r="DD156" s="8">
        <v>3.3978999999999999</v>
      </c>
      <c r="DE156" s="8">
        <v>3.4323999999999999</v>
      </c>
      <c r="DF156" s="8">
        <v>3.4594999999999998</v>
      </c>
      <c r="DG156" s="8">
        <v>3.4836</v>
      </c>
      <c r="DH156" s="8">
        <v>3.5074000000000001</v>
      </c>
      <c r="DI156" s="8">
        <v>3.5310000000000001</v>
      </c>
      <c r="DJ156" s="8">
        <v>3.5543999999999998</v>
      </c>
      <c r="DK156" s="8">
        <v>3.5775999999999999</v>
      </c>
      <c r="DL156" s="8">
        <v>3.6004999999999998</v>
      </c>
      <c r="DM156" s="8">
        <v>3.6231</v>
      </c>
      <c r="DN156" s="8">
        <v>3.6455000000000002</v>
      </c>
      <c r="DO156" s="8">
        <v>3.6676000000000002</v>
      </c>
      <c r="DP156" s="8">
        <v>3.6894</v>
      </c>
      <c r="DQ156" s="8">
        <v>3.7109000000000001</v>
      </c>
      <c r="DR156" s="8">
        <v>3.7322000000000002</v>
      </c>
      <c r="DS156" s="8">
        <v>3.7532000000000001</v>
      </c>
      <c r="DT156" s="8">
        <v>3.7738999999999998</v>
      </c>
      <c r="DU156" s="8">
        <v>3.7942999999999998</v>
      </c>
      <c r="DV156" s="8">
        <v>3.8144</v>
      </c>
      <c r="DW156" s="8">
        <v>3.8342999999999998</v>
      </c>
      <c r="DX156" s="8">
        <v>3.8538000000000001</v>
      </c>
      <c r="DY156" s="8">
        <v>3.8732000000000002</v>
      </c>
      <c r="DZ156" s="8">
        <v>3.8921999999999999</v>
      </c>
      <c r="EA156" s="8">
        <v>3.9110999999999998</v>
      </c>
      <c r="EB156" s="8">
        <v>3.9297</v>
      </c>
      <c r="EC156" s="8">
        <v>3.9481000000000002</v>
      </c>
      <c r="ED156" s="8">
        <v>3.9664000000000001</v>
      </c>
      <c r="EE156" s="8">
        <v>3.9843999999999999</v>
      </c>
      <c r="EF156" s="8">
        <v>4.0023999999999997</v>
      </c>
      <c r="EG156" s="8">
        <v>4.0202</v>
      </c>
      <c r="EH156" s="8">
        <v>4.0380000000000003</v>
      </c>
      <c r="EI156" s="8">
        <v>4.0557999999999996</v>
      </c>
      <c r="EJ156" s="8">
        <v>4.0735000000000001</v>
      </c>
      <c r="EK156" s="8">
        <v>4.0913000000000004</v>
      </c>
      <c r="EL156" s="8">
        <v>4.1092000000000004</v>
      </c>
      <c r="EM156" s="8">
        <v>4.1272000000000002</v>
      </c>
      <c r="EN156" s="8">
        <v>4.1452999999999998</v>
      </c>
      <c r="EO156" s="8">
        <v>4.1637000000000004</v>
      </c>
      <c r="EP156" s="8">
        <v>4.1824000000000003</v>
      </c>
      <c r="EQ156" s="8">
        <v>4.2013999999999996</v>
      </c>
      <c r="ER156" s="8">
        <v>4.2206999999999999</v>
      </c>
      <c r="ES156" s="8">
        <v>4.2404999999999999</v>
      </c>
      <c r="ET156" s="8">
        <v>4.2606999999999999</v>
      </c>
      <c r="EU156" s="8">
        <v>4.2815000000000003</v>
      </c>
      <c r="EV156" s="8">
        <v>4.3029000000000002</v>
      </c>
      <c r="EW156" s="8">
        <v>4.3247999999999998</v>
      </c>
      <c r="EX156" s="8">
        <v>4.3475000000000001</v>
      </c>
      <c r="EY156" s="8">
        <v>4.3708999999999998</v>
      </c>
      <c r="EZ156" s="8">
        <v>4.3949999999999996</v>
      </c>
      <c r="FA156" s="8">
        <v>4.4199000000000002</v>
      </c>
      <c r="FB156" s="8">
        <v>4.4457000000000004</v>
      </c>
      <c r="FC156" s="106">
        <v>4.4722999999999997</v>
      </c>
      <c r="FE156" s="50">
        <f t="shared" ca="1" si="15"/>
        <v>3.8381952278984404</v>
      </c>
      <c r="FF156" s="50">
        <f t="shared" ca="1" si="16"/>
        <v>3.825711310477411</v>
      </c>
      <c r="FG156" s="50">
        <f t="shared" ca="1" si="17"/>
        <v>3.8128756375838924</v>
      </c>
      <c r="FH156" s="50">
        <f t="shared" ca="1" si="18"/>
        <v>3.7993857046979862</v>
      </c>
      <c r="FK156" s="50">
        <f t="shared" ca="1" si="19"/>
        <v>3.825711310477411</v>
      </c>
      <c r="FL156" s="50"/>
      <c r="FM156" s="50"/>
      <c r="FN156" s="50"/>
    </row>
    <row r="157" spans="48:170" hidden="1">
      <c r="AV157" s="69"/>
      <c r="AW157" s="104">
        <v>2.9510000000000001</v>
      </c>
      <c r="AX157" s="8">
        <v>1.5754999999999999</v>
      </c>
      <c r="AY157" s="8">
        <v>1.6015999999999999</v>
      </c>
      <c r="AZ157" s="8">
        <v>1.6277999999999999</v>
      </c>
      <c r="BA157" s="8">
        <v>1.6543000000000001</v>
      </c>
      <c r="BB157" s="8">
        <v>1.681</v>
      </c>
      <c r="BC157" s="8">
        <v>1.7079</v>
      </c>
      <c r="BD157" s="8">
        <v>1.7350000000000001</v>
      </c>
      <c r="BE157" s="8">
        <v>1.7623</v>
      </c>
      <c r="BF157" s="8">
        <v>1.7898000000000001</v>
      </c>
      <c r="BG157" s="8">
        <v>1.8176000000000001</v>
      </c>
      <c r="BH157" s="8">
        <v>1.8454999999999999</v>
      </c>
      <c r="BI157" s="8">
        <v>1.8736999999999999</v>
      </c>
      <c r="BJ157" s="8">
        <v>1.9019999999999999</v>
      </c>
      <c r="BK157" s="8">
        <v>1.9306000000000001</v>
      </c>
      <c r="BL157" s="8">
        <v>1.9593</v>
      </c>
      <c r="BM157" s="8">
        <v>1.9883</v>
      </c>
      <c r="BN157" s="8">
        <v>2.0175000000000001</v>
      </c>
      <c r="BO157" s="8">
        <v>2.0468000000000002</v>
      </c>
      <c r="BP157" s="8">
        <v>2.0764</v>
      </c>
      <c r="BQ157" s="8">
        <v>2.1061999999999999</v>
      </c>
      <c r="BR157" s="8">
        <v>2.1360999999999999</v>
      </c>
      <c r="BS157" s="8">
        <v>2.1663000000000001</v>
      </c>
      <c r="BT157" s="8">
        <v>2.1966000000000001</v>
      </c>
      <c r="BU157" s="8">
        <v>2.2271999999999998</v>
      </c>
      <c r="BV157" s="8">
        <v>2.2578999999999998</v>
      </c>
      <c r="BW157" s="8">
        <v>2.2888000000000002</v>
      </c>
      <c r="BX157" s="8">
        <v>2.3199000000000001</v>
      </c>
      <c r="BY157" s="8">
        <v>2.3512</v>
      </c>
      <c r="BZ157" s="8">
        <v>2.3826000000000001</v>
      </c>
      <c r="CA157" s="8">
        <v>2.4142999999999999</v>
      </c>
      <c r="CB157" s="8">
        <v>2.4460999999999999</v>
      </c>
      <c r="CC157" s="8">
        <v>2.4781</v>
      </c>
      <c r="CD157" s="8">
        <v>2.5102000000000002</v>
      </c>
      <c r="CE157" s="8">
        <v>2.5425</v>
      </c>
      <c r="CF157" s="8">
        <v>2.5750000000000002</v>
      </c>
      <c r="CG157" s="8">
        <v>2.6076000000000001</v>
      </c>
      <c r="CH157" s="8">
        <v>2.6404000000000001</v>
      </c>
      <c r="CI157" s="8">
        <v>2.6734</v>
      </c>
      <c r="CJ157" s="8">
        <v>2.7063999999999999</v>
      </c>
      <c r="CK157" s="8">
        <v>2.7395999999999998</v>
      </c>
      <c r="CL157" s="8">
        <v>2.7730000000000001</v>
      </c>
      <c r="CM157" s="8">
        <v>2.8065000000000002</v>
      </c>
      <c r="CN157" s="8">
        <v>2.8401000000000001</v>
      </c>
      <c r="CO157" s="8">
        <v>2.8738000000000001</v>
      </c>
      <c r="CP157" s="8">
        <v>2.9076</v>
      </c>
      <c r="CQ157" s="8">
        <v>2.9415</v>
      </c>
      <c r="CR157" s="8">
        <v>2.9754999999999998</v>
      </c>
      <c r="CS157" s="8">
        <v>3.0095999999999998</v>
      </c>
      <c r="CT157" s="8">
        <v>3.0438000000000001</v>
      </c>
      <c r="CU157" s="8">
        <v>3.0781000000000001</v>
      </c>
      <c r="CV157" s="8">
        <v>3.1124000000000001</v>
      </c>
      <c r="CW157" s="8">
        <v>3.1467999999999998</v>
      </c>
      <c r="CX157" s="8">
        <v>3.1812</v>
      </c>
      <c r="CY157" s="8">
        <v>3.2155999999999998</v>
      </c>
      <c r="CZ157" s="8">
        <v>3.2501000000000002</v>
      </c>
      <c r="DA157" s="8">
        <v>3.2846000000000002</v>
      </c>
      <c r="DB157" s="8">
        <v>3.3191000000000002</v>
      </c>
      <c r="DC157" s="8">
        <v>3.3536000000000001</v>
      </c>
      <c r="DD157" s="8">
        <v>3.3879999999999999</v>
      </c>
      <c r="DE157" s="8">
        <v>3.4224999999999999</v>
      </c>
      <c r="DF157" s="8">
        <v>3.4569000000000001</v>
      </c>
      <c r="DG157" s="8">
        <v>3.4836</v>
      </c>
      <c r="DH157" s="8">
        <v>3.5074000000000001</v>
      </c>
      <c r="DI157" s="8">
        <v>3.5310000000000001</v>
      </c>
      <c r="DJ157" s="8">
        <v>3.5543999999999998</v>
      </c>
      <c r="DK157" s="8">
        <v>3.5775999999999999</v>
      </c>
      <c r="DL157" s="8">
        <v>3.6004999999999998</v>
      </c>
      <c r="DM157" s="8">
        <v>3.6231</v>
      </c>
      <c r="DN157" s="8">
        <v>3.6455000000000002</v>
      </c>
      <c r="DO157" s="8">
        <v>3.6676000000000002</v>
      </c>
      <c r="DP157" s="8">
        <v>3.6894</v>
      </c>
      <c r="DQ157" s="8">
        <v>3.7109000000000001</v>
      </c>
      <c r="DR157" s="8">
        <v>3.7322000000000002</v>
      </c>
      <c r="DS157" s="8">
        <v>3.7532000000000001</v>
      </c>
      <c r="DT157" s="8">
        <v>3.7738999999999998</v>
      </c>
      <c r="DU157" s="8">
        <v>3.7942999999999998</v>
      </c>
      <c r="DV157" s="8">
        <v>3.8144</v>
      </c>
      <c r="DW157" s="8">
        <v>3.8342999999999998</v>
      </c>
      <c r="DX157" s="8">
        <v>3.8538000000000001</v>
      </c>
      <c r="DY157" s="8">
        <v>3.8732000000000002</v>
      </c>
      <c r="DZ157" s="8">
        <v>3.8921999999999999</v>
      </c>
      <c r="EA157" s="8">
        <v>3.9110999999999998</v>
      </c>
      <c r="EB157" s="8">
        <v>3.9297</v>
      </c>
      <c r="EC157" s="8">
        <v>3.9481000000000002</v>
      </c>
      <c r="ED157" s="8">
        <v>3.9664000000000001</v>
      </c>
      <c r="EE157" s="8">
        <v>3.9843999999999999</v>
      </c>
      <c r="EF157" s="8">
        <v>4.0023999999999997</v>
      </c>
      <c r="EG157" s="8">
        <v>4.0202</v>
      </c>
      <c r="EH157" s="8">
        <v>4.0380000000000003</v>
      </c>
      <c r="EI157" s="8">
        <v>4.0557999999999996</v>
      </c>
      <c r="EJ157" s="8">
        <v>4.0735000000000001</v>
      </c>
      <c r="EK157" s="8">
        <v>4.0913000000000004</v>
      </c>
      <c r="EL157" s="8">
        <v>4.1092000000000004</v>
      </c>
      <c r="EM157" s="8">
        <v>4.1272000000000002</v>
      </c>
      <c r="EN157" s="8">
        <v>4.1452999999999998</v>
      </c>
      <c r="EO157" s="8">
        <v>4.1637000000000004</v>
      </c>
      <c r="EP157" s="8">
        <v>4.1824000000000003</v>
      </c>
      <c r="EQ157" s="8">
        <v>4.2013999999999996</v>
      </c>
      <c r="ER157" s="8">
        <v>4.2206999999999999</v>
      </c>
      <c r="ES157" s="8">
        <v>4.2404999999999999</v>
      </c>
      <c r="ET157" s="8">
        <v>4.2606999999999999</v>
      </c>
      <c r="EU157" s="8">
        <v>4.2815000000000003</v>
      </c>
      <c r="EV157" s="8">
        <v>4.3029000000000002</v>
      </c>
      <c r="EW157" s="8">
        <v>4.3247999999999998</v>
      </c>
      <c r="EX157" s="8">
        <v>4.3475000000000001</v>
      </c>
      <c r="EY157" s="8">
        <v>4.3708999999999998</v>
      </c>
      <c r="EZ157" s="8">
        <v>4.3949999999999996</v>
      </c>
      <c r="FA157" s="8">
        <v>4.4199000000000002</v>
      </c>
      <c r="FB157" s="8">
        <v>4.4457000000000004</v>
      </c>
      <c r="FC157" s="106">
        <v>4.4722999999999997</v>
      </c>
      <c r="FE157" s="50">
        <f t="shared" ca="1" si="15"/>
        <v>3.8381952278984404</v>
      </c>
      <c r="FF157" s="50">
        <f t="shared" ca="1" si="16"/>
        <v>3.825711310477411</v>
      </c>
      <c r="FG157" s="50">
        <f t="shared" ca="1" si="17"/>
        <v>3.8128756375838924</v>
      </c>
      <c r="FH157" s="50">
        <f t="shared" ca="1" si="18"/>
        <v>3.7993857046979862</v>
      </c>
      <c r="FK157" s="50">
        <f t="shared" ca="1" si="19"/>
        <v>3.825711310477411</v>
      </c>
      <c r="FL157" s="50"/>
      <c r="FM157" s="50"/>
      <c r="FN157" s="50"/>
    </row>
    <row r="158" spans="48:170" hidden="1">
      <c r="AV158" s="69"/>
      <c r="AW158" s="104">
        <v>3.1619999999999999</v>
      </c>
      <c r="AX158" s="8">
        <v>1.571</v>
      </c>
      <c r="AY158" s="8">
        <v>1.597</v>
      </c>
      <c r="AZ158" s="8">
        <v>1.6232</v>
      </c>
      <c r="BA158" s="8">
        <v>1.6496</v>
      </c>
      <c r="BB158" s="8">
        <v>1.6761999999999999</v>
      </c>
      <c r="BC158" s="8">
        <v>1.7030000000000001</v>
      </c>
      <c r="BD158" s="8">
        <v>1.73</v>
      </c>
      <c r="BE158" s="8">
        <v>1.7573000000000001</v>
      </c>
      <c r="BF158" s="8">
        <v>1.7847</v>
      </c>
      <c r="BG158" s="8">
        <v>1.8124</v>
      </c>
      <c r="BH158" s="8">
        <v>1.8402000000000001</v>
      </c>
      <c r="BI158" s="8">
        <v>1.8683000000000001</v>
      </c>
      <c r="BJ158" s="8">
        <v>1.8966000000000001</v>
      </c>
      <c r="BK158" s="8">
        <v>1.9251</v>
      </c>
      <c r="BL158" s="8">
        <v>1.9537</v>
      </c>
      <c r="BM158" s="8">
        <v>1.9825999999999999</v>
      </c>
      <c r="BN158" s="8">
        <v>2.0116999999999998</v>
      </c>
      <c r="BO158" s="8">
        <v>2.0409999999999999</v>
      </c>
      <c r="BP158" s="8">
        <v>2.0705</v>
      </c>
      <c r="BQ158" s="8">
        <v>2.1000999999999999</v>
      </c>
      <c r="BR158" s="8">
        <v>2.13</v>
      </c>
      <c r="BS158" s="8">
        <v>2.1600999999999999</v>
      </c>
      <c r="BT158" s="8">
        <v>2.1903000000000001</v>
      </c>
      <c r="BU158" s="8">
        <v>2.2208000000000001</v>
      </c>
      <c r="BV158" s="8">
        <v>2.2513999999999998</v>
      </c>
      <c r="BW158" s="8">
        <v>2.2823000000000002</v>
      </c>
      <c r="BX158" s="8">
        <v>2.3132999999999999</v>
      </c>
      <c r="BY158" s="8">
        <v>2.3445</v>
      </c>
      <c r="BZ158" s="8">
        <v>2.3757999999999999</v>
      </c>
      <c r="CA158" s="8">
        <v>2.4074</v>
      </c>
      <c r="CB158" s="8">
        <v>2.4390999999999998</v>
      </c>
      <c r="CC158" s="8">
        <v>2.4710000000000001</v>
      </c>
      <c r="CD158" s="8">
        <v>2.5030000000000001</v>
      </c>
      <c r="CE158" s="8">
        <v>2.5352999999999999</v>
      </c>
      <c r="CF158" s="8">
        <v>2.5676000000000001</v>
      </c>
      <c r="CG158" s="8">
        <v>2.6002000000000001</v>
      </c>
      <c r="CH158" s="8">
        <v>2.6328999999999998</v>
      </c>
      <c r="CI158" s="8">
        <v>2.6657000000000002</v>
      </c>
      <c r="CJ158" s="8">
        <v>2.6987000000000001</v>
      </c>
      <c r="CK158" s="8">
        <v>2.7317999999999998</v>
      </c>
      <c r="CL158" s="8">
        <v>2.7650999999999999</v>
      </c>
      <c r="CM158" s="8">
        <v>2.7984</v>
      </c>
      <c r="CN158" s="8">
        <v>2.8319000000000001</v>
      </c>
      <c r="CO158" s="8">
        <v>2.8656000000000001</v>
      </c>
      <c r="CP158" s="8">
        <v>2.8993000000000002</v>
      </c>
      <c r="CQ158" s="8">
        <v>2.9331</v>
      </c>
      <c r="CR158" s="8">
        <v>2.9670000000000001</v>
      </c>
      <c r="CS158" s="8">
        <v>3.0009999999999999</v>
      </c>
      <c r="CT158" s="8">
        <v>3.0350999999999999</v>
      </c>
      <c r="CU158" s="8">
        <v>3.0693000000000001</v>
      </c>
      <c r="CV158" s="8">
        <v>3.1034999999999999</v>
      </c>
      <c r="CW158" s="8">
        <v>3.1377999999999999</v>
      </c>
      <c r="CX158" s="8">
        <v>3.1720999999999999</v>
      </c>
      <c r="CY158" s="8">
        <v>3.2065000000000001</v>
      </c>
      <c r="CZ158" s="8">
        <v>3.2408000000000001</v>
      </c>
      <c r="DA158" s="8">
        <v>3.2751999999999999</v>
      </c>
      <c r="DB158" s="8">
        <v>3.3096000000000001</v>
      </c>
      <c r="DC158" s="8">
        <v>3.3439999999999999</v>
      </c>
      <c r="DD158" s="8">
        <v>3.3784000000000001</v>
      </c>
      <c r="DE158" s="8">
        <v>3.4127000000000001</v>
      </c>
      <c r="DF158" s="8">
        <v>3.4470000000000001</v>
      </c>
      <c r="DG158" s="8">
        <v>3.4811999999999999</v>
      </c>
      <c r="DH158" s="8">
        <v>3.5074000000000001</v>
      </c>
      <c r="DI158" s="8">
        <v>3.5310000000000001</v>
      </c>
      <c r="DJ158" s="8">
        <v>3.5543999999999998</v>
      </c>
      <c r="DK158" s="8">
        <v>3.5775999999999999</v>
      </c>
      <c r="DL158" s="8">
        <v>3.6004999999999998</v>
      </c>
      <c r="DM158" s="8">
        <v>3.6231</v>
      </c>
      <c r="DN158" s="8">
        <v>3.6455000000000002</v>
      </c>
      <c r="DO158" s="8">
        <v>3.6676000000000002</v>
      </c>
      <c r="DP158" s="8">
        <v>3.6894</v>
      </c>
      <c r="DQ158" s="8">
        <v>3.7109000000000001</v>
      </c>
      <c r="DR158" s="8">
        <v>3.7322000000000002</v>
      </c>
      <c r="DS158" s="8">
        <v>3.7532000000000001</v>
      </c>
      <c r="DT158" s="8">
        <v>3.7738999999999998</v>
      </c>
      <c r="DU158" s="8">
        <v>3.7942999999999998</v>
      </c>
      <c r="DV158" s="8">
        <v>3.8144</v>
      </c>
      <c r="DW158" s="8">
        <v>3.8342999999999998</v>
      </c>
      <c r="DX158" s="8">
        <v>3.8538000000000001</v>
      </c>
      <c r="DY158" s="8">
        <v>3.8732000000000002</v>
      </c>
      <c r="DZ158" s="8">
        <v>3.8921999999999999</v>
      </c>
      <c r="EA158" s="8">
        <v>3.9110999999999998</v>
      </c>
      <c r="EB158" s="8">
        <v>3.9297</v>
      </c>
      <c r="EC158" s="8">
        <v>3.9481000000000002</v>
      </c>
      <c r="ED158" s="8">
        <v>3.9664000000000001</v>
      </c>
      <c r="EE158" s="8">
        <v>3.9843999999999999</v>
      </c>
      <c r="EF158" s="8">
        <v>4.0023999999999997</v>
      </c>
      <c r="EG158" s="8">
        <v>4.0202</v>
      </c>
      <c r="EH158" s="8">
        <v>4.0380000000000003</v>
      </c>
      <c r="EI158" s="8">
        <v>4.0557999999999996</v>
      </c>
      <c r="EJ158" s="8">
        <v>4.0735000000000001</v>
      </c>
      <c r="EK158" s="8">
        <v>4.0913000000000004</v>
      </c>
      <c r="EL158" s="8">
        <v>4.1092000000000004</v>
      </c>
      <c r="EM158" s="8">
        <v>4.1272000000000002</v>
      </c>
      <c r="EN158" s="8">
        <v>4.1452999999999998</v>
      </c>
      <c r="EO158" s="8">
        <v>4.1637000000000004</v>
      </c>
      <c r="EP158" s="8">
        <v>4.1824000000000003</v>
      </c>
      <c r="EQ158" s="8">
        <v>4.2013999999999996</v>
      </c>
      <c r="ER158" s="8">
        <v>4.2206999999999999</v>
      </c>
      <c r="ES158" s="8">
        <v>4.2404999999999999</v>
      </c>
      <c r="ET158" s="8">
        <v>4.2606999999999999</v>
      </c>
      <c r="EU158" s="8">
        <v>4.2815000000000003</v>
      </c>
      <c r="EV158" s="8">
        <v>4.3029000000000002</v>
      </c>
      <c r="EW158" s="8">
        <v>4.3247999999999998</v>
      </c>
      <c r="EX158" s="8">
        <v>4.3475000000000001</v>
      </c>
      <c r="EY158" s="8">
        <v>4.3708999999999998</v>
      </c>
      <c r="EZ158" s="8">
        <v>4.3949999999999996</v>
      </c>
      <c r="FA158" s="8">
        <v>4.4199000000000002</v>
      </c>
      <c r="FB158" s="8">
        <v>4.4457000000000004</v>
      </c>
      <c r="FC158" s="106">
        <v>4.4722999999999997</v>
      </c>
      <c r="FE158" s="50">
        <f t="shared" ca="1" si="15"/>
        <v>3.8381952278984404</v>
      </c>
      <c r="FF158" s="50">
        <f t="shared" ca="1" si="16"/>
        <v>3.825711310477411</v>
      </c>
      <c r="FG158" s="50">
        <f t="shared" ca="1" si="17"/>
        <v>3.8128756375838924</v>
      </c>
      <c r="FH158" s="50">
        <f t="shared" ca="1" si="18"/>
        <v>3.7993857046979862</v>
      </c>
      <c r="FK158" s="50">
        <f t="shared" ca="1" si="19"/>
        <v>3.825711310477411</v>
      </c>
      <c r="FL158" s="50"/>
      <c r="FM158" s="50"/>
      <c r="FN158" s="50"/>
    </row>
    <row r="159" spans="48:170" hidden="1">
      <c r="AV159" s="69"/>
      <c r="AW159" s="104">
        <v>3.3879999999999999</v>
      </c>
      <c r="AX159" s="8">
        <v>1.5666</v>
      </c>
      <c r="AY159" s="8">
        <v>1.5925</v>
      </c>
      <c r="AZ159" s="8">
        <v>1.6186</v>
      </c>
      <c r="BA159" s="8">
        <v>1.6449</v>
      </c>
      <c r="BB159" s="8">
        <v>1.6715</v>
      </c>
      <c r="BC159" s="8">
        <v>1.6981999999999999</v>
      </c>
      <c r="BD159" s="8">
        <v>1.7252000000000001</v>
      </c>
      <c r="BE159" s="8">
        <v>1.7523</v>
      </c>
      <c r="BF159" s="8">
        <v>1.7797000000000001</v>
      </c>
      <c r="BG159" s="8">
        <v>1.8072999999999999</v>
      </c>
      <c r="BH159" s="8">
        <v>1.835</v>
      </c>
      <c r="BI159" s="8">
        <v>1.863</v>
      </c>
      <c r="BJ159" s="8">
        <v>1.8912</v>
      </c>
      <c r="BK159" s="8">
        <v>1.9196</v>
      </c>
      <c r="BL159" s="8">
        <v>1.9481999999999999</v>
      </c>
      <c r="BM159" s="8">
        <v>1.9770000000000001</v>
      </c>
      <c r="BN159" s="8">
        <v>2.0059999999999998</v>
      </c>
      <c r="BO159" s="8">
        <v>2.0352000000000001</v>
      </c>
      <c r="BP159" s="8">
        <v>2.0646</v>
      </c>
      <c r="BQ159" s="8">
        <v>2.0941999999999998</v>
      </c>
      <c r="BR159" s="8">
        <v>2.1240000000000001</v>
      </c>
      <c r="BS159" s="8">
        <v>2.1539999999999999</v>
      </c>
      <c r="BT159" s="8">
        <v>2.1842000000000001</v>
      </c>
      <c r="BU159" s="8">
        <v>2.2145000000000001</v>
      </c>
      <c r="BV159" s="8">
        <v>2.2450999999999999</v>
      </c>
      <c r="BW159" s="8">
        <v>2.2757999999999998</v>
      </c>
      <c r="BX159" s="8">
        <v>2.3067000000000002</v>
      </c>
      <c r="BY159" s="8">
        <v>2.3378000000000001</v>
      </c>
      <c r="BZ159" s="8">
        <v>2.3691</v>
      </c>
      <c r="CA159" s="8">
        <v>2.4005999999999998</v>
      </c>
      <c r="CB159" s="8">
        <v>2.4321999999999999</v>
      </c>
      <c r="CC159" s="8">
        <v>2.464</v>
      </c>
      <c r="CD159" s="8">
        <v>2.496</v>
      </c>
      <c r="CE159" s="8">
        <v>2.5280999999999998</v>
      </c>
      <c r="CF159" s="8">
        <v>2.5604</v>
      </c>
      <c r="CG159" s="8">
        <v>2.5928</v>
      </c>
      <c r="CH159" s="8">
        <v>2.6254</v>
      </c>
      <c r="CI159" s="8">
        <v>2.6581999999999999</v>
      </c>
      <c r="CJ159" s="8">
        <v>2.6911</v>
      </c>
      <c r="CK159" s="8">
        <v>2.7241</v>
      </c>
      <c r="CL159" s="8">
        <v>2.7572999999999999</v>
      </c>
      <c r="CM159" s="8">
        <v>2.7905000000000002</v>
      </c>
      <c r="CN159" s="8">
        <v>2.8239000000000001</v>
      </c>
      <c r="CO159" s="8">
        <v>2.8574999999999999</v>
      </c>
      <c r="CP159" s="8">
        <v>2.8910999999999998</v>
      </c>
      <c r="CQ159" s="8">
        <v>2.9247999999999998</v>
      </c>
      <c r="CR159" s="8">
        <v>2.9586999999999999</v>
      </c>
      <c r="CS159" s="8">
        <v>2.9925999999999999</v>
      </c>
      <c r="CT159" s="8">
        <v>3.0266000000000002</v>
      </c>
      <c r="CU159" s="8">
        <v>3.0606</v>
      </c>
      <c r="CV159" s="8">
        <v>3.0947</v>
      </c>
      <c r="CW159" s="8">
        <v>3.1288999999999998</v>
      </c>
      <c r="CX159" s="8">
        <v>3.1631</v>
      </c>
      <c r="CY159" s="8">
        <v>3.1974</v>
      </c>
      <c r="CZ159" s="8">
        <v>3.2317</v>
      </c>
      <c r="DA159" s="8">
        <v>3.266</v>
      </c>
      <c r="DB159" s="8">
        <v>3.3003</v>
      </c>
      <c r="DC159" s="8">
        <v>3.3344999999999998</v>
      </c>
      <c r="DD159" s="8">
        <v>3.3687999999999998</v>
      </c>
      <c r="DE159" s="8">
        <v>3.4030999999999998</v>
      </c>
      <c r="DF159" s="8">
        <v>3.4371999999999998</v>
      </c>
      <c r="DG159" s="8">
        <v>3.4714</v>
      </c>
      <c r="DH159" s="8">
        <v>3.5053999999999998</v>
      </c>
      <c r="DI159" s="8">
        <v>3.5310000000000001</v>
      </c>
      <c r="DJ159" s="8">
        <v>3.5543999999999998</v>
      </c>
      <c r="DK159" s="8">
        <v>3.5775999999999999</v>
      </c>
      <c r="DL159" s="8">
        <v>3.6004999999999998</v>
      </c>
      <c r="DM159" s="8">
        <v>3.6231</v>
      </c>
      <c r="DN159" s="8">
        <v>3.6455000000000002</v>
      </c>
      <c r="DO159" s="8">
        <v>3.6676000000000002</v>
      </c>
      <c r="DP159" s="8">
        <v>3.6894</v>
      </c>
      <c r="DQ159" s="8">
        <v>3.7109000000000001</v>
      </c>
      <c r="DR159" s="8">
        <v>3.7322000000000002</v>
      </c>
      <c r="DS159" s="8">
        <v>3.7532000000000001</v>
      </c>
      <c r="DT159" s="8">
        <v>3.7738999999999998</v>
      </c>
      <c r="DU159" s="8">
        <v>3.7942999999999998</v>
      </c>
      <c r="DV159" s="8">
        <v>3.8144</v>
      </c>
      <c r="DW159" s="8">
        <v>3.8342999999999998</v>
      </c>
      <c r="DX159" s="8">
        <v>3.8538000000000001</v>
      </c>
      <c r="DY159" s="8">
        <v>3.8732000000000002</v>
      </c>
      <c r="DZ159" s="8">
        <v>3.8921999999999999</v>
      </c>
      <c r="EA159" s="8">
        <v>3.9110999999999998</v>
      </c>
      <c r="EB159" s="8">
        <v>3.9297</v>
      </c>
      <c r="EC159" s="8">
        <v>3.9481000000000002</v>
      </c>
      <c r="ED159" s="8">
        <v>3.9664000000000001</v>
      </c>
      <c r="EE159" s="8">
        <v>3.9843999999999999</v>
      </c>
      <c r="EF159" s="8">
        <v>4.0023999999999997</v>
      </c>
      <c r="EG159" s="8">
        <v>4.0202</v>
      </c>
      <c r="EH159" s="8">
        <v>4.0380000000000003</v>
      </c>
      <c r="EI159" s="8">
        <v>4.0557999999999996</v>
      </c>
      <c r="EJ159" s="8">
        <v>4.0735000000000001</v>
      </c>
      <c r="EK159" s="8">
        <v>4.0913000000000004</v>
      </c>
      <c r="EL159" s="8">
        <v>4.1092000000000004</v>
      </c>
      <c r="EM159" s="8">
        <v>4.1272000000000002</v>
      </c>
      <c r="EN159" s="8">
        <v>4.1452999999999998</v>
      </c>
      <c r="EO159" s="8">
        <v>4.1637000000000004</v>
      </c>
      <c r="EP159" s="8">
        <v>4.1824000000000003</v>
      </c>
      <c r="EQ159" s="8">
        <v>4.2013999999999996</v>
      </c>
      <c r="ER159" s="8">
        <v>4.2206999999999999</v>
      </c>
      <c r="ES159" s="8">
        <v>4.2404999999999999</v>
      </c>
      <c r="ET159" s="8">
        <v>4.2606999999999999</v>
      </c>
      <c r="EU159" s="8">
        <v>4.2815000000000003</v>
      </c>
      <c r="EV159" s="8">
        <v>4.3029000000000002</v>
      </c>
      <c r="EW159" s="8">
        <v>4.3247999999999998</v>
      </c>
      <c r="EX159" s="8">
        <v>4.3475000000000001</v>
      </c>
      <c r="EY159" s="8">
        <v>4.3708999999999998</v>
      </c>
      <c r="EZ159" s="8">
        <v>4.3949999999999996</v>
      </c>
      <c r="FA159" s="8">
        <v>4.4199000000000002</v>
      </c>
      <c r="FB159" s="8">
        <v>4.4457000000000004</v>
      </c>
      <c r="FC159" s="106">
        <v>4.4722999999999997</v>
      </c>
      <c r="FE159" s="50">
        <f t="shared" ca="1" si="15"/>
        <v>3.8381952278984404</v>
      </c>
      <c r="FF159" s="50">
        <f t="shared" ca="1" si="16"/>
        <v>3.825711310477411</v>
      </c>
      <c r="FG159" s="50">
        <f t="shared" ca="1" si="17"/>
        <v>3.8128756375838924</v>
      </c>
      <c r="FH159" s="50">
        <f t="shared" ca="1" si="18"/>
        <v>3.7993857046979862</v>
      </c>
      <c r="FK159" s="50">
        <f t="shared" ca="1" si="19"/>
        <v>3.825711310477411</v>
      </c>
      <c r="FL159" s="50"/>
      <c r="FM159" s="50"/>
      <c r="FN159" s="50"/>
    </row>
    <row r="160" spans="48:170" hidden="1">
      <c r="AV160" s="69"/>
      <c r="AW160" s="104">
        <v>3.6309999999999998</v>
      </c>
      <c r="AX160" s="8">
        <v>1.5622</v>
      </c>
      <c r="AY160" s="8">
        <v>1.5880000000000001</v>
      </c>
      <c r="AZ160" s="8">
        <v>1.6141000000000001</v>
      </c>
      <c r="BA160" s="8">
        <v>1.6403000000000001</v>
      </c>
      <c r="BB160" s="8">
        <v>1.6668000000000001</v>
      </c>
      <c r="BC160" s="8">
        <v>1.6935</v>
      </c>
      <c r="BD160" s="8">
        <v>1.7202999999999999</v>
      </c>
      <c r="BE160" s="8">
        <v>1.7474000000000001</v>
      </c>
      <c r="BF160" s="8">
        <v>1.7746999999999999</v>
      </c>
      <c r="BG160" s="8">
        <v>1.8022</v>
      </c>
      <c r="BH160" s="8">
        <v>1.8299000000000001</v>
      </c>
      <c r="BI160" s="8">
        <v>1.8577999999999999</v>
      </c>
      <c r="BJ160" s="8">
        <v>1.8858999999999999</v>
      </c>
      <c r="BK160" s="8">
        <v>1.9142999999999999</v>
      </c>
      <c r="BL160" s="8">
        <v>1.9428000000000001</v>
      </c>
      <c r="BM160" s="8">
        <v>1.9715</v>
      </c>
      <c r="BN160" s="8">
        <v>2.0004</v>
      </c>
      <c r="BO160" s="8">
        <v>2.0295000000000001</v>
      </c>
      <c r="BP160" s="8">
        <v>2.0588000000000002</v>
      </c>
      <c r="BQ160" s="8">
        <v>2.0884</v>
      </c>
      <c r="BR160" s="8">
        <v>2.1181000000000001</v>
      </c>
      <c r="BS160" s="8">
        <v>2.1480000000000001</v>
      </c>
      <c r="BT160" s="8">
        <v>2.1781000000000001</v>
      </c>
      <c r="BU160" s="8">
        <v>2.2082999999999999</v>
      </c>
      <c r="BV160" s="8">
        <v>2.2387999999999999</v>
      </c>
      <c r="BW160" s="8">
        <v>2.2694000000000001</v>
      </c>
      <c r="BX160" s="8">
        <v>2.3003</v>
      </c>
      <c r="BY160" s="8">
        <v>2.3313000000000001</v>
      </c>
      <c r="BZ160" s="8">
        <v>2.3624999999999998</v>
      </c>
      <c r="CA160" s="8">
        <v>2.3938999999999999</v>
      </c>
      <c r="CB160" s="8">
        <v>2.4253999999999998</v>
      </c>
      <c r="CC160" s="8">
        <v>2.4571000000000001</v>
      </c>
      <c r="CD160" s="8">
        <v>2.4889999999999999</v>
      </c>
      <c r="CE160" s="8">
        <v>2.5209999999999999</v>
      </c>
      <c r="CF160" s="8">
        <v>2.5531999999999999</v>
      </c>
      <c r="CG160" s="8">
        <v>2.5855999999999999</v>
      </c>
      <c r="CH160" s="8">
        <v>2.6181000000000001</v>
      </c>
      <c r="CI160" s="8">
        <v>2.6507999999999998</v>
      </c>
      <c r="CJ160" s="8">
        <v>2.6836000000000002</v>
      </c>
      <c r="CK160" s="8">
        <v>2.7164999999999999</v>
      </c>
      <c r="CL160" s="8">
        <v>2.7496</v>
      </c>
      <c r="CM160" s="8">
        <v>2.7827000000000002</v>
      </c>
      <c r="CN160" s="8">
        <v>2.8161</v>
      </c>
      <c r="CO160" s="8">
        <v>2.8494999999999999</v>
      </c>
      <c r="CP160" s="8">
        <v>2.883</v>
      </c>
      <c r="CQ160" s="8">
        <v>2.9167000000000001</v>
      </c>
      <c r="CR160" s="8">
        <v>2.9504000000000001</v>
      </c>
      <c r="CS160" s="8">
        <v>2.9842</v>
      </c>
      <c r="CT160" s="8">
        <v>3.0181</v>
      </c>
      <c r="CU160" s="8">
        <v>3.0520999999999998</v>
      </c>
      <c r="CV160" s="8">
        <v>3.0861000000000001</v>
      </c>
      <c r="CW160" s="8">
        <v>3.1202000000000001</v>
      </c>
      <c r="CX160" s="8">
        <v>3.1543000000000001</v>
      </c>
      <c r="CY160" s="8">
        <v>3.1884999999999999</v>
      </c>
      <c r="CZ160" s="8">
        <v>3.2225999999999999</v>
      </c>
      <c r="DA160" s="8">
        <v>3.2568000000000001</v>
      </c>
      <c r="DB160" s="8">
        <v>3.2909999999999999</v>
      </c>
      <c r="DC160" s="8">
        <v>3.3252000000000002</v>
      </c>
      <c r="DD160" s="8">
        <v>3.3593999999999999</v>
      </c>
      <c r="DE160" s="8">
        <v>3.3935</v>
      </c>
      <c r="DF160" s="8">
        <v>3.4276</v>
      </c>
      <c r="DG160" s="8">
        <v>3.4617</v>
      </c>
      <c r="DH160" s="8">
        <v>3.4956999999999998</v>
      </c>
      <c r="DI160" s="8">
        <v>3.5295000000000001</v>
      </c>
      <c r="DJ160" s="8">
        <v>3.5543999999999998</v>
      </c>
      <c r="DK160" s="8">
        <v>3.5775999999999999</v>
      </c>
      <c r="DL160" s="8">
        <v>3.6004999999999998</v>
      </c>
      <c r="DM160" s="8">
        <v>3.6231</v>
      </c>
      <c r="DN160" s="8">
        <v>3.6455000000000002</v>
      </c>
      <c r="DO160" s="8">
        <v>3.6676000000000002</v>
      </c>
      <c r="DP160" s="8">
        <v>3.6894</v>
      </c>
      <c r="DQ160" s="8">
        <v>3.7109000000000001</v>
      </c>
      <c r="DR160" s="8">
        <v>3.7322000000000002</v>
      </c>
      <c r="DS160" s="8">
        <v>3.7532000000000001</v>
      </c>
      <c r="DT160" s="8">
        <v>3.7738999999999998</v>
      </c>
      <c r="DU160" s="8">
        <v>3.7942999999999998</v>
      </c>
      <c r="DV160" s="8">
        <v>3.8144</v>
      </c>
      <c r="DW160" s="8">
        <v>3.8342999999999998</v>
      </c>
      <c r="DX160" s="8">
        <v>3.8538000000000001</v>
      </c>
      <c r="DY160" s="8">
        <v>3.8732000000000002</v>
      </c>
      <c r="DZ160" s="8">
        <v>3.8921999999999999</v>
      </c>
      <c r="EA160" s="8">
        <v>3.9110999999999998</v>
      </c>
      <c r="EB160" s="8">
        <v>3.9297</v>
      </c>
      <c r="EC160" s="8">
        <v>3.9481000000000002</v>
      </c>
      <c r="ED160" s="8">
        <v>3.9664000000000001</v>
      </c>
      <c r="EE160" s="8">
        <v>3.9843999999999999</v>
      </c>
      <c r="EF160" s="8">
        <v>4.0023999999999997</v>
      </c>
      <c r="EG160" s="8">
        <v>4.0202</v>
      </c>
      <c r="EH160" s="8">
        <v>4.0380000000000003</v>
      </c>
      <c r="EI160" s="8">
        <v>4.0557999999999996</v>
      </c>
      <c r="EJ160" s="8">
        <v>4.0735000000000001</v>
      </c>
      <c r="EK160" s="8">
        <v>4.0913000000000004</v>
      </c>
      <c r="EL160" s="8">
        <v>4.1092000000000004</v>
      </c>
      <c r="EM160" s="8">
        <v>4.1272000000000002</v>
      </c>
      <c r="EN160" s="8">
        <v>4.1452999999999998</v>
      </c>
      <c r="EO160" s="8">
        <v>4.1637000000000004</v>
      </c>
      <c r="EP160" s="8">
        <v>4.1824000000000003</v>
      </c>
      <c r="EQ160" s="8">
        <v>4.2013999999999996</v>
      </c>
      <c r="ER160" s="8">
        <v>4.2206999999999999</v>
      </c>
      <c r="ES160" s="8">
        <v>4.2404999999999999</v>
      </c>
      <c r="ET160" s="8">
        <v>4.2606999999999999</v>
      </c>
      <c r="EU160" s="8">
        <v>4.2815000000000003</v>
      </c>
      <c r="EV160" s="8">
        <v>4.3029000000000002</v>
      </c>
      <c r="EW160" s="8">
        <v>4.3247999999999998</v>
      </c>
      <c r="EX160" s="8">
        <v>4.3475000000000001</v>
      </c>
      <c r="EY160" s="8">
        <v>4.3708999999999998</v>
      </c>
      <c r="EZ160" s="8">
        <v>4.3949999999999996</v>
      </c>
      <c r="FA160" s="8">
        <v>4.4199000000000002</v>
      </c>
      <c r="FB160" s="8">
        <v>4.4457000000000004</v>
      </c>
      <c r="FC160" s="106">
        <v>4.4722999999999997</v>
      </c>
      <c r="FE160" s="50">
        <f t="shared" ca="1" si="15"/>
        <v>3.8381952278984404</v>
      </c>
      <c r="FF160" s="50">
        <f t="shared" ca="1" si="16"/>
        <v>3.825711310477411</v>
      </c>
      <c r="FG160" s="50">
        <f t="shared" ca="1" si="17"/>
        <v>3.8128756375838924</v>
      </c>
      <c r="FH160" s="50">
        <f t="shared" ca="1" si="18"/>
        <v>3.7993857046979862</v>
      </c>
      <c r="FK160" s="50">
        <f t="shared" ca="1" si="19"/>
        <v>3.825711310477411</v>
      </c>
      <c r="FL160" s="50"/>
      <c r="FM160" s="50"/>
      <c r="FN160" s="50"/>
    </row>
    <row r="161" spans="48:170" hidden="1">
      <c r="AV161" s="69"/>
      <c r="AW161" s="104">
        <v>3.89</v>
      </c>
      <c r="AX161" s="8">
        <v>1.5579000000000001</v>
      </c>
      <c r="AY161" s="8">
        <v>1.5835999999999999</v>
      </c>
      <c r="AZ161" s="8">
        <v>1.6095999999999999</v>
      </c>
      <c r="BA161" s="8">
        <v>1.6357999999999999</v>
      </c>
      <c r="BB161" s="8">
        <v>1.6621999999999999</v>
      </c>
      <c r="BC161" s="8">
        <v>1.6888000000000001</v>
      </c>
      <c r="BD161" s="8">
        <v>1.7156</v>
      </c>
      <c r="BE161" s="8">
        <v>1.7425999999999999</v>
      </c>
      <c r="BF161" s="8">
        <v>1.7698</v>
      </c>
      <c r="BG161" s="8">
        <v>1.7971999999999999</v>
      </c>
      <c r="BH161" s="8">
        <v>1.8249</v>
      </c>
      <c r="BI161" s="8">
        <v>1.8527</v>
      </c>
      <c r="BJ161" s="8">
        <v>1.8807</v>
      </c>
      <c r="BK161" s="8">
        <v>1.909</v>
      </c>
      <c r="BL161" s="8">
        <v>1.9374</v>
      </c>
      <c r="BM161" s="8">
        <v>1.9661</v>
      </c>
      <c r="BN161" s="8">
        <v>1.9948999999999999</v>
      </c>
      <c r="BO161" s="8">
        <v>2.0238999999999998</v>
      </c>
      <c r="BP161" s="8">
        <v>2.0531999999999999</v>
      </c>
      <c r="BQ161" s="8">
        <v>2.0825999999999998</v>
      </c>
      <c r="BR161" s="8">
        <v>2.1122000000000001</v>
      </c>
      <c r="BS161" s="8">
        <v>2.1419999999999999</v>
      </c>
      <c r="BT161" s="8">
        <v>2.1720000000000002</v>
      </c>
      <c r="BU161" s="8">
        <v>2.2021999999999999</v>
      </c>
      <c r="BV161" s="8">
        <v>2.2326000000000001</v>
      </c>
      <c r="BW161" s="8">
        <v>2.2631999999999999</v>
      </c>
      <c r="BX161" s="8">
        <v>2.2938999999999998</v>
      </c>
      <c r="BY161" s="8">
        <v>2.3249</v>
      </c>
      <c r="BZ161" s="8">
        <v>2.3559999999999999</v>
      </c>
      <c r="CA161" s="8">
        <v>2.3873000000000002</v>
      </c>
      <c r="CB161" s="8">
        <v>2.4186999999999999</v>
      </c>
      <c r="CC161" s="8">
        <v>2.4502999999999999</v>
      </c>
      <c r="CD161" s="8">
        <v>2.4821</v>
      </c>
      <c r="CE161" s="8">
        <v>2.5141</v>
      </c>
      <c r="CF161" s="8">
        <v>2.5461999999999998</v>
      </c>
      <c r="CG161" s="8">
        <v>2.5785</v>
      </c>
      <c r="CH161" s="8">
        <v>2.6109</v>
      </c>
      <c r="CI161" s="8">
        <v>2.6434000000000002</v>
      </c>
      <c r="CJ161" s="8">
        <v>2.6760999999999999</v>
      </c>
      <c r="CK161" s="8">
        <v>2.7090000000000001</v>
      </c>
      <c r="CL161" s="8">
        <v>2.742</v>
      </c>
      <c r="CM161" s="8">
        <v>2.7751000000000001</v>
      </c>
      <c r="CN161" s="8">
        <v>2.8083</v>
      </c>
      <c r="CO161" s="8">
        <v>2.8416000000000001</v>
      </c>
      <c r="CP161" s="8">
        <v>2.8751000000000002</v>
      </c>
      <c r="CQ161" s="8">
        <v>2.9085999999999999</v>
      </c>
      <c r="CR161" s="8">
        <v>2.9422000000000001</v>
      </c>
      <c r="CS161" s="8">
        <v>2.976</v>
      </c>
      <c r="CT161" s="8">
        <v>3.0097999999999998</v>
      </c>
      <c r="CU161" s="8">
        <v>3.0436000000000001</v>
      </c>
      <c r="CV161" s="8">
        <v>3.0775999999999999</v>
      </c>
      <c r="CW161" s="8">
        <v>3.1116000000000001</v>
      </c>
      <c r="CX161" s="8">
        <v>3.1456</v>
      </c>
      <c r="CY161" s="8">
        <v>3.1797</v>
      </c>
      <c r="CZ161" s="8">
        <v>3.2136999999999998</v>
      </c>
      <c r="DA161" s="8">
        <v>3.2477999999999998</v>
      </c>
      <c r="DB161" s="8">
        <v>3.282</v>
      </c>
      <c r="DC161" s="8">
        <v>3.3161</v>
      </c>
      <c r="DD161" s="8">
        <v>3.3500999999999999</v>
      </c>
      <c r="DE161" s="8">
        <v>3.3841999999999999</v>
      </c>
      <c r="DF161" s="8">
        <v>3.4182000000000001</v>
      </c>
      <c r="DG161" s="8">
        <v>3.4521000000000002</v>
      </c>
      <c r="DH161" s="8">
        <v>3.4860000000000002</v>
      </c>
      <c r="DI161" s="8">
        <v>3.5198</v>
      </c>
      <c r="DJ161" s="8">
        <v>3.5535000000000001</v>
      </c>
      <c r="DK161" s="8">
        <v>3.5775999999999999</v>
      </c>
      <c r="DL161" s="8">
        <v>3.6004999999999998</v>
      </c>
      <c r="DM161" s="8">
        <v>3.6231</v>
      </c>
      <c r="DN161" s="8">
        <v>3.6455000000000002</v>
      </c>
      <c r="DO161" s="8">
        <v>3.6676000000000002</v>
      </c>
      <c r="DP161" s="8">
        <v>3.6894</v>
      </c>
      <c r="DQ161" s="8">
        <v>3.7109000000000001</v>
      </c>
      <c r="DR161" s="8">
        <v>3.7322000000000002</v>
      </c>
      <c r="DS161" s="8">
        <v>3.7532000000000001</v>
      </c>
      <c r="DT161" s="8">
        <v>3.7738999999999998</v>
      </c>
      <c r="DU161" s="8">
        <v>3.7942999999999998</v>
      </c>
      <c r="DV161" s="8">
        <v>3.8144</v>
      </c>
      <c r="DW161" s="8">
        <v>3.8342999999999998</v>
      </c>
      <c r="DX161" s="8">
        <v>3.8538000000000001</v>
      </c>
      <c r="DY161" s="8">
        <v>3.8732000000000002</v>
      </c>
      <c r="DZ161" s="8">
        <v>3.8921999999999999</v>
      </c>
      <c r="EA161" s="8">
        <v>3.9110999999999998</v>
      </c>
      <c r="EB161" s="8">
        <v>3.9297</v>
      </c>
      <c r="EC161" s="8">
        <v>3.9481000000000002</v>
      </c>
      <c r="ED161" s="8">
        <v>3.9664000000000001</v>
      </c>
      <c r="EE161" s="8">
        <v>3.9843999999999999</v>
      </c>
      <c r="EF161" s="8">
        <v>4.0023999999999997</v>
      </c>
      <c r="EG161" s="8">
        <v>4.0202</v>
      </c>
      <c r="EH161" s="8">
        <v>4.0380000000000003</v>
      </c>
      <c r="EI161" s="8">
        <v>4.0557999999999996</v>
      </c>
      <c r="EJ161" s="8">
        <v>4.0735000000000001</v>
      </c>
      <c r="EK161" s="8">
        <v>4.0913000000000004</v>
      </c>
      <c r="EL161" s="8">
        <v>4.1092000000000004</v>
      </c>
      <c r="EM161" s="8">
        <v>4.1272000000000002</v>
      </c>
      <c r="EN161" s="8">
        <v>4.1452999999999998</v>
      </c>
      <c r="EO161" s="8">
        <v>4.1637000000000004</v>
      </c>
      <c r="EP161" s="8">
        <v>4.1824000000000003</v>
      </c>
      <c r="EQ161" s="8">
        <v>4.2013999999999996</v>
      </c>
      <c r="ER161" s="8">
        <v>4.2206999999999999</v>
      </c>
      <c r="ES161" s="8">
        <v>4.2404999999999999</v>
      </c>
      <c r="ET161" s="8">
        <v>4.2606999999999999</v>
      </c>
      <c r="EU161" s="8">
        <v>4.2815000000000003</v>
      </c>
      <c r="EV161" s="8">
        <v>4.3029000000000002</v>
      </c>
      <c r="EW161" s="8">
        <v>4.3247999999999998</v>
      </c>
      <c r="EX161" s="8">
        <v>4.3475000000000001</v>
      </c>
      <c r="EY161" s="8">
        <v>4.3708999999999998</v>
      </c>
      <c r="EZ161" s="8">
        <v>4.3949999999999996</v>
      </c>
      <c r="FA161" s="8">
        <v>4.4199000000000002</v>
      </c>
      <c r="FB161" s="8">
        <v>4.4457000000000004</v>
      </c>
      <c r="FC161" s="106">
        <v>4.4722999999999997</v>
      </c>
      <c r="FE161" s="50">
        <f t="shared" ca="1" si="15"/>
        <v>3.8381952278984404</v>
      </c>
      <c r="FF161" s="50">
        <f t="shared" ca="1" si="16"/>
        <v>3.825711310477411</v>
      </c>
      <c r="FG161" s="50">
        <f t="shared" ca="1" si="17"/>
        <v>3.8128756375838924</v>
      </c>
      <c r="FH161" s="50">
        <f t="shared" ca="1" si="18"/>
        <v>3.7993857046979862</v>
      </c>
      <c r="FK161" s="50">
        <f t="shared" ca="1" si="19"/>
        <v>3.825711310477411</v>
      </c>
      <c r="FL161" s="50"/>
      <c r="FM161" s="50"/>
      <c r="FN161" s="50"/>
    </row>
    <row r="162" spans="48:170" hidden="1">
      <c r="AV162" s="69"/>
      <c r="AW162" s="104">
        <v>4.1689999999999996</v>
      </c>
      <c r="AX162" s="8">
        <v>1.5536000000000001</v>
      </c>
      <c r="AY162" s="8">
        <v>1.5792999999999999</v>
      </c>
      <c r="AZ162" s="8">
        <v>1.6052</v>
      </c>
      <c r="BA162" s="8">
        <v>1.6313</v>
      </c>
      <c r="BB162" s="8">
        <v>1.6576</v>
      </c>
      <c r="BC162" s="8">
        <v>1.6841999999999999</v>
      </c>
      <c r="BD162" s="8">
        <v>1.7109000000000001</v>
      </c>
      <c r="BE162" s="8">
        <v>1.7378</v>
      </c>
      <c r="BF162" s="8">
        <v>1.7649999999999999</v>
      </c>
      <c r="BG162" s="8">
        <v>1.7923</v>
      </c>
      <c r="BH162" s="8">
        <v>1.8199000000000001</v>
      </c>
      <c r="BI162" s="8">
        <v>1.8475999999999999</v>
      </c>
      <c r="BJ162" s="8">
        <v>1.8755999999999999</v>
      </c>
      <c r="BK162" s="8">
        <v>1.9037999999999999</v>
      </c>
      <c r="BL162" s="8">
        <v>1.9320999999999999</v>
      </c>
      <c r="BM162" s="8">
        <v>1.9607000000000001</v>
      </c>
      <c r="BN162" s="8">
        <v>1.9894000000000001</v>
      </c>
      <c r="BO162" s="8">
        <v>2.0184000000000002</v>
      </c>
      <c r="BP162" s="8">
        <v>2.0476000000000001</v>
      </c>
      <c r="BQ162" s="8">
        <v>2.0769000000000002</v>
      </c>
      <c r="BR162" s="8">
        <v>2.1063999999999998</v>
      </c>
      <c r="BS162" s="8">
        <v>2.1362000000000001</v>
      </c>
      <c r="BT162" s="8">
        <v>2.1661000000000001</v>
      </c>
      <c r="BU162" s="8">
        <v>2.1962000000000002</v>
      </c>
      <c r="BV162" s="8">
        <v>2.2265000000000001</v>
      </c>
      <c r="BW162" s="8">
        <v>2.2570000000000001</v>
      </c>
      <c r="BX162" s="8">
        <v>2.2877000000000001</v>
      </c>
      <c r="BY162" s="8">
        <v>2.3184999999999998</v>
      </c>
      <c r="BZ162" s="8">
        <v>2.3494999999999999</v>
      </c>
      <c r="CA162" s="8">
        <v>2.3807</v>
      </c>
      <c r="CB162" s="8">
        <v>2.4121000000000001</v>
      </c>
      <c r="CC162" s="8">
        <v>2.4436</v>
      </c>
      <c r="CD162" s="8">
        <v>2.4752999999999998</v>
      </c>
      <c r="CE162" s="8">
        <v>2.5072000000000001</v>
      </c>
      <c r="CF162" s="8">
        <v>2.5392000000000001</v>
      </c>
      <c r="CG162" s="8">
        <v>2.5714000000000001</v>
      </c>
      <c r="CH162" s="8">
        <v>2.6036999999999999</v>
      </c>
      <c r="CI162" s="8">
        <v>2.6362000000000001</v>
      </c>
      <c r="CJ162" s="8">
        <v>2.6688000000000001</v>
      </c>
      <c r="CK162" s="8">
        <v>2.7016</v>
      </c>
      <c r="CL162" s="8">
        <v>2.7345000000000002</v>
      </c>
      <c r="CM162" s="8">
        <v>2.7675000000000001</v>
      </c>
      <c r="CN162" s="8">
        <v>2.8006000000000002</v>
      </c>
      <c r="CO162" s="8">
        <v>2.8338999999999999</v>
      </c>
      <c r="CP162" s="8">
        <v>2.8672</v>
      </c>
      <c r="CQ162" s="8">
        <v>2.9007000000000001</v>
      </c>
      <c r="CR162" s="8">
        <v>2.9342000000000001</v>
      </c>
      <c r="CS162" s="8">
        <v>2.9678</v>
      </c>
      <c r="CT162" s="8">
        <v>3.0015000000000001</v>
      </c>
      <c r="CU162" s="8">
        <v>3.0352999999999999</v>
      </c>
      <c r="CV162" s="8">
        <v>3.0691999999999999</v>
      </c>
      <c r="CW162" s="8">
        <v>3.1031</v>
      </c>
      <c r="CX162" s="8">
        <v>3.137</v>
      </c>
      <c r="CY162" s="8">
        <v>3.1709999999999998</v>
      </c>
      <c r="CZ162" s="8">
        <v>3.2050000000000001</v>
      </c>
      <c r="DA162" s="8">
        <v>3.2389999999999999</v>
      </c>
      <c r="DB162" s="8">
        <v>3.2730000000000001</v>
      </c>
      <c r="DC162" s="8">
        <v>3.3069999999999999</v>
      </c>
      <c r="DD162" s="8">
        <v>3.3410000000000002</v>
      </c>
      <c r="DE162" s="8">
        <v>3.3748999999999998</v>
      </c>
      <c r="DF162" s="8">
        <v>3.4087999999999998</v>
      </c>
      <c r="DG162" s="8">
        <v>3.4426999999999999</v>
      </c>
      <c r="DH162" s="8">
        <v>3.4765000000000001</v>
      </c>
      <c r="DI162" s="8">
        <v>3.5102000000000002</v>
      </c>
      <c r="DJ162" s="8">
        <v>3.5438000000000001</v>
      </c>
      <c r="DK162" s="8">
        <v>3.5773000000000001</v>
      </c>
      <c r="DL162" s="8">
        <v>3.6004999999999998</v>
      </c>
      <c r="DM162" s="8">
        <v>3.6231</v>
      </c>
      <c r="DN162" s="8">
        <v>3.6455000000000002</v>
      </c>
      <c r="DO162" s="8">
        <v>3.6676000000000002</v>
      </c>
      <c r="DP162" s="8">
        <v>3.6894</v>
      </c>
      <c r="DQ162" s="8">
        <v>3.7109000000000001</v>
      </c>
      <c r="DR162" s="8">
        <v>3.7322000000000002</v>
      </c>
      <c r="DS162" s="8">
        <v>3.7532000000000001</v>
      </c>
      <c r="DT162" s="8">
        <v>3.7738999999999998</v>
      </c>
      <c r="DU162" s="8">
        <v>3.7942999999999998</v>
      </c>
      <c r="DV162" s="8">
        <v>3.8144</v>
      </c>
      <c r="DW162" s="8">
        <v>3.8342999999999998</v>
      </c>
      <c r="DX162" s="8">
        <v>3.8538000000000001</v>
      </c>
      <c r="DY162" s="8">
        <v>3.8732000000000002</v>
      </c>
      <c r="DZ162" s="8">
        <v>3.8921999999999999</v>
      </c>
      <c r="EA162" s="8">
        <v>3.9110999999999998</v>
      </c>
      <c r="EB162" s="8">
        <v>3.9297</v>
      </c>
      <c r="EC162" s="8">
        <v>3.9481000000000002</v>
      </c>
      <c r="ED162" s="8">
        <v>3.9664000000000001</v>
      </c>
      <c r="EE162" s="8">
        <v>3.9843999999999999</v>
      </c>
      <c r="EF162" s="8">
        <v>4.0023999999999997</v>
      </c>
      <c r="EG162" s="8">
        <v>4.0202</v>
      </c>
      <c r="EH162" s="8">
        <v>4.0380000000000003</v>
      </c>
      <c r="EI162" s="8">
        <v>4.0557999999999996</v>
      </c>
      <c r="EJ162" s="8">
        <v>4.0735000000000001</v>
      </c>
      <c r="EK162" s="8">
        <v>4.0913000000000004</v>
      </c>
      <c r="EL162" s="8">
        <v>4.1092000000000004</v>
      </c>
      <c r="EM162" s="8">
        <v>4.1272000000000002</v>
      </c>
      <c r="EN162" s="8">
        <v>4.1452999999999998</v>
      </c>
      <c r="EO162" s="8">
        <v>4.1637000000000004</v>
      </c>
      <c r="EP162" s="8">
        <v>4.1824000000000003</v>
      </c>
      <c r="EQ162" s="8">
        <v>4.2013999999999996</v>
      </c>
      <c r="ER162" s="8">
        <v>4.2206999999999999</v>
      </c>
      <c r="ES162" s="8">
        <v>4.2404999999999999</v>
      </c>
      <c r="ET162" s="8">
        <v>4.2606999999999999</v>
      </c>
      <c r="EU162" s="8">
        <v>4.2815000000000003</v>
      </c>
      <c r="EV162" s="8">
        <v>4.3029000000000002</v>
      </c>
      <c r="EW162" s="8">
        <v>4.3247999999999998</v>
      </c>
      <c r="EX162" s="8">
        <v>4.3475000000000001</v>
      </c>
      <c r="EY162" s="8">
        <v>4.3708999999999998</v>
      </c>
      <c r="EZ162" s="8">
        <v>4.3949999999999996</v>
      </c>
      <c r="FA162" s="8">
        <v>4.4199000000000002</v>
      </c>
      <c r="FB162" s="8">
        <v>4.4457000000000004</v>
      </c>
      <c r="FC162" s="106">
        <v>4.4722999999999997</v>
      </c>
      <c r="FE162" s="50">
        <f t="shared" ca="1" si="15"/>
        <v>3.8381952278984404</v>
      </c>
      <c r="FF162" s="50">
        <f t="shared" ca="1" si="16"/>
        <v>3.825711310477411</v>
      </c>
      <c r="FG162" s="50">
        <f t="shared" ca="1" si="17"/>
        <v>3.8128756375838924</v>
      </c>
      <c r="FH162" s="50">
        <f t="shared" ca="1" si="18"/>
        <v>3.7993857046979862</v>
      </c>
      <c r="FK162" s="50">
        <f t="shared" ca="1" si="19"/>
        <v>3.825711310477411</v>
      </c>
      <c r="FL162" s="50"/>
      <c r="FM162" s="50"/>
      <c r="FN162" s="50"/>
    </row>
    <row r="163" spans="48:170" hidden="1">
      <c r="AV163" s="69"/>
      <c r="AW163" s="104">
        <v>4.4669999999999996</v>
      </c>
      <c r="AX163" s="8">
        <v>1.5494000000000001</v>
      </c>
      <c r="AY163" s="8">
        <v>1.575</v>
      </c>
      <c r="AZ163" s="8">
        <v>1.6009</v>
      </c>
      <c r="BA163" s="8">
        <v>1.6269</v>
      </c>
      <c r="BB163" s="8">
        <v>1.6532</v>
      </c>
      <c r="BC163" s="8">
        <v>1.6796</v>
      </c>
      <c r="BD163" s="8">
        <v>1.7062999999999999</v>
      </c>
      <c r="BE163" s="8">
        <v>1.7331000000000001</v>
      </c>
      <c r="BF163" s="8">
        <v>1.7602</v>
      </c>
      <c r="BG163" s="8">
        <v>1.7875000000000001</v>
      </c>
      <c r="BH163" s="8">
        <v>1.8149999999999999</v>
      </c>
      <c r="BI163" s="8">
        <v>1.8427</v>
      </c>
      <c r="BJ163" s="8">
        <v>1.8705000000000001</v>
      </c>
      <c r="BK163" s="8">
        <v>1.8986000000000001</v>
      </c>
      <c r="BL163" s="8">
        <v>1.9269000000000001</v>
      </c>
      <c r="BM163" s="8">
        <v>1.9554</v>
      </c>
      <c r="BN163" s="8">
        <v>1.9841</v>
      </c>
      <c r="BO163" s="8">
        <v>2.0129000000000001</v>
      </c>
      <c r="BP163" s="8">
        <v>2.0419999999999998</v>
      </c>
      <c r="BQ163" s="8">
        <v>2.0712999999999999</v>
      </c>
      <c r="BR163" s="8">
        <v>2.1008</v>
      </c>
      <c r="BS163" s="8">
        <v>2.1303999999999998</v>
      </c>
      <c r="BT163" s="8">
        <v>2.1602999999999999</v>
      </c>
      <c r="BU163" s="8">
        <v>2.1903000000000001</v>
      </c>
      <c r="BV163" s="8">
        <v>2.2204999999999999</v>
      </c>
      <c r="BW163" s="8">
        <v>2.2509000000000001</v>
      </c>
      <c r="BX163" s="8">
        <v>2.2814999999999999</v>
      </c>
      <c r="BY163" s="8">
        <v>2.3123</v>
      </c>
      <c r="BZ163" s="8">
        <v>2.3431999999999999</v>
      </c>
      <c r="CA163" s="8">
        <v>2.3742999999999999</v>
      </c>
      <c r="CB163" s="8">
        <v>2.4056000000000002</v>
      </c>
      <c r="CC163" s="8">
        <v>2.4369999999999998</v>
      </c>
      <c r="CD163" s="8">
        <v>2.4687000000000001</v>
      </c>
      <c r="CE163" s="8">
        <v>2.5004</v>
      </c>
      <c r="CF163" s="8">
        <v>2.5324</v>
      </c>
      <c r="CG163" s="8">
        <v>2.5644999999999998</v>
      </c>
      <c r="CH163" s="8">
        <v>2.5966999999999998</v>
      </c>
      <c r="CI163" s="8">
        <v>2.6291000000000002</v>
      </c>
      <c r="CJ163" s="8">
        <v>2.6616</v>
      </c>
      <c r="CK163" s="8">
        <v>2.6943000000000001</v>
      </c>
      <c r="CL163" s="8">
        <v>2.7271000000000001</v>
      </c>
      <c r="CM163" s="8">
        <v>2.76</v>
      </c>
      <c r="CN163" s="8">
        <v>2.7930000000000001</v>
      </c>
      <c r="CO163" s="8">
        <v>2.8262</v>
      </c>
      <c r="CP163" s="8">
        <v>2.8595000000000002</v>
      </c>
      <c r="CQ163" s="8">
        <v>2.8927999999999998</v>
      </c>
      <c r="CR163" s="8">
        <v>2.9262999999999999</v>
      </c>
      <c r="CS163" s="8">
        <v>2.9598</v>
      </c>
      <c r="CT163" s="8">
        <v>2.9933999999999998</v>
      </c>
      <c r="CU163" s="8">
        <v>3.0270999999999999</v>
      </c>
      <c r="CV163" s="8">
        <v>3.0609000000000002</v>
      </c>
      <c r="CW163" s="8">
        <v>3.0947</v>
      </c>
      <c r="CX163" s="8">
        <v>3.1284999999999998</v>
      </c>
      <c r="CY163" s="8">
        <v>3.1623999999999999</v>
      </c>
      <c r="CZ163" s="8">
        <v>3.1962999999999999</v>
      </c>
      <c r="DA163" s="8">
        <v>3.2302</v>
      </c>
      <c r="DB163" s="8">
        <v>3.2641</v>
      </c>
      <c r="DC163" s="8">
        <v>3.2980999999999998</v>
      </c>
      <c r="DD163" s="8">
        <v>3.3319999999999999</v>
      </c>
      <c r="DE163" s="8">
        <v>3.3658000000000001</v>
      </c>
      <c r="DF163" s="8">
        <v>3.3996</v>
      </c>
      <c r="DG163" s="8">
        <v>3.4333999999999998</v>
      </c>
      <c r="DH163" s="8">
        <v>3.4670999999999998</v>
      </c>
      <c r="DI163" s="8">
        <v>3.5007000000000001</v>
      </c>
      <c r="DJ163" s="8">
        <v>3.5341999999999998</v>
      </c>
      <c r="DK163" s="8">
        <v>3.5676000000000001</v>
      </c>
      <c r="DL163" s="8">
        <v>3.6004999999999998</v>
      </c>
      <c r="DM163" s="8">
        <v>3.6231</v>
      </c>
      <c r="DN163" s="8">
        <v>3.6455000000000002</v>
      </c>
      <c r="DO163" s="8">
        <v>3.6676000000000002</v>
      </c>
      <c r="DP163" s="8">
        <v>3.6894</v>
      </c>
      <c r="DQ163" s="8">
        <v>3.7109000000000001</v>
      </c>
      <c r="DR163" s="8">
        <v>3.7322000000000002</v>
      </c>
      <c r="DS163" s="8">
        <v>3.7532000000000001</v>
      </c>
      <c r="DT163" s="8">
        <v>3.7738999999999998</v>
      </c>
      <c r="DU163" s="8">
        <v>3.7942999999999998</v>
      </c>
      <c r="DV163" s="8">
        <v>3.8144</v>
      </c>
      <c r="DW163" s="8">
        <v>3.8342999999999998</v>
      </c>
      <c r="DX163" s="8">
        <v>3.8538000000000001</v>
      </c>
      <c r="DY163" s="8">
        <v>3.8732000000000002</v>
      </c>
      <c r="DZ163" s="8">
        <v>3.8921999999999999</v>
      </c>
      <c r="EA163" s="8">
        <v>3.9110999999999998</v>
      </c>
      <c r="EB163" s="8">
        <v>3.9297</v>
      </c>
      <c r="EC163" s="8">
        <v>3.9481000000000002</v>
      </c>
      <c r="ED163" s="8">
        <v>3.9664000000000001</v>
      </c>
      <c r="EE163" s="8">
        <v>3.9843999999999999</v>
      </c>
      <c r="EF163" s="8">
        <v>4.0023999999999997</v>
      </c>
      <c r="EG163" s="8">
        <v>4.0202</v>
      </c>
      <c r="EH163" s="8">
        <v>4.0380000000000003</v>
      </c>
      <c r="EI163" s="8">
        <v>4.0557999999999996</v>
      </c>
      <c r="EJ163" s="8">
        <v>4.0735000000000001</v>
      </c>
      <c r="EK163" s="8">
        <v>4.0913000000000004</v>
      </c>
      <c r="EL163" s="8">
        <v>4.1092000000000004</v>
      </c>
      <c r="EM163" s="8">
        <v>4.1272000000000002</v>
      </c>
      <c r="EN163" s="8">
        <v>4.1452999999999998</v>
      </c>
      <c r="EO163" s="8">
        <v>4.1637000000000004</v>
      </c>
      <c r="EP163" s="8">
        <v>4.1824000000000003</v>
      </c>
      <c r="EQ163" s="8">
        <v>4.2013999999999996</v>
      </c>
      <c r="ER163" s="8">
        <v>4.2206999999999999</v>
      </c>
      <c r="ES163" s="8">
        <v>4.2404999999999999</v>
      </c>
      <c r="ET163" s="8">
        <v>4.2606999999999999</v>
      </c>
      <c r="EU163" s="8">
        <v>4.2815000000000003</v>
      </c>
      <c r="EV163" s="8">
        <v>4.3029000000000002</v>
      </c>
      <c r="EW163" s="8">
        <v>4.3247999999999998</v>
      </c>
      <c r="EX163" s="8">
        <v>4.3475000000000001</v>
      </c>
      <c r="EY163" s="8">
        <v>4.3708999999999998</v>
      </c>
      <c r="EZ163" s="8">
        <v>4.3949999999999996</v>
      </c>
      <c r="FA163" s="8">
        <v>4.4199000000000002</v>
      </c>
      <c r="FB163" s="8">
        <v>4.4457000000000004</v>
      </c>
      <c r="FC163" s="106">
        <v>4.4722999999999997</v>
      </c>
      <c r="FE163" s="50">
        <f t="shared" ca="1" si="15"/>
        <v>3.8381952278984404</v>
      </c>
      <c r="FF163" s="50">
        <f t="shared" ca="1" si="16"/>
        <v>3.825711310477411</v>
      </c>
      <c r="FG163" s="50">
        <f t="shared" ca="1" si="17"/>
        <v>3.8128756375838924</v>
      </c>
      <c r="FH163" s="50">
        <f t="shared" ca="1" si="18"/>
        <v>3.7993857046979862</v>
      </c>
      <c r="FK163" s="50">
        <f t="shared" ca="1" si="19"/>
        <v>3.825711310477411</v>
      </c>
      <c r="FL163" s="50"/>
      <c r="FM163" s="50"/>
      <c r="FN163" s="50"/>
    </row>
    <row r="164" spans="48:170" hidden="1">
      <c r="AV164" s="69"/>
      <c r="AW164" s="104">
        <v>4.7859999999999996</v>
      </c>
      <c r="AX164" s="8">
        <v>1.5452999999999999</v>
      </c>
      <c r="AY164" s="8">
        <v>1.5708</v>
      </c>
      <c r="AZ164" s="8">
        <v>1.5966</v>
      </c>
      <c r="BA164" s="8">
        <v>1.6226</v>
      </c>
      <c r="BB164" s="8">
        <v>1.6487000000000001</v>
      </c>
      <c r="BC164" s="8">
        <v>1.6751</v>
      </c>
      <c r="BD164" s="8">
        <v>1.7017</v>
      </c>
      <c r="BE164" s="8">
        <v>1.7284999999999999</v>
      </c>
      <c r="BF164" s="8">
        <v>1.7555000000000001</v>
      </c>
      <c r="BG164" s="8">
        <v>1.7827</v>
      </c>
      <c r="BH164" s="8">
        <v>1.8101</v>
      </c>
      <c r="BI164" s="8">
        <v>1.8376999999999999</v>
      </c>
      <c r="BJ164" s="8">
        <v>1.8654999999999999</v>
      </c>
      <c r="BK164" s="8">
        <v>1.8935</v>
      </c>
      <c r="BL164" s="8">
        <v>1.9218</v>
      </c>
      <c r="BM164" s="8">
        <v>1.9501999999999999</v>
      </c>
      <c r="BN164" s="8">
        <v>1.9787999999999999</v>
      </c>
      <c r="BO164" s="8">
        <v>2.0076000000000001</v>
      </c>
      <c r="BP164" s="8">
        <v>2.0366</v>
      </c>
      <c r="BQ164" s="8">
        <v>2.0657999999999999</v>
      </c>
      <c r="BR164" s="8">
        <v>2.0951</v>
      </c>
      <c r="BS164" s="8">
        <v>2.1246999999999998</v>
      </c>
      <c r="BT164" s="8">
        <v>2.1545000000000001</v>
      </c>
      <c r="BU164" s="8">
        <v>2.1844000000000001</v>
      </c>
      <c r="BV164" s="8">
        <v>2.2145999999999999</v>
      </c>
      <c r="BW164" s="8">
        <v>2.2448999999999999</v>
      </c>
      <c r="BX164" s="8">
        <v>2.2753999999999999</v>
      </c>
      <c r="BY164" s="8">
        <v>2.3060999999999998</v>
      </c>
      <c r="BZ164" s="8">
        <v>2.3369</v>
      </c>
      <c r="CA164" s="8">
        <v>2.3679999999999999</v>
      </c>
      <c r="CB164" s="8">
        <v>2.3992</v>
      </c>
      <c r="CC164" s="8">
        <v>2.4304999999999999</v>
      </c>
      <c r="CD164" s="8">
        <v>2.4621</v>
      </c>
      <c r="CE164" s="8">
        <v>2.4937999999999998</v>
      </c>
      <c r="CF164" s="8">
        <v>2.5255999999999998</v>
      </c>
      <c r="CG164" s="8">
        <v>2.5575999999999999</v>
      </c>
      <c r="CH164" s="8">
        <v>2.5897999999999999</v>
      </c>
      <c r="CI164" s="8">
        <v>2.6221000000000001</v>
      </c>
      <c r="CJ164" s="8">
        <v>2.6545000000000001</v>
      </c>
      <c r="CK164" s="8">
        <v>2.6871</v>
      </c>
      <c r="CL164" s="8">
        <v>2.7198000000000002</v>
      </c>
      <c r="CM164" s="8">
        <v>2.7526000000000002</v>
      </c>
      <c r="CN164" s="8">
        <v>2.7856000000000001</v>
      </c>
      <c r="CO164" s="8">
        <v>2.8187000000000002</v>
      </c>
      <c r="CP164" s="8">
        <v>2.8517999999999999</v>
      </c>
      <c r="CQ164" s="8">
        <v>2.8851</v>
      </c>
      <c r="CR164" s="8">
        <v>2.9184999999999999</v>
      </c>
      <c r="CS164" s="8">
        <v>2.9519000000000002</v>
      </c>
      <c r="CT164" s="8">
        <v>2.9853999999999998</v>
      </c>
      <c r="CU164" s="8">
        <v>3.0190000000000001</v>
      </c>
      <c r="CV164" s="8">
        <v>3.0527000000000002</v>
      </c>
      <c r="CW164" s="8">
        <v>3.0863999999999998</v>
      </c>
      <c r="CX164" s="8">
        <v>3.1202000000000001</v>
      </c>
      <c r="CY164" s="8">
        <v>3.1539999999999999</v>
      </c>
      <c r="CZ164" s="8">
        <v>3.1878000000000002</v>
      </c>
      <c r="DA164" s="8">
        <v>3.2216</v>
      </c>
      <c r="DB164" s="8">
        <v>3.2553999999999998</v>
      </c>
      <c r="DC164" s="8">
        <v>3.2892999999999999</v>
      </c>
      <c r="DD164" s="8">
        <v>3.3231000000000002</v>
      </c>
      <c r="DE164" s="8">
        <v>3.3567999999999998</v>
      </c>
      <c r="DF164" s="8">
        <v>3.3906000000000001</v>
      </c>
      <c r="DG164" s="8">
        <v>3.4241999999999999</v>
      </c>
      <c r="DH164" s="8">
        <v>3.4578000000000002</v>
      </c>
      <c r="DI164" s="8">
        <v>3.4914000000000001</v>
      </c>
      <c r="DJ164" s="8">
        <v>3.5247999999999999</v>
      </c>
      <c r="DK164" s="8">
        <v>3.5581</v>
      </c>
      <c r="DL164" s="8">
        <v>3.5912999999999999</v>
      </c>
      <c r="DM164" s="8">
        <v>3.6231</v>
      </c>
      <c r="DN164" s="8">
        <v>3.6455000000000002</v>
      </c>
      <c r="DO164" s="8">
        <v>3.6676000000000002</v>
      </c>
      <c r="DP164" s="8">
        <v>3.6894</v>
      </c>
      <c r="DQ164" s="8">
        <v>3.7109000000000001</v>
      </c>
      <c r="DR164" s="8">
        <v>3.7322000000000002</v>
      </c>
      <c r="DS164" s="8">
        <v>3.7532000000000001</v>
      </c>
      <c r="DT164" s="8">
        <v>3.7738999999999998</v>
      </c>
      <c r="DU164" s="8">
        <v>3.7942999999999998</v>
      </c>
      <c r="DV164" s="8">
        <v>3.8144</v>
      </c>
      <c r="DW164" s="8">
        <v>3.8342999999999998</v>
      </c>
      <c r="DX164" s="8">
        <v>3.8538000000000001</v>
      </c>
      <c r="DY164" s="8">
        <v>3.8732000000000002</v>
      </c>
      <c r="DZ164" s="8">
        <v>3.8921999999999999</v>
      </c>
      <c r="EA164" s="8">
        <v>3.9110999999999998</v>
      </c>
      <c r="EB164" s="8">
        <v>3.9297</v>
      </c>
      <c r="EC164" s="8">
        <v>3.9481000000000002</v>
      </c>
      <c r="ED164" s="8">
        <v>3.9664000000000001</v>
      </c>
      <c r="EE164" s="8">
        <v>3.9843999999999999</v>
      </c>
      <c r="EF164" s="8">
        <v>4.0023999999999997</v>
      </c>
      <c r="EG164" s="8">
        <v>4.0202</v>
      </c>
      <c r="EH164" s="8">
        <v>4.0380000000000003</v>
      </c>
      <c r="EI164" s="8">
        <v>4.0557999999999996</v>
      </c>
      <c r="EJ164" s="8">
        <v>4.0735000000000001</v>
      </c>
      <c r="EK164" s="8">
        <v>4.0913000000000004</v>
      </c>
      <c r="EL164" s="8">
        <v>4.1092000000000004</v>
      </c>
      <c r="EM164" s="8">
        <v>4.1272000000000002</v>
      </c>
      <c r="EN164" s="8">
        <v>4.1452999999999998</v>
      </c>
      <c r="EO164" s="8">
        <v>4.1637000000000004</v>
      </c>
      <c r="EP164" s="8">
        <v>4.1824000000000003</v>
      </c>
      <c r="EQ164" s="8">
        <v>4.2013999999999996</v>
      </c>
      <c r="ER164" s="8">
        <v>4.2206999999999999</v>
      </c>
      <c r="ES164" s="8">
        <v>4.2404999999999999</v>
      </c>
      <c r="ET164" s="8">
        <v>4.2606999999999999</v>
      </c>
      <c r="EU164" s="8">
        <v>4.2815000000000003</v>
      </c>
      <c r="EV164" s="8">
        <v>4.3029000000000002</v>
      </c>
      <c r="EW164" s="8">
        <v>4.3247999999999998</v>
      </c>
      <c r="EX164" s="8">
        <v>4.3475000000000001</v>
      </c>
      <c r="EY164" s="8">
        <v>4.3708999999999998</v>
      </c>
      <c r="EZ164" s="8">
        <v>4.3949999999999996</v>
      </c>
      <c r="FA164" s="8">
        <v>4.4199000000000002</v>
      </c>
      <c r="FB164" s="8">
        <v>4.4457000000000004</v>
      </c>
      <c r="FC164" s="106">
        <v>4.4722999999999997</v>
      </c>
      <c r="FE164" s="50">
        <f t="shared" ca="1" si="15"/>
        <v>3.8381952278984404</v>
      </c>
      <c r="FF164" s="50">
        <f t="shared" ca="1" si="16"/>
        <v>3.825711310477411</v>
      </c>
      <c r="FG164" s="50">
        <f t="shared" ca="1" si="17"/>
        <v>3.8128756375838924</v>
      </c>
      <c r="FH164" s="50">
        <f t="shared" ca="1" si="18"/>
        <v>3.7993857046979862</v>
      </c>
      <c r="FK164" s="50">
        <f t="shared" ca="1" si="19"/>
        <v>3.825711310477411</v>
      </c>
      <c r="FL164" s="50"/>
      <c r="FM164" s="50"/>
      <c r="FN164" s="50"/>
    </row>
    <row r="165" spans="48:170" hidden="1">
      <c r="AV165" s="69"/>
      <c r="AW165" s="104">
        <v>5.1289999999999996</v>
      </c>
      <c r="AX165" s="8">
        <v>1.5411999999999999</v>
      </c>
      <c r="AY165" s="8">
        <v>1.5667</v>
      </c>
      <c r="AZ165" s="8">
        <v>1.5924</v>
      </c>
      <c r="BA165" s="8">
        <v>1.6183000000000001</v>
      </c>
      <c r="BB165" s="8">
        <v>1.6444000000000001</v>
      </c>
      <c r="BC165" s="8">
        <v>1.6707000000000001</v>
      </c>
      <c r="BD165" s="8">
        <v>1.6972</v>
      </c>
      <c r="BE165" s="8">
        <v>1.7239</v>
      </c>
      <c r="BF165" s="8">
        <v>1.7508999999999999</v>
      </c>
      <c r="BG165" s="8">
        <v>1.778</v>
      </c>
      <c r="BH165" s="8">
        <v>1.8052999999999999</v>
      </c>
      <c r="BI165" s="8">
        <v>1.8329</v>
      </c>
      <c r="BJ165" s="8">
        <v>1.8606</v>
      </c>
      <c r="BK165" s="8">
        <v>1.8885000000000001</v>
      </c>
      <c r="BL165" s="8">
        <v>1.9167000000000001</v>
      </c>
      <c r="BM165" s="8">
        <v>1.9450000000000001</v>
      </c>
      <c r="BN165" s="8">
        <v>1.9735</v>
      </c>
      <c r="BO165" s="8">
        <v>2.0023</v>
      </c>
      <c r="BP165" s="8">
        <v>2.0312000000000001</v>
      </c>
      <c r="BQ165" s="8">
        <v>2.0602999999999998</v>
      </c>
      <c r="BR165" s="8">
        <v>2.0895999999999999</v>
      </c>
      <c r="BS165" s="8">
        <v>2.1191</v>
      </c>
      <c r="BT165" s="8">
        <v>2.1488</v>
      </c>
      <c r="BU165" s="8">
        <v>2.1787000000000001</v>
      </c>
      <c r="BV165" s="8">
        <v>2.2086999999999999</v>
      </c>
      <c r="BW165" s="8">
        <v>2.2389999999999999</v>
      </c>
      <c r="BX165" s="8">
        <v>2.2694000000000001</v>
      </c>
      <c r="BY165" s="8">
        <v>2.2999999999999998</v>
      </c>
      <c r="BZ165" s="8">
        <v>2.3308</v>
      </c>
      <c r="CA165" s="8">
        <v>2.3616999999999999</v>
      </c>
      <c r="CB165" s="8">
        <v>2.3927999999999998</v>
      </c>
      <c r="CC165" s="8">
        <v>2.4241000000000001</v>
      </c>
      <c r="CD165" s="8">
        <v>2.4556</v>
      </c>
      <c r="CE165" s="8">
        <v>2.4872000000000001</v>
      </c>
      <c r="CF165" s="8">
        <v>2.5188999999999999</v>
      </c>
      <c r="CG165" s="8">
        <v>2.5508999999999999</v>
      </c>
      <c r="CH165" s="8">
        <v>2.5829</v>
      </c>
      <c r="CI165" s="8">
        <v>2.6151</v>
      </c>
      <c r="CJ165" s="8">
        <v>2.6475</v>
      </c>
      <c r="CK165" s="8">
        <v>2.68</v>
      </c>
      <c r="CL165" s="8">
        <v>2.7126000000000001</v>
      </c>
      <c r="CM165" s="8">
        <v>2.7454000000000001</v>
      </c>
      <c r="CN165" s="8">
        <v>2.7782</v>
      </c>
      <c r="CO165" s="8">
        <v>2.8111999999999999</v>
      </c>
      <c r="CP165" s="8">
        <v>2.8443000000000001</v>
      </c>
      <c r="CQ165" s="8">
        <v>2.8774999999999999</v>
      </c>
      <c r="CR165" s="8">
        <v>2.9108000000000001</v>
      </c>
      <c r="CS165" s="8">
        <v>2.9441000000000002</v>
      </c>
      <c r="CT165" s="8">
        <v>2.9775999999999998</v>
      </c>
      <c r="CU165" s="8">
        <v>3.0110999999999999</v>
      </c>
      <c r="CV165" s="8">
        <v>3.0446</v>
      </c>
      <c r="CW165" s="8">
        <v>3.0783</v>
      </c>
      <c r="CX165" s="8">
        <v>3.1118999999999999</v>
      </c>
      <c r="CY165" s="8">
        <v>3.1456</v>
      </c>
      <c r="CZ165" s="8">
        <v>3.1793999999999998</v>
      </c>
      <c r="DA165" s="8">
        <v>3.2130999999999998</v>
      </c>
      <c r="DB165" s="8">
        <v>3.2467999999999999</v>
      </c>
      <c r="DC165" s="8">
        <v>3.2806000000000002</v>
      </c>
      <c r="DD165" s="8">
        <v>3.3142999999999998</v>
      </c>
      <c r="DE165" s="8">
        <v>3.3479999999999999</v>
      </c>
      <c r="DF165" s="8">
        <v>3.3816000000000002</v>
      </c>
      <c r="DG165" s="8">
        <v>3.4152</v>
      </c>
      <c r="DH165" s="8">
        <v>3.4487000000000001</v>
      </c>
      <c r="DI165" s="8">
        <v>3.4821</v>
      </c>
      <c r="DJ165" s="8">
        <v>3.5154999999999998</v>
      </c>
      <c r="DK165" s="8">
        <v>3.5487000000000002</v>
      </c>
      <c r="DL165" s="8">
        <v>3.5817999999999999</v>
      </c>
      <c r="DM165" s="8">
        <v>3.6147999999999998</v>
      </c>
      <c r="DN165" s="8">
        <v>3.6455000000000002</v>
      </c>
      <c r="DO165" s="8">
        <v>3.6676000000000002</v>
      </c>
      <c r="DP165" s="8">
        <v>3.6894</v>
      </c>
      <c r="DQ165" s="8">
        <v>3.7109000000000001</v>
      </c>
      <c r="DR165" s="8">
        <v>3.7322000000000002</v>
      </c>
      <c r="DS165" s="8">
        <v>3.7532000000000001</v>
      </c>
      <c r="DT165" s="8">
        <v>3.7738999999999998</v>
      </c>
      <c r="DU165" s="8">
        <v>3.7942999999999998</v>
      </c>
      <c r="DV165" s="8">
        <v>3.8144</v>
      </c>
      <c r="DW165" s="8">
        <v>3.8342999999999998</v>
      </c>
      <c r="DX165" s="8">
        <v>3.8538000000000001</v>
      </c>
      <c r="DY165" s="8">
        <v>3.8732000000000002</v>
      </c>
      <c r="DZ165" s="8">
        <v>3.8921999999999999</v>
      </c>
      <c r="EA165" s="8">
        <v>3.9110999999999998</v>
      </c>
      <c r="EB165" s="8">
        <v>3.9297</v>
      </c>
      <c r="EC165" s="8">
        <v>3.9481000000000002</v>
      </c>
      <c r="ED165" s="8">
        <v>3.9664000000000001</v>
      </c>
      <c r="EE165" s="8">
        <v>3.9843999999999999</v>
      </c>
      <c r="EF165" s="8">
        <v>4.0023999999999997</v>
      </c>
      <c r="EG165" s="8">
        <v>4.0202</v>
      </c>
      <c r="EH165" s="8">
        <v>4.0380000000000003</v>
      </c>
      <c r="EI165" s="8">
        <v>4.0557999999999996</v>
      </c>
      <c r="EJ165" s="8">
        <v>4.0735000000000001</v>
      </c>
      <c r="EK165" s="8">
        <v>4.0913000000000004</v>
      </c>
      <c r="EL165" s="8">
        <v>4.1092000000000004</v>
      </c>
      <c r="EM165" s="8">
        <v>4.1272000000000002</v>
      </c>
      <c r="EN165" s="8">
        <v>4.1452999999999998</v>
      </c>
      <c r="EO165" s="8">
        <v>4.1637000000000004</v>
      </c>
      <c r="EP165" s="8">
        <v>4.1824000000000003</v>
      </c>
      <c r="EQ165" s="8">
        <v>4.2013999999999996</v>
      </c>
      <c r="ER165" s="8">
        <v>4.2206999999999999</v>
      </c>
      <c r="ES165" s="8">
        <v>4.2404999999999999</v>
      </c>
      <c r="ET165" s="8">
        <v>4.2606999999999999</v>
      </c>
      <c r="EU165" s="8">
        <v>4.2815000000000003</v>
      </c>
      <c r="EV165" s="8">
        <v>4.3029000000000002</v>
      </c>
      <c r="EW165" s="8">
        <v>4.3247999999999998</v>
      </c>
      <c r="EX165" s="8">
        <v>4.3475000000000001</v>
      </c>
      <c r="EY165" s="8">
        <v>4.3708999999999998</v>
      </c>
      <c r="EZ165" s="8">
        <v>4.3949999999999996</v>
      </c>
      <c r="FA165" s="8">
        <v>4.4199000000000002</v>
      </c>
      <c r="FB165" s="8">
        <v>4.4457000000000004</v>
      </c>
      <c r="FC165" s="106">
        <v>4.4722999999999997</v>
      </c>
      <c r="FE165" s="50">
        <f t="shared" ca="1" si="15"/>
        <v>3.8381952278984404</v>
      </c>
      <c r="FF165" s="50">
        <f t="shared" ca="1" si="16"/>
        <v>3.825711310477411</v>
      </c>
      <c r="FG165" s="50">
        <f t="shared" ca="1" si="17"/>
        <v>3.8128756375838924</v>
      </c>
      <c r="FH165" s="50">
        <f t="shared" ca="1" si="18"/>
        <v>3.7993857046979862</v>
      </c>
      <c r="FK165" s="50">
        <f t="shared" ca="1" si="19"/>
        <v>3.825711310477411</v>
      </c>
      <c r="FL165" s="50"/>
      <c r="FM165" s="50"/>
      <c r="FN165" s="50"/>
    </row>
    <row r="166" spans="48:170" hidden="1">
      <c r="AV166" s="69"/>
      <c r="AW166" s="104">
        <v>5.4950000000000001</v>
      </c>
      <c r="AX166" s="8">
        <v>1.5371999999999999</v>
      </c>
      <c r="AY166" s="8">
        <v>1.5626</v>
      </c>
      <c r="AZ166" s="8">
        <v>1.5882000000000001</v>
      </c>
      <c r="BA166" s="8">
        <v>1.6141000000000001</v>
      </c>
      <c r="BB166" s="8">
        <v>1.6400999999999999</v>
      </c>
      <c r="BC166" s="8">
        <v>1.6662999999999999</v>
      </c>
      <c r="BD166" s="8">
        <v>1.6928000000000001</v>
      </c>
      <c r="BE166" s="8">
        <v>1.7194</v>
      </c>
      <c r="BF166" s="8">
        <v>1.7463</v>
      </c>
      <c r="BG166" s="8">
        <v>1.7734000000000001</v>
      </c>
      <c r="BH166" s="8">
        <v>1.8006</v>
      </c>
      <c r="BI166" s="8">
        <v>1.8281000000000001</v>
      </c>
      <c r="BJ166" s="8">
        <v>1.8556999999999999</v>
      </c>
      <c r="BK166" s="8">
        <v>1.8835999999999999</v>
      </c>
      <c r="BL166" s="8">
        <v>1.9117</v>
      </c>
      <c r="BM166" s="8">
        <v>1.9399</v>
      </c>
      <c r="BN166" s="8">
        <v>1.9683999999999999</v>
      </c>
      <c r="BO166" s="8">
        <v>1.9970000000000001</v>
      </c>
      <c r="BP166" s="8">
        <v>2.0259</v>
      </c>
      <c r="BQ166" s="8">
        <v>2.0548999999999999</v>
      </c>
      <c r="BR166" s="8">
        <v>2.0842000000000001</v>
      </c>
      <c r="BS166" s="8">
        <v>2.1135999999999999</v>
      </c>
      <c r="BT166" s="8">
        <v>2.1432000000000002</v>
      </c>
      <c r="BU166" s="8">
        <v>2.173</v>
      </c>
      <c r="BV166" s="8">
        <v>2.2029999999999998</v>
      </c>
      <c r="BW166" s="8">
        <v>2.2330999999999999</v>
      </c>
      <c r="BX166" s="8">
        <v>2.2635000000000001</v>
      </c>
      <c r="BY166" s="8">
        <v>2.294</v>
      </c>
      <c r="BZ166" s="8">
        <v>2.3247</v>
      </c>
      <c r="CA166" s="8">
        <v>2.3555000000000001</v>
      </c>
      <c r="CB166" s="8">
        <v>2.3866000000000001</v>
      </c>
      <c r="CC166" s="8">
        <v>2.4178000000000002</v>
      </c>
      <c r="CD166" s="8">
        <v>2.4491000000000001</v>
      </c>
      <c r="CE166" s="8">
        <v>2.4807000000000001</v>
      </c>
      <c r="CF166" s="8">
        <v>2.5124</v>
      </c>
      <c r="CG166" s="8">
        <v>2.5442</v>
      </c>
      <c r="CH166" s="8">
        <v>2.5762</v>
      </c>
      <c r="CI166" s="8">
        <v>2.6082999999999998</v>
      </c>
      <c r="CJ166" s="8">
        <v>2.6406000000000001</v>
      </c>
      <c r="CK166" s="8">
        <v>2.673</v>
      </c>
      <c r="CL166" s="8">
        <v>2.7054999999999998</v>
      </c>
      <c r="CM166" s="8">
        <v>2.7382</v>
      </c>
      <c r="CN166" s="8">
        <v>2.7709999999999999</v>
      </c>
      <c r="CO166" s="8">
        <v>2.8039000000000001</v>
      </c>
      <c r="CP166" s="8">
        <v>2.8369</v>
      </c>
      <c r="CQ166" s="8">
        <v>2.87</v>
      </c>
      <c r="CR166" s="8">
        <v>2.9030999999999998</v>
      </c>
      <c r="CS166" s="8">
        <v>2.9363999999999999</v>
      </c>
      <c r="CT166" s="8">
        <v>2.9698000000000002</v>
      </c>
      <c r="CU166" s="8">
        <v>3.0032000000000001</v>
      </c>
      <c r="CV166" s="8">
        <v>3.0367000000000002</v>
      </c>
      <c r="CW166" s="8">
        <v>3.0701999999999998</v>
      </c>
      <c r="CX166" s="8">
        <v>3.1038000000000001</v>
      </c>
      <c r="CY166" s="8">
        <v>3.1374</v>
      </c>
      <c r="CZ166" s="8">
        <v>3.1709999999999998</v>
      </c>
      <c r="DA166" s="8">
        <v>3.2046999999999999</v>
      </c>
      <c r="DB166" s="8">
        <v>3.2383000000000002</v>
      </c>
      <c r="DC166" s="8">
        <v>3.2719999999999998</v>
      </c>
      <c r="DD166" s="8">
        <v>3.3056000000000001</v>
      </c>
      <c r="DE166" s="8">
        <v>3.3391999999999999</v>
      </c>
      <c r="DF166" s="8">
        <v>3.3727999999999998</v>
      </c>
      <c r="DG166" s="8">
        <v>3.4062999999999999</v>
      </c>
      <c r="DH166" s="8">
        <v>3.4397000000000002</v>
      </c>
      <c r="DI166" s="8">
        <v>3.4729999999999999</v>
      </c>
      <c r="DJ166" s="8">
        <v>3.5063</v>
      </c>
      <c r="DK166" s="8">
        <v>3.5394000000000001</v>
      </c>
      <c r="DL166" s="8">
        <v>3.5724999999999998</v>
      </c>
      <c r="DM166" s="8">
        <v>3.6053999999999999</v>
      </c>
      <c r="DN166" s="8">
        <v>3.6381000000000001</v>
      </c>
      <c r="DO166" s="8">
        <v>3.6676000000000002</v>
      </c>
      <c r="DP166" s="8">
        <v>3.6894</v>
      </c>
      <c r="DQ166" s="8">
        <v>3.7109000000000001</v>
      </c>
      <c r="DR166" s="8">
        <v>3.7322000000000002</v>
      </c>
      <c r="DS166" s="8">
        <v>3.7532000000000001</v>
      </c>
      <c r="DT166" s="8">
        <v>3.7738999999999998</v>
      </c>
      <c r="DU166" s="8">
        <v>3.7942999999999998</v>
      </c>
      <c r="DV166" s="8">
        <v>3.8144</v>
      </c>
      <c r="DW166" s="8">
        <v>3.8342999999999998</v>
      </c>
      <c r="DX166" s="8">
        <v>3.8538000000000001</v>
      </c>
      <c r="DY166" s="8">
        <v>3.8732000000000002</v>
      </c>
      <c r="DZ166" s="8">
        <v>3.8921999999999999</v>
      </c>
      <c r="EA166" s="8">
        <v>3.9110999999999998</v>
      </c>
      <c r="EB166" s="8">
        <v>3.9297</v>
      </c>
      <c r="EC166" s="8">
        <v>3.9481000000000002</v>
      </c>
      <c r="ED166" s="8">
        <v>3.9664000000000001</v>
      </c>
      <c r="EE166" s="8">
        <v>3.9843999999999999</v>
      </c>
      <c r="EF166" s="8">
        <v>4.0023999999999997</v>
      </c>
      <c r="EG166" s="8">
        <v>4.0202</v>
      </c>
      <c r="EH166" s="8">
        <v>4.0380000000000003</v>
      </c>
      <c r="EI166" s="8">
        <v>4.0557999999999996</v>
      </c>
      <c r="EJ166" s="8">
        <v>4.0735000000000001</v>
      </c>
      <c r="EK166" s="8">
        <v>4.0913000000000004</v>
      </c>
      <c r="EL166" s="8">
        <v>4.1092000000000004</v>
      </c>
      <c r="EM166" s="8">
        <v>4.1272000000000002</v>
      </c>
      <c r="EN166" s="8">
        <v>4.1452999999999998</v>
      </c>
      <c r="EO166" s="8">
        <v>4.1637000000000004</v>
      </c>
      <c r="EP166" s="8">
        <v>4.1824000000000003</v>
      </c>
      <c r="EQ166" s="8">
        <v>4.2013999999999996</v>
      </c>
      <c r="ER166" s="8">
        <v>4.2206999999999999</v>
      </c>
      <c r="ES166" s="8">
        <v>4.2404999999999999</v>
      </c>
      <c r="ET166" s="8">
        <v>4.2606999999999999</v>
      </c>
      <c r="EU166" s="8">
        <v>4.2815000000000003</v>
      </c>
      <c r="EV166" s="8">
        <v>4.3029000000000002</v>
      </c>
      <c r="EW166" s="8">
        <v>4.3247999999999998</v>
      </c>
      <c r="EX166" s="8">
        <v>4.3475000000000001</v>
      </c>
      <c r="EY166" s="8">
        <v>4.3708999999999998</v>
      </c>
      <c r="EZ166" s="8">
        <v>4.3949999999999996</v>
      </c>
      <c r="FA166" s="8">
        <v>4.4199000000000002</v>
      </c>
      <c r="FB166" s="8">
        <v>4.4457000000000004</v>
      </c>
      <c r="FC166" s="106">
        <v>4.4722999999999997</v>
      </c>
      <c r="FE166" s="50">
        <f t="shared" ca="1" si="15"/>
        <v>3.8381952278984404</v>
      </c>
      <c r="FF166" s="50">
        <f t="shared" ca="1" si="16"/>
        <v>3.825711310477411</v>
      </c>
      <c r="FG166" s="50">
        <f t="shared" ca="1" si="17"/>
        <v>3.8128756375838924</v>
      </c>
      <c r="FH166" s="50">
        <f t="shared" ca="1" si="18"/>
        <v>3.7993857046979862</v>
      </c>
      <c r="FK166" s="50">
        <f t="shared" ca="1" si="19"/>
        <v>3.825711310477411</v>
      </c>
      <c r="FL166" s="50"/>
      <c r="FM166" s="50"/>
      <c r="FN166" s="50"/>
    </row>
    <row r="167" spans="48:170" hidden="1">
      <c r="AV167" s="69"/>
      <c r="AW167" s="104">
        <v>5.8879999999999999</v>
      </c>
      <c r="AX167" s="8">
        <v>1.5331999999999999</v>
      </c>
      <c r="AY167" s="8">
        <v>1.5586</v>
      </c>
      <c r="AZ167" s="8">
        <v>1.5841000000000001</v>
      </c>
      <c r="BA167" s="8">
        <v>1.6099000000000001</v>
      </c>
      <c r="BB167" s="8">
        <v>1.6358999999999999</v>
      </c>
      <c r="BC167" s="8">
        <v>1.6619999999999999</v>
      </c>
      <c r="BD167" s="8">
        <v>1.6883999999999999</v>
      </c>
      <c r="BE167" s="8">
        <v>1.7150000000000001</v>
      </c>
      <c r="BF167" s="8">
        <v>1.7418</v>
      </c>
      <c r="BG167" s="8">
        <v>1.7687999999999999</v>
      </c>
      <c r="BH167" s="8">
        <v>1.796</v>
      </c>
      <c r="BI167" s="8">
        <v>1.8233999999999999</v>
      </c>
      <c r="BJ167" s="8">
        <v>1.851</v>
      </c>
      <c r="BK167" s="8">
        <v>1.8787</v>
      </c>
      <c r="BL167" s="8">
        <v>1.9067000000000001</v>
      </c>
      <c r="BM167" s="8">
        <v>1.9349000000000001</v>
      </c>
      <c r="BN167" s="8">
        <v>1.9633</v>
      </c>
      <c r="BO167" s="8">
        <v>1.9919</v>
      </c>
      <c r="BP167" s="8">
        <v>2.0206</v>
      </c>
      <c r="BQ167" s="8">
        <v>2.0495999999999999</v>
      </c>
      <c r="BR167" s="8">
        <v>2.0788000000000002</v>
      </c>
      <c r="BS167" s="8">
        <v>2.1080999999999999</v>
      </c>
      <c r="BT167" s="8">
        <v>2.1375999999999999</v>
      </c>
      <c r="BU167" s="8">
        <v>2.1674000000000002</v>
      </c>
      <c r="BV167" s="8">
        <v>2.1972999999999998</v>
      </c>
      <c r="BW167" s="8">
        <v>2.2273000000000001</v>
      </c>
      <c r="BX167" s="8">
        <v>2.2576000000000001</v>
      </c>
      <c r="BY167" s="8">
        <v>2.2879999999999998</v>
      </c>
      <c r="BZ167" s="8">
        <v>2.3187000000000002</v>
      </c>
      <c r="CA167" s="8">
        <v>2.3494000000000002</v>
      </c>
      <c r="CB167" s="8">
        <v>2.3803999999999998</v>
      </c>
      <c r="CC167" s="8">
        <v>2.4115000000000002</v>
      </c>
      <c r="CD167" s="8">
        <v>2.4428000000000001</v>
      </c>
      <c r="CE167" s="8">
        <v>2.4742999999999999</v>
      </c>
      <c r="CF167" s="8">
        <v>2.5059</v>
      </c>
      <c r="CG167" s="8">
        <v>2.5375999999999999</v>
      </c>
      <c r="CH167" s="8">
        <v>2.5695000000000001</v>
      </c>
      <c r="CI167" s="8">
        <v>2.6015999999999999</v>
      </c>
      <c r="CJ167" s="8">
        <v>2.6337999999999999</v>
      </c>
      <c r="CK167" s="8">
        <v>2.6661000000000001</v>
      </c>
      <c r="CL167" s="8">
        <v>2.6985000000000001</v>
      </c>
      <c r="CM167" s="8">
        <v>2.7311000000000001</v>
      </c>
      <c r="CN167" s="8">
        <v>2.7637999999999998</v>
      </c>
      <c r="CO167" s="8">
        <v>2.7966000000000002</v>
      </c>
      <c r="CP167" s="8">
        <v>2.8294999999999999</v>
      </c>
      <c r="CQ167" s="8">
        <v>2.8624999999999998</v>
      </c>
      <c r="CR167" s="8">
        <v>2.8956</v>
      </c>
      <c r="CS167" s="8">
        <v>2.9287999999999998</v>
      </c>
      <c r="CT167" s="8">
        <v>2.9621</v>
      </c>
      <c r="CU167" s="8">
        <v>2.9954000000000001</v>
      </c>
      <c r="CV167" s="8">
        <v>3.0287999999999999</v>
      </c>
      <c r="CW167" s="8">
        <v>3.0623</v>
      </c>
      <c r="CX167" s="8">
        <v>3.0958000000000001</v>
      </c>
      <c r="CY167" s="8">
        <v>3.1293000000000002</v>
      </c>
      <c r="CZ167" s="8">
        <v>3.1629</v>
      </c>
      <c r="DA167" s="8">
        <v>3.1964000000000001</v>
      </c>
      <c r="DB167" s="8">
        <v>3.23</v>
      </c>
      <c r="DC167" s="8">
        <v>3.2635000000000001</v>
      </c>
      <c r="DD167" s="8">
        <v>3.2970999999999999</v>
      </c>
      <c r="DE167" s="8">
        <v>3.3306</v>
      </c>
      <c r="DF167" s="8">
        <v>3.3639999999999999</v>
      </c>
      <c r="DG167" s="8">
        <v>3.3975</v>
      </c>
      <c r="DH167" s="8">
        <v>3.4308000000000001</v>
      </c>
      <c r="DI167" s="8">
        <v>3.4641000000000002</v>
      </c>
      <c r="DJ167" s="8">
        <v>3.4971999999999999</v>
      </c>
      <c r="DK167" s="8">
        <v>3.5303</v>
      </c>
      <c r="DL167" s="8">
        <v>3.5632000000000001</v>
      </c>
      <c r="DM167" s="8">
        <v>3.5960999999999999</v>
      </c>
      <c r="DN167" s="8">
        <v>3.6286999999999998</v>
      </c>
      <c r="DO167" s="8">
        <v>3.6613000000000002</v>
      </c>
      <c r="DP167" s="8">
        <v>3.6894</v>
      </c>
      <c r="DQ167" s="8">
        <v>3.7109000000000001</v>
      </c>
      <c r="DR167" s="8">
        <v>3.7322000000000002</v>
      </c>
      <c r="DS167" s="8">
        <v>3.7532000000000001</v>
      </c>
      <c r="DT167" s="8">
        <v>3.7738999999999998</v>
      </c>
      <c r="DU167" s="8">
        <v>3.7942999999999998</v>
      </c>
      <c r="DV167" s="8">
        <v>3.8144</v>
      </c>
      <c r="DW167" s="8">
        <v>3.8342999999999998</v>
      </c>
      <c r="DX167" s="8">
        <v>3.8538000000000001</v>
      </c>
      <c r="DY167" s="8">
        <v>3.8732000000000002</v>
      </c>
      <c r="DZ167" s="8">
        <v>3.8921999999999999</v>
      </c>
      <c r="EA167" s="8">
        <v>3.9110999999999998</v>
      </c>
      <c r="EB167" s="8">
        <v>3.9297</v>
      </c>
      <c r="EC167" s="8">
        <v>3.9481000000000002</v>
      </c>
      <c r="ED167" s="8">
        <v>3.9664000000000001</v>
      </c>
      <c r="EE167" s="8">
        <v>3.9843999999999999</v>
      </c>
      <c r="EF167" s="8">
        <v>4.0023999999999997</v>
      </c>
      <c r="EG167" s="8">
        <v>4.0202</v>
      </c>
      <c r="EH167" s="8">
        <v>4.0380000000000003</v>
      </c>
      <c r="EI167" s="8">
        <v>4.0557999999999996</v>
      </c>
      <c r="EJ167" s="8">
        <v>4.0735000000000001</v>
      </c>
      <c r="EK167" s="8">
        <v>4.0913000000000004</v>
      </c>
      <c r="EL167" s="8">
        <v>4.1092000000000004</v>
      </c>
      <c r="EM167" s="8">
        <v>4.1272000000000002</v>
      </c>
      <c r="EN167" s="8">
        <v>4.1452999999999998</v>
      </c>
      <c r="EO167" s="8">
        <v>4.1637000000000004</v>
      </c>
      <c r="EP167" s="8">
        <v>4.1824000000000003</v>
      </c>
      <c r="EQ167" s="8">
        <v>4.2013999999999996</v>
      </c>
      <c r="ER167" s="8">
        <v>4.2206999999999999</v>
      </c>
      <c r="ES167" s="8">
        <v>4.2404999999999999</v>
      </c>
      <c r="ET167" s="8">
        <v>4.2606999999999999</v>
      </c>
      <c r="EU167" s="8">
        <v>4.2815000000000003</v>
      </c>
      <c r="EV167" s="8">
        <v>4.3029000000000002</v>
      </c>
      <c r="EW167" s="8">
        <v>4.3247999999999998</v>
      </c>
      <c r="EX167" s="8">
        <v>4.3475000000000001</v>
      </c>
      <c r="EY167" s="8">
        <v>4.3708999999999998</v>
      </c>
      <c r="EZ167" s="8">
        <v>4.3949999999999996</v>
      </c>
      <c r="FA167" s="8">
        <v>4.4199000000000002</v>
      </c>
      <c r="FB167" s="8">
        <v>4.4457000000000004</v>
      </c>
      <c r="FC167" s="106">
        <v>4.4722999999999997</v>
      </c>
      <c r="FE167" s="50">
        <f t="shared" ca="1" si="15"/>
        <v>3.8381952278984404</v>
      </c>
      <c r="FF167" s="50">
        <f t="shared" ca="1" si="16"/>
        <v>3.825711310477411</v>
      </c>
      <c r="FG167" s="50">
        <f t="shared" ca="1" si="17"/>
        <v>3.8128756375838924</v>
      </c>
      <c r="FH167" s="50">
        <f t="shared" ca="1" si="18"/>
        <v>3.7993857046979862</v>
      </c>
      <c r="FK167" s="50">
        <f t="shared" ca="1" si="19"/>
        <v>3.825711310477411</v>
      </c>
      <c r="FL167" s="50"/>
      <c r="FM167" s="50"/>
      <c r="FN167" s="50"/>
    </row>
    <row r="168" spans="48:170" hidden="1">
      <c r="AV168" s="69"/>
      <c r="AW168" s="104">
        <v>6.31</v>
      </c>
      <c r="AX168" s="8">
        <v>1.5293000000000001</v>
      </c>
      <c r="AY168" s="8">
        <v>1.5546</v>
      </c>
      <c r="AZ168" s="8">
        <v>1.5801000000000001</v>
      </c>
      <c r="BA168" s="8">
        <v>1.6057999999999999</v>
      </c>
      <c r="BB168" s="8">
        <v>1.6316999999999999</v>
      </c>
      <c r="BC168" s="8">
        <v>1.6577999999999999</v>
      </c>
      <c r="BD168" s="8">
        <v>1.6840999999999999</v>
      </c>
      <c r="BE168" s="8">
        <v>1.7105999999999999</v>
      </c>
      <c r="BF168" s="8">
        <v>1.7373000000000001</v>
      </c>
      <c r="BG168" s="8">
        <v>1.7643</v>
      </c>
      <c r="BH168" s="8">
        <v>1.7914000000000001</v>
      </c>
      <c r="BI168" s="8">
        <v>1.8187</v>
      </c>
      <c r="BJ168" s="8">
        <v>1.8462000000000001</v>
      </c>
      <c r="BK168" s="8">
        <v>1.8738999999999999</v>
      </c>
      <c r="BL168" s="8">
        <v>1.9018999999999999</v>
      </c>
      <c r="BM168" s="8">
        <v>1.93</v>
      </c>
      <c r="BN168" s="8">
        <v>1.9582999999999999</v>
      </c>
      <c r="BO168" s="8">
        <v>1.9867999999999999</v>
      </c>
      <c r="BP168" s="8">
        <v>2.0154999999999998</v>
      </c>
      <c r="BQ168" s="8">
        <v>2.0444</v>
      </c>
      <c r="BR168" s="8">
        <v>2.0735000000000001</v>
      </c>
      <c r="BS168" s="8">
        <v>2.1027</v>
      </c>
      <c r="BT168" s="8">
        <v>2.1322000000000001</v>
      </c>
      <c r="BU168" s="8">
        <v>2.1617999999999999</v>
      </c>
      <c r="BV168" s="8">
        <v>2.1916000000000002</v>
      </c>
      <c r="BW168" s="8">
        <v>2.2216</v>
      </c>
      <c r="BX168" s="8">
        <v>2.2517999999999998</v>
      </c>
      <c r="BY168" s="8">
        <v>2.2822</v>
      </c>
      <c r="BZ168" s="8">
        <v>2.3127</v>
      </c>
      <c r="CA168" s="8">
        <v>2.3433999999999999</v>
      </c>
      <c r="CB168" s="8">
        <v>2.3742999999999999</v>
      </c>
      <c r="CC168" s="8">
        <v>2.4054000000000002</v>
      </c>
      <c r="CD168" s="8">
        <v>2.4365999999999999</v>
      </c>
      <c r="CE168" s="8">
        <v>2.4679000000000002</v>
      </c>
      <c r="CF168" s="8">
        <v>2.4994999999999998</v>
      </c>
      <c r="CG168" s="8">
        <v>2.5310999999999999</v>
      </c>
      <c r="CH168" s="8">
        <v>2.5630000000000002</v>
      </c>
      <c r="CI168" s="8">
        <v>2.5949</v>
      </c>
      <c r="CJ168" s="8">
        <v>2.6269999999999998</v>
      </c>
      <c r="CK168" s="8">
        <v>2.6593</v>
      </c>
      <c r="CL168" s="8">
        <v>2.6916000000000002</v>
      </c>
      <c r="CM168" s="8">
        <v>2.7241</v>
      </c>
      <c r="CN168" s="8">
        <v>2.7566999999999999</v>
      </c>
      <c r="CO168" s="8">
        <v>2.7894999999999999</v>
      </c>
      <c r="CP168" s="8">
        <v>2.8222999999999998</v>
      </c>
      <c r="CQ168" s="8">
        <v>2.8552</v>
      </c>
      <c r="CR168" s="8">
        <v>2.8881999999999999</v>
      </c>
      <c r="CS168" s="8">
        <v>2.9213</v>
      </c>
      <c r="CT168" s="8">
        <v>2.9544999999999999</v>
      </c>
      <c r="CU168" s="8">
        <v>2.9878</v>
      </c>
      <c r="CV168" s="8">
        <v>3.0211000000000001</v>
      </c>
      <c r="CW168" s="8">
        <v>3.0545</v>
      </c>
      <c r="CX168" s="8">
        <v>3.0878999999999999</v>
      </c>
      <c r="CY168" s="8">
        <v>3.1213000000000002</v>
      </c>
      <c r="CZ168" s="8">
        <v>3.1547999999999998</v>
      </c>
      <c r="DA168" s="8">
        <v>3.1882000000000001</v>
      </c>
      <c r="DB168" s="8">
        <v>3.2216999999999998</v>
      </c>
      <c r="DC168" s="8">
        <v>3.2551999999999999</v>
      </c>
      <c r="DD168" s="8">
        <v>3.2886000000000002</v>
      </c>
      <c r="DE168" s="8">
        <v>3.3220999999999998</v>
      </c>
      <c r="DF168" s="8">
        <v>3.3553999999999999</v>
      </c>
      <c r="DG168" s="8">
        <v>3.3887999999999998</v>
      </c>
      <c r="DH168" s="8">
        <v>3.4220000000000002</v>
      </c>
      <c r="DI168" s="8">
        <v>3.4552</v>
      </c>
      <c r="DJ168" s="8">
        <v>3.4883000000000002</v>
      </c>
      <c r="DK168" s="8">
        <v>3.5213000000000001</v>
      </c>
      <c r="DL168" s="8">
        <v>3.5541</v>
      </c>
      <c r="DM168" s="8">
        <v>3.5869</v>
      </c>
      <c r="DN168" s="8">
        <v>3.6194999999999999</v>
      </c>
      <c r="DO168" s="8">
        <v>3.6518999999999999</v>
      </c>
      <c r="DP168" s="8">
        <v>3.6842000000000001</v>
      </c>
      <c r="DQ168" s="8">
        <v>3.7109000000000001</v>
      </c>
      <c r="DR168" s="8">
        <v>3.7322000000000002</v>
      </c>
      <c r="DS168" s="8">
        <v>3.7532000000000001</v>
      </c>
      <c r="DT168" s="8">
        <v>3.7738999999999998</v>
      </c>
      <c r="DU168" s="8">
        <v>3.7942999999999998</v>
      </c>
      <c r="DV168" s="8">
        <v>3.8144</v>
      </c>
      <c r="DW168" s="8">
        <v>3.8342999999999998</v>
      </c>
      <c r="DX168" s="8">
        <v>3.8538000000000001</v>
      </c>
      <c r="DY168" s="8">
        <v>3.8732000000000002</v>
      </c>
      <c r="DZ168" s="8">
        <v>3.8921999999999999</v>
      </c>
      <c r="EA168" s="8">
        <v>3.9110999999999998</v>
      </c>
      <c r="EB168" s="8">
        <v>3.9297</v>
      </c>
      <c r="EC168" s="8">
        <v>3.9481000000000002</v>
      </c>
      <c r="ED168" s="8">
        <v>3.9664000000000001</v>
      </c>
      <c r="EE168" s="8">
        <v>3.9843999999999999</v>
      </c>
      <c r="EF168" s="8">
        <v>4.0023999999999997</v>
      </c>
      <c r="EG168" s="8">
        <v>4.0202</v>
      </c>
      <c r="EH168" s="8">
        <v>4.0380000000000003</v>
      </c>
      <c r="EI168" s="8">
        <v>4.0557999999999996</v>
      </c>
      <c r="EJ168" s="8">
        <v>4.0735000000000001</v>
      </c>
      <c r="EK168" s="8">
        <v>4.0913000000000004</v>
      </c>
      <c r="EL168" s="8">
        <v>4.1092000000000004</v>
      </c>
      <c r="EM168" s="8">
        <v>4.1272000000000002</v>
      </c>
      <c r="EN168" s="8">
        <v>4.1452999999999998</v>
      </c>
      <c r="EO168" s="8">
        <v>4.1637000000000004</v>
      </c>
      <c r="EP168" s="8">
        <v>4.1824000000000003</v>
      </c>
      <c r="EQ168" s="8">
        <v>4.2013999999999996</v>
      </c>
      <c r="ER168" s="8">
        <v>4.2206999999999999</v>
      </c>
      <c r="ES168" s="8">
        <v>4.2404999999999999</v>
      </c>
      <c r="ET168" s="8">
        <v>4.2606999999999999</v>
      </c>
      <c r="EU168" s="8">
        <v>4.2815000000000003</v>
      </c>
      <c r="EV168" s="8">
        <v>4.3029000000000002</v>
      </c>
      <c r="EW168" s="8">
        <v>4.3247999999999998</v>
      </c>
      <c r="EX168" s="8">
        <v>4.3475000000000001</v>
      </c>
      <c r="EY168" s="8">
        <v>4.3708999999999998</v>
      </c>
      <c r="EZ168" s="8">
        <v>4.3949999999999996</v>
      </c>
      <c r="FA168" s="8">
        <v>4.4199000000000002</v>
      </c>
      <c r="FB168" s="8">
        <v>4.4457000000000004</v>
      </c>
      <c r="FC168" s="106">
        <v>4.4722999999999997</v>
      </c>
      <c r="FE168" s="50">
        <f t="shared" ca="1" si="15"/>
        <v>3.8381952278984404</v>
      </c>
      <c r="FF168" s="50">
        <f t="shared" ca="1" si="16"/>
        <v>3.825711310477411</v>
      </c>
      <c r="FG168" s="50">
        <f t="shared" ca="1" si="17"/>
        <v>3.8128756375838924</v>
      </c>
      <c r="FH168" s="50">
        <f t="shared" ca="1" si="18"/>
        <v>3.7993857046979862</v>
      </c>
      <c r="FK168" s="50">
        <f t="shared" ca="1" si="19"/>
        <v>3.825711310477411</v>
      </c>
      <c r="FL168" s="50"/>
      <c r="FM168" s="50"/>
      <c r="FN168" s="50"/>
    </row>
    <row r="169" spans="48:170" hidden="1">
      <c r="AV169" s="69"/>
      <c r="AW169" s="104">
        <v>6.7610000000000001</v>
      </c>
      <c r="AX169" s="8">
        <v>1.5254000000000001</v>
      </c>
      <c r="AY169" s="8">
        <v>1.5506</v>
      </c>
      <c r="AZ169" s="8">
        <v>1.5761000000000001</v>
      </c>
      <c r="BA169" s="8">
        <v>1.6016999999999999</v>
      </c>
      <c r="BB169" s="8">
        <v>1.6275999999999999</v>
      </c>
      <c r="BC169" s="8">
        <v>1.6536</v>
      </c>
      <c r="BD169" s="8">
        <v>1.6798</v>
      </c>
      <c r="BE169" s="8">
        <v>1.7062999999999999</v>
      </c>
      <c r="BF169" s="8">
        <v>1.7329000000000001</v>
      </c>
      <c r="BG169" s="8">
        <v>1.7598</v>
      </c>
      <c r="BH169" s="8">
        <v>1.7867999999999999</v>
      </c>
      <c r="BI169" s="8">
        <v>1.8141</v>
      </c>
      <c r="BJ169" s="8">
        <v>1.8415999999999999</v>
      </c>
      <c r="BK169" s="8">
        <v>1.8692</v>
      </c>
      <c r="BL169" s="8">
        <v>1.897</v>
      </c>
      <c r="BM169" s="8">
        <v>1.9251</v>
      </c>
      <c r="BN169" s="8">
        <v>1.9533</v>
      </c>
      <c r="BO169" s="8">
        <v>1.9818</v>
      </c>
      <c r="BP169" s="8">
        <v>2.0104000000000002</v>
      </c>
      <c r="BQ169" s="8">
        <v>2.0392000000000001</v>
      </c>
      <c r="BR169" s="8">
        <v>2.0682</v>
      </c>
      <c r="BS169" s="8">
        <v>2.0973999999999999</v>
      </c>
      <c r="BT169" s="8">
        <v>2.1267999999999998</v>
      </c>
      <c r="BU169" s="8">
        <v>2.1564000000000001</v>
      </c>
      <c r="BV169" s="8">
        <v>2.1861000000000002</v>
      </c>
      <c r="BW169" s="8">
        <v>2.2160000000000002</v>
      </c>
      <c r="BX169" s="8">
        <v>2.2461000000000002</v>
      </c>
      <c r="BY169" s="8">
        <v>2.2764000000000002</v>
      </c>
      <c r="BZ169" s="8">
        <v>2.3069000000000002</v>
      </c>
      <c r="CA169" s="8">
        <v>2.3374999999999999</v>
      </c>
      <c r="CB169" s="8">
        <v>2.3683000000000001</v>
      </c>
      <c r="CC169" s="8">
        <v>2.3993000000000002</v>
      </c>
      <c r="CD169" s="8">
        <v>2.4304000000000001</v>
      </c>
      <c r="CE169" s="8">
        <v>2.4617</v>
      </c>
      <c r="CF169" s="8">
        <v>2.4931000000000001</v>
      </c>
      <c r="CG169" s="8">
        <v>2.5247000000000002</v>
      </c>
      <c r="CH169" s="8">
        <v>2.5565000000000002</v>
      </c>
      <c r="CI169" s="8">
        <v>2.5884</v>
      </c>
      <c r="CJ169" s="8">
        <v>2.6204000000000001</v>
      </c>
      <c r="CK169" s="8">
        <v>2.6524999999999999</v>
      </c>
      <c r="CL169" s="8">
        <v>2.6848000000000001</v>
      </c>
      <c r="CM169" s="8">
        <v>2.7172000000000001</v>
      </c>
      <c r="CN169" s="8">
        <v>2.7498</v>
      </c>
      <c r="CO169" s="8">
        <v>2.7824</v>
      </c>
      <c r="CP169" s="8">
        <v>2.8151999999999999</v>
      </c>
      <c r="CQ169" s="8">
        <v>2.8479999999999999</v>
      </c>
      <c r="CR169" s="8">
        <v>2.8809</v>
      </c>
      <c r="CS169" s="8">
        <v>2.9140000000000001</v>
      </c>
      <c r="CT169" s="8">
        <v>2.9470999999999998</v>
      </c>
      <c r="CU169" s="8">
        <v>2.9802</v>
      </c>
      <c r="CV169" s="8">
        <v>3.0135000000000001</v>
      </c>
      <c r="CW169" s="8">
        <v>3.0467</v>
      </c>
      <c r="CX169" s="8">
        <v>3.0800999999999998</v>
      </c>
      <c r="CY169" s="8">
        <v>3.1133999999999999</v>
      </c>
      <c r="CZ169" s="8">
        <v>3.1467999999999998</v>
      </c>
      <c r="DA169" s="8">
        <v>3.1802000000000001</v>
      </c>
      <c r="DB169" s="8">
        <v>3.2136</v>
      </c>
      <c r="DC169" s="8">
        <v>3.2469999999999999</v>
      </c>
      <c r="DD169" s="8">
        <v>3.2803</v>
      </c>
      <c r="DE169" s="8">
        <v>3.3136999999999999</v>
      </c>
      <c r="DF169" s="8">
        <v>3.347</v>
      </c>
      <c r="DG169" s="8">
        <v>3.3801999999999999</v>
      </c>
      <c r="DH169" s="8">
        <v>3.4134000000000002</v>
      </c>
      <c r="DI169" s="8">
        <v>3.4464999999999999</v>
      </c>
      <c r="DJ169" s="8">
        <v>3.4794999999999998</v>
      </c>
      <c r="DK169" s="8">
        <v>3.5124</v>
      </c>
      <c r="DL169" s="8">
        <v>3.5451000000000001</v>
      </c>
      <c r="DM169" s="8">
        <v>3.5777999999999999</v>
      </c>
      <c r="DN169" s="8">
        <v>3.6103000000000001</v>
      </c>
      <c r="DO169" s="8">
        <v>3.6427</v>
      </c>
      <c r="DP169" s="8">
        <v>3.6747999999999998</v>
      </c>
      <c r="DQ169" s="8">
        <v>3.7069000000000001</v>
      </c>
      <c r="DR169" s="8">
        <v>3.7322000000000002</v>
      </c>
      <c r="DS169" s="8">
        <v>3.7532000000000001</v>
      </c>
      <c r="DT169" s="8">
        <v>3.7738999999999998</v>
      </c>
      <c r="DU169" s="8">
        <v>3.7942999999999998</v>
      </c>
      <c r="DV169" s="8">
        <v>3.8144</v>
      </c>
      <c r="DW169" s="8">
        <v>3.8342999999999998</v>
      </c>
      <c r="DX169" s="8">
        <v>3.8538000000000001</v>
      </c>
      <c r="DY169" s="8">
        <v>3.8732000000000002</v>
      </c>
      <c r="DZ169" s="8">
        <v>3.8921999999999999</v>
      </c>
      <c r="EA169" s="8">
        <v>3.9110999999999998</v>
      </c>
      <c r="EB169" s="8">
        <v>3.9297</v>
      </c>
      <c r="EC169" s="8">
        <v>3.9481000000000002</v>
      </c>
      <c r="ED169" s="8">
        <v>3.9664000000000001</v>
      </c>
      <c r="EE169" s="8">
        <v>3.9843999999999999</v>
      </c>
      <c r="EF169" s="8">
        <v>4.0023999999999997</v>
      </c>
      <c r="EG169" s="8">
        <v>4.0202</v>
      </c>
      <c r="EH169" s="8">
        <v>4.0380000000000003</v>
      </c>
      <c r="EI169" s="8">
        <v>4.0557999999999996</v>
      </c>
      <c r="EJ169" s="8">
        <v>4.0735000000000001</v>
      </c>
      <c r="EK169" s="8">
        <v>4.0913000000000004</v>
      </c>
      <c r="EL169" s="8">
        <v>4.1092000000000004</v>
      </c>
      <c r="EM169" s="8">
        <v>4.1272000000000002</v>
      </c>
      <c r="EN169" s="8">
        <v>4.1452999999999998</v>
      </c>
      <c r="EO169" s="8">
        <v>4.1637000000000004</v>
      </c>
      <c r="EP169" s="8">
        <v>4.1824000000000003</v>
      </c>
      <c r="EQ169" s="8">
        <v>4.2013999999999996</v>
      </c>
      <c r="ER169" s="8">
        <v>4.2206999999999999</v>
      </c>
      <c r="ES169" s="8">
        <v>4.2404999999999999</v>
      </c>
      <c r="ET169" s="8">
        <v>4.2606999999999999</v>
      </c>
      <c r="EU169" s="8">
        <v>4.2815000000000003</v>
      </c>
      <c r="EV169" s="8">
        <v>4.3029000000000002</v>
      </c>
      <c r="EW169" s="8">
        <v>4.3247999999999998</v>
      </c>
      <c r="EX169" s="8">
        <v>4.3475000000000001</v>
      </c>
      <c r="EY169" s="8">
        <v>4.3708999999999998</v>
      </c>
      <c r="EZ169" s="8">
        <v>4.3949999999999996</v>
      </c>
      <c r="FA169" s="8">
        <v>4.4199000000000002</v>
      </c>
      <c r="FB169" s="8">
        <v>4.4457000000000004</v>
      </c>
      <c r="FC169" s="106">
        <v>4.4722999999999997</v>
      </c>
      <c r="FE169" s="50">
        <f t="shared" ca="1" si="15"/>
        <v>3.8381952278984404</v>
      </c>
      <c r="FF169" s="50">
        <f t="shared" ca="1" si="16"/>
        <v>3.825711310477411</v>
      </c>
      <c r="FG169" s="50">
        <f t="shared" ca="1" si="17"/>
        <v>3.8128756375838924</v>
      </c>
      <c r="FH169" s="50">
        <f t="shared" ca="1" si="18"/>
        <v>3.7993857046979862</v>
      </c>
      <c r="FK169" s="50">
        <f t="shared" ca="1" si="19"/>
        <v>3.825711310477411</v>
      </c>
      <c r="FL169" s="50"/>
      <c r="FM169" s="50"/>
      <c r="FN169" s="50"/>
    </row>
    <row r="170" spans="48:170" hidden="1">
      <c r="AV170" s="69"/>
      <c r="AW170" s="104">
        <v>7.2439999999999998</v>
      </c>
      <c r="AX170" s="8">
        <v>1.5216000000000001</v>
      </c>
      <c r="AY170" s="8">
        <v>1.5468</v>
      </c>
      <c r="AZ170" s="8">
        <v>1.5721000000000001</v>
      </c>
      <c r="BA170" s="8">
        <v>1.5976999999999999</v>
      </c>
      <c r="BB170" s="8">
        <v>1.6234999999999999</v>
      </c>
      <c r="BC170" s="8">
        <v>1.6495</v>
      </c>
      <c r="BD170" s="8">
        <v>1.6756</v>
      </c>
      <c r="BE170" s="8">
        <v>1.702</v>
      </c>
      <c r="BF170" s="8">
        <v>1.7285999999999999</v>
      </c>
      <c r="BG170" s="8">
        <v>1.7554000000000001</v>
      </c>
      <c r="BH170" s="8">
        <v>1.7824</v>
      </c>
      <c r="BI170" s="8">
        <v>1.8096000000000001</v>
      </c>
      <c r="BJ170" s="8">
        <v>1.8369</v>
      </c>
      <c r="BK170" s="8">
        <v>1.8645</v>
      </c>
      <c r="BL170" s="8">
        <v>1.8923000000000001</v>
      </c>
      <c r="BM170" s="8">
        <v>1.9202999999999999</v>
      </c>
      <c r="BN170" s="8">
        <v>1.9483999999999999</v>
      </c>
      <c r="BO170" s="8">
        <v>1.9767999999999999</v>
      </c>
      <c r="BP170" s="8">
        <v>2.0053999999999998</v>
      </c>
      <c r="BQ170" s="8">
        <v>2.0341</v>
      </c>
      <c r="BR170" s="8">
        <v>2.0630000000000002</v>
      </c>
      <c r="BS170" s="8">
        <v>2.0922000000000001</v>
      </c>
      <c r="BT170" s="8">
        <v>2.1215000000000002</v>
      </c>
      <c r="BU170" s="8">
        <v>2.1509999999999998</v>
      </c>
      <c r="BV170" s="8">
        <v>2.1806000000000001</v>
      </c>
      <c r="BW170" s="8">
        <v>2.2105000000000001</v>
      </c>
      <c r="BX170" s="8">
        <v>2.2404999999999999</v>
      </c>
      <c r="BY170" s="8">
        <v>2.2707000000000002</v>
      </c>
      <c r="BZ170" s="8">
        <v>2.3010999999999999</v>
      </c>
      <c r="CA170" s="8">
        <v>2.3317000000000001</v>
      </c>
      <c r="CB170" s="8">
        <v>2.3624000000000001</v>
      </c>
      <c r="CC170" s="8">
        <v>2.3933</v>
      </c>
      <c r="CD170" s="8">
        <v>2.4243000000000001</v>
      </c>
      <c r="CE170" s="8">
        <v>2.4554999999999998</v>
      </c>
      <c r="CF170" s="8">
        <v>2.4868999999999999</v>
      </c>
      <c r="CG170" s="8">
        <v>2.5184000000000002</v>
      </c>
      <c r="CH170" s="8">
        <v>2.5501</v>
      </c>
      <c r="CI170" s="8">
        <v>2.5819000000000001</v>
      </c>
      <c r="CJ170" s="8">
        <v>2.6137999999999999</v>
      </c>
      <c r="CK170" s="8">
        <v>2.6459000000000001</v>
      </c>
      <c r="CL170" s="8">
        <v>2.6781000000000001</v>
      </c>
      <c r="CM170" s="8">
        <v>2.7103999999999999</v>
      </c>
      <c r="CN170" s="8">
        <v>2.7429000000000001</v>
      </c>
      <c r="CO170" s="8">
        <v>2.7755000000000001</v>
      </c>
      <c r="CP170" s="8">
        <v>2.8081</v>
      </c>
      <c r="CQ170" s="8">
        <v>2.8409</v>
      </c>
      <c r="CR170" s="8">
        <v>2.8736999999999999</v>
      </c>
      <c r="CS170" s="8">
        <v>2.9066999999999998</v>
      </c>
      <c r="CT170" s="8">
        <v>2.9397000000000002</v>
      </c>
      <c r="CU170" s="8">
        <v>2.9727999999999999</v>
      </c>
      <c r="CV170" s="8">
        <v>3.0059</v>
      </c>
      <c r="CW170" s="8">
        <v>3.0390999999999999</v>
      </c>
      <c r="CX170" s="8">
        <v>3.0724</v>
      </c>
      <c r="CY170" s="8">
        <v>3.1055999999999999</v>
      </c>
      <c r="CZ170" s="8">
        <v>3.1389</v>
      </c>
      <c r="DA170" s="8">
        <v>3.1722000000000001</v>
      </c>
      <c r="DB170" s="8">
        <v>3.2054999999999998</v>
      </c>
      <c r="DC170" s="8">
        <v>3.2387999999999999</v>
      </c>
      <c r="DD170" s="8">
        <v>3.2721</v>
      </c>
      <c r="DE170" s="8">
        <v>3.3054000000000001</v>
      </c>
      <c r="DF170" s="8">
        <v>3.3386</v>
      </c>
      <c r="DG170" s="8">
        <v>3.3717000000000001</v>
      </c>
      <c r="DH170" s="8">
        <v>3.4047999999999998</v>
      </c>
      <c r="DI170" s="8">
        <v>3.4378000000000002</v>
      </c>
      <c r="DJ170" s="8">
        <v>3.4708000000000001</v>
      </c>
      <c r="DK170" s="8">
        <v>3.5036</v>
      </c>
      <c r="DL170" s="8">
        <v>3.5363000000000002</v>
      </c>
      <c r="DM170" s="8">
        <v>3.5688</v>
      </c>
      <c r="DN170" s="8">
        <v>3.6013000000000002</v>
      </c>
      <c r="DO170" s="8">
        <v>3.6335000000000002</v>
      </c>
      <c r="DP170" s="8">
        <v>3.6657000000000002</v>
      </c>
      <c r="DQ170" s="8">
        <v>3.6976</v>
      </c>
      <c r="DR170" s="8">
        <v>3.7292999999999998</v>
      </c>
      <c r="DS170" s="8">
        <v>3.7532000000000001</v>
      </c>
      <c r="DT170" s="8">
        <v>3.7738999999999998</v>
      </c>
      <c r="DU170" s="8">
        <v>3.7942999999999998</v>
      </c>
      <c r="DV170" s="8">
        <v>3.8144</v>
      </c>
      <c r="DW170" s="8">
        <v>3.8342999999999998</v>
      </c>
      <c r="DX170" s="8">
        <v>3.8538000000000001</v>
      </c>
      <c r="DY170" s="8">
        <v>3.8732000000000002</v>
      </c>
      <c r="DZ170" s="8">
        <v>3.8921999999999999</v>
      </c>
      <c r="EA170" s="8">
        <v>3.9110999999999998</v>
      </c>
      <c r="EB170" s="8">
        <v>3.9297</v>
      </c>
      <c r="EC170" s="8">
        <v>3.9481000000000002</v>
      </c>
      <c r="ED170" s="8">
        <v>3.9664000000000001</v>
      </c>
      <c r="EE170" s="8">
        <v>3.9843999999999999</v>
      </c>
      <c r="EF170" s="8">
        <v>4.0023999999999997</v>
      </c>
      <c r="EG170" s="8">
        <v>4.0202</v>
      </c>
      <c r="EH170" s="8">
        <v>4.0380000000000003</v>
      </c>
      <c r="EI170" s="8">
        <v>4.0557999999999996</v>
      </c>
      <c r="EJ170" s="8">
        <v>4.0735000000000001</v>
      </c>
      <c r="EK170" s="8">
        <v>4.0913000000000004</v>
      </c>
      <c r="EL170" s="8">
        <v>4.1092000000000004</v>
      </c>
      <c r="EM170" s="8">
        <v>4.1272000000000002</v>
      </c>
      <c r="EN170" s="8">
        <v>4.1452999999999998</v>
      </c>
      <c r="EO170" s="8">
        <v>4.1637000000000004</v>
      </c>
      <c r="EP170" s="8">
        <v>4.1824000000000003</v>
      </c>
      <c r="EQ170" s="8">
        <v>4.2013999999999996</v>
      </c>
      <c r="ER170" s="8">
        <v>4.2206999999999999</v>
      </c>
      <c r="ES170" s="8">
        <v>4.2404999999999999</v>
      </c>
      <c r="ET170" s="8">
        <v>4.2606999999999999</v>
      </c>
      <c r="EU170" s="8">
        <v>4.2815000000000003</v>
      </c>
      <c r="EV170" s="8">
        <v>4.3029000000000002</v>
      </c>
      <c r="EW170" s="8">
        <v>4.3247999999999998</v>
      </c>
      <c r="EX170" s="8">
        <v>4.3475000000000001</v>
      </c>
      <c r="EY170" s="8">
        <v>4.3708999999999998</v>
      </c>
      <c r="EZ170" s="8">
        <v>4.3949999999999996</v>
      </c>
      <c r="FA170" s="8">
        <v>4.4199000000000002</v>
      </c>
      <c r="FB170" s="8">
        <v>4.4457000000000004</v>
      </c>
      <c r="FC170" s="106">
        <v>4.4722999999999997</v>
      </c>
      <c r="FE170" s="50">
        <f t="shared" ca="1" si="15"/>
        <v>3.8381952278984404</v>
      </c>
      <c r="FF170" s="50">
        <f t="shared" ca="1" si="16"/>
        <v>3.825711310477411</v>
      </c>
      <c r="FG170" s="50">
        <f t="shared" ca="1" si="17"/>
        <v>3.8128756375838924</v>
      </c>
      <c r="FH170" s="50">
        <f t="shared" ca="1" si="18"/>
        <v>3.7993857046979862</v>
      </c>
      <c r="FK170" s="50">
        <f t="shared" ca="1" si="19"/>
        <v>3.825711310477411</v>
      </c>
      <c r="FL170" s="50"/>
      <c r="FM170" s="50"/>
      <c r="FN170" s="50"/>
    </row>
    <row r="171" spans="48:170" hidden="1">
      <c r="AV171" s="69"/>
      <c r="AW171" s="104">
        <v>7.7619999999999996</v>
      </c>
      <c r="AX171" s="8">
        <v>1.5178</v>
      </c>
      <c r="AY171" s="8">
        <v>1.5428999999999999</v>
      </c>
      <c r="AZ171" s="8">
        <v>1.5682</v>
      </c>
      <c r="BA171" s="8">
        <v>1.5936999999999999</v>
      </c>
      <c r="BB171" s="8">
        <v>1.6194999999999999</v>
      </c>
      <c r="BC171" s="8">
        <v>1.6454</v>
      </c>
      <c r="BD171" s="8">
        <v>1.6715</v>
      </c>
      <c r="BE171" s="8">
        <v>1.6978</v>
      </c>
      <c r="BF171" s="8">
        <v>1.7242999999999999</v>
      </c>
      <c r="BG171" s="8">
        <v>1.7509999999999999</v>
      </c>
      <c r="BH171" s="8">
        <v>1.778</v>
      </c>
      <c r="BI171" s="8">
        <v>1.8050999999999999</v>
      </c>
      <c r="BJ171" s="8">
        <v>1.8324</v>
      </c>
      <c r="BK171" s="8">
        <v>1.8599000000000001</v>
      </c>
      <c r="BL171" s="8">
        <v>1.8875999999999999</v>
      </c>
      <c r="BM171" s="8">
        <v>1.9155</v>
      </c>
      <c r="BN171" s="8">
        <v>1.9436</v>
      </c>
      <c r="BO171" s="8">
        <v>1.9719</v>
      </c>
      <c r="BP171" s="8">
        <v>2.0004</v>
      </c>
      <c r="BQ171" s="8">
        <v>2.0291000000000001</v>
      </c>
      <c r="BR171" s="8">
        <v>2.0579000000000001</v>
      </c>
      <c r="BS171" s="8">
        <v>2.0870000000000002</v>
      </c>
      <c r="BT171" s="8">
        <v>2.1162000000000001</v>
      </c>
      <c r="BU171" s="8">
        <v>2.1456</v>
      </c>
      <c r="BV171" s="8">
        <v>2.1751999999999998</v>
      </c>
      <c r="BW171" s="8">
        <v>2.2050000000000001</v>
      </c>
      <c r="BX171" s="8">
        <v>2.2349999999999999</v>
      </c>
      <c r="BY171" s="8">
        <v>2.2650999999999999</v>
      </c>
      <c r="BZ171" s="8">
        <v>2.2953999999999999</v>
      </c>
      <c r="CA171" s="8">
        <v>2.3258999999999999</v>
      </c>
      <c r="CB171" s="8">
        <v>2.3565</v>
      </c>
      <c r="CC171" s="8">
        <v>2.3874</v>
      </c>
      <c r="CD171" s="8">
        <v>2.4182999999999999</v>
      </c>
      <c r="CE171" s="8">
        <v>2.4495</v>
      </c>
      <c r="CF171" s="8">
        <v>2.4807999999999999</v>
      </c>
      <c r="CG171" s="8">
        <v>2.5122</v>
      </c>
      <c r="CH171" s="8">
        <v>2.5438000000000001</v>
      </c>
      <c r="CI171" s="8">
        <v>2.5754999999999999</v>
      </c>
      <c r="CJ171" s="8">
        <v>2.6074000000000002</v>
      </c>
      <c r="CK171" s="8">
        <v>2.6394000000000002</v>
      </c>
      <c r="CL171" s="8">
        <v>2.6715</v>
      </c>
      <c r="CM171" s="8">
        <v>2.7037</v>
      </c>
      <c r="CN171" s="8">
        <v>2.7361</v>
      </c>
      <c r="CO171" s="8">
        <v>2.7686000000000002</v>
      </c>
      <c r="CP171" s="8">
        <v>2.8012000000000001</v>
      </c>
      <c r="CQ171" s="8">
        <v>2.8338999999999999</v>
      </c>
      <c r="CR171" s="8">
        <v>2.8666</v>
      </c>
      <c r="CS171" s="8">
        <v>2.8995000000000002</v>
      </c>
      <c r="CT171" s="8">
        <v>2.9323999999999999</v>
      </c>
      <c r="CU171" s="8">
        <v>2.9653999999999998</v>
      </c>
      <c r="CV171" s="8">
        <v>2.9984999999999999</v>
      </c>
      <c r="CW171" s="8">
        <v>3.0316000000000001</v>
      </c>
      <c r="CX171" s="8">
        <v>3.0647000000000002</v>
      </c>
      <c r="CY171" s="8">
        <v>3.0979000000000001</v>
      </c>
      <c r="CZ171" s="8">
        <v>3.1312000000000002</v>
      </c>
      <c r="DA171" s="8">
        <v>3.1644000000000001</v>
      </c>
      <c r="DB171" s="8">
        <v>3.1976</v>
      </c>
      <c r="DC171" s="8">
        <v>3.2307999999999999</v>
      </c>
      <c r="DD171" s="8">
        <v>3.2639999999999998</v>
      </c>
      <c r="DE171" s="8">
        <v>3.2972000000000001</v>
      </c>
      <c r="DF171" s="8">
        <v>3.3302999999999998</v>
      </c>
      <c r="DG171" s="8">
        <v>3.3633999999999999</v>
      </c>
      <c r="DH171" s="8">
        <v>3.3963999999999999</v>
      </c>
      <c r="DI171" s="8">
        <v>3.4293</v>
      </c>
      <c r="DJ171" s="8">
        <v>3.4622000000000002</v>
      </c>
      <c r="DK171" s="8">
        <v>3.4948999999999999</v>
      </c>
      <c r="DL171" s="8">
        <v>3.5274999999999999</v>
      </c>
      <c r="DM171" s="8">
        <v>3.56</v>
      </c>
      <c r="DN171" s="8">
        <v>3.5924</v>
      </c>
      <c r="DO171" s="8">
        <v>3.6246</v>
      </c>
      <c r="DP171" s="8">
        <v>3.6566000000000001</v>
      </c>
      <c r="DQ171" s="8">
        <v>3.6884000000000001</v>
      </c>
      <c r="DR171" s="8">
        <v>3.7201</v>
      </c>
      <c r="DS171" s="8">
        <v>3.7515999999999998</v>
      </c>
      <c r="DT171" s="8">
        <v>3.7738999999999998</v>
      </c>
      <c r="DU171" s="8">
        <v>3.7942999999999998</v>
      </c>
      <c r="DV171" s="8">
        <v>3.8144</v>
      </c>
      <c r="DW171" s="8">
        <v>3.8342999999999998</v>
      </c>
      <c r="DX171" s="8">
        <v>3.8538000000000001</v>
      </c>
      <c r="DY171" s="8">
        <v>3.8732000000000002</v>
      </c>
      <c r="DZ171" s="8">
        <v>3.8921999999999999</v>
      </c>
      <c r="EA171" s="8">
        <v>3.9110999999999998</v>
      </c>
      <c r="EB171" s="8">
        <v>3.9297</v>
      </c>
      <c r="EC171" s="8">
        <v>3.9481000000000002</v>
      </c>
      <c r="ED171" s="8">
        <v>3.9664000000000001</v>
      </c>
      <c r="EE171" s="8">
        <v>3.9843999999999999</v>
      </c>
      <c r="EF171" s="8">
        <v>4.0023999999999997</v>
      </c>
      <c r="EG171" s="8">
        <v>4.0202</v>
      </c>
      <c r="EH171" s="8">
        <v>4.0380000000000003</v>
      </c>
      <c r="EI171" s="8">
        <v>4.0557999999999996</v>
      </c>
      <c r="EJ171" s="8">
        <v>4.0735000000000001</v>
      </c>
      <c r="EK171" s="8">
        <v>4.0913000000000004</v>
      </c>
      <c r="EL171" s="8">
        <v>4.1092000000000004</v>
      </c>
      <c r="EM171" s="8">
        <v>4.1272000000000002</v>
      </c>
      <c r="EN171" s="8">
        <v>4.1452999999999998</v>
      </c>
      <c r="EO171" s="8">
        <v>4.1637000000000004</v>
      </c>
      <c r="EP171" s="8">
        <v>4.1824000000000003</v>
      </c>
      <c r="EQ171" s="8">
        <v>4.2013999999999996</v>
      </c>
      <c r="ER171" s="8">
        <v>4.2206999999999999</v>
      </c>
      <c r="ES171" s="8">
        <v>4.2404999999999999</v>
      </c>
      <c r="ET171" s="8">
        <v>4.2606999999999999</v>
      </c>
      <c r="EU171" s="8">
        <v>4.2815000000000003</v>
      </c>
      <c r="EV171" s="8">
        <v>4.3029000000000002</v>
      </c>
      <c r="EW171" s="8">
        <v>4.3247999999999998</v>
      </c>
      <c r="EX171" s="8">
        <v>4.3475000000000001</v>
      </c>
      <c r="EY171" s="8">
        <v>4.3708999999999998</v>
      </c>
      <c r="EZ171" s="8">
        <v>4.3949999999999996</v>
      </c>
      <c r="FA171" s="8">
        <v>4.4199000000000002</v>
      </c>
      <c r="FB171" s="8">
        <v>4.4457000000000004</v>
      </c>
      <c r="FC171" s="106">
        <v>4.4722999999999997</v>
      </c>
      <c r="FE171" s="50">
        <f t="shared" ca="1" si="15"/>
        <v>3.8381952278984404</v>
      </c>
      <c r="FF171" s="50">
        <f t="shared" ca="1" si="16"/>
        <v>3.825711310477411</v>
      </c>
      <c r="FG171" s="50">
        <f t="shared" ca="1" si="17"/>
        <v>3.8128756375838924</v>
      </c>
      <c r="FH171" s="50">
        <f t="shared" ca="1" si="18"/>
        <v>3.7993857046979862</v>
      </c>
      <c r="FK171" s="50">
        <f t="shared" ca="1" si="19"/>
        <v>3.825711310477411</v>
      </c>
      <c r="FL171" s="50"/>
      <c r="FM171" s="50"/>
      <c r="FN171" s="50"/>
    </row>
    <row r="172" spans="48:170" hidden="1">
      <c r="AV172" s="69"/>
      <c r="AW172" s="104">
        <v>8.3179999999999996</v>
      </c>
      <c r="AX172" s="8">
        <v>1.5141</v>
      </c>
      <c r="AY172" s="8">
        <v>1.5391999999999999</v>
      </c>
      <c r="AZ172" s="8">
        <v>1.5644</v>
      </c>
      <c r="BA172" s="8">
        <v>1.5898000000000001</v>
      </c>
      <c r="BB172" s="8">
        <v>1.6154999999999999</v>
      </c>
      <c r="BC172" s="8">
        <v>1.6413</v>
      </c>
      <c r="BD172" s="8">
        <v>1.6674</v>
      </c>
      <c r="BE172" s="8">
        <v>1.6937</v>
      </c>
      <c r="BF172" s="8">
        <v>1.7201</v>
      </c>
      <c r="BG172" s="8">
        <v>1.7467999999999999</v>
      </c>
      <c r="BH172" s="8">
        <v>1.7736000000000001</v>
      </c>
      <c r="BI172" s="8">
        <v>1.8007</v>
      </c>
      <c r="BJ172" s="8">
        <v>1.8279000000000001</v>
      </c>
      <c r="BK172" s="8">
        <v>1.8553999999999999</v>
      </c>
      <c r="BL172" s="8">
        <v>1.883</v>
      </c>
      <c r="BM172" s="8">
        <v>1.9108000000000001</v>
      </c>
      <c r="BN172" s="8">
        <v>1.9389000000000001</v>
      </c>
      <c r="BO172" s="8">
        <v>1.9671000000000001</v>
      </c>
      <c r="BP172" s="8">
        <v>1.9955000000000001</v>
      </c>
      <c r="BQ172" s="8">
        <v>2.0240999999999998</v>
      </c>
      <c r="BR172" s="8">
        <v>2.0529000000000002</v>
      </c>
      <c r="BS172" s="8">
        <v>2.0819000000000001</v>
      </c>
      <c r="BT172" s="8">
        <v>2.1110000000000002</v>
      </c>
      <c r="BU172" s="8">
        <v>2.1404000000000001</v>
      </c>
      <c r="BV172" s="8">
        <v>2.1699000000000002</v>
      </c>
      <c r="BW172" s="8">
        <v>2.1996000000000002</v>
      </c>
      <c r="BX172" s="8">
        <v>2.2294999999999998</v>
      </c>
      <c r="BY172" s="8">
        <v>2.2595999999999998</v>
      </c>
      <c r="BZ172" s="8">
        <v>2.2898000000000001</v>
      </c>
      <c r="CA172" s="8">
        <v>2.3201999999999998</v>
      </c>
      <c r="CB172" s="8">
        <v>2.3508</v>
      </c>
      <c r="CC172" s="8">
        <v>2.3815</v>
      </c>
      <c r="CD172" s="8">
        <v>2.4123999999999999</v>
      </c>
      <c r="CE172" s="8">
        <v>2.4434999999999998</v>
      </c>
      <c r="CF172" s="8">
        <v>2.4746999999999999</v>
      </c>
      <c r="CG172" s="8">
        <v>2.5059999999999998</v>
      </c>
      <c r="CH172" s="8">
        <v>2.5375000000000001</v>
      </c>
      <c r="CI172" s="8">
        <v>2.5691999999999999</v>
      </c>
      <c r="CJ172" s="8">
        <v>2.601</v>
      </c>
      <c r="CK172" s="8">
        <v>2.6328999999999998</v>
      </c>
      <c r="CL172" s="8">
        <v>2.665</v>
      </c>
      <c r="CM172" s="8">
        <v>2.6970999999999998</v>
      </c>
      <c r="CN172" s="8">
        <v>2.7294</v>
      </c>
      <c r="CO172" s="8">
        <v>2.7618</v>
      </c>
      <c r="CP172" s="8">
        <v>2.7942999999999998</v>
      </c>
      <c r="CQ172" s="8">
        <v>2.8269000000000002</v>
      </c>
      <c r="CR172" s="8">
        <v>2.8595999999999999</v>
      </c>
      <c r="CS172" s="8">
        <v>2.8923999999999999</v>
      </c>
      <c r="CT172" s="8">
        <v>2.9251999999999998</v>
      </c>
      <c r="CU172" s="8">
        <v>2.9582000000000002</v>
      </c>
      <c r="CV172" s="8">
        <v>2.9910999999999999</v>
      </c>
      <c r="CW172" s="8">
        <v>3.0242</v>
      </c>
      <c r="CX172" s="8">
        <v>3.0571999999999999</v>
      </c>
      <c r="CY172" s="8">
        <v>3.0903999999999998</v>
      </c>
      <c r="CZ172" s="8">
        <v>3.1234999999999999</v>
      </c>
      <c r="DA172" s="8">
        <v>3.1566000000000001</v>
      </c>
      <c r="DB172" s="8">
        <v>3.1898</v>
      </c>
      <c r="DC172" s="8">
        <v>3.2229000000000001</v>
      </c>
      <c r="DD172" s="8">
        <v>3.2559999999999998</v>
      </c>
      <c r="DE172" s="8">
        <v>3.2890999999999999</v>
      </c>
      <c r="DF172" s="8">
        <v>3.3222</v>
      </c>
      <c r="DG172" s="8">
        <v>3.3552</v>
      </c>
      <c r="DH172" s="8">
        <v>3.3881000000000001</v>
      </c>
      <c r="DI172" s="8">
        <v>3.4209000000000001</v>
      </c>
      <c r="DJ172" s="8">
        <v>3.4537</v>
      </c>
      <c r="DK172" s="8">
        <v>3.4864000000000002</v>
      </c>
      <c r="DL172" s="8">
        <v>3.5188999999999999</v>
      </c>
      <c r="DM172" s="8">
        <v>3.5512999999999999</v>
      </c>
      <c r="DN172" s="8">
        <v>3.5836000000000001</v>
      </c>
      <c r="DO172" s="8">
        <v>3.6156999999999999</v>
      </c>
      <c r="DP172" s="8">
        <v>3.6476000000000002</v>
      </c>
      <c r="DQ172" s="8">
        <v>3.6793999999999998</v>
      </c>
      <c r="DR172" s="8">
        <v>3.7109999999999999</v>
      </c>
      <c r="DS172" s="8">
        <v>3.7423999999999999</v>
      </c>
      <c r="DT172" s="8">
        <v>3.7736000000000001</v>
      </c>
      <c r="DU172" s="8">
        <v>3.7942999999999998</v>
      </c>
      <c r="DV172" s="8">
        <v>3.8144</v>
      </c>
      <c r="DW172" s="8">
        <v>3.8342999999999998</v>
      </c>
      <c r="DX172" s="8">
        <v>3.8538000000000001</v>
      </c>
      <c r="DY172" s="8">
        <v>3.8732000000000002</v>
      </c>
      <c r="DZ172" s="8">
        <v>3.8921999999999999</v>
      </c>
      <c r="EA172" s="8">
        <v>3.9110999999999998</v>
      </c>
      <c r="EB172" s="8">
        <v>3.9297</v>
      </c>
      <c r="EC172" s="8">
        <v>3.9481000000000002</v>
      </c>
      <c r="ED172" s="8">
        <v>3.9664000000000001</v>
      </c>
      <c r="EE172" s="8">
        <v>3.9843999999999999</v>
      </c>
      <c r="EF172" s="8">
        <v>4.0023999999999997</v>
      </c>
      <c r="EG172" s="8">
        <v>4.0202</v>
      </c>
      <c r="EH172" s="8">
        <v>4.0380000000000003</v>
      </c>
      <c r="EI172" s="8">
        <v>4.0557999999999996</v>
      </c>
      <c r="EJ172" s="8">
        <v>4.0735000000000001</v>
      </c>
      <c r="EK172" s="8">
        <v>4.0913000000000004</v>
      </c>
      <c r="EL172" s="8">
        <v>4.1092000000000004</v>
      </c>
      <c r="EM172" s="8">
        <v>4.1272000000000002</v>
      </c>
      <c r="EN172" s="8">
        <v>4.1452999999999998</v>
      </c>
      <c r="EO172" s="8">
        <v>4.1637000000000004</v>
      </c>
      <c r="EP172" s="8">
        <v>4.1824000000000003</v>
      </c>
      <c r="EQ172" s="8">
        <v>4.2013999999999996</v>
      </c>
      <c r="ER172" s="8">
        <v>4.2206999999999999</v>
      </c>
      <c r="ES172" s="8">
        <v>4.2404999999999999</v>
      </c>
      <c r="ET172" s="8">
        <v>4.2606999999999999</v>
      </c>
      <c r="EU172" s="8">
        <v>4.2815000000000003</v>
      </c>
      <c r="EV172" s="8">
        <v>4.3029000000000002</v>
      </c>
      <c r="EW172" s="8">
        <v>4.3247999999999998</v>
      </c>
      <c r="EX172" s="8">
        <v>4.3475000000000001</v>
      </c>
      <c r="EY172" s="8">
        <v>4.3708999999999998</v>
      </c>
      <c r="EZ172" s="8">
        <v>4.3949999999999996</v>
      </c>
      <c r="FA172" s="8">
        <v>4.4199000000000002</v>
      </c>
      <c r="FB172" s="8">
        <v>4.4457000000000004</v>
      </c>
      <c r="FC172" s="106">
        <v>4.4722999999999997</v>
      </c>
      <c r="FE172" s="50">
        <f t="shared" ca="1" si="15"/>
        <v>3.8381952278984404</v>
      </c>
      <c r="FF172" s="50">
        <f t="shared" ca="1" si="16"/>
        <v>3.825711310477411</v>
      </c>
      <c r="FG172" s="50">
        <f t="shared" ca="1" si="17"/>
        <v>3.8128756375838924</v>
      </c>
      <c r="FH172" s="50">
        <f t="shared" ca="1" si="18"/>
        <v>3.7993857046979862</v>
      </c>
      <c r="FK172" s="50">
        <f t="shared" ref="FK172:FK208" ca="1" si="20">FORECAST(AN$22,OFFSET($AX172,0,MATCH(AN$22,$AX$107:$FC$107,1)-1,1,2),OFFSET($AX$107,0,MATCH(AN$22,$AX$107:$FC$107,1)-1,1,2))</f>
        <v>3.825711310477411</v>
      </c>
      <c r="FL172" s="50"/>
      <c r="FM172" s="50"/>
      <c r="FN172" s="50"/>
    </row>
    <row r="173" spans="48:170" hidden="1">
      <c r="AV173" s="69"/>
      <c r="AW173" s="104">
        <v>8.9130000000000003</v>
      </c>
      <c r="AX173" s="8">
        <v>1.5104</v>
      </c>
      <c r="AY173" s="8">
        <v>1.5354000000000001</v>
      </c>
      <c r="AZ173" s="8">
        <v>1.5606</v>
      </c>
      <c r="BA173" s="8">
        <v>1.5860000000000001</v>
      </c>
      <c r="BB173" s="8">
        <v>1.6115999999999999</v>
      </c>
      <c r="BC173" s="8">
        <v>1.6374</v>
      </c>
      <c r="BD173" s="8">
        <v>1.6634</v>
      </c>
      <c r="BE173" s="8">
        <v>1.6896</v>
      </c>
      <c r="BF173" s="8">
        <v>1.7159</v>
      </c>
      <c r="BG173" s="8">
        <v>1.7424999999999999</v>
      </c>
      <c r="BH173" s="8">
        <v>1.7693000000000001</v>
      </c>
      <c r="BI173" s="8">
        <v>1.7963</v>
      </c>
      <c r="BJ173" s="8">
        <v>1.8234999999999999</v>
      </c>
      <c r="BK173" s="8">
        <v>1.8509</v>
      </c>
      <c r="BL173" s="8">
        <v>1.8784000000000001</v>
      </c>
      <c r="BM173" s="8">
        <v>1.9061999999999999</v>
      </c>
      <c r="BN173" s="8">
        <v>1.9341999999999999</v>
      </c>
      <c r="BO173" s="8">
        <v>1.9622999999999999</v>
      </c>
      <c r="BP173" s="8">
        <v>1.9906999999999999</v>
      </c>
      <c r="BQ173" s="8">
        <v>2.0192000000000001</v>
      </c>
      <c r="BR173" s="8">
        <v>2.0478999999999998</v>
      </c>
      <c r="BS173" s="8">
        <v>2.0768</v>
      </c>
      <c r="BT173" s="8">
        <v>2.1059000000000001</v>
      </c>
      <c r="BU173" s="8">
        <v>2.1352000000000002</v>
      </c>
      <c r="BV173" s="8">
        <v>2.1646999999999998</v>
      </c>
      <c r="BW173" s="8">
        <v>2.1943000000000001</v>
      </c>
      <c r="BX173" s="8">
        <v>2.2241</v>
      </c>
      <c r="BY173" s="8">
        <v>2.2541000000000002</v>
      </c>
      <c r="BZ173" s="8">
        <v>2.2843</v>
      </c>
      <c r="CA173" s="8">
        <v>2.3146</v>
      </c>
      <c r="CB173" s="8">
        <v>2.3451</v>
      </c>
      <c r="CC173" s="8">
        <v>2.3757000000000001</v>
      </c>
      <c r="CD173" s="8">
        <v>2.4066000000000001</v>
      </c>
      <c r="CE173" s="8">
        <v>2.4375</v>
      </c>
      <c r="CF173" s="8">
        <v>2.4687000000000001</v>
      </c>
      <c r="CG173" s="8">
        <v>2.5</v>
      </c>
      <c r="CH173" s="8">
        <v>2.5314000000000001</v>
      </c>
      <c r="CI173" s="8">
        <v>2.5630000000000002</v>
      </c>
      <c r="CJ173" s="8">
        <v>2.5947</v>
      </c>
      <c r="CK173" s="8">
        <v>2.6265000000000001</v>
      </c>
      <c r="CL173" s="8">
        <v>2.6585000000000001</v>
      </c>
      <c r="CM173" s="8">
        <v>2.6905999999999999</v>
      </c>
      <c r="CN173" s="8">
        <v>2.7227999999999999</v>
      </c>
      <c r="CO173" s="8">
        <v>2.7551000000000001</v>
      </c>
      <c r="CP173" s="8">
        <v>2.7875000000000001</v>
      </c>
      <c r="CQ173" s="8">
        <v>2.8201000000000001</v>
      </c>
      <c r="CR173" s="8">
        <v>2.8527</v>
      </c>
      <c r="CS173" s="8">
        <v>2.8854000000000002</v>
      </c>
      <c r="CT173" s="8">
        <v>2.9180999999999999</v>
      </c>
      <c r="CU173" s="8">
        <v>2.9510000000000001</v>
      </c>
      <c r="CV173" s="8">
        <v>2.9839000000000002</v>
      </c>
      <c r="CW173" s="8">
        <v>3.0167999999999999</v>
      </c>
      <c r="CX173" s="8">
        <v>3.0497999999999998</v>
      </c>
      <c r="CY173" s="8">
        <v>3.0829</v>
      </c>
      <c r="CZ173" s="8">
        <v>3.1158999999999999</v>
      </c>
      <c r="DA173" s="8">
        <v>3.149</v>
      </c>
      <c r="DB173" s="8">
        <v>3.1819999999999999</v>
      </c>
      <c r="DC173" s="8">
        <v>3.2151000000000001</v>
      </c>
      <c r="DD173" s="8">
        <v>3.2481</v>
      </c>
      <c r="DE173" s="8">
        <v>3.2812000000000001</v>
      </c>
      <c r="DF173" s="8">
        <v>3.3140999999999998</v>
      </c>
      <c r="DG173" s="8">
        <v>3.347</v>
      </c>
      <c r="DH173" s="8">
        <v>3.3799000000000001</v>
      </c>
      <c r="DI173" s="8">
        <v>3.4127000000000001</v>
      </c>
      <c r="DJ173" s="8">
        <v>3.4453</v>
      </c>
      <c r="DK173" s="8">
        <v>3.4779</v>
      </c>
      <c r="DL173" s="8">
        <v>3.5104000000000002</v>
      </c>
      <c r="DM173" s="8">
        <v>3.5427</v>
      </c>
      <c r="DN173" s="8">
        <v>3.5749</v>
      </c>
      <c r="DO173" s="8">
        <v>3.6069</v>
      </c>
      <c r="DP173" s="8">
        <v>3.6387999999999998</v>
      </c>
      <c r="DQ173" s="8">
        <v>3.6705000000000001</v>
      </c>
      <c r="DR173" s="8">
        <v>3.702</v>
      </c>
      <c r="DS173" s="8">
        <v>3.7332999999999998</v>
      </c>
      <c r="DT173" s="8">
        <v>3.7644000000000002</v>
      </c>
      <c r="DU173" s="8">
        <v>3.7942999999999998</v>
      </c>
      <c r="DV173" s="8">
        <v>3.8144</v>
      </c>
      <c r="DW173" s="8">
        <v>3.8342999999999998</v>
      </c>
      <c r="DX173" s="8">
        <v>3.8538000000000001</v>
      </c>
      <c r="DY173" s="8">
        <v>3.8732000000000002</v>
      </c>
      <c r="DZ173" s="8">
        <v>3.8921999999999999</v>
      </c>
      <c r="EA173" s="8">
        <v>3.9110999999999998</v>
      </c>
      <c r="EB173" s="8">
        <v>3.9297</v>
      </c>
      <c r="EC173" s="8">
        <v>3.9481000000000002</v>
      </c>
      <c r="ED173" s="8">
        <v>3.9664000000000001</v>
      </c>
      <c r="EE173" s="8">
        <v>3.9843999999999999</v>
      </c>
      <c r="EF173" s="8">
        <v>4.0023999999999997</v>
      </c>
      <c r="EG173" s="8">
        <v>4.0202</v>
      </c>
      <c r="EH173" s="8">
        <v>4.0380000000000003</v>
      </c>
      <c r="EI173" s="8">
        <v>4.0557999999999996</v>
      </c>
      <c r="EJ173" s="8">
        <v>4.0735000000000001</v>
      </c>
      <c r="EK173" s="8">
        <v>4.0913000000000004</v>
      </c>
      <c r="EL173" s="8">
        <v>4.1092000000000004</v>
      </c>
      <c r="EM173" s="8">
        <v>4.1272000000000002</v>
      </c>
      <c r="EN173" s="8">
        <v>4.1452999999999998</v>
      </c>
      <c r="EO173" s="8">
        <v>4.1637000000000004</v>
      </c>
      <c r="EP173" s="8">
        <v>4.1824000000000003</v>
      </c>
      <c r="EQ173" s="8">
        <v>4.2013999999999996</v>
      </c>
      <c r="ER173" s="8">
        <v>4.2206999999999999</v>
      </c>
      <c r="ES173" s="8">
        <v>4.2404999999999999</v>
      </c>
      <c r="ET173" s="8">
        <v>4.2606999999999999</v>
      </c>
      <c r="EU173" s="8">
        <v>4.2815000000000003</v>
      </c>
      <c r="EV173" s="8">
        <v>4.3029000000000002</v>
      </c>
      <c r="EW173" s="8">
        <v>4.3247999999999998</v>
      </c>
      <c r="EX173" s="8">
        <v>4.3475000000000001</v>
      </c>
      <c r="EY173" s="8">
        <v>4.3708999999999998</v>
      </c>
      <c r="EZ173" s="8">
        <v>4.3949999999999996</v>
      </c>
      <c r="FA173" s="8">
        <v>4.4199000000000002</v>
      </c>
      <c r="FB173" s="8">
        <v>4.4457000000000004</v>
      </c>
      <c r="FC173" s="106">
        <v>4.4722999999999997</v>
      </c>
      <c r="FE173" s="50">
        <f t="shared" ref="FE173:FE208" ca="1" si="21">FORECAST(J$39,OFFSET($AX173,0,MATCH(J$39,$AX$107:$FC$107,1)-1,1,2),OFFSET($AX$107,0,MATCH(J$39,$AX$107:$FC$107,1)-1,1,2))</f>
        <v>3.8381952278984404</v>
      </c>
      <c r="FF173" s="50">
        <f t="shared" ref="FF173:FF208" ca="1" si="22">FORECAST(L$39,OFFSET($AX173,0,MATCH(L$39,$AX$107:$FC$107,1)-1,1,2),OFFSET($AX$107,0,MATCH(L$39,$AX$107:$FC$107,1)-1,1,2))</f>
        <v>3.825711310477411</v>
      </c>
      <c r="FG173" s="50">
        <f t="shared" ref="FG173:FG208" ca="1" si="23">FORECAST(N$39,OFFSET($AX173,0,MATCH(N$39,$AX$107:$FC$107,1)-1,1,2),OFFSET($AX$107,0,MATCH(N$39,$AX$107:$FC$107,1)-1,1,2))</f>
        <v>3.8128756375838924</v>
      </c>
      <c r="FH173" s="50">
        <f t="shared" ref="FH173:FH208" ca="1" si="24">FORECAST(P$39,OFFSET($AX173,0,MATCH(P$39,$AX$107:$FC$107,1)-1,1,2),OFFSET($AX$107,0,MATCH(P$39,$AX$107:$FC$107,1)-1,1,2))</f>
        <v>3.7993857046979862</v>
      </c>
      <c r="FK173" s="50">
        <f t="shared" ca="1" si="20"/>
        <v>3.825711310477411</v>
      </c>
      <c r="FL173" s="50"/>
      <c r="FM173" s="50"/>
      <c r="FN173" s="50"/>
    </row>
    <row r="174" spans="48:170" hidden="1">
      <c r="AV174" s="69"/>
      <c r="AW174" s="104">
        <v>9.5500000000000007</v>
      </c>
      <c r="AX174" s="8">
        <v>1.5067999999999999</v>
      </c>
      <c r="AY174" s="8">
        <v>1.5317000000000001</v>
      </c>
      <c r="AZ174" s="8">
        <v>1.5569</v>
      </c>
      <c r="BA174" s="8">
        <v>1.5822000000000001</v>
      </c>
      <c r="BB174" s="8">
        <v>1.6076999999999999</v>
      </c>
      <c r="BC174" s="8">
        <v>1.6334</v>
      </c>
      <c r="BD174" s="8">
        <v>1.6594</v>
      </c>
      <c r="BE174" s="8">
        <v>1.6855</v>
      </c>
      <c r="BF174" s="8">
        <v>1.7118</v>
      </c>
      <c r="BG174" s="8">
        <v>1.7383999999999999</v>
      </c>
      <c r="BH174" s="8">
        <v>1.7650999999999999</v>
      </c>
      <c r="BI174" s="8">
        <v>1.792</v>
      </c>
      <c r="BJ174" s="8">
        <v>1.8190999999999999</v>
      </c>
      <c r="BK174" s="8">
        <v>1.8464</v>
      </c>
      <c r="BL174" s="8">
        <v>1.8738999999999999</v>
      </c>
      <c r="BM174" s="8">
        <v>1.9016</v>
      </c>
      <c r="BN174" s="8">
        <v>1.9295</v>
      </c>
      <c r="BO174" s="8">
        <v>1.9576</v>
      </c>
      <c r="BP174" s="8">
        <v>1.9859</v>
      </c>
      <c r="BQ174" s="8">
        <v>2.0144000000000002</v>
      </c>
      <c r="BR174" s="8">
        <v>2.0430000000000001</v>
      </c>
      <c r="BS174" s="8">
        <v>2.0718000000000001</v>
      </c>
      <c r="BT174" s="8">
        <v>2.1009000000000002</v>
      </c>
      <c r="BU174" s="8">
        <v>2.1301000000000001</v>
      </c>
      <c r="BV174" s="8">
        <v>2.1595</v>
      </c>
      <c r="BW174" s="8">
        <v>2.1890000000000001</v>
      </c>
      <c r="BX174" s="8">
        <v>2.2187999999999999</v>
      </c>
      <c r="BY174" s="8">
        <v>2.2486999999999999</v>
      </c>
      <c r="BZ174" s="8">
        <v>2.2787999999999999</v>
      </c>
      <c r="CA174" s="8">
        <v>2.3090000000000002</v>
      </c>
      <c r="CB174" s="8">
        <v>2.3395000000000001</v>
      </c>
      <c r="CC174" s="8">
        <v>2.3700999999999999</v>
      </c>
      <c r="CD174" s="8">
        <v>2.4007999999999998</v>
      </c>
      <c r="CE174" s="8">
        <v>2.4317000000000002</v>
      </c>
      <c r="CF174" s="8">
        <v>2.4628000000000001</v>
      </c>
      <c r="CG174" s="8">
        <v>2.4940000000000002</v>
      </c>
      <c r="CH174" s="8">
        <v>2.5253000000000001</v>
      </c>
      <c r="CI174" s="8">
        <v>2.5568</v>
      </c>
      <c r="CJ174" s="8">
        <v>2.5884999999999998</v>
      </c>
      <c r="CK174" s="8">
        <v>2.6202000000000001</v>
      </c>
      <c r="CL174" s="8">
        <v>2.6520999999999999</v>
      </c>
      <c r="CM174" s="8">
        <v>2.6840999999999999</v>
      </c>
      <c r="CN174" s="8">
        <v>2.7162999999999999</v>
      </c>
      <c r="CO174" s="8">
        <v>2.7484999999999999</v>
      </c>
      <c r="CP174" s="8">
        <v>2.7808999999999999</v>
      </c>
      <c r="CQ174" s="8">
        <v>2.8132999999999999</v>
      </c>
      <c r="CR174" s="8">
        <v>2.8458000000000001</v>
      </c>
      <c r="CS174" s="8">
        <v>2.8784999999999998</v>
      </c>
      <c r="CT174" s="8">
        <v>2.9112</v>
      </c>
      <c r="CU174" s="8">
        <v>2.9439000000000002</v>
      </c>
      <c r="CV174" s="8">
        <v>2.9767000000000001</v>
      </c>
      <c r="CW174" s="8">
        <v>3.0095999999999998</v>
      </c>
      <c r="CX174" s="8">
        <v>3.0425</v>
      </c>
      <c r="CY174" s="8">
        <v>3.0754999999999999</v>
      </c>
      <c r="CZ174" s="8">
        <v>3.1084999999999998</v>
      </c>
      <c r="DA174" s="8">
        <v>3.1414</v>
      </c>
      <c r="DB174" s="8">
        <v>3.1743999999999999</v>
      </c>
      <c r="DC174" s="8">
        <v>3.2073999999999998</v>
      </c>
      <c r="DD174" s="8">
        <v>3.2404000000000002</v>
      </c>
      <c r="DE174" s="8">
        <v>3.2732999999999999</v>
      </c>
      <c r="DF174" s="8">
        <v>3.3062</v>
      </c>
      <c r="DG174" s="8">
        <v>3.339</v>
      </c>
      <c r="DH174" s="8">
        <v>3.3717999999999999</v>
      </c>
      <c r="DI174" s="8">
        <v>3.4045000000000001</v>
      </c>
      <c r="DJ174" s="8">
        <v>3.4371</v>
      </c>
      <c r="DK174" s="8">
        <v>3.4695999999999998</v>
      </c>
      <c r="DL174" s="8">
        <v>3.5019999999999998</v>
      </c>
      <c r="DM174" s="8">
        <v>3.5341999999999998</v>
      </c>
      <c r="DN174" s="8">
        <v>3.5663</v>
      </c>
      <c r="DO174" s="8">
        <v>3.5983000000000001</v>
      </c>
      <c r="DP174" s="8">
        <v>3.6301000000000001</v>
      </c>
      <c r="DQ174" s="8">
        <v>3.6617000000000002</v>
      </c>
      <c r="DR174" s="8">
        <v>3.6930999999999998</v>
      </c>
      <c r="DS174" s="8">
        <v>3.7244000000000002</v>
      </c>
      <c r="DT174" s="8">
        <v>3.7553999999999998</v>
      </c>
      <c r="DU174" s="8">
        <v>3.7862</v>
      </c>
      <c r="DV174" s="8">
        <v>3.8144</v>
      </c>
      <c r="DW174" s="8">
        <v>3.8342999999999998</v>
      </c>
      <c r="DX174" s="8">
        <v>3.8538000000000001</v>
      </c>
      <c r="DY174" s="8">
        <v>3.8732000000000002</v>
      </c>
      <c r="DZ174" s="8">
        <v>3.8921999999999999</v>
      </c>
      <c r="EA174" s="8">
        <v>3.9110999999999998</v>
      </c>
      <c r="EB174" s="8">
        <v>3.9297</v>
      </c>
      <c r="EC174" s="8">
        <v>3.9481000000000002</v>
      </c>
      <c r="ED174" s="8">
        <v>3.9664000000000001</v>
      </c>
      <c r="EE174" s="8">
        <v>3.9843999999999999</v>
      </c>
      <c r="EF174" s="8">
        <v>4.0023999999999997</v>
      </c>
      <c r="EG174" s="8">
        <v>4.0202</v>
      </c>
      <c r="EH174" s="8">
        <v>4.0380000000000003</v>
      </c>
      <c r="EI174" s="8">
        <v>4.0557999999999996</v>
      </c>
      <c r="EJ174" s="8">
        <v>4.0735000000000001</v>
      </c>
      <c r="EK174" s="8">
        <v>4.0913000000000004</v>
      </c>
      <c r="EL174" s="8">
        <v>4.1092000000000004</v>
      </c>
      <c r="EM174" s="8">
        <v>4.1272000000000002</v>
      </c>
      <c r="EN174" s="8">
        <v>4.1452999999999998</v>
      </c>
      <c r="EO174" s="8">
        <v>4.1637000000000004</v>
      </c>
      <c r="EP174" s="8">
        <v>4.1824000000000003</v>
      </c>
      <c r="EQ174" s="8">
        <v>4.2013999999999996</v>
      </c>
      <c r="ER174" s="8">
        <v>4.2206999999999999</v>
      </c>
      <c r="ES174" s="8">
        <v>4.2404999999999999</v>
      </c>
      <c r="ET174" s="8">
        <v>4.2606999999999999</v>
      </c>
      <c r="EU174" s="8">
        <v>4.2815000000000003</v>
      </c>
      <c r="EV174" s="8">
        <v>4.3029000000000002</v>
      </c>
      <c r="EW174" s="8">
        <v>4.3247999999999998</v>
      </c>
      <c r="EX174" s="8">
        <v>4.3475000000000001</v>
      </c>
      <c r="EY174" s="8">
        <v>4.3708999999999998</v>
      </c>
      <c r="EZ174" s="8">
        <v>4.3949999999999996</v>
      </c>
      <c r="FA174" s="8">
        <v>4.4199000000000002</v>
      </c>
      <c r="FB174" s="8">
        <v>4.4457000000000004</v>
      </c>
      <c r="FC174" s="106">
        <v>4.4722999999999997</v>
      </c>
      <c r="FE174" s="50">
        <f t="shared" ca="1" si="21"/>
        <v>3.8381952278984404</v>
      </c>
      <c r="FF174" s="50">
        <f t="shared" ca="1" si="22"/>
        <v>3.825711310477411</v>
      </c>
      <c r="FG174" s="50">
        <f t="shared" ca="1" si="23"/>
        <v>3.8122613422818792</v>
      </c>
      <c r="FH174" s="50">
        <f t="shared" ca="1" si="24"/>
        <v>3.7933351677852345</v>
      </c>
      <c r="FK174" s="50">
        <f t="shared" ca="1" si="20"/>
        <v>3.825711310477411</v>
      </c>
      <c r="FL174" s="50"/>
      <c r="FM174" s="50"/>
      <c r="FN174" s="50"/>
    </row>
    <row r="175" spans="48:170" hidden="1">
      <c r="AV175" s="69"/>
      <c r="AW175" s="104">
        <v>10.233000000000001</v>
      </c>
      <c r="AX175" s="8">
        <v>1.5033000000000001</v>
      </c>
      <c r="AY175" s="8">
        <v>1.5281</v>
      </c>
      <c r="AZ175" s="8">
        <v>1.5531999999999999</v>
      </c>
      <c r="BA175" s="8">
        <v>1.5784</v>
      </c>
      <c r="BB175" s="8">
        <v>1.6039000000000001</v>
      </c>
      <c r="BC175" s="8">
        <v>1.6295999999999999</v>
      </c>
      <c r="BD175" s="8">
        <v>1.6554</v>
      </c>
      <c r="BE175" s="8">
        <v>1.6815</v>
      </c>
      <c r="BF175" s="8">
        <v>1.7078</v>
      </c>
      <c r="BG175" s="8">
        <v>1.7342</v>
      </c>
      <c r="BH175" s="8">
        <v>1.7608999999999999</v>
      </c>
      <c r="BI175" s="8">
        <v>1.7878000000000001</v>
      </c>
      <c r="BJ175" s="8">
        <v>1.8148</v>
      </c>
      <c r="BK175" s="8">
        <v>1.8421000000000001</v>
      </c>
      <c r="BL175" s="8">
        <v>1.8694999999999999</v>
      </c>
      <c r="BM175" s="8">
        <v>1.8971</v>
      </c>
      <c r="BN175" s="8">
        <v>1.925</v>
      </c>
      <c r="BO175" s="8">
        <v>1.9530000000000001</v>
      </c>
      <c r="BP175" s="8">
        <v>1.9812000000000001</v>
      </c>
      <c r="BQ175" s="8">
        <v>2.0095999999999998</v>
      </c>
      <c r="BR175" s="8">
        <v>2.0381999999999998</v>
      </c>
      <c r="BS175" s="8">
        <v>2.0669</v>
      </c>
      <c r="BT175" s="8">
        <v>2.0958999999999999</v>
      </c>
      <c r="BU175" s="8">
        <v>2.125</v>
      </c>
      <c r="BV175" s="8">
        <v>2.1543000000000001</v>
      </c>
      <c r="BW175" s="8">
        <v>2.1838000000000002</v>
      </c>
      <c r="BX175" s="8">
        <v>2.2134999999999998</v>
      </c>
      <c r="BY175" s="8">
        <v>2.2433999999999998</v>
      </c>
      <c r="BZ175" s="8">
        <v>2.2734000000000001</v>
      </c>
      <c r="CA175" s="8">
        <v>2.3035999999999999</v>
      </c>
      <c r="CB175" s="8">
        <v>2.3338999999999999</v>
      </c>
      <c r="CC175" s="8">
        <v>2.3643999999999998</v>
      </c>
      <c r="CD175" s="8">
        <v>2.3950999999999998</v>
      </c>
      <c r="CE175" s="8">
        <v>2.4258999999999999</v>
      </c>
      <c r="CF175" s="8">
        <v>2.4569000000000001</v>
      </c>
      <c r="CG175" s="8">
        <v>2.4881000000000002</v>
      </c>
      <c r="CH175" s="8">
        <v>2.5192999999999999</v>
      </c>
      <c r="CI175" s="8">
        <v>2.5508000000000002</v>
      </c>
      <c r="CJ175" s="8">
        <v>2.5823</v>
      </c>
      <c r="CK175" s="8">
        <v>2.6139999999999999</v>
      </c>
      <c r="CL175" s="8">
        <v>2.6457999999999999</v>
      </c>
      <c r="CM175" s="8">
        <v>2.6778</v>
      </c>
      <c r="CN175" s="8">
        <v>2.7098</v>
      </c>
      <c r="CO175" s="8">
        <v>2.742</v>
      </c>
      <c r="CP175" s="8">
        <v>2.7743000000000002</v>
      </c>
      <c r="CQ175" s="8">
        <v>2.8066</v>
      </c>
      <c r="CR175" s="8">
        <v>2.8391000000000002</v>
      </c>
      <c r="CS175" s="8">
        <v>2.8715999999999999</v>
      </c>
      <c r="CT175" s="8">
        <v>2.9043000000000001</v>
      </c>
      <c r="CU175" s="8">
        <v>2.9369000000000001</v>
      </c>
      <c r="CV175" s="8">
        <v>2.9697</v>
      </c>
      <c r="CW175" s="8">
        <v>3.0024999999999999</v>
      </c>
      <c r="CX175" s="8">
        <v>3.0352999999999999</v>
      </c>
      <c r="CY175" s="8">
        <v>3.0682</v>
      </c>
      <c r="CZ175" s="8">
        <v>3.1011000000000002</v>
      </c>
      <c r="DA175" s="8">
        <v>3.1339999999999999</v>
      </c>
      <c r="DB175" s="8">
        <v>3.1669</v>
      </c>
      <c r="DC175" s="8">
        <v>3.1998000000000002</v>
      </c>
      <c r="DD175" s="8">
        <v>3.2326999999999999</v>
      </c>
      <c r="DE175" s="8">
        <v>3.2654999999999998</v>
      </c>
      <c r="DF175" s="8">
        <v>3.2982999999999998</v>
      </c>
      <c r="DG175" s="8">
        <v>3.3311000000000002</v>
      </c>
      <c r="DH175" s="8">
        <v>3.3637999999999999</v>
      </c>
      <c r="DI175" s="8">
        <v>3.3963999999999999</v>
      </c>
      <c r="DJ175" s="8">
        <v>3.4289000000000001</v>
      </c>
      <c r="DK175" s="8">
        <v>3.4613</v>
      </c>
      <c r="DL175" s="8">
        <v>3.4935999999999998</v>
      </c>
      <c r="DM175" s="8">
        <v>3.5257999999999998</v>
      </c>
      <c r="DN175" s="8">
        <v>3.5579000000000001</v>
      </c>
      <c r="DO175" s="8">
        <v>3.5897000000000001</v>
      </c>
      <c r="DP175" s="8">
        <v>3.6215000000000002</v>
      </c>
      <c r="DQ175" s="8">
        <v>3.653</v>
      </c>
      <c r="DR175" s="8">
        <v>3.6844000000000001</v>
      </c>
      <c r="DS175" s="8">
        <v>3.7155</v>
      </c>
      <c r="DT175" s="8">
        <v>3.7465000000000002</v>
      </c>
      <c r="DU175" s="8">
        <v>3.7772000000000001</v>
      </c>
      <c r="DV175" s="8">
        <v>3.8077000000000001</v>
      </c>
      <c r="DW175" s="8">
        <v>3.8342999999999998</v>
      </c>
      <c r="DX175" s="8">
        <v>3.8538000000000001</v>
      </c>
      <c r="DY175" s="8">
        <v>3.8732000000000002</v>
      </c>
      <c r="DZ175" s="8">
        <v>3.8921999999999999</v>
      </c>
      <c r="EA175" s="8">
        <v>3.9110999999999998</v>
      </c>
      <c r="EB175" s="8">
        <v>3.9297</v>
      </c>
      <c r="EC175" s="8">
        <v>3.9481000000000002</v>
      </c>
      <c r="ED175" s="8">
        <v>3.9664000000000001</v>
      </c>
      <c r="EE175" s="8">
        <v>3.9843999999999999</v>
      </c>
      <c r="EF175" s="8">
        <v>4.0023999999999997</v>
      </c>
      <c r="EG175" s="8">
        <v>4.0202</v>
      </c>
      <c r="EH175" s="8">
        <v>4.0380000000000003</v>
      </c>
      <c r="EI175" s="8">
        <v>4.0557999999999996</v>
      </c>
      <c r="EJ175" s="8">
        <v>4.0735000000000001</v>
      </c>
      <c r="EK175" s="8">
        <v>4.0913000000000004</v>
      </c>
      <c r="EL175" s="8">
        <v>4.1092000000000004</v>
      </c>
      <c r="EM175" s="8">
        <v>4.1272000000000002</v>
      </c>
      <c r="EN175" s="8">
        <v>4.1452999999999998</v>
      </c>
      <c r="EO175" s="8">
        <v>4.1637000000000004</v>
      </c>
      <c r="EP175" s="8">
        <v>4.1824000000000003</v>
      </c>
      <c r="EQ175" s="8">
        <v>4.2013999999999996</v>
      </c>
      <c r="ER175" s="8">
        <v>4.2206999999999999</v>
      </c>
      <c r="ES175" s="8">
        <v>4.2404999999999999</v>
      </c>
      <c r="ET175" s="8">
        <v>4.2606999999999999</v>
      </c>
      <c r="EU175" s="8">
        <v>4.2815000000000003</v>
      </c>
      <c r="EV175" s="8">
        <v>4.3029000000000002</v>
      </c>
      <c r="EW175" s="8">
        <v>4.3247999999999998</v>
      </c>
      <c r="EX175" s="8">
        <v>4.3475000000000001</v>
      </c>
      <c r="EY175" s="8">
        <v>4.3708999999999998</v>
      </c>
      <c r="EZ175" s="8">
        <v>4.3949999999999996</v>
      </c>
      <c r="FA175" s="8">
        <v>4.4199000000000002</v>
      </c>
      <c r="FB175" s="8">
        <v>4.4457000000000004</v>
      </c>
      <c r="FC175" s="106">
        <v>4.4722999999999997</v>
      </c>
      <c r="FE175" s="50">
        <f t="shared" ca="1" si="21"/>
        <v>3.8381952278984404</v>
      </c>
      <c r="FF175" s="50">
        <f t="shared" ca="1" si="22"/>
        <v>3.8228196411406601</v>
      </c>
      <c r="FG175" s="50">
        <f t="shared" ca="1" si="23"/>
        <v>3.8053869127516777</v>
      </c>
      <c r="FH175" s="50">
        <f t="shared" ca="1" si="24"/>
        <v>3.7849171140939597</v>
      </c>
      <c r="FK175" s="50">
        <f t="shared" ca="1" si="20"/>
        <v>3.8228196411406601</v>
      </c>
      <c r="FL175" s="50"/>
      <c r="FM175" s="50"/>
      <c r="FN175" s="50"/>
    </row>
    <row r="176" spans="48:170" hidden="1">
      <c r="AV176" s="69"/>
      <c r="AW176" s="104">
        <v>10.965</v>
      </c>
      <c r="AX176" s="8">
        <v>1.4997</v>
      </c>
      <c r="AY176" s="8">
        <v>1.5245</v>
      </c>
      <c r="AZ176" s="8">
        <v>1.5495000000000001</v>
      </c>
      <c r="BA176" s="8">
        <v>1.5747</v>
      </c>
      <c r="BB176" s="8">
        <v>1.6001000000000001</v>
      </c>
      <c r="BC176" s="8">
        <v>1.6257999999999999</v>
      </c>
      <c r="BD176" s="8">
        <v>1.6516</v>
      </c>
      <c r="BE176" s="8">
        <v>1.6776</v>
      </c>
      <c r="BF176" s="8">
        <v>1.7038</v>
      </c>
      <c r="BG176" s="8">
        <v>1.7302</v>
      </c>
      <c r="BH176" s="8">
        <v>1.7567999999999999</v>
      </c>
      <c r="BI176" s="8">
        <v>1.7836000000000001</v>
      </c>
      <c r="BJ176" s="8">
        <v>1.8105</v>
      </c>
      <c r="BK176" s="8">
        <v>1.8376999999999999</v>
      </c>
      <c r="BL176" s="8">
        <v>1.8651</v>
      </c>
      <c r="BM176" s="8">
        <v>1.8927</v>
      </c>
      <c r="BN176" s="8">
        <v>1.9204000000000001</v>
      </c>
      <c r="BO176" s="8">
        <v>1.9483999999999999</v>
      </c>
      <c r="BP176" s="8">
        <v>1.9764999999999999</v>
      </c>
      <c r="BQ176" s="8">
        <v>2.0049000000000001</v>
      </c>
      <c r="BR176" s="8">
        <v>2.0333999999999999</v>
      </c>
      <c r="BS176" s="8">
        <v>2.0621</v>
      </c>
      <c r="BT176" s="8">
        <v>2.0910000000000002</v>
      </c>
      <c r="BU176" s="8">
        <v>2.12</v>
      </c>
      <c r="BV176" s="8">
        <v>2.1493000000000002</v>
      </c>
      <c r="BW176" s="8">
        <v>2.1787000000000001</v>
      </c>
      <c r="BX176" s="8">
        <v>2.2082999999999999</v>
      </c>
      <c r="BY176" s="8">
        <v>2.2381000000000002</v>
      </c>
      <c r="BZ176" s="8">
        <v>2.2679999999999998</v>
      </c>
      <c r="CA176" s="8">
        <v>2.2982</v>
      </c>
      <c r="CB176" s="8">
        <v>2.3283999999999998</v>
      </c>
      <c r="CC176" s="8">
        <v>2.3589000000000002</v>
      </c>
      <c r="CD176" s="8">
        <v>2.3895</v>
      </c>
      <c r="CE176" s="8">
        <v>2.4201999999999999</v>
      </c>
      <c r="CF176" s="8">
        <v>2.4512</v>
      </c>
      <c r="CG176" s="8">
        <v>2.4822000000000002</v>
      </c>
      <c r="CH176" s="8">
        <v>2.5133999999999999</v>
      </c>
      <c r="CI176" s="8">
        <v>2.5448</v>
      </c>
      <c r="CJ176" s="8">
        <v>2.5762999999999998</v>
      </c>
      <c r="CK176" s="8">
        <v>2.6078999999999999</v>
      </c>
      <c r="CL176" s="8">
        <v>2.6396000000000002</v>
      </c>
      <c r="CM176" s="8">
        <v>2.6715</v>
      </c>
      <c r="CN176" s="8">
        <v>2.7035</v>
      </c>
      <c r="CO176" s="8">
        <v>2.7355999999999998</v>
      </c>
      <c r="CP176" s="8">
        <v>2.7677999999999998</v>
      </c>
      <c r="CQ176" s="8">
        <v>2.8</v>
      </c>
      <c r="CR176" s="8">
        <v>2.8323999999999998</v>
      </c>
      <c r="CS176" s="8">
        <v>2.8649</v>
      </c>
      <c r="CT176" s="8">
        <v>2.8974000000000002</v>
      </c>
      <c r="CU176" s="8">
        <v>2.93</v>
      </c>
      <c r="CV176" s="8">
        <v>2.9626999999999999</v>
      </c>
      <c r="CW176" s="8">
        <v>2.9954000000000001</v>
      </c>
      <c r="CX176" s="8">
        <v>3.0282</v>
      </c>
      <c r="CY176" s="8">
        <v>3.0609999999999999</v>
      </c>
      <c r="CZ176" s="8">
        <v>3.0937999999999999</v>
      </c>
      <c r="DA176" s="8">
        <v>3.1265999999999998</v>
      </c>
      <c r="DB176" s="8">
        <v>3.1595</v>
      </c>
      <c r="DC176" s="8">
        <v>3.1922999999999999</v>
      </c>
      <c r="DD176" s="8">
        <v>3.2250999999999999</v>
      </c>
      <c r="DE176" s="8">
        <v>3.2578999999999998</v>
      </c>
      <c r="DF176" s="8">
        <v>3.2906</v>
      </c>
      <c r="DG176" s="8">
        <v>3.3233000000000001</v>
      </c>
      <c r="DH176" s="8">
        <v>3.3559000000000001</v>
      </c>
      <c r="DI176" s="8">
        <v>3.3883999999999999</v>
      </c>
      <c r="DJ176" s="8">
        <v>3.4209000000000001</v>
      </c>
      <c r="DK176" s="8">
        <v>3.4531999999999998</v>
      </c>
      <c r="DL176" s="8">
        <v>3.4855</v>
      </c>
      <c r="DM176" s="8">
        <v>3.5175999999999998</v>
      </c>
      <c r="DN176" s="8">
        <v>3.5495000000000001</v>
      </c>
      <c r="DO176" s="8">
        <v>3.5813000000000001</v>
      </c>
      <c r="DP176" s="8">
        <v>3.613</v>
      </c>
      <c r="DQ176" s="8">
        <v>3.6444000000000001</v>
      </c>
      <c r="DR176" s="8">
        <v>3.6757</v>
      </c>
      <c r="DS176" s="8">
        <v>3.7067999999999999</v>
      </c>
      <c r="DT176" s="8">
        <v>3.7376999999999998</v>
      </c>
      <c r="DU176" s="8">
        <v>3.7684000000000002</v>
      </c>
      <c r="DV176" s="8">
        <v>3.7988</v>
      </c>
      <c r="DW176" s="8">
        <v>3.8290000000000002</v>
      </c>
      <c r="DX176" s="8">
        <v>3.8538000000000001</v>
      </c>
      <c r="DY176" s="8">
        <v>3.8732000000000002</v>
      </c>
      <c r="DZ176" s="8">
        <v>3.8921999999999999</v>
      </c>
      <c r="EA176" s="8">
        <v>3.9110999999999998</v>
      </c>
      <c r="EB176" s="8">
        <v>3.9297</v>
      </c>
      <c r="EC176" s="8">
        <v>3.9481000000000002</v>
      </c>
      <c r="ED176" s="8">
        <v>3.9664000000000001</v>
      </c>
      <c r="EE176" s="8">
        <v>3.9843999999999999</v>
      </c>
      <c r="EF176" s="8">
        <v>4.0023999999999997</v>
      </c>
      <c r="EG176" s="8">
        <v>4.0202</v>
      </c>
      <c r="EH176" s="8">
        <v>4.0380000000000003</v>
      </c>
      <c r="EI176" s="8">
        <v>4.0557999999999996</v>
      </c>
      <c r="EJ176" s="8">
        <v>4.0735000000000001</v>
      </c>
      <c r="EK176" s="8">
        <v>4.0913000000000004</v>
      </c>
      <c r="EL176" s="8">
        <v>4.1092000000000004</v>
      </c>
      <c r="EM176" s="8">
        <v>4.1272000000000002</v>
      </c>
      <c r="EN176" s="8">
        <v>4.1452999999999998</v>
      </c>
      <c r="EO176" s="8">
        <v>4.1637000000000004</v>
      </c>
      <c r="EP176" s="8">
        <v>4.1824000000000003</v>
      </c>
      <c r="EQ176" s="8">
        <v>4.2013999999999996</v>
      </c>
      <c r="ER176" s="8">
        <v>4.2206999999999999</v>
      </c>
      <c r="ES176" s="8">
        <v>4.2404999999999999</v>
      </c>
      <c r="ET176" s="8">
        <v>4.2606999999999999</v>
      </c>
      <c r="EU176" s="8">
        <v>4.2815000000000003</v>
      </c>
      <c r="EV176" s="8">
        <v>4.3029000000000002</v>
      </c>
      <c r="EW176" s="8">
        <v>4.3247999999999998</v>
      </c>
      <c r="EX176" s="8">
        <v>4.3475000000000001</v>
      </c>
      <c r="EY176" s="8">
        <v>4.3708999999999998</v>
      </c>
      <c r="EZ176" s="8">
        <v>4.3949999999999996</v>
      </c>
      <c r="FA176" s="8">
        <v>4.4199000000000002</v>
      </c>
      <c r="FB176" s="8">
        <v>4.4457000000000004</v>
      </c>
      <c r="FC176" s="106">
        <v>4.4722999999999997</v>
      </c>
      <c r="FE176" s="50">
        <f t="shared" ca="1" si="21"/>
        <v>3.8339539308657082</v>
      </c>
      <c r="FF176" s="50">
        <f t="shared" ca="1" si="22"/>
        <v>3.8159659083627044</v>
      </c>
      <c r="FG176" s="50">
        <f t="shared" ca="1" si="23"/>
        <v>3.7964944966442951</v>
      </c>
      <c r="FH176" s="50">
        <f t="shared" ca="1" si="24"/>
        <v>3.7760918120805367</v>
      </c>
      <c r="FK176" s="50">
        <f t="shared" ca="1" si="20"/>
        <v>3.8159659083627044</v>
      </c>
      <c r="FL176" s="50"/>
      <c r="FM176" s="50"/>
      <c r="FN176" s="50"/>
    </row>
    <row r="177" spans="48:170" hidden="1">
      <c r="AV177" s="69"/>
      <c r="AW177" s="104">
        <v>11.749000000000001</v>
      </c>
      <c r="AX177" s="8">
        <v>1.4962</v>
      </c>
      <c r="AY177" s="8">
        <v>1.5209999999999999</v>
      </c>
      <c r="AZ177" s="8">
        <v>1.5459000000000001</v>
      </c>
      <c r="BA177" s="8">
        <v>1.5710999999999999</v>
      </c>
      <c r="BB177" s="8">
        <v>1.5964</v>
      </c>
      <c r="BC177" s="8">
        <v>1.6220000000000001</v>
      </c>
      <c r="BD177" s="8">
        <v>1.6476999999999999</v>
      </c>
      <c r="BE177" s="8">
        <v>1.6737</v>
      </c>
      <c r="BF177" s="8">
        <v>1.6998</v>
      </c>
      <c r="BG177" s="8">
        <v>1.7261</v>
      </c>
      <c r="BH177" s="8">
        <v>1.7526999999999999</v>
      </c>
      <c r="BI177" s="8">
        <v>1.7794000000000001</v>
      </c>
      <c r="BJ177" s="8">
        <v>1.8063</v>
      </c>
      <c r="BK177" s="8">
        <v>1.8334999999999999</v>
      </c>
      <c r="BL177" s="8">
        <v>1.8608</v>
      </c>
      <c r="BM177" s="8">
        <v>1.8883000000000001</v>
      </c>
      <c r="BN177" s="8">
        <v>1.9159999999999999</v>
      </c>
      <c r="BO177" s="8">
        <v>1.9439</v>
      </c>
      <c r="BP177" s="8">
        <v>1.9719</v>
      </c>
      <c r="BQ177" s="8">
        <v>2.0002</v>
      </c>
      <c r="BR177" s="8">
        <v>2.0287000000000002</v>
      </c>
      <c r="BS177" s="8">
        <v>2.0573000000000001</v>
      </c>
      <c r="BT177" s="8">
        <v>2.0861000000000001</v>
      </c>
      <c r="BU177" s="8">
        <v>2.1151</v>
      </c>
      <c r="BV177" s="8">
        <v>2.1442999999999999</v>
      </c>
      <c r="BW177" s="8">
        <v>2.1737000000000002</v>
      </c>
      <c r="BX177" s="8">
        <v>2.2031999999999998</v>
      </c>
      <c r="BY177" s="8">
        <v>2.2328999999999999</v>
      </c>
      <c r="BZ177" s="8">
        <v>2.2627999999999999</v>
      </c>
      <c r="CA177" s="8">
        <v>2.2928000000000002</v>
      </c>
      <c r="CB177" s="8">
        <v>2.323</v>
      </c>
      <c r="CC177" s="8">
        <v>2.3534000000000002</v>
      </c>
      <c r="CD177" s="8">
        <v>2.3839000000000001</v>
      </c>
      <c r="CE177" s="8">
        <v>2.4146000000000001</v>
      </c>
      <c r="CF177" s="8">
        <v>2.4455</v>
      </c>
      <c r="CG177" s="8">
        <v>2.4765000000000001</v>
      </c>
      <c r="CH177" s="8">
        <v>2.5076000000000001</v>
      </c>
      <c r="CI177" s="8">
        <v>2.5388999999999999</v>
      </c>
      <c r="CJ177" s="8">
        <v>2.5703</v>
      </c>
      <c r="CK177" s="8">
        <v>2.6017999999999999</v>
      </c>
      <c r="CL177" s="8">
        <v>2.6335000000000002</v>
      </c>
      <c r="CM177" s="8">
        <v>2.6652999999999998</v>
      </c>
      <c r="CN177" s="8">
        <v>2.6972</v>
      </c>
      <c r="CO177" s="8">
        <v>2.7292000000000001</v>
      </c>
      <c r="CP177" s="8">
        <v>2.7612999999999999</v>
      </c>
      <c r="CQ177" s="8">
        <v>2.7934999999999999</v>
      </c>
      <c r="CR177" s="8">
        <v>2.8258999999999999</v>
      </c>
      <c r="CS177" s="8">
        <v>2.8582000000000001</v>
      </c>
      <c r="CT177" s="8">
        <v>2.8906999999999998</v>
      </c>
      <c r="CU177" s="8">
        <v>2.9232</v>
      </c>
      <c r="CV177" s="8">
        <v>2.9558</v>
      </c>
      <c r="CW177" s="8">
        <v>2.9885000000000002</v>
      </c>
      <c r="CX177" s="8">
        <v>3.0211999999999999</v>
      </c>
      <c r="CY177" s="8">
        <v>3.0539000000000001</v>
      </c>
      <c r="CZ177" s="8">
        <v>3.0865999999999998</v>
      </c>
      <c r="DA177" s="8">
        <v>3.1194000000000002</v>
      </c>
      <c r="DB177" s="8">
        <v>3.1520999999999999</v>
      </c>
      <c r="DC177" s="8">
        <v>3.1848999999999998</v>
      </c>
      <c r="DD177" s="8">
        <v>3.2176</v>
      </c>
      <c r="DE177" s="8">
        <v>3.2503000000000002</v>
      </c>
      <c r="DF177" s="8">
        <v>3.2829999999999999</v>
      </c>
      <c r="DG177" s="8">
        <v>3.3155999999999999</v>
      </c>
      <c r="DH177" s="8">
        <v>3.3481000000000001</v>
      </c>
      <c r="DI177" s="8">
        <v>3.3805999999999998</v>
      </c>
      <c r="DJ177" s="8">
        <v>3.4129</v>
      </c>
      <c r="DK177" s="8">
        <v>3.4451999999999998</v>
      </c>
      <c r="DL177" s="8">
        <v>3.4773999999999998</v>
      </c>
      <c r="DM177" s="8">
        <v>3.5093999999999999</v>
      </c>
      <c r="DN177" s="8">
        <v>3.5413000000000001</v>
      </c>
      <c r="DO177" s="8">
        <v>3.573</v>
      </c>
      <c r="DP177" s="8">
        <v>3.6046</v>
      </c>
      <c r="DQ177" s="8">
        <v>3.6360000000000001</v>
      </c>
      <c r="DR177" s="8">
        <v>3.6671999999999998</v>
      </c>
      <c r="DS177" s="8">
        <v>3.6981999999999999</v>
      </c>
      <c r="DT177" s="8">
        <v>3.7290000000000001</v>
      </c>
      <c r="DU177" s="8">
        <v>3.7595999999999998</v>
      </c>
      <c r="DV177" s="8">
        <v>3.79</v>
      </c>
      <c r="DW177" s="8">
        <v>3.8201000000000001</v>
      </c>
      <c r="DX177" s="8">
        <v>3.85</v>
      </c>
      <c r="DY177" s="8">
        <v>3.8732000000000002</v>
      </c>
      <c r="DZ177" s="8">
        <v>3.8921999999999999</v>
      </c>
      <c r="EA177" s="8">
        <v>3.9110999999999998</v>
      </c>
      <c r="EB177" s="8">
        <v>3.9297</v>
      </c>
      <c r="EC177" s="8">
        <v>3.9481000000000002</v>
      </c>
      <c r="ED177" s="8">
        <v>3.9664000000000001</v>
      </c>
      <c r="EE177" s="8">
        <v>3.9843999999999999</v>
      </c>
      <c r="EF177" s="8">
        <v>4.0023999999999997</v>
      </c>
      <c r="EG177" s="8">
        <v>4.0202</v>
      </c>
      <c r="EH177" s="8">
        <v>4.0380000000000003</v>
      </c>
      <c r="EI177" s="8">
        <v>4.0557999999999996</v>
      </c>
      <c r="EJ177" s="8">
        <v>4.0735000000000001</v>
      </c>
      <c r="EK177" s="8">
        <v>4.0913000000000004</v>
      </c>
      <c r="EL177" s="8">
        <v>4.1092000000000004</v>
      </c>
      <c r="EM177" s="8">
        <v>4.1272000000000002</v>
      </c>
      <c r="EN177" s="8">
        <v>4.1452999999999998</v>
      </c>
      <c r="EO177" s="8">
        <v>4.1637000000000004</v>
      </c>
      <c r="EP177" s="8">
        <v>4.1824000000000003</v>
      </c>
      <c r="EQ177" s="8">
        <v>4.2013999999999996</v>
      </c>
      <c r="ER177" s="8">
        <v>4.2206999999999999</v>
      </c>
      <c r="ES177" s="8">
        <v>4.2404999999999999</v>
      </c>
      <c r="ET177" s="8">
        <v>4.2606999999999999</v>
      </c>
      <c r="EU177" s="8">
        <v>4.2815000000000003</v>
      </c>
      <c r="EV177" s="8">
        <v>4.3029000000000002</v>
      </c>
      <c r="EW177" s="8">
        <v>4.3247999999999998</v>
      </c>
      <c r="EX177" s="8">
        <v>4.3475000000000001</v>
      </c>
      <c r="EY177" s="8">
        <v>4.3708999999999998</v>
      </c>
      <c r="EZ177" s="8">
        <v>4.3949999999999996</v>
      </c>
      <c r="FA177" s="8">
        <v>4.4199000000000002</v>
      </c>
      <c r="FB177" s="8">
        <v>4.4457000000000004</v>
      </c>
      <c r="FC177" s="106">
        <v>4.4722999999999997</v>
      </c>
      <c r="FE177" s="50">
        <f t="shared" ca="1" si="21"/>
        <v>3.8260726827776077</v>
      </c>
      <c r="FF177" s="50">
        <f t="shared" ca="1" si="22"/>
        <v>3.8071090676065369</v>
      </c>
      <c r="FG177" s="50">
        <f t="shared" ca="1" si="23"/>
        <v>3.7876944966442956</v>
      </c>
      <c r="FH177" s="50">
        <f t="shared" ca="1" si="24"/>
        <v>3.7672918120805368</v>
      </c>
      <c r="FK177" s="50">
        <f t="shared" ca="1" si="20"/>
        <v>3.8071090676065369</v>
      </c>
      <c r="FL177" s="50"/>
      <c r="FM177" s="50"/>
      <c r="FN177" s="50"/>
    </row>
    <row r="178" spans="48:170" hidden="1">
      <c r="AV178" s="69"/>
      <c r="AW178" s="104">
        <v>12.589</v>
      </c>
      <c r="AX178" s="8">
        <v>1.4927999999999999</v>
      </c>
      <c r="AY178" s="8">
        <v>1.5175000000000001</v>
      </c>
      <c r="AZ178" s="8">
        <v>1.5424</v>
      </c>
      <c r="BA178" s="8">
        <v>1.5674999999999999</v>
      </c>
      <c r="BB178" s="8">
        <v>1.5928</v>
      </c>
      <c r="BC178" s="8">
        <v>1.6182000000000001</v>
      </c>
      <c r="BD178" s="8">
        <v>1.6438999999999999</v>
      </c>
      <c r="BE178" s="8">
        <v>1.6698</v>
      </c>
      <c r="BF178" s="8">
        <v>1.6959</v>
      </c>
      <c r="BG178" s="8">
        <v>1.7222</v>
      </c>
      <c r="BH178" s="8">
        <v>1.7486999999999999</v>
      </c>
      <c r="BI178" s="8">
        <v>1.7753000000000001</v>
      </c>
      <c r="BJ178" s="8">
        <v>1.8022</v>
      </c>
      <c r="BK178" s="8">
        <v>1.8291999999999999</v>
      </c>
      <c r="BL178" s="8">
        <v>1.8565</v>
      </c>
      <c r="BM178" s="8">
        <v>1.8838999999999999</v>
      </c>
      <c r="BN178" s="8">
        <v>1.9116</v>
      </c>
      <c r="BO178" s="8">
        <v>1.9394</v>
      </c>
      <c r="BP178" s="8">
        <v>1.9674</v>
      </c>
      <c r="BQ178" s="8">
        <v>1.9956</v>
      </c>
      <c r="BR178" s="8">
        <v>2.024</v>
      </c>
      <c r="BS178" s="8">
        <v>2.0526</v>
      </c>
      <c r="BT178" s="8">
        <v>2.0813000000000001</v>
      </c>
      <c r="BU178" s="8">
        <v>2.1103000000000001</v>
      </c>
      <c r="BV178" s="8">
        <v>2.1394000000000002</v>
      </c>
      <c r="BW178" s="8">
        <v>2.1686999999999999</v>
      </c>
      <c r="BX178" s="8">
        <v>2.1981000000000002</v>
      </c>
      <c r="BY178" s="8">
        <v>2.2277999999999998</v>
      </c>
      <c r="BZ178" s="8">
        <v>2.2576000000000001</v>
      </c>
      <c r="CA178" s="8">
        <v>2.2875999999999999</v>
      </c>
      <c r="CB178" s="8">
        <v>2.3176999999999999</v>
      </c>
      <c r="CC178" s="8">
        <v>2.3479999999999999</v>
      </c>
      <c r="CD178" s="8">
        <v>2.3784999999999998</v>
      </c>
      <c r="CE178" s="8">
        <v>2.4091</v>
      </c>
      <c r="CF178" s="8">
        <v>2.4399000000000002</v>
      </c>
      <c r="CG178" s="8">
        <v>2.4708000000000001</v>
      </c>
      <c r="CH178" s="8">
        <v>2.5017999999999998</v>
      </c>
      <c r="CI178" s="8">
        <v>2.5329999999999999</v>
      </c>
      <c r="CJ178" s="8">
        <v>2.5644</v>
      </c>
      <c r="CK178" s="8">
        <v>2.5958000000000001</v>
      </c>
      <c r="CL178" s="8">
        <v>2.6274000000000002</v>
      </c>
      <c r="CM178" s="8">
        <v>2.6591999999999998</v>
      </c>
      <c r="CN178" s="8">
        <v>2.6909999999999998</v>
      </c>
      <c r="CO178" s="8">
        <v>2.7229000000000001</v>
      </c>
      <c r="CP178" s="8">
        <v>2.7549999999999999</v>
      </c>
      <c r="CQ178" s="8">
        <v>2.7871000000000001</v>
      </c>
      <c r="CR178" s="8">
        <v>2.8193999999999999</v>
      </c>
      <c r="CS178" s="8">
        <v>2.8517000000000001</v>
      </c>
      <c r="CT178" s="8">
        <v>2.8841000000000001</v>
      </c>
      <c r="CU178" s="8">
        <v>2.9165000000000001</v>
      </c>
      <c r="CV178" s="8">
        <v>2.9489999999999998</v>
      </c>
      <c r="CW178" s="8">
        <v>2.9815999999999998</v>
      </c>
      <c r="CX178" s="8">
        <v>3.0142000000000002</v>
      </c>
      <c r="CY178" s="8">
        <v>3.0468999999999999</v>
      </c>
      <c r="CZ178" s="8">
        <v>3.0794999999999999</v>
      </c>
      <c r="DA178" s="8">
        <v>3.1122000000000001</v>
      </c>
      <c r="DB178" s="8">
        <v>3.1448999999999998</v>
      </c>
      <c r="DC178" s="8">
        <v>3.1776</v>
      </c>
      <c r="DD178" s="8">
        <v>3.2101999999999999</v>
      </c>
      <c r="DE178" s="8">
        <v>3.2427999999999999</v>
      </c>
      <c r="DF178" s="8">
        <v>3.2753999999999999</v>
      </c>
      <c r="DG178" s="8">
        <v>3.3079000000000001</v>
      </c>
      <c r="DH178" s="8">
        <v>3.3403999999999998</v>
      </c>
      <c r="DI178" s="8">
        <v>3.3727999999999998</v>
      </c>
      <c r="DJ178" s="8">
        <v>3.4051</v>
      </c>
      <c r="DK178" s="8">
        <v>3.4373</v>
      </c>
      <c r="DL178" s="8">
        <v>3.4693999999999998</v>
      </c>
      <c r="DM178" s="8">
        <v>3.5013000000000001</v>
      </c>
      <c r="DN178" s="8">
        <v>3.5331000000000001</v>
      </c>
      <c r="DO178" s="8">
        <v>3.5648</v>
      </c>
      <c r="DP178" s="8">
        <v>3.5962999999999998</v>
      </c>
      <c r="DQ178" s="8">
        <v>3.6276000000000002</v>
      </c>
      <c r="DR178" s="8">
        <v>3.6587999999999998</v>
      </c>
      <c r="DS178" s="8">
        <v>3.6897000000000002</v>
      </c>
      <c r="DT178" s="8">
        <v>3.7204000000000002</v>
      </c>
      <c r="DU178" s="8">
        <v>3.7509999999999999</v>
      </c>
      <c r="DV178" s="8">
        <v>3.7812999999999999</v>
      </c>
      <c r="DW178" s="8">
        <v>3.8113000000000001</v>
      </c>
      <c r="DX178" s="8">
        <v>3.8412000000000002</v>
      </c>
      <c r="DY178" s="8">
        <v>3.8708</v>
      </c>
      <c r="DZ178" s="8">
        <v>3.8921999999999999</v>
      </c>
      <c r="EA178" s="8">
        <v>3.9110999999999998</v>
      </c>
      <c r="EB178" s="8">
        <v>3.9297</v>
      </c>
      <c r="EC178" s="8">
        <v>3.9481000000000002</v>
      </c>
      <c r="ED178" s="8">
        <v>3.9664000000000001</v>
      </c>
      <c r="EE178" s="8">
        <v>3.9843999999999999</v>
      </c>
      <c r="EF178" s="8">
        <v>4.0023999999999997</v>
      </c>
      <c r="EG178" s="8">
        <v>4.0202</v>
      </c>
      <c r="EH178" s="8">
        <v>4.0380000000000003</v>
      </c>
      <c r="EI178" s="8">
        <v>4.0557999999999996</v>
      </c>
      <c r="EJ178" s="8">
        <v>4.0735000000000001</v>
      </c>
      <c r="EK178" s="8">
        <v>4.0913000000000004</v>
      </c>
      <c r="EL178" s="8">
        <v>4.1092000000000004</v>
      </c>
      <c r="EM178" s="8">
        <v>4.1272000000000002</v>
      </c>
      <c r="EN178" s="8">
        <v>4.1452999999999998</v>
      </c>
      <c r="EO178" s="8">
        <v>4.1637000000000004</v>
      </c>
      <c r="EP178" s="8">
        <v>4.1824000000000003</v>
      </c>
      <c r="EQ178" s="8">
        <v>4.2013999999999996</v>
      </c>
      <c r="ER178" s="8">
        <v>4.2206999999999999</v>
      </c>
      <c r="ES178" s="8">
        <v>4.2404999999999999</v>
      </c>
      <c r="ET178" s="8">
        <v>4.2606999999999999</v>
      </c>
      <c r="EU178" s="8">
        <v>4.2815000000000003</v>
      </c>
      <c r="EV178" s="8">
        <v>4.3029000000000002</v>
      </c>
      <c r="EW178" s="8">
        <v>4.3247999999999998</v>
      </c>
      <c r="EX178" s="8">
        <v>4.3475000000000001</v>
      </c>
      <c r="EY178" s="8">
        <v>4.3708999999999998</v>
      </c>
      <c r="EZ178" s="8">
        <v>4.3949999999999996</v>
      </c>
      <c r="FA178" s="8">
        <v>4.4199000000000002</v>
      </c>
      <c r="FB178" s="8">
        <v>4.4457000000000004</v>
      </c>
      <c r="FC178" s="106">
        <v>4.4722999999999997</v>
      </c>
      <c r="FE178" s="50">
        <f t="shared" ca="1" si="21"/>
        <v>3.8172726827776078</v>
      </c>
      <c r="FF178" s="50">
        <f t="shared" ca="1" si="22"/>
        <v>3.7983522268503687</v>
      </c>
      <c r="FG178" s="50">
        <f t="shared" ca="1" si="23"/>
        <v>3.7790020805369124</v>
      </c>
      <c r="FH178" s="50">
        <f t="shared" ca="1" si="24"/>
        <v>3.7586665100671137</v>
      </c>
      <c r="FK178" s="50">
        <f t="shared" ca="1" si="20"/>
        <v>3.7983522268503687</v>
      </c>
      <c r="FL178" s="50"/>
      <c r="FM178" s="50"/>
      <c r="FN178" s="50"/>
    </row>
    <row r="179" spans="48:170" hidden="1">
      <c r="AV179" s="69"/>
      <c r="AW179" s="104">
        <v>13.49</v>
      </c>
      <c r="AX179" s="8">
        <v>1.4894000000000001</v>
      </c>
      <c r="AY179" s="8">
        <v>1.514</v>
      </c>
      <c r="AZ179" s="8">
        <v>1.5388999999999999</v>
      </c>
      <c r="BA179" s="8">
        <v>1.5639000000000001</v>
      </c>
      <c r="BB179" s="8">
        <v>1.5891</v>
      </c>
      <c r="BC179" s="8">
        <v>1.6146</v>
      </c>
      <c r="BD179" s="8">
        <v>1.6402000000000001</v>
      </c>
      <c r="BE179" s="8">
        <v>1.6659999999999999</v>
      </c>
      <c r="BF179" s="8">
        <v>1.6919999999999999</v>
      </c>
      <c r="BG179" s="8">
        <v>1.7182999999999999</v>
      </c>
      <c r="BH179" s="8">
        <v>1.7446999999999999</v>
      </c>
      <c r="BI179" s="8">
        <v>1.7713000000000001</v>
      </c>
      <c r="BJ179" s="8">
        <v>1.7981</v>
      </c>
      <c r="BK179" s="8">
        <v>1.8250999999999999</v>
      </c>
      <c r="BL179" s="8">
        <v>1.8523000000000001</v>
      </c>
      <c r="BM179" s="8">
        <v>1.8796999999999999</v>
      </c>
      <c r="BN179" s="8">
        <v>1.9072</v>
      </c>
      <c r="BO179" s="8">
        <v>1.9350000000000001</v>
      </c>
      <c r="BP179" s="8">
        <v>1.9629000000000001</v>
      </c>
      <c r="BQ179" s="8">
        <v>1.9911000000000001</v>
      </c>
      <c r="BR179" s="8">
        <v>2.0194000000000001</v>
      </c>
      <c r="BS179" s="8">
        <v>2.0478999999999998</v>
      </c>
      <c r="BT179" s="8">
        <v>2.0766</v>
      </c>
      <c r="BU179" s="8">
        <v>2.1055000000000001</v>
      </c>
      <c r="BV179" s="8">
        <v>2.1345000000000001</v>
      </c>
      <c r="BW179" s="8">
        <v>2.1637</v>
      </c>
      <c r="BX179" s="8">
        <v>2.1930999999999998</v>
      </c>
      <c r="BY179" s="8">
        <v>2.2227000000000001</v>
      </c>
      <c r="BZ179" s="8">
        <v>2.2524000000000002</v>
      </c>
      <c r="CA179" s="8">
        <v>2.2823000000000002</v>
      </c>
      <c r="CB179" s="8">
        <v>2.3123999999999998</v>
      </c>
      <c r="CC179" s="8">
        <v>2.3426999999999998</v>
      </c>
      <c r="CD179" s="8">
        <v>2.3731</v>
      </c>
      <c r="CE179" s="8">
        <v>2.4036</v>
      </c>
      <c r="CF179" s="8">
        <v>2.4342999999999999</v>
      </c>
      <c r="CG179" s="8">
        <v>2.4651999999999998</v>
      </c>
      <c r="CH179" s="8">
        <v>2.4961000000000002</v>
      </c>
      <c r="CI179" s="8">
        <v>2.5272999999999999</v>
      </c>
      <c r="CJ179" s="8">
        <v>2.5585</v>
      </c>
      <c r="CK179" s="8">
        <v>2.5899000000000001</v>
      </c>
      <c r="CL179" s="8">
        <v>2.6215000000000002</v>
      </c>
      <c r="CM179" s="8">
        <v>2.6530999999999998</v>
      </c>
      <c r="CN179" s="8">
        <v>2.6848999999999998</v>
      </c>
      <c r="CO179" s="8">
        <v>2.7166999999999999</v>
      </c>
      <c r="CP179" s="8">
        <v>2.7486999999999999</v>
      </c>
      <c r="CQ179" s="8">
        <v>2.7808000000000002</v>
      </c>
      <c r="CR179" s="8">
        <v>2.8129</v>
      </c>
      <c r="CS179" s="8">
        <v>2.8452000000000002</v>
      </c>
      <c r="CT179" s="8">
        <v>2.8774999999999999</v>
      </c>
      <c r="CU179" s="8">
        <v>2.9098999999999999</v>
      </c>
      <c r="CV179" s="8">
        <v>2.9422999999999999</v>
      </c>
      <c r="CW179" s="8">
        <v>2.9748000000000001</v>
      </c>
      <c r="CX179" s="8">
        <v>3.0074000000000001</v>
      </c>
      <c r="CY179" s="8">
        <v>3.0398999999999998</v>
      </c>
      <c r="CZ179" s="8">
        <v>3.0724999999999998</v>
      </c>
      <c r="DA179" s="8">
        <v>3.1051000000000002</v>
      </c>
      <c r="DB179" s="8">
        <v>3.1377000000000002</v>
      </c>
      <c r="DC179" s="8">
        <v>3.1703000000000001</v>
      </c>
      <c r="DD179" s="8">
        <v>3.2029000000000001</v>
      </c>
      <c r="DE179" s="8">
        <v>3.2355</v>
      </c>
      <c r="DF179" s="8">
        <v>3.2679999999999998</v>
      </c>
      <c r="DG179" s="8">
        <v>3.3003999999999998</v>
      </c>
      <c r="DH179" s="8">
        <v>3.3328000000000002</v>
      </c>
      <c r="DI179" s="8">
        <v>3.3651</v>
      </c>
      <c r="DJ179" s="8">
        <v>3.3974000000000002</v>
      </c>
      <c r="DK179" s="8">
        <v>3.4295</v>
      </c>
      <c r="DL179" s="8">
        <v>3.4615</v>
      </c>
      <c r="DM179" s="8">
        <v>3.4933999999999998</v>
      </c>
      <c r="DN179" s="8">
        <v>3.5251000000000001</v>
      </c>
      <c r="DO179" s="8">
        <v>3.5567000000000002</v>
      </c>
      <c r="DP179" s="8">
        <v>3.5880999999999998</v>
      </c>
      <c r="DQ179" s="8">
        <v>3.6194000000000002</v>
      </c>
      <c r="DR179" s="8">
        <v>3.6503999999999999</v>
      </c>
      <c r="DS179" s="8">
        <v>3.6812999999999998</v>
      </c>
      <c r="DT179" s="8">
        <v>3.7120000000000002</v>
      </c>
      <c r="DU179" s="8">
        <v>3.7423999999999999</v>
      </c>
      <c r="DV179" s="8">
        <v>3.7726999999999999</v>
      </c>
      <c r="DW179" s="8">
        <v>3.8027000000000002</v>
      </c>
      <c r="DX179" s="8">
        <v>3.8323999999999998</v>
      </c>
      <c r="DY179" s="8">
        <v>3.8620000000000001</v>
      </c>
      <c r="DZ179" s="8">
        <v>3.8913000000000002</v>
      </c>
      <c r="EA179" s="8">
        <v>3.9110999999999998</v>
      </c>
      <c r="EB179" s="8">
        <v>3.9297</v>
      </c>
      <c r="EC179" s="8">
        <v>3.9481000000000002</v>
      </c>
      <c r="ED179" s="8">
        <v>3.9664000000000001</v>
      </c>
      <c r="EE179" s="8">
        <v>3.9843999999999999</v>
      </c>
      <c r="EF179" s="8">
        <v>4.0023999999999997</v>
      </c>
      <c r="EG179" s="8">
        <v>4.0202</v>
      </c>
      <c r="EH179" s="8">
        <v>4.0380000000000003</v>
      </c>
      <c r="EI179" s="8">
        <v>4.0557999999999996</v>
      </c>
      <c r="EJ179" s="8">
        <v>4.0735000000000001</v>
      </c>
      <c r="EK179" s="8">
        <v>4.0913000000000004</v>
      </c>
      <c r="EL179" s="8">
        <v>4.1092000000000004</v>
      </c>
      <c r="EM179" s="8">
        <v>4.1272000000000002</v>
      </c>
      <c r="EN179" s="8">
        <v>4.1452999999999998</v>
      </c>
      <c r="EO179" s="8">
        <v>4.1637000000000004</v>
      </c>
      <c r="EP179" s="8">
        <v>4.1824000000000003</v>
      </c>
      <c r="EQ179" s="8">
        <v>4.2013999999999996</v>
      </c>
      <c r="ER179" s="8">
        <v>4.2206999999999999</v>
      </c>
      <c r="ES179" s="8">
        <v>4.2404999999999999</v>
      </c>
      <c r="ET179" s="8">
        <v>4.2606999999999999</v>
      </c>
      <c r="EU179" s="8">
        <v>4.2815000000000003</v>
      </c>
      <c r="EV179" s="8">
        <v>4.3029000000000002</v>
      </c>
      <c r="EW179" s="8">
        <v>4.3247999999999998</v>
      </c>
      <c r="EX179" s="8">
        <v>4.3475000000000001</v>
      </c>
      <c r="EY179" s="8">
        <v>4.3708999999999998</v>
      </c>
      <c r="EZ179" s="8">
        <v>4.3949999999999996</v>
      </c>
      <c r="FA179" s="8">
        <v>4.4199000000000002</v>
      </c>
      <c r="FB179" s="8">
        <v>4.4457000000000004</v>
      </c>
      <c r="FC179" s="106">
        <v>4.4722999999999997</v>
      </c>
      <c r="FE179" s="50">
        <f t="shared" ca="1" si="21"/>
        <v>3.808632731722239</v>
      </c>
      <c r="FF179" s="50">
        <f t="shared" ca="1" si="22"/>
        <v>3.7897522268503687</v>
      </c>
      <c r="FG179" s="50">
        <f t="shared" ca="1" si="23"/>
        <v>3.7704020805369129</v>
      </c>
      <c r="FH179" s="50">
        <f t="shared" ca="1" si="24"/>
        <v>3.7500665100671142</v>
      </c>
      <c r="FK179" s="50">
        <f t="shared" ca="1" si="20"/>
        <v>3.7897522268503687</v>
      </c>
      <c r="FL179" s="50"/>
      <c r="FM179" s="50"/>
      <c r="FN179" s="50"/>
    </row>
    <row r="180" spans="48:170" hidden="1">
      <c r="AV180" s="69"/>
      <c r="AW180" s="104">
        <v>14.454000000000001</v>
      </c>
      <c r="AX180" s="8">
        <v>1.4861</v>
      </c>
      <c r="AY180" s="8">
        <v>1.5105999999999999</v>
      </c>
      <c r="AZ180" s="8">
        <v>1.5354000000000001</v>
      </c>
      <c r="BA180" s="8">
        <v>1.5604</v>
      </c>
      <c r="BB180" s="8">
        <v>1.5855999999999999</v>
      </c>
      <c r="BC180" s="8">
        <v>1.6109</v>
      </c>
      <c r="BD180" s="8">
        <v>1.6365000000000001</v>
      </c>
      <c r="BE180" s="8">
        <v>1.6623000000000001</v>
      </c>
      <c r="BF180" s="8">
        <v>1.6881999999999999</v>
      </c>
      <c r="BG180" s="8">
        <v>1.7143999999999999</v>
      </c>
      <c r="BH180" s="8">
        <v>1.7407999999999999</v>
      </c>
      <c r="BI180" s="8">
        <v>1.7673000000000001</v>
      </c>
      <c r="BJ180" s="8">
        <v>1.794</v>
      </c>
      <c r="BK180" s="8">
        <v>1.821</v>
      </c>
      <c r="BL180" s="8">
        <v>1.8481000000000001</v>
      </c>
      <c r="BM180" s="8">
        <v>1.8754</v>
      </c>
      <c r="BN180" s="8">
        <v>1.9029</v>
      </c>
      <c r="BO180" s="8">
        <v>1.9306000000000001</v>
      </c>
      <c r="BP180" s="8">
        <v>1.9584999999999999</v>
      </c>
      <c r="BQ180" s="8">
        <v>1.9865999999999999</v>
      </c>
      <c r="BR180" s="8">
        <v>2.0148999999999999</v>
      </c>
      <c r="BS180" s="8">
        <v>2.0432999999999999</v>
      </c>
      <c r="BT180" s="8">
        <v>2.0718999999999999</v>
      </c>
      <c r="BU180" s="8">
        <v>2.1006999999999998</v>
      </c>
      <c r="BV180" s="8">
        <v>2.1297000000000001</v>
      </c>
      <c r="BW180" s="8">
        <v>2.1589</v>
      </c>
      <c r="BX180" s="8">
        <v>2.1882000000000001</v>
      </c>
      <c r="BY180" s="8">
        <v>2.2176999999999998</v>
      </c>
      <c r="BZ180" s="8">
        <v>2.2473999999999998</v>
      </c>
      <c r="CA180" s="8">
        <v>2.2772000000000001</v>
      </c>
      <c r="CB180" s="8">
        <v>2.3071999999999999</v>
      </c>
      <c r="CC180" s="8">
        <v>2.3374000000000001</v>
      </c>
      <c r="CD180" s="8">
        <v>2.3677000000000001</v>
      </c>
      <c r="CE180" s="8">
        <v>2.3982000000000001</v>
      </c>
      <c r="CF180" s="8">
        <v>2.4287999999999998</v>
      </c>
      <c r="CG180" s="8">
        <v>2.4596</v>
      </c>
      <c r="CH180" s="8">
        <v>2.4904999999999999</v>
      </c>
      <c r="CI180" s="8">
        <v>2.5215999999999998</v>
      </c>
      <c r="CJ180" s="8">
        <v>2.5528</v>
      </c>
      <c r="CK180" s="8">
        <v>2.5840999999999998</v>
      </c>
      <c r="CL180" s="8">
        <v>2.6156000000000001</v>
      </c>
      <c r="CM180" s="8">
        <v>2.6471</v>
      </c>
      <c r="CN180" s="8">
        <v>2.6787999999999998</v>
      </c>
      <c r="CO180" s="8">
        <v>2.7105999999999999</v>
      </c>
      <c r="CP180" s="8">
        <v>2.7425000000000002</v>
      </c>
      <c r="CQ180" s="8">
        <v>2.7745000000000002</v>
      </c>
      <c r="CR180" s="8">
        <v>2.8066</v>
      </c>
      <c r="CS180" s="8">
        <v>2.8388</v>
      </c>
      <c r="CT180" s="8">
        <v>2.871</v>
      </c>
      <c r="CU180" s="8">
        <v>2.9033000000000002</v>
      </c>
      <c r="CV180" s="8">
        <v>2.9357000000000002</v>
      </c>
      <c r="CW180" s="8">
        <v>2.9681000000000002</v>
      </c>
      <c r="CX180" s="8">
        <v>3.0005999999999999</v>
      </c>
      <c r="CY180" s="8">
        <v>3.0331000000000001</v>
      </c>
      <c r="CZ180" s="8">
        <v>3.0655999999999999</v>
      </c>
      <c r="DA180" s="8">
        <v>3.0981000000000001</v>
      </c>
      <c r="DB180" s="8">
        <v>3.1307</v>
      </c>
      <c r="DC180" s="8">
        <v>3.1631999999999998</v>
      </c>
      <c r="DD180" s="8">
        <v>3.1957</v>
      </c>
      <c r="DE180" s="8">
        <v>3.2282000000000002</v>
      </c>
      <c r="DF180" s="8">
        <v>3.2606000000000002</v>
      </c>
      <c r="DG180" s="8">
        <v>3.2930000000000001</v>
      </c>
      <c r="DH180" s="8">
        <v>3.3252999999999999</v>
      </c>
      <c r="DI180" s="8">
        <v>3.3576000000000001</v>
      </c>
      <c r="DJ180" s="8">
        <v>3.3896999999999999</v>
      </c>
      <c r="DK180" s="8">
        <v>3.4218000000000002</v>
      </c>
      <c r="DL180" s="8">
        <v>3.4537</v>
      </c>
      <c r="DM180" s="8">
        <v>3.4855</v>
      </c>
      <c r="DN180" s="8">
        <v>3.5171999999999999</v>
      </c>
      <c r="DO180" s="8">
        <v>3.5487000000000002</v>
      </c>
      <c r="DP180" s="8">
        <v>3.58</v>
      </c>
      <c r="DQ180" s="8">
        <v>3.6112000000000002</v>
      </c>
      <c r="DR180" s="8">
        <v>3.6421999999999999</v>
      </c>
      <c r="DS180" s="8">
        <v>3.673</v>
      </c>
      <c r="DT180" s="8">
        <v>3.7035999999999998</v>
      </c>
      <c r="DU180" s="8">
        <v>3.734</v>
      </c>
      <c r="DV180" s="8">
        <v>3.7642000000000002</v>
      </c>
      <c r="DW180" s="8">
        <v>3.7940999999999998</v>
      </c>
      <c r="DX180" s="8">
        <v>3.8237999999999999</v>
      </c>
      <c r="DY180" s="8">
        <v>3.8532999999999999</v>
      </c>
      <c r="DZ180" s="8">
        <v>3.8824999999999998</v>
      </c>
      <c r="EA180" s="8">
        <v>3.9110999999999998</v>
      </c>
      <c r="EB180" s="8">
        <v>3.9297</v>
      </c>
      <c r="EC180" s="8">
        <v>3.9481000000000002</v>
      </c>
      <c r="ED180" s="8">
        <v>3.9664000000000001</v>
      </c>
      <c r="EE180" s="8">
        <v>3.9843999999999999</v>
      </c>
      <c r="EF180" s="8">
        <v>4.0023999999999997</v>
      </c>
      <c r="EG180" s="8">
        <v>4.0202</v>
      </c>
      <c r="EH180" s="8">
        <v>4.0380000000000003</v>
      </c>
      <c r="EI180" s="8">
        <v>4.0557999999999996</v>
      </c>
      <c r="EJ180" s="8">
        <v>4.0735000000000001</v>
      </c>
      <c r="EK180" s="8">
        <v>4.0913000000000004</v>
      </c>
      <c r="EL180" s="8">
        <v>4.1092000000000004</v>
      </c>
      <c r="EM180" s="8">
        <v>4.1272000000000002</v>
      </c>
      <c r="EN180" s="8">
        <v>4.1452999999999998</v>
      </c>
      <c r="EO180" s="8">
        <v>4.1637000000000004</v>
      </c>
      <c r="EP180" s="8">
        <v>4.1824000000000003</v>
      </c>
      <c r="EQ180" s="8">
        <v>4.2013999999999996</v>
      </c>
      <c r="ER180" s="8">
        <v>4.2206999999999999</v>
      </c>
      <c r="ES180" s="8">
        <v>4.2404999999999999</v>
      </c>
      <c r="ET180" s="8">
        <v>4.2606999999999999</v>
      </c>
      <c r="EU180" s="8">
        <v>4.2815000000000003</v>
      </c>
      <c r="EV180" s="8">
        <v>4.3029000000000002</v>
      </c>
      <c r="EW180" s="8">
        <v>4.3247999999999998</v>
      </c>
      <c r="EX180" s="8">
        <v>4.3475000000000001</v>
      </c>
      <c r="EY180" s="8">
        <v>4.3708999999999998</v>
      </c>
      <c r="EZ180" s="8">
        <v>4.3949999999999996</v>
      </c>
      <c r="FA180" s="8">
        <v>4.4199000000000002</v>
      </c>
      <c r="FB180" s="8">
        <v>4.4457000000000004</v>
      </c>
      <c r="FC180" s="106">
        <v>4.4722999999999997</v>
      </c>
      <c r="FE180" s="50">
        <f t="shared" ca="1" si="21"/>
        <v>3.8000327317222391</v>
      </c>
      <c r="FF180" s="50">
        <f t="shared" ca="1" si="22"/>
        <v>3.7811953860942005</v>
      </c>
      <c r="FG180" s="50">
        <f t="shared" ca="1" si="23"/>
        <v>3.7619096644295307</v>
      </c>
      <c r="FH180" s="50">
        <f t="shared" ca="1" si="24"/>
        <v>3.7416412080536916</v>
      </c>
      <c r="FK180" s="50">
        <f t="shared" ca="1" si="20"/>
        <v>3.7811953860942005</v>
      </c>
      <c r="FL180" s="50"/>
      <c r="FM180" s="50"/>
      <c r="FN180" s="50"/>
    </row>
    <row r="181" spans="48:170" hidden="1">
      <c r="AV181" s="69"/>
      <c r="AW181" s="104">
        <v>15.488</v>
      </c>
      <c r="AX181" s="8">
        <v>1.4826999999999999</v>
      </c>
      <c r="AY181" s="8">
        <v>1.5073000000000001</v>
      </c>
      <c r="AZ181" s="8">
        <v>1.532</v>
      </c>
      <c r="BA181" s="8">
        <v>1.5569</v>
      </c>
      <c r="BB181" s="8">
        <v>1.5820000000000001</v>
      </c>
      <c r="BC181" s="8">
        <v>1.6073</v>
      </c>
      <c r="BD181" s="8">
        <v>1.6329</v>
      </c>
      <c r="BE181" s="8">
        <v>1.6586000000000001</v>
      </c>
      <c r="BF181" s="8">
        <v>1.6845000000000001</v>
      </c>
      <c r="BG181" s="8">
        <v>1.7105999999999999</v>
      </c>
      <c r="BH181" s="8">
        <v>1.7369000000000001</v>
      </c>
      <c r="BI181" s="8">
        <v>1.7634000000000001</v>
      </c>
      <c r="BJ181" s="8">
        <v>1.79</v>
      </c>
      <c r="BK181" s="8">
        <v>1.8169</v>
      </c>
      <c r="BL181" s="8">
        <v>1.8440000000000001</v>
      </c>
      <c r="BM181" s="8">
        <v>1.8712</v>
      </c>
      <c r="BN181" s="8">
        <v>1.8987000000000001</v>
      </c>
      <c r="BO181" s="8">
        <v>1.9262999999999999</v>
      </c>
      <c r="BP181" s="8">
        <v>1.9541999999999999</v>
      </c>
      <c r="BQ181" s="8">
        <v>1.9822</v>
      </c>
      <c r="BR181" s="8">
        <v>2.0104000000000002</v>
      </c>
      <c r="BS181" s="8">
        <v>2.0387</v>
      </c>
      <c r="BT181" s="8">
        <v>2.0672999999999999</v>
      </c>
      <c r="BU181" s="8">
        <v>2.0960000000000001</v>
      </c>
      <c r="BV181" s="8">
        <v>2.125</v>
      </c>
      <c r="BW181" s="8">
        <v>2.1541000000000001</v>
      </c>
      <c r="BX181" s="8">
        <v>2.1833</v>
      </c>
      <c r="BY181" s="8">
        <v>2.2128000000000001</v>
      </c>
      <c r="BZ181" s="8">
        <v>2.2423999999999999</v>
      </c>
      <c r="CA181" s="8">
        <v>2.2721</v>
      </c>
      <c r="CB181" s="8">
        <v>2.3020999999999998</v>
      </c>
      <c r="CC181" s="8">
        <v>2.3321999999999998</v>
      </c>
      <c r="CD181" s="8">
        <v>2.3624000000000001</v>
      </c>
      <c r="CE181" s="8">
        <v>2.3927999999999998</v>
      </c>
      <c r="CF181" s="8">
        <v>2.4234</v>
      </c>
      <c r="CG181" s="8">
        <v>2.4540999999999999</v>
      </c>
      <c r="CH181" s="8">
        <v>2.4849999999999999</v>
      </c>
      <c r="CI181" s="8">
        <v>2.516</v>
      </c>
      <c r="CJ181" s="8">
        <v>2.5470999999999999</v>
      </c>
      <c r="CK181" s="8">
        <v>2.5783999999999998</v>
      </c>
      <c r="CL181" s="8">
        <v>2.6097000000000001</v>
      </c>
      <c r="CM181" s="8">
        <v>2.6412</v>
      </c>
      <c r="CN181" s="8">
        <v>2.6728999999999998</v>
      </c>
      <c r="CO181" s="8">
        <v>2.7046000000000001</v>
      </c>
      <c r="CP181" s="8">
        <v>2.7364000000000002</v>
      </c>
      <c r="CQ181" s="8">
        <v>2.7684000000000002</v>
      </c>
      <c r="CR181" s="8">
        <v>2.8003999999999998</v>
      </c>
      <c r="CS181" s="8">
        <v>2.8325</v>
      </c>
      <c r="CT181" s="8">
        <v>2.8645999999999998</v>
      </c>
      <c r="CU181" s="8">
        <v>2.8969</v>
      </c>
      <c r="CV181" s="8">
        <v>2.9291999999999998</v>
      </c>
      <c r="CW181" s="8">
        <v>2.9615</v>
      </c>
      <c r="CX181" s="8">
        <v>2.9939</v>
      </c>
      <c r="CY181" s="8">
        <v>3.0263</v>
      </c>
      <c r="CZ181" s="8">
        <v>3.0588000000000002</v>
      </c>
      <c r="DA181" s="8">
        <v>3.0912000000000002</v>
      </c>
      <c r="DB181" s="8">
        <v>3.1236999999999999</v>
      </c>
      <c r="DC181" s="8">
        <v>3.1562000000000001</v>
      </c>
      <c r="DD181" s="8">
        <v>3.1886000000000001</v>
      </c>
      <c r="DE181" s="8">
        <v>3.2210000000000001</v>
      </c>
      <c r="DF181" s="8">
        <v>3.2534000000000001</v>
      </c>
      <c r="DG181" s="8">
        <v>3.2856999999999998</v>
      </c>
      <c r="DH181" s="8">
        <v>3.3178999999999998</v>
      </c>
      <c r="DI181" s="8">
        <v>3.3500999999999999</v>
      </c>
      <c r="DJ181" s="8">
        <v>3.3822000000000001</v>
      </c>
      <c r="DK181" s="8">
        <v>3.4140999999999999</v>
      </c>
      <c r="DL181" s="8">
        <v>3.4460000000000002</v>
      </c>
      <c r="DM181" s="8">
        <v>3.4777</v>
      </c>
      <c r="DN181" s="8">
        <v>3.5093000000000001</v>
      </c>
      <c r="DO181" s="8">
        <v>3.5407999999999999</v>
      </c>
      <c r="DP181" s="8">
        <v>3.5720999999999998</v>
      </c>
      <c r="DQ181" s="8">
        <v>3.6032000000000002</v>
      </c>
      <c r="DR181" s="8">
        <v>3.6341000000000001</v>
      </c>
      <c r="DS181" s="8">
        <v>3.6648000000000001</v>
      </c>
      <c r="DT181" s="8">
        <v>3.6953999999999998</v>
      </c>
      <c r="DU181" s="8">
        <v>3.7256999999999998</v>
      </c>
      <c r="DV181" s="8">
        <v>3.7557999999999998</v>
      </c>
      <c r="DW181" s="8">
        <v>3.7856999999999998</v>
      </c>
      <c r="DX181" s="8">
        <v>3.8153000000000001</v>
      </c>
      <c r="DY181" s="8">
        <v>3.8447</v>
      </c>
      <c r="DZ181" s="8">
        <v>3.8738000000000001</v>
      </c>
      <c r="EA181" s="8">
        <v>3.9028</v>
      </c>
      <c r="EB181" s="8">
        <v>3.9297</v>
      </c>
      <c r="EC181" s="8">
        <v>3.9481000000000002</v>
      </c>
      <c r="ED181" s="8">
        <v>3.9664000000000001</v>
      </c>
      <c r="EE181" s="8">
        <v>3.9843999999999999</v>
      </c>
      <c r="EF181" s="8">
        <v>4.0023999999999997</v>
      </c>
      <c r="EG181" s="8">
        <v>4.0202</v>
      </c>
      <c r="EH181" s="8">
        <v>4.0380000000000003</v>
      </c>
      <c r="EI181" s="8">
        <v>4.0557999999999996</v>
      </c>
      <c r="EJ181" s="8">
        <v>4.0735000000000001</v>
      </c>
      <c r="EK181" s="8">
        <v>4.0913000000000004</v>
      </c>
      <c r="EL181" s="8">
        <v>4.1092000000000004</v>
      </c>
      <c r="EM181" s="8">
        <v>4.1272000000000002</v>
      </c>
      <c r="EN181" s="8">
        <v>4.1452999999999998</v>
      </c>
      <c r="EO181" s="8">
        <v>4.1637000000000004</v>
      </c>
      <c r="EP181" s="8">
        <v>4.1824000000000003</v>
      </c>
      <c r="EQ181" s="8">
        <v>4.2013999999999996</v>
      </c>
      <c r="ER181" s="8">
        <v>4.2206999999999999</v>
      </c>
      <c r="ES181" s="8">
        <v>4.2404999999999999</v>
      </c>
      <c r="ET181" s="8">
        <v>4.2606999999999999</v>
      </c>
      <c r="EU181" s="8">
        <v>4.2815000000000003</v>
      </c>
      <c r="EV181" s="8">
        <v>4.3029000000000002</v>
      </c>
      <c r="EW181" s="8">
        <v>4.3247999999999998</v>
      </c>
      <c r="EX181" s="8">
        <v>4.3475000000000001</v>
      </c>
      <c r="EY181" s="8">
        <v>4.3708999999999998</v>
      </c>
      <c r="EZ181" s="8">
        <v>4.3949999999999996</v>
      </c>
      <c r="FA181" s="8">
        <v>4.4199000000000002</v>
      </c>
      <c r="FB181" s="8">
        <v>4.4457000000000004</v>
      </c>
      <c r="FC181" s="106">
        <v>4.4722999999999997</v>
      </c>
      <c r="FE181" s="50">
        <f t="shared" ca="1" si="21"/>
        <v>3.7916127561945547</v>
      </c>
      <c r="FF181" s="50">
        <f t="shared" ca="1" si="22"/>
        <v>3.7727953860942005</v>
      </c>
      <c r="FG181" s="50">
        <f t="shared" ca="1" si="23"/>
        <v>3.7535172483221473</v>
      </c>
      <c r="FH181" s="50">
        <f t="shared" ca="1" si="24"/>
        <v>3.7333159060402683</v>
      </c>
      <c r="FK181" s="50">
        <f t="shared" ca="1" si="20"/>
        <v>3.7727953860942005</v>
      </c>
      <c r="FL181" s="50"/>
      <c r="FM181" s="50"/>
      <c r="FN181" s="50"/>
    </row>
    <row r="182" spans="48:170" hidden="1">
      <c r="AV182" s="69"/>
      <c r="AW182" s="104">
        <v>16.596</v>
      </c>
      <c r="AX182" s="8">
        <v>1.4795</v>
      </c>
      <c r="AY182" s="8">
        <v>1.5039</v>
      </c>
      <c r="AZ182" s="8">
        <v>1.5286</v>
      </c>
      <c r="BA182" s="8">
        <v>1.5535000000000001</v>
      </c>
      <c r="BB182" s="8">
        <v>1.5785</v>
      </c>
      <c r="BC182" s="8">
        <v>1.6037999999999999</v>
      </c>
      <c r="BD182" s="8">
        <v>1.6293</v>
      </c>
      <c r="BE182" s="8">
        <v>1.6549</v>
      </c>
      <c r="BF182" s="8">
        <v>1.6808000000000001</v>
      </c>
      <c r="BG182" s="8">
        <v>1.7068000000000001</v>
      </c>
      <c r="BH182" s="8">
        <v>1.7330000000000001</v>
      </c>
      <c r="BI182" s="8">
        <v>1.7595000000000001</v>
      </c>
      <c r="BJ182" s="8">
        <v>1.7861</v>
      </c>
      <c r="BK182" s="8">
        <v>1.8129</v>
      </c>
      <c r="BL182" s="8">
        <v>1.8399000000000001</v>
      </c>
      <c r="BM182" s="8">
        <v>1.8671</v>
      </c>
      <c r="BN182" s="8">
        <v>1.8945000000000001</v>
      </c>
      <c r="BO182" s="8">
        <v>1.9220999999999999</v>
      </c>
      <c r="BP182" s="8">
        <v>1.9499</v>
      </c>
      <c r="BQ182" s="8">
        <v>1.9778</v>
      </c>
      <c r="BR182" s="8">
        <v>2.0059</v>
      </c>
      <c r="BS182" s="8">
        <v>2.0341999999999998</v>
      </c>
      <c r="BT182" s="8">
        <v>2.0627</v>
      </c>
      <c r="BU182" s="8">
        <v>2.0914000000000001</v>
      </c>
      <c r="BV182" s="8">
        <v>2.1202999999999999</v>
      </c>
      <c r="BW182" s="8">
        <v>2.1493000000000002</v>
      </c>
      <c r="BX182" s="8">
        <v>2.1785000000000001</v>
      </c>
      <c r="BY182" s="8">
        <v>2.2079</v>
      </c>
      <c r="BZ182" s="8">
        <v>2.2374000000000001</v>
      </c>
      <c r="CA182" s="8">
        <v>2.2671000000000001</v>
      </c>
      <c r="CB182" s="8">
        <v>2.2970000000000002</v>
      </c>
      <c r="CC182" s="8">
        <v>2.327</v>
      </c>
      <c r="CD182" s="8">
        <v>2.3572000000000002</v>
      </c>
      <c r="CE182" s="8">
        <v>2.3875999999999999</v>
      </c>
      <c r="CF182" s="8">
        <v>2.4180999999999999</v>
      </c>
      <c r="CG182" s="8">
        <v>2.4487000000000001</v>
      </c>
      <c r="CH182" s="8">
        <v>2.4794999999999998</v>
      </c>
      <c r="CI182" s="8">
        <v>2.5104000000000002</v>
      </c>
      <c r="CJ182" s="8">
        <v>2.5415000000000001</v>
      </c>
      <c r="CK182" s="8">
        <v>2.5727000000000002</v>
      </c>
      <c r="CL182" s="8">
        <v>2.6040000000000001</v>
      </c>
      <c r="CM182" s="8">
        <v>2.6354000000000002</v>
      </c>
      <c r="CN182" s="8">
        <v>2.6669999999999998</v>
      </c>
      <c r="CO182" s="8">
        <v>2.6985999999999999</v>
      </c>
      <c r="CP182" s="8">
        <v>2.7303999999999999</v>
      </c>
      <c r="CQ182" s="8">
        <v>2.7622</v>
      </c>
      <c r="CR182" s="8">
        <v>2.7942</v>
      </c>
      <c r="CS182" s="8">
        <v>2.8262</v>
      </c>
      <c r="CT182" s="8">
        <v>2.8582999999999998</v>
      </c>
      <c r="CU182" s="8">
        <v>2.8904999999999998</v>
      </c>
      <c r="CV182" s="8">
        <v>2.9226999999999999</v>
      </c>
      <c r="CW182" s="8">
        <v>2.9550000000000001</v>
      </c>
      <c r="CX182" s="8">
        <v>2.9872999999999998</v>
      </c>
      <c r="CY182" s="8">
        <v>3.0196999999999998</v>
      </c>
      <c r="CZ182" s="8">
        <v>3.052</v>
      </c>
      <c r="DA182" s="8">
        <v>3.0844</v>
      </c>
      <c r="DB182" s="8">
        <v>3.1168</v>
      </c>
      <c r="DC182" s="8">
        <v>3.1492</v>
      </c>
      <c r="DD182" s="8">
        <v>3.1816</v>
      </c>
      <c r="DE182" s="8">
        <v>3.2139000000000002</v>
      </c>
      <c r="DF182" s="8">
        <v>3.2462</v>
      </c>
      <c r="DG182" s="8">
        <v>3.2784</v>
      </c>
      <c r="DH182" s="8">
        <v>3.3106</v>
      </c>
      <c r="DI182" s="8">
        <v>3.3426999999999998</v>
      </c>
      <c r="DJ182" s="8">
        <v>3.3746999999999998</v>
      </c>
      <c r="DK182" s="8">
        <v>3.4066000000000001</v>
      </c>
      <c r="DL182" s="8">
        <v>3.4384000000000001</v>
      </c>
      <c r="DM182" s="8">
        <v>3.4701</v>
      </c>
      <c r="DN182" s="8">
        <v>3.5015999999999998</v>
      </c>
      <c r="DO182" s="8">
        <v>3.5329999999999999</v>
      </c>
      <c r="DP182" s="8">
        <v>3.5642</v>
      </c>
      <c r="DQ182" s="8">
        <v>3.5952000000000002</v>
      </c>
      <c r="DR182" s="8">
        <v>3.6261000000000001</v>
      </c>
      <c r="DS182" s="8">
        <v>3.6568000000000001</v>
      </c>
      <c r="DT182" s="8">
        <v>3.6871999999999998</v>
      </c>
      <c r="DU182" s="8">
        <v>3.7174999999999998</v>
      </c>
      <c r="DV182" s="8">
        <v>3.7475000000000001</v>
      </c>
      <c r="DW182" s="8">
        <v>3.7772999999999999</v>
      </c>
      <c r="DX182" s="8">
        <v>3.8069000000000002</v>
      </c>
      <c r="DY182" s="8">
        <v>3.8361999999999998</v>
      </c>
      <c r="DZ182" s="8">
        <v>3.8653</v>
      </c>
      <c r="EA182" s="8">
        <v>3.8942000000000001</v>
      </c>
      <c r="EB182" s="8">
        <v>3.9228000000000001</v>
      </c>
      <c r="EC182" s="8">
        <v>3.9481000000000002</v>
      </c>
      <c r="ED182" s="8">
        <v>3.9664000000000001</v>
      </c>
      <c r="EE182" s="8">
        <v>3.9843999999999999</v>
      </c>
      <c r="EF182" s="8">
        <v>4.0023999999999997</v>
      </c>
      <c r="EG182" s="8">
        <v>4.0202</v>
      </c>
      <c r="EH182" s="8">
        <v>4.0380000000000003</v>
      </c>
      <c r="EI182" s="8">
        <v>4.0557999999999996</v>
      </c>
      <c r="EJ182" s="8">
        <v>4.0735000000000001</v>
      </c>
      <c r="EK182" s="8">
        <v>4.0913000000000004</v>
      </c>
      <c r="EL182" s="8">
        <v>4.1092000000000004</v>
      </c>
      <c r="EM182" s="8">
        <v>4.1272000000000002</v>
      </c>
      <c r="EN182" s="8">
        <v>4.1452999999999998</v>
      </c>
      <c r="EO182" s="8">
        <v>4.1637000000000004</v>
      </c>
      <c r="EP182" s="8">
        <v>4.1824000000000003</v>
      </c>
      <c r="EQ182" s="8">
        <v>4.2013999999999996</v>
      </c>
      <c r="ER182" s="8">
        <v>4.2206999999999999</v>
      </c>
      <c r="ES182" s="8">
        <v>4.2404999999999999</v>
      </c>
      <c r="ET182" s="8">
        <v>4.2606999999999999</v>
      </c>
      <c r="EU182" s="8">
        <v>4.2815000000000003</v>
      </c>
      <c r="EV182" s="8">
        <v>4.3029000000000002</v>
      </c>
      <c r="EW182" s="8">
        <v>4.3247999999999998</v>
      </c>
      <c r="EX182" s="8">
        <v>4.3475000000000001</v>
      </c>
      <c r="EY182" s="8">
        <v>4.3708999999999998</v>
      </c>
      <c r="EZ182" s="8">
        <v>4.3949999999999996</v>
      </c>
      <c r="FA182" s="8">
        <v>4.4199000000000002</v>
      </c>
      <c r="FB182" s="8">
        <v>4.4457000000000004</v>
      </c>
      <c r="FC182" s="106">
        <v>4.4722999999999997</v>
      </c>
      <c r="FE182" s="50">
        <f t="shared" ca="1" si="21"/>
        <v>3.7832127561945548</v>
      </c>
      <c r="FF182" s="50">
        <f t="shared" ca="1" si="22"/>
        <v>3.7644385453380327</v>
      </c>
      <c r="FG182" s="50">
        <f t="shared" ca="1" si="23"/>
        <v>3.745224832214765</v>
      </c>
      <c r="FH182" s="50">
        <f t="shared" ca="1" si="24"/>
        <v>3.7250906040268457</v>
      </c>
      <c r="FK182" s="50">
        <f t="shared" ca="1" si="20"/>
        <v>3.7644385453380327</v>
      </c>
      <c r="FL182" s="50"/>
      <c r="FM182" s="50"/>
      <c r="FN182" s="50"/>
    </row>
    <row r="183" spans="48:170" hidden="1">
      <c r="AV183" s="69"/>
      <c r="AW183" s="104">
        <v>17.783000000000001</v>
      </c>
      <c r="AX183" s="8">
        <v>1.4762</v>
      </c>
      <c r="AY183" s="8">
        <v>1.5006999999999999</v>
      </c>
      <c r="AZ183" s="8">
        <v>1.5253000000000001</v>
      </c>
      <c r="BA183" s="8">
        <v>1.5501</v>
      </c>
      <c r="BB183" s="8">
        <v>1.5750999999999999</v>
      </c>
      <c r="BC183" s="8">
        <v>1.6003000000000001</v>
      </c>
      <c r="BD183" s="8">
        <v>1.6256999999999999</v>
      </c>
      <c r="BE183" s="8">
        <v>1.6513</v>
      </c>
      <c r="BF183" s="8">
        <v>1.6771</v>
      </c>
      <c r="BG183" s="8">
        <v>1.7031000000000001</v>
      </c>
      <c r="BH183" s="8">
        <v>1.7293000000000001</v>
      </c>
      <c r="BI183" s="8">
        <v>1.7556</v>
      </c>
      <c r="BJ183" s="8">
        <v>1.7822</v>
      </c>
      <c r="BK183" s="8">
        <v>1.8089999999999999</v>
      </c>
      <c r="BL183" s="8">
        <v>1.8359000000000001</v>
      </c>
      <c r="BM183" s="8">
        <v>1.863</v>
      </c>
      <c r="BN183" s="8">
        <v>1.8904000000000001</v>
      </c>
      <c r="BO183" s="8">
        <v>1.9178999999999999</v>
      </c>
      <c r="BP183" s="8">
        <v>1.9456</v>
      </c>
      <c r="BQ183" s="8">
        <v>1.9735</v>
      </c>
      <c r="BR183" s="8">
        <v>2.0015999999999998</v>
      </c>
      <c r="BS183" s="8">
        <v>2.0297999999999998</v>
      </c>
      <c r="BT183" s="8">
        <v>2.0581999999999998</v>
      </c>
      <c r="BU183" s="8">
        <v>2.0869</v>
      </c>
      <c r="BV183" s="8">
        <v>2.1156000000000001</v>
      </c>
      <c r="BW183" s="8">
        <v>2.1446000000000001</v>
      </c>
      <c r="BX183" s="8">
        <v>2.1737000000000002</v>
      </c>
      <c r="BY183" s="8">
        <v>2.2031000000000001</v>
      </c>
      <c r="BZ183" s="8">
        <v>2.2324999999999999</v>
      </c>
      <c r="CA183" s="8">
        <v>2.2622</v>
      </c>
      <c r="CB183" s="8">
        <v>2.2919999999999998</v>
      </c>
      <c r="CC183" s="8">
        <v>2.3220000000000001</v>
      </c>
      <c r="CD183" s="8">
        <v>2.3521000000000001</v>
      </c>
      <c r="CE183" s="8">
        <v>2.3824000000000001</v>
      </c>
      <c r="CF183" s="8">
        <v>2.4127999999999998</v>
      </c>
      <c r="CG183" s="8">
        <v>2.4434</v>
      </c>
      <c r="CH183" s="8">
        <v>2.4741</v>
      </c>
      <c r="CI183" s="8">
        <v>2.5049000000000001</v>
      </c>
      <c r="CJ183" s="8">
        <v>2.5358999999999998</v>
      </c>
      <c r="CK183" s="8">
        <v>2.5670999999999999</v>
      </c>
      <c r="CL183" s="8">
        <v>2.5983000000000001</v>
      </c>
      <c r="CM183" s="8">
        <v>2.6297000000000001</v>
      </c>
      <c r="CN183" s="8">
        <v>2.6612</v>
      </c>
      <c r="CO183" s="8">
        <v>2.6926999999999999</v>
      </c>
      <c r="CP183" s="8">
        <v>2.7244000000000002</v>
      </c>
      <c r="CQ183" s="8">
        <v>2.7562000000000002</v>
      </c>
      <c r="CR183" s="8">
        <v>2.7881</v>
      </c>
      <c r="CS183" s="8">
        <v>2.82</v>
      </c>
      <c r="CT183" s="8">
        <v>2.8521000000000001</v>
      </c>
      <c r="CU183" s="8">
        <v>2.8841999999999999</v>
      </c>
      <c r="CV183" s="8">
        <v>2.9163000000000001</v>
      </c>
      <c r="CW183" s="8">
        <v>2.9485000000000001</v>
      </c>
      <c r="CX183" s="8">
        <v>2.9807999999999999</v>
      </c>
      <c r="CY183" s="8">
        <v>3.0131000000000001</v>
      </c>
      <c r="CZ183" s="8">
        <v>3.0453999999999999</v>
      </c>
      <c r="DA183" s="8">
        <v>3.0777000000000001</v>
      </c>
      <c r="DB183" s="8">
        <v>3.11</v>
      </c>
      <c r="DC183" s="8">
        <v>3.1423000000000001</v>
      </c>
      <c r="DD183" s="8">
        <v>3.1745999999999999</v>
      </c>
      <c r="DE183" s="8">
        <v>3.2069000000000001</v>
      </c>
      <c r="DF183" s="8">
        <v>3.2391000000000001</v>
      </c>
      <c r="DG183" s="8">
        <v>3.2713000000000001</v>
      </c>
      <c r="DH183" s="8">
        <v>3.3033999999999999</v>
      </c>
      <c r="DI183" s="8">
        <v>3.3353999999999999</v>
      </c>
      <c r="DJ183" s="8">
        <v>3.3673000000000002</v>
      </c>
      <c r="DK183" s="8">
        <v>3.3992</v>
      </c>
      <c r="DL183" s="8">
        <v>3.4308999999999998</v>
      </c>
      <c r="DM183" s="8">
        <v>3.4624999999999999</v>
      </c>
      <c r="DN183" s="8">
        <v>3.4940000000000002</v>
      </c>
      <c r="DO183" s="8">
        <v>3.5253000000000001</v>
      </c>
      <c r="DP183" s="8">
        <v>3.5564</v>
      </c>
      <c r="DQ183" s="8">
        <v>3.5874000000000001</v>
      </c>
      <c r="DR183" s="8">
        <v>3.6181999999999999</v>
      </c>
      <c r="DS183" s="8">
        <v>3.6488</v>
      </c>
      <c r="DT183" s="8">
        <v>3.6791999999999998</v>
      </c>
      <c r="DU183" s="8">
        <v>3.7094</v>
      </c>
      <c r="DV183" s="8">
        <v>3.7393000000000001</v>
      </c>
      <c r="DW183" s="8">
        <v>3.7690999999999999</v>
      </c>
      <c r="DX183" s="8">
        <v>3.7986</v>
      </c>
      <c r="DY183" s="8">
        <v>3.8277999999999999</v>
      </c>
      <c r="DZ183" s="8">
        <v>3.8569</v>
      </c>
      <c r="EA183" s="8">
        <v>3.8856999999999999</v>
      </c>
      <c r="EB183" s="8">
        <v>3.9142000000000001</v>
      </c>
      <c r="EC183" s="8">
        <v>3.9424999999999999</v>
      </c>
      <c r="ED183" s="8">
        <v>3.9664000000000001</v>
      </c>
      <c r="EE183" s="8">
        <v>3.9843999999999999</v>
      </c>
      <c r="EF183" s="8">
        <v>4.0023999999999997</v>
      </c>
      <c r="EG183" s="8">
        <v>4.0202</v>
      </c>
      <c r="EH183" s="8">
        <v>4.0380000000000003</v>
      </c>
      <c r="EI183" s="8">
        <v>4.0557999999999996</v>
      </c>
      <c r="EJ183" s="8">
        <v>4.0735000000000001</v>
      </c>
      <c r="EK183" s="8">
        <v>4.0913000000000004</v>
      </c>
      <c r="EL183" s="8">
        <v>4.1092000000000004</v>
      </c>
      <c r="EM183" s="8">
        <v>4.1272000000000002</v>
      </c>
      <c r="EN183" s="8">
        <v>4.1452999999999998</v>
      </c>
      <c r="EO183" s="8">
        <v>4.1637000000000004</v>
      </c>
      <c r="EP183" s="8">
        <v>4.1824000000000003</v>
      </c>
      <c r="EQ183" s="8">
        <v>4.2013999999999996</v>
      </c>
      <c r="ER183" s="8">
        <v>4.2206999999999999</v>
      </c>
      <c r="ES183" s="8">
        <v>4.2404999999999999</v>
      </c>
      <c r="ET183" s="8">
        <v>4.2606999999999999</v>
      </c>
      <c r="EU183" s="8">
        <v>4.2815000000000003</v>
      </c>
      <c r="EV183" s="8">
        <v>4.3029000000000002</v>
      </c>
      <c r="EW183" s="8">
        <v>4.3247999999999998</v>
      </c>
      <c r="EX183" s="8">
        <v>4.3475000000000001</v>
      </c>
      <c r="EY183" s="8">
        <v>4.3708999999999998</v>
      </c>
      <c r="EZ183" s="8">
        <v>4.3949999999999996</v>
      </c>
      <c r="FA183" s="8">
        <v>4.4199000000000002</v>
      </c>
      <c r="FB183" s="8">
        <v>4.4457000000000004</v>
      </c>
      <c r="FC183" s="106">
        <v>4.4722999999999997</v>
      </c>
      <c r="FE183" s="50">
        <f t="shared" ca="1" si="21"/>
        <v>3.7749927806668708</v>
      </c>
      <c r="FF183" s="50">
        <f t="shared" ca="1" si="22"/>
        <v>3.7562385453380331</v>
      </c>
      <c r="FG183" s="50">
        <f t="shared" ca="1" si="23"/>
        <v>3.7370324161073829</v>
      </c>
      <c r="FH183" s="50">
        <f t="shared" ca="1" si="24"/>
        <v>3.7169653020134232</v>
      </c>
      <c r="FK183" s="50">
        <f t="shared" ca="1" si="20"/>
        <v>3.7562385453380331</v>
      </c>
      <c r="FL183" s="50"/>
      <c r="FM183" s="50"/>
      <c r="FN183" s="50"/>
    </row>
    <row r="184" spans="48:170" hidden="1">
      <c r="AV184" s="69"/>
      <c r="AW184" s="104">
        <v>19.055</v>
      </c>
      <c r="AX184" s="8">
        <v>1.4731000000000001</v>
      </c>
      <c r="AY184" s="8">
        <v>1.4974000000000001</v>
      </c>
      <c r="AZ184" s="8">
        <v>1.522</v>
      </c>
      <c r="BA184" s="8">
        <v>1.5467</v>
      </c>
      <c r="BB184" s="8">
        <v>1.5717000000000001</v>
      </c>
      <c r="BC184" s="8">
        <v>1.5968</v>
      </c>
      <c r="BD184" s="8">
        <v>1.6222000000000001</v>
      </c>
      <c r="BE184" s="8">
        <v>1.6476999999999999</v>
      </c>
      <c r="BF184" s="8">
        <v>1.6735</v>
      </c>
      <c r="BG184" s="8">
        <v>1.6994</v>
      </c>
      <c r="BH184" s="8">
        <v>1.7255</v>
      </c>
      <c r="BI184" s="8">
        <v>1.7518</v>
      </c>
      <c r="BJ184" s="8">
        <v>1.7784</v>
      </c>
      <c r="BK184" s="8">
        <v>1.8050999999999999</v>
      </c>
      <c r="BL184" s="8">
        <v>1.8319000000000001</v>
      </c>
      <c r="BM184" s="8">
        <v>1.859</v>
      </c>
      <c r="BN184" s="8">
        <v>1.8863000000000001</v>
      </c>
      <c r="BO184" s="8">
        <v>1.9137</v>
      </c>
      <c r="BP184" s="8">
        <v>1.9414</v>
      </c>
      <c r="BQ184" s="8">
        <v>1.9692000000000001</v>
      </c>
      <c r="BR184" s="8">
        <v>1.9972000000000001</v>
      </c>
      <c r="BS184" s="8">
        <v>2.0253999999999999</v>
      </c>
      <c r="BT184" s="8">
        <v>2.0537999999999998</v>
      </c>
      <c r="BU184" s="8">
        <v>2.0823</v>
      </c>
      <c r="BV184" s="8">
        <v>2.1111</v>
      </c>
      <c r="BW184" s="8">
        <v>2.14</v>
      </c>
      <c r="BX184" s="8">
        <v>2.1690999999999998</v>
      </c>
      <c r="BY184" s="8">
        <v>2.1983000000000001</v>
      </c>
      <c r="BZ184" s="8">
        <v>2.2277</v>
      </c>
      <c r="CA184" s="8">
        <v>2.2572999999999999</v>
      </c>
      <c r="CB184" s="8">
        <v>2.2869999999999999</v>
      </c>
      <c r="CC184" s="8">
        <v>2.3169</v>
      </c>
      <c r="CD184" s="8">
        <v>2.347</v>
      </c>
      <c r="CE184" s="8">
        <v>2.3772000000000002</v>
      </c>
      <c r="CF184" s="8">
        <v>2.4076</v>
      </c>
      <c r="CG184" s="8">
        <v>2.4380999999999999</v>
      </c>
      <c r="CH184" s="8">
        <v>2.4687000000000001</v>
      </c>
      <c r="CI184" s="8">
        <v>2.4994999999999998</v>
      </c>
      <c r="CJ184" s="8">
        <v>2.5305</v>
      </c>
      <c r="CK184" s="8">
        <v>2.5615000000000001</v>
      </c>
      <c r="CL184" s="8">
        <v>2.5926999999999998</v>
      </c>
      <c r="CM184" s="8">
        <v>2.6240000000000001</v>
      </c>
      <c r="CN184" s="8">
        <v>2.6554000000000002</v>
      </c>
      <c r="CO184" s="8">
        <v>2.6869000000000001</v>
      </c>
      <c r="CP184" s="8">
        <v>2.7185000000000001</v>
      </c>
      <c r="CQ184" s="8">
        <v>2.7503000000000002</v>
      </c>
      <c r="CR184" s="8">
        <v>2.7820999999999998</v>
      </c>
      <c r="CS184" s="8">
        <v>2.8140000000000001</v>
      </c>
      <c r="CT184" s="8">
        <v>2.8458999999999999</v>
      </c>
      <c r="CU184" s="8">
        <v>2.8778999999999999</v>
      </c>
      <c r="CV184" s="8">
        <v>2.91</v>
      </c>
      <c r="CW184" s="8">
        <v>2.9422000000000001</v>
      </c>
      <c r="CX184" s="8">
        <v>2.9742999999999999</v>
      </c>
      <c r="CY184" s="8">
        <v>3.0066000000000002</v>
      </c>
      <c r="CZ184" s="8">
        <v>3.0388000000000002</v>
      </c>
      <c r="DA184" s="8">
        <v>3.0710000000000002</v>
      </c>
      <c r="DB184" s="8">
        <v>3.1032999999999999</v>
      </c>
      <c r="DC184" s="8">
        <v>3.1355</v>
      </c>
      <c r="DD184" s="8">
        <v>3.1678000000000002</v>
      </c>
      <c r="DE184" s="8">
        <v>3.1999</v>
      </c>
      <c r="DF184" s="8">
        <v>3.2321</v>
      </c>
      <c r="DG184" s="8">
        <v>3.2642000000000002</v>
      </c>
      <c r="DH184" s="8">
        <v>3.2961999999999998</v>
      </c>
      <c r="DI184" s="8">
        <v>3.3281999999999998</v>
      </c>
      <c r="DJ184" s="8">
        <v>3.3601000000000001</v>
      </c>
      <c r="DK184" s="8">
        <v>3.3917999999999999</v>
      </c>
      <c r="DL184" s="8">
        <v>3.4235000000000002</v>
      </c>
      <c r="DM184" s="8">
        <v>3.4550000000000001</v>
      </c>
      <c r="DN184" s="8">
        <v>3.4864000000000002</v>
      </c>
      <c r="DO184" s="8">
        <v>3.5175999999999998</v>
      </c>
      <c r="DP184" s="8">
        <v>3.5487000000000002</v>
      </c>
      <c r="DQ184" s="8">
        <v>3.5796000000000001</v>
      </c>
      <c r="DR184" s="8">
        <v>3.6103999999999998</v>
      </c>
      <c r="DS184" s="8">
        <v>3.6408999999999998</v>
      </c>
      <c r="DT184" s="8">
        <v>3.6711999999999998</v>
      </c>
      <c r="DU184" s="8">
        <v>3.7014</v>
      </c>
      <c r="DV184" s="8">
        <v>3.7313000000000001</v>
      </c>
      <c r="DW184" s="8">
        <v>3.7608999999999999</v>
      </c>
      <c r="DX184" s="8">
        <v>3.7904</v>
      </c>
      <c r="DY184" s="8">
        <v>3.8195999999999999</v>
      </c>
      <c r="DZ184" s="8">
        <v>3.8485</v>
      </c>
      <c r="EA184" s="8">
        <v>3.8773</v>
      </c>
      <c r="EB184" s="8">
        <v>3.9056999999999999</v>
      </c>
      <c r="EC184" s="8">
        <v>3.9340000000000002</v>
      </c>
      <c r="ED184" s="8">
        <v>3.9620000000000002</v>
      </c>
      <c r="EE184" s="8">
        <v>3.9843999999999999</v>
      </c>
      <c r="EF184" s="8">
        <v>4.0023999999999997</v>
      </c>
      <c r="EG184" s="8">
        <v>4.0202</v>
      </c>
      <c r="EH184" s="8">
        <v>4.0380000000000003</v>
      </c>
      <c r="EI184" s="8">
        <v>4.0557999999999996</v>
      </c>
      <c r="EJ184" s="8">
        <v>4.0735000000000001</v>
      </c>
      <c r="EK184" s="8">
        <v>4.0913000000000004</v>
      </c>
      <c r="EL184" s="8">
        <v>4.1092000000000004</v>
      </c>
      <c r="EM184" s="8">
        <v>4.1272000000000002</v>
      </c>
      <c r="EN184" s="8">
        <v>4.1452999999999998</v>
      </c>
      <c r="EO184" s="8">
        <v>4.1637000000000004</v>
      </c>
      <c r="EP184" s="8">
        <v>4.1824000000000003</v>
      </c>
      <c r="EQ184" s="8">
        <v>4.2013999999999996</v>
      </c>
      <c r="ER184" s="8">
        <v>4.2206999999999999</v>
      </c>
      <c r="ES184" s="8">
        <v>4.2404999999999999</v>
      </c>
      <c r="ET184" s="8">
        <v>4.2606999999999999</v>
      </c>
      <c r="EU184" s="8">
        <v>4.2815000000000003</v>
      </c>
      <c r="EV184" s="8">
        <v>4.3029000000000002</v>
      </c>
      <c r="EW184" s="8">
        <v>4.3247999999999998</v>
      </c>
      <c r="EX184" s="8">
        <v>4.3475000000000001</v>
      </c>
      <c r="EY184" s="8">
        <v>4.3708999999999998</v>
      </c>
      <c r="EZ184" s="8">
        <v>4.3949999999999996</v>
      </c>
      <c r="FA184" s="8">
        <v>4.4199000000000002</v>
      </c>
      <c r="FB184" s="8">
        <v>4.4457000000000004</v>
      </c>
      <c r="FC184" s="106">
        <v>4.4722999999999997</v>
      </c>
      <c r="FE184" s="50">
        <f t="shared" ca="1" si="21"/>
        <v>3.7667927806668704</v>
      </c>
      <c r="FF184" s="50">
        <f t="shared" ca="1" si="22"/>
        <v>3.748124863825697</v>
      </c>
      <c r="FG184" s="50">
        <f t="shared" ca="1" si="23"/>
        <v>3.7290324161073829</v>
      </c>
      <c r="FH184" s="50">
        <f t="shared" ca="1" si="24"/>
        <v>3.7089653020134232</v>
      </c>
      <c r="FK184" s="50">
        <f t="shared" ca="1" si="20"/>
        <v>3.748124863825697</v>
      </c>
      <c r="FL184" s="50"/>
      <c r="FM184" s="50"/>
      <c r="FN184" s="50"/>
    </row>
    <row r="185" spans="48:170" hidden="1">
      <c r="AV185" s="69"/>
      <c r="AW185" s="104">
        <v>20.417000000000002</v>
      </c>
      <c r="AX185" s="8">
        <v>1.4699</v>
      </c>
      <c r="AY185" s="8">
        <v>1.4942</v>
      </c>
      <c r="AZ185" s="8">
        <v>1.5186999999999999</v>
      </c>
      <c r="BA185" s="8">
        <v>1.5434000000000001</v>
      </c>
      <c r="BB185" s="8">
        <v>1.5683</v>
      </c>
      <c r="BC185" s="8">
        <v>1.5933999999999999</v>
      </c>
      <c r="BD185" s="8">
        <v>1.6187</v>
      </c>
      <c r="BE185" s="8">
        <v>1.6442000000000001</v>
      </c>
      <c r="BF185" s="8">
        <v>1.6698999999999999</v>
      </c>
      <c r="BG185" s="8">
        <v>1.6958</v>
      </c>
      <c r="BH185" s="8">
        <v>1.7218</v>
      </c>
      <c r="BI185" s="8">
        <v>1.7481</v>
      </c>
      <c r="BJ185" s="8">
        <v>1.7745</v>
      </c>
      <c r="BK185" s="8">
        <v>1.8011999999999999</v>
      </c>
      <c r="BL185" s="8">
        <v>1.8280000000000001</v>
      </c>
      <c r="BM185" s="8">
        <v>1.855</v>
      </c>
      <c r="BN185" s="8">
        <v>1.8823000000000001</v>
      </c>
      <c r="BO185" s="8">
        <v>1.9097</v>
      </c>
      <c r="BP185" s="8">
        <v>1.9372</v>
      </c>
      <c r="BQ185" s="8">
        <v>1.9650000000000001</v>
      </c>
      <c r="BR185" s="8">
        <v>1.9930000000000001</v>
      </c>
      <c r="BS185" s="8">
        <v>2.0211000000000001</v>
      </c>
      <c r="BT185" s="8">
        <v>2.0493999999999999</v>
      </c>
      <c r="BU185" s="8">
        <v>2.0779000000000001</v>
      </c>
      <c r="BV185" s="8">
        <v>2.1065999999999998</v>
      </c>
      <c r="BW185" s="8">
        <v>2.1354000000000002</v>
      </c>
      <c r="BX185" s="8">
        <v>2.1644000000000001</v>
      </c>
      <c r="BY185" s="8">
        <v>2.1936</v>
      </c>
      <c r="BZ185" s="8">
        <v>2.2229999999999999</v>
      </c>
      <c r="CA185" s="8">
        <v>2.2524999999999999</v>
      </c>
      <c r="CB185" s="8">
        <v>2.2820999999999998</v>
      </c>
      <c r="CC185" s="8">
        <v>2.3119999999999998</v>
      </c>
      <c r="CD185" s="8">
        <v>2.3420000000000001</v>
      </c>
      <c r="CE185" s="8">
        <v>2.3721000000000001</v>
      </c>
      <c r="CF185" s="8">
        <v>2.4024000000000001</v>
      </c>
      <c r="CG185" s="8">
        <v>2.4329000000000001</v>
      </c>
      <c r="CH185" s="8">
        <v>2.4634999999999998</v>
      </c>
      <c r="CI185" s="8">
        <v>2.4942000000000002</v>
      </c>
      <c r="CJ185" s="8">
        <v>2.5249999999999999</v>
      </c>
      <c r="CK185" s="8">
        <v>2.556</v>
      </c>
      <c r="CL185" s="8">
        <v>2.5871</v>
      </c>
      <c r="CM185" s="8">
        <v>2.6183999999999998</v>
      </c>
      <c r="CN185" s="8">
        <v>2.6497000000000002</v>
      </c>
      <c r="CO185" s="8">
        <v>2.6812</v>
      </c>
      <c r="CP185" s="8">
        <v>2.7126999999999999</v>
      </c>
      <c r="CQ185" s="8">
        <v>2.7444000000000002</v>
      </c>
      <c r="CR185" s="8">
        <v>2.7761</v>
      </c>
      <c r="CS185" s="8">
        <v>2.8079000000000001</v>
      </c>
      <c r="CT185" s="8">
        <v>2.8397999999999999</v>
      </c>
      <c r="CU185" s="8">
        <v>2.8717999999999999</v>
      </c>
      <c r="CV185" s="8">
        <v>2.9037999999999999</v>
      </c>
      <c r="CW185" s="8">
        <v>2.9359000000000002</v>
      </c>
      <c r="CX185" s="8">
        <v>2.968</v>
      </c>
      <c r="CY185" s="8">
        <v>3.0001000000000002</v>
      </c>
      <c r="CZ185" s="8">
        <v>3.0323000000000002</v>
      </c>
      <c r="DA185" s="8">
        <v>3.0644999999999998</v>
      </c>
      <c r="DB185" s="8">
        <v>3.0966999999999998</v>
      </c>
      <c r="DC185" s="8">
        <v>3.1288</v>
      </c>
      <c r="DD185" s="8">
        <v>3.161</v>
      </c>
      <c r="DE185" s="8">
        <v>3.1930999999999998</v>
      </c>
      <c r="DF185" s="8">
        <v>3.2252000000000001</v>
      </c>
      <c r="DG185" s="8">
        <v>3.2572000000000001</v>
      </c>
      <c r="DH185" s="8">
        <v>3.2892000000000001</v>
      </c>
      <c r="DI185" s="8">
        <v>3.3210999999999999</v>
      </c>
      <c r="DJ185" s="8">
        <v>3.3529</v>
      </c>
      <c r="DK185" s="8">
        <v>3.3845999999999998</v>
      </c>
      <c r="DL185" s="8">
        <v>3.4161999999999999</v>
      </c>
      <c r="DM185" s="8">
        <v>3.4476</v>
      </c>
      <c r="DN185" s="8">
        <v>3.4788999999999999</v>
      </c>
      <c r="DO185" s="8">
        <v>3.5101</v>
      </c>
      <c r="DP185" s="8">
        <v>3.5411000000000001</v>
      </c>
      <c r="DQ185" s="8">
        <v>3.5720000000000001</v>
      </c>
      <c r="DR185" s="8">
        <v>3.6025999999999998</v>
      </c>
      <c r="DS185" s="8">
        <v>3.6331000000000002</v>
      </c>
      <c r="DT185" s="8">
        <v>3.6634000000000002</v>
      </c>
      <c r="DU185" s="8">
        <v>3.6934</v>
      </c>
      <c r="DV185" s="8">
        <v>3.7233000000000001</v>
      </c>
      <c r="DW185" s="8">
        <v>3.7528999999999999</v>
      </c>
      <c r="DX185" s="8">
        <v>3.7823000000000002</v>
      </c>
      <c r="DY185" s="8">
        <v>3.8113999999999999</v>
      </c>
      <c r="DZ185" s="8">
        <v>3.8403</v>
      </c>
      <c r="EA185" s="8">
        <v>3.8690000000000002</v>
      </c>
      <c r="EB185" s="8">
        <v>3.8974000000000002</v>
      </c>
      <c r="EC185" s="8">
        <v>3.9256000000000002</v>
      </c>
      <c r="ED185" s="8">
        <v>3.9535</v>
      </c>
      <c r="EE185" s="8">
        <v>3.9813000000000001</v>
      </c>
      <c r="EF185" s="8">
        <v>4.0023999999999997</v>
      </c>
      <c r="EG185" s="8">
        <v>4.0202</v>
      </c>
      <c r="EH185" s="8">
        <v>4.0380000000000003</v>
      </c>
      <c r="EI185" s="8">
        <v>4.0557999999999996</v>
      </c>
      <c r="EJ185" s="8">
        <v>4.0735000000000001</v>
      </c>
      <c r="EK185" s="8">
        <v>4.0913000000000004</v>
      </c>
      <c r="EL185" s="8">
        <v>4.1092000000000004</v>
      </c>
      <c r="EM185" s="8">
        <v>4.1272000000000002</v>
      </c>
      <c r="EN185" s="8">
        <v>4.1452999999999998</v>
      </c>
      <c r="EO185" s="8">
        <v>4.1637000000000004</v>
      </c>
      <c r="EP185" s="8">
        <v>4.1824000000000003</v>
      </c>
      <c r="EQ185" s="8">
        <v>4.2013999999999996</v>
      </c>
      <c r="ER185" s="8">
        <v>4.2206999999999999</v>
      </c>
      <c r="ES185" s="8">
        <v>4.2404999999999999</v>
      </c>
      <c r="ET185" s="8">
        <v>4.2606999999999999</v>
      </c>
      <c r="EU185" s="8">
        <v>4.2815000000000003</v>
      </c>
      <c r="EV185" s="8">
        <v>4.3029000000000002</v>
      </c>
      <c r="EW185" s="8">
        <v>4.3247999999999998</v>
      </c>
      <c r="EX185" s="8">
        <v>4.3475000000000001</v>
      </c>
      <c r="EY185" s="8">
        <v>4.3708999999999998</v>
      </c>
      <c r="EZ185" s="8">
        <v>4.3949999999999996</v>
      </c>
      <c r="FA185" s="8">
        <v>4.4199000000000002</v>
      </c>
      <c r="FB185" s="8">
        <v>4.4457000000000004</v>
      </c>
      <c r="FC185" s="106">
        <v>4.4722999999999997</v>
      </c>
      <c r="FE185" s="50">
        <f t="shared" ca="1" si="21"/>
        <v>3.758772805139186</v>
      </c>
      <c r="FF185" s="50">
        <f t="shared" ca="1" si="22"/>
        <v>3.740124863825697</v>
      </c>
      <c r="FG185" s="50">
        <f t="shared" ca="1" si="23"/>
        <v>3.7210324161073829</v>
      </c>
      <c r="FH185" s="50">
        <f t="shared" ca="1" si="24"/>
        <v>3.7009653020134232</v>
      </c>
      <c r="FK185" s="50">
        <f t="shared" ca="1" si="20"/>
        <v>3.740124863825697</v>
      </c>
      <c r="FL185" s="50"/>
      <c r="FM185" s="50"/>
      <c r="FN185" s="50"/>
    </row>
    <row r="186" spans="48:170" hidden="1">
      <c r="AV186" s="69"/>
      <c r="AW186" s="104">
        <v>21.878</v>
      </c>
      <c r="AX186" s="8">
        <v>1.4668000000000001</v>
      </c>
      <c r="AY186" s="8">
        <v>1.4911000000000001</v>
      </c>
      <c r="AZ186" s="8">
        <v>1.5155000000000001</v>
      </c>
      <c r="BA186" s="8">
        <v>1.5402</v>
      </c>
      <c r="BB186" s="8">
        <v>1.5649999999999999</v>
      </c>
      <c r="BC186" s="8">
        <v>1.5901000000000001</v>
      </c>
      <c r="BD186" s="8">
        <v>1.6153</v>
      </c>
      <c r="BE186" s="8">
        <v>1.6407</v>
      </c>
      <c r="BF186" s="8">
        <v>1.6664000000000001</v>
      </c>
      <c r="BG186" s="8">
        <v>1.6921999999999999</v>
      </c>
      <c r="BH186" s="8">
        <v>1.7181999999999999</v>
      </c>
      <c r="BI186" s="8">
        <v>1.7444</v>
      </c>
      <c r="BJ186" s="8">
        <v>1.7707999999999999</v>
      </c>
      <c r="BK186" s="8">
        <v>1.7974000000000001</v>
      </c>
      <c r="BL186" s="8">
        <v>1.8242</v>
      </c>
      <c r="BM186" s="8">
        <v>1.8511</v>
      </c>
      <c r="BN186" s="8">
        <v>1.8783000000000001</v>
      </c>
      <c r="BO186" s="8">
        <v>1.9056</v>
      </c>
      <c r="BP186" s="8">
        <v>1.9331</v>
      </c>
      <c r="BQ186" s="8">
        <v>1.9608000000000001</v>
      </c>
      <c r="BR186" s="8">
        <v>1.9886999999999999</v>
      </c>
      <c r="BS186" s="8">
        <v>2.0167999999999999</v>
      </c>
      <c r="BT186" s="8">
        <v>2.0451000000000001</v>
      </c>
      <c r="BU186" s="8">
        <v>2.0735000000000001</v>
      </c>
      <c r="BV186" s="8">
        <v>2.1021000000000001</v>
      </c>
      <c r="BW186" s="8">
        <v>2.1309</v>
      </c>
      <c r="BX186" s="8">
        <v>2.1598000000000002</v>
      </c>
      <c r="BY186" s="8">
        <v>2.1890000000000001</v>
      </c>
      <c r="BZ186" s="8">
        <v>2.2181999999999999</v>
      </c>
      <c r="CA186" s="8">
        <v>2.2477</v>
      </c>
      <c r="CB186" s="8">
        <v>2.2772999999999999</v>
      </c>
      <c r="CC186" s="8">
        <v>2.3071000000000002</v>
      </c>
      <c r="CD186" s="8">
        <v>2.3370000000000002</v>
      </c>
      <c r="CE186" s="8">
        <v>2.3671000000000002</v>
      </c>
      <c r="CF186" s="8">
        <v>2.3973</v>
      </c>
      <c r="CG186" s="8">
        <v>2.4277000000000002</v>
      </c>
      <c r="CH186" s="8">
        <v>2.4582000000000002</v>
      </c>
      <c r="CI186" s="8">
        <v>2.4889000000000001</v>
      </c>
      <c r="CJ186" s="8">
        <v>2.5196999999999998</v>
      </c>
      <c r="CK186" s="8">
        <v>2.5506000000000002</v>
      </c>
      <c r="CL186" s="8">
        <v>2.5817000000000001</v>
      </c>
      <c r="CM186" s="8">
        <v>2.6128</v>
      </c>
      <c r="CN186" s="8">
        <v>2.6440999999999999</v>
      </c>
      <c r="CO186" s="8">
        <v>2.6755</v>
      </c>
      <c r="CP186" s="8">
        <v>2.7069999999999999</v>
      </c>
      <c r="CQ186" s="8">
        <v>2.7385999999999999</v>
      </c>
      <c r="CR186" s="8">
        <v>2.7702</v>
      </c>
      <c r="CS186" s="8">
        <v>2.802</v>
      </c>
      <c r="CT186" s="8">
        <v>2.8338000000000001</v>
      </c>
      <c r="CU186" s="8">
        <v>2.8656999999999999</v>
      </c>
      <c r="CV186" s="8">
        <v>2.8976999999999999</v>
      </c>
      <c r="CW186" s="8">
        <v>2.9297</v>
      </c>
      <c r="CX186" s="8">
        <v>2.9617</v>
      </c>
      <c r="CY186" s="8">
        <v>2.9937999999999998</v>
      </c>
      <c r="CZ186" s="8">
        <v>3.0259</v>
      </c>
      <c r="DA186" s="8">
        <v>3.0579999999999998</v>
      </c>
      <c r="DB186" s="8">
        <v>3.0901000000000001</v>
      </c>
      <c r="DC186" s="8">
        <v>3.1221999999999999</v>
      </c>
      <c r="DD186" s="8">
        <v>3.1543000000000001</v>
      </c>
      <c r="DE186" s="8">
        <v>3.1863000000000001</v>
      </c>
      <c r="DF186" s="8">
        <v>3.2183999999999999</v>
      </c>
      <c r="DG186" s="8">
        <v>3.2503000000000002</v>
      </c>
      <c r="DH186" s="8">
        <v>3.2822</v>
      </c>
      <c r="DI186" s="8">
        <v>3.3140000000000001</v>
      </c>
      <c r="DJ186" s="8">
        <v>3.3458000000000001</v>
      </c>
      <c r="DK186" s="8">
        <v>3.3774000000000002</v>
      </c>
      <c r="DL186" s="8">
        <v>3.4089</v>
      </c>
      <c r="DM186" s="8">
        <v>3.4403000000000001</v>
      </c>
      <c r="DN186" s="8">
        <v>3.4716</v>
      </c>
      <c r="DO186" s="8">
        <v>3.5026999999999999</v>
      </c>
      <c r="DP186" s="8">
        <v>3.5335999999999999</v>
      </c>
      <c r="DQ186" s="8">
        <v>3.5644</v>
      </c>
      <c r="DR186" s="8">
        <v>3.5950000000000002</v>
      </c>
      <c r="DS186" s="8">
        <v>3.6254</v>
      </c>
      <c r="DT186" s="8">
        <v>3.6556000000000002</v>
      </c>
      <c r="DU186" s="8">
        <v>3.6856</v>
      </c>
      <c r="DV186" s="8">
        <v>3.7153999999999998</v>
      </c>
      <c r="DW186" s="8">
        <v>3.7448999999999999</v>
      </c>
      <c r="DX186" s="8">
        <v>3.7743000000000002</v>
      </c>
      <c r="DY186" s="8">
        <v>3.8033000000000001</v>
      </c>
      <c r="DZ186" s="8">
        <v>3.8321999999999998</v>
      </c>
      <c r="EA186" s="8">
        <v>3.8607999999999998</v>
      </c>
      <c r="EB186" s="8">
        <v>3.8891</v>
      </c>
      <c r="EC186" s="8">
        <v>3.9173</v>
      </c>
      <c r="ED186" s="8">
        <v>3.9451999999999998</v>
      </c>
      <c r="EE186" s="8">
        <v>3.9727999999999999</v>
      </c>
      <c r="EF186" s="8">
        <v>4.0003000000000002</v>
      </c>
      <c r="EG186" s="8">
        <v>4.0202</v>
      </c>
      <c r="EH186" s="8">
        <v>4.0380000000000003</v>
      </c>
      <c r="EI186" s="8">
        <v>4.0557999999999996</v>
      </c>
      <c r="EJ186" s="8">
        <v>4.0735000000000001</v>
      </c>
      <c r="EK186" s="8">
        <v>4.0913000000000004</v>
      </c>
      <c r="EL186" s="8">
        <v>4.1092000000000004</v>
      </c>
      <c r="EM186" s="8">
        <v>4.1272000000000002</v>
      </c>
      <c r="EN186" s="8">
        <v>4.1452999999999998</v>
      </c>
      <c r="EO186" s="8">
        <v>4.1637000000000004</v>
      </c>
      <c r="EP186" s="8">
        <v>4.1824000000000003</v>
      </c>
      <c r="EQ186" s="8">
        <v>4.2013999999999996</v>
      </c>
      <c r="ER186" s="8">
        <v>4.2206999999999999</v>
      </c>
      <c r="ES186" s="8">
        <v>4.2404999999999999</v>
      </c>
      <c r="ET186" s="8">
        <v>4.2606999999999999</v>
      </c>
      <c r="EU186" s="8">
        <v>4.2815000000000003</v>
      </c>
      <c r="EV186" s="8">
        <v>4.3029000000000002</v>
      </c>
      <c r="EW186" s="8">
        <v>4.3247999999999998</v>
      </c>
      <c r="EX186" s="8">
        <v>4.3475000000000001</v>
      </c>
      <c r="EY186" s="8">
        <v>4.3708999999999998</v>
      </c>
      <c r="EZ186" s="8">
        <v>4.3949999999999996</v>
      </c>
      <c r="FA186" s="8">
        <v>4.4199000000000002</v>
      </c>
      <c r="FB186" s="8">
        <v>4.4457000000000004</v>
      </c>
      <c r="FC186" s="106">
        <v>4.4722999999999997</v>
      </c>
      <c r="FE186" s="50">
        <f t="shared" ca="1" si="21"/>
        <v>3.750772805139186</v>
      </c>
      <c r="FF186" s="50">
        <f t="shared" ca="1" si="22"/>
        <v>3.7321680230695291</v>
      </c>
      <c r="FG186" s="50">
        <f t="shared" ca="1" si="23"/>
        <v>3.7131399999999997</v>
      </c>
      <c r="FH186" s="50">
        <f t="shared" ca="1" si="24"/>
        <v>3.6931399999999996</v>
      </c>
      <c r="FK186" s="50">
        <f t="shared" ca="1" si="20"/>
        <v>3.7321680230695291</v>
      </c>
      <c r="FL186" s="50"/>
      <c r="FM186" s="50"/>
      <c r="FN186" s="50"/>
    </row>
    <row r="187" spans="48:170" hidden="1">
      <c r="AV187" s="69"/>
      <c r="AW187" s="104">
        <v>23.442</v>
      </c>
      <c r="AX187" s="8">
        <v>1.4637</v>
      </c>
      <c r="AY187" s="8">
        <v>1.4879</v>
      </c>
      <c r="AZ187" s="8">
        <v>1.5123</v>
      </c>
      <c r="BA187" s="8">
        <v>1.5368999999999999</v>
      </c>
      <c r="BB187" s="8">
        <v>1.5617000000000001</v>
      </c>
      <c r="BC187" s="8">
        <v>1.5867</v>
      </c>
      <c r="BD187" s="8">
        <v>1.6119000000000001</v>
      </c>
      <c r="BE187" s="8">
        <v>1.6373</v>
      </c>
      <c r="BF187" s="8">
        <v>1.6629</v>
      </c>
      <c r="BG187" s="8">
        <v>1.6886000000000001</v>
      </c>
      <c r="BH187" s="8">
        <v>1.7145999999999999</v>
      </c>
      <c r="BI187" s="8">
        <v>1.7406999999999999</v>
      </c>
      <c r="BJ187" s="8">
        <v>1.7670999999999999</v>
      </c>
      <c r="BK187" s="8">
        <v>1.7936000000000001</v>
      </c>
      <c r="BL187" s="8">
        <v>1.8203</v>
      </c>
      <c r="BM187" s="8">
        <v>1.8472</v>
      </c>
      <c r="BN187" s="8">
        <v>1.8743000000000001</v>
      </c>
      <c r="BO187" s="8">
        <v>1.9016</v>
      </c>
      <c r="BP187" s="8">
        <v>1.9291</v>
      </c>
      <c r="BQ187" s="8">
        <v>1.9567000000000001</v>
      </c>
      <c r="BR187" s="8">
        <v>1.9845999999999999</v>
      </c>
      <c r="BS187" s="8">
        <v>2.0125999999999999</v>
      </c>
      <c r="BT187" s="8">
        <v>2.0407999999999999</v>
      </c>
      <c r="BU187" s="8">
        <v>2.0691000000000002</v>
      </c>
      <c r="BV187" s="8">
        <v>2.0977000000000001</v>
      </c>
      <c r="BW187" s="8">
        <v>2.1263999999999998</v>
      </c>
      <c r="BX187" s="8">
        <v>2.1553</v>
      </c>
      <c r="BY187" s="8">
        <v>2.1844000000000001</v>
      </c>
      <c r="BZ187" s="8">
        <v>2.2136</v>
      </c>
      <c r="CA187" s="8">
        <v>2.2429999999999999</v>
      </c>
      <c r="CB187" s="8">
        <v>2.2725</v>
      </c>
      <c r="CC187" s="8">
        <v>2.3022999999999998</v>
      </c>
      <c r="CD187" s="8">
        <v>2.3321000000000001</v>
      </c>
      <c r="CE187" s="8">
        <v>2.3620999999999999</v>
      </c>
      <c r="CF187" s="8">
        <v>2.3923000000000001</v>
      </c>
      <c r="CG187" s="8">
        <v>2.4226000000000001</v>
      </c>
      <c r="CH187" s="8">
        <v>2.4531000000000001</v>
      </c>
      <c r="CI187" s="8">
        <v>2.4836999999999998</v>
      </c>
      <c r="CJ187" s="8">
        <v>2.5144000000000002</v>
      </c>
      <c r="CK187" s="8">
        <v>2.5453000000000001</v>
      </c>
      <c r="CL187" s="8">
        <v>2.5762999999999998</v>
      </c>
      <c r="CM187" s="8">
        <v>2.6074000000000002</v>
      </c>
      <c r="CN187" s="8">
        <v>2.6385999999999998</v>
      </c>
      <c r="CO187" s="8">
        <v>2.6699000000000002</v>
      </c>
      <c r="CP187" s="8">
        <v>2.7012999999999998</v>
      </c>
      <c r="CQ187" s="8">
        <v>2.7328000000000001</v>
      </c>
      <c r="CR187" s="8">
        <v>2.7644000000000002</v>
      </c>
      <c r="CS187" s="8">
        <v>2.7961</v>
      </c>
      <c r="CT187" s="8">
        <v>2.8279000000000001</v>
      </c>
      <c r="CU187" s="8">
        <v>2.8597000000000001</v>
      </c>
      <c r="CV187" s="8">
        <v>2.8915999999999999</v>
      </c>
      <c r="CW187" s="8">
        <v>2.9235000000000002</v>
      </c>
      <c r="CX187" s="8">
        <v>2.9554999999999998</v>
      </c>
      <c r="CY187" s="8">
        <v>2.9874999999999998</v>
      </c>
      <c r="CZ187" s="8">
        <v>3.0194999999999999</v>
      </c>
      <c r="DA187" s="8">
        <v>3.0516000000000001</v>
      </c>
      <c r="DB187" s="8">
        <v>3.0836000000000001</v>
      </c>
      <c r="DC187" s="8">
        <v>3.1156999999999999</v>
      </c>
      <c r="DD187" s="8">
        <v>3.1476999999999999</v>
      </c>
      <c r="DE187" s="8">
        <v>3.1797</v>
      </c>
      <c r="DF187" s="8">
        <v>3.2115999999999998</v>
      </c>
      <c r="DG187" s="8">
        <v>3.2435</v>
      </c>
      <c r="DH187" s="8">
        <v>3.2753000000000001</v>
      </c>
      <c r="DI187" s="8">
        <v>3.3071000000000002</v>
      </c>
      <c r="DJ187" s="8">
        <v>3.3388</v>
      </c>
      <c r="DK187" s="8">
        <v>3.3702999999999999</v>
      </c>
      <c r="DL187" s="8">
        <v>3.4018000000000002</v>
      </c>
      <c r="DM187" s="8">
        <v>3.4331</v>
      </c>
      <c r="DN187" s="8">
        <v>3.4643000000000002</v>
      </c>
      <c r="DO187" s="8">
        <v>3.4954000000000001</v>
      </c>
      <c r="DP187" s="8">
        <v>3.5261999999999998</v>
      </c>
      <c r="DQ187" s="8">
        <v>3.5569999999999999</v>
      </c>
      <c r="DR187" s="8">
        <v>3.5874999999999999</v>
      </c>
      <c r="DS187" s="8">
        <v>3.6177999999999999</v>
      </c>
      <c r="DT187" s="8">
        <v>3.6480000000000001</v>
      </c>
      <c r="DU187" s="8">
        <v>3.6779000000000002</v>
      </c>
      <c r="DV187" s="8">
        <v>3.7075999999999998</v>
      </c>
      <c r="DW187" s="8">
        <v>3.7370999999999999</v>
      </c>
      <c r="DX187" s="8">
        <v>3.7663000000000002</v>
      </c>
      <c r="DY187" s="8">
        <v>3.7953999999999999</v>
      </c>
      <c r="DZ187" s="8">
        <v>3.8241000000000001</v>
      </c>
      <c r="EA187" s="8">
        <v>3.8527</v>
      </c>
      <c r="EB187" s="8">
        <v>3.8809999999999998</v>
      </c>
      <c r="EC187" s="8">
        <v>3.9091</v>
      </c>
      <c r="ED187" s="8">
        <v>3.9369000000000001</v>
      </c>
      <c r="EE187" s="8">
        <v>3.9645000000000001</v>
      </c>
      <c r="EF187" s="8">
        <v>3.9918999999999998</v>
      </c>
      <c r="EG187" s="8">
        <v>4.0190999999999999</v>
      </c>
      <c r="EH187" s="8">
        <v>4.0380000000000003</v>
      </c>
      <c r="EI187" s="8">
        <v>4.0557999999999996</v>
      </c>
      <c r="EJ187" s="8">
        <v>4.0735000000000001</v>
      </c>
      <c r="EK187" s="8">
        <v>4.0913000000000004</v>
      </c>
      <c r="EL187" s="8">
        <v>4.1092000000000004</v>
      </c>
      <c r="EM187" s="8">
        <v>4.1272000000000002</v>
      </c>
      <c r="EN187" s="8">
        <v>4.1452999999999998</v>
      </c>
      <c r="EO187" s="8">
        <v>4.1637000000000004</v>
      </c>
      <c r="EP187" s="8">
        <v>4.1824000000000003</v>
      </c>
      <c r="EQ187" s="8">
        <v>4.2013999999999996</v>
      </c>
      <c r="ER187" s="8">
        <v>4.2206999999999999</v>
      </c>
      <c r="ES187" s="8">
        <v>4.2404999999999999</v>
      </c>
      <c r="ET187" s="8">
        <v>4.2606999999999999</v>
      </c>
      <c r="EU187" s="8">
        <v>4.2815000000000003</v>
      </c>
      <c r="EV187" s="8">
        <v>4.3029000000000002</v>
      </c>
      <c r="EW187" s="8">
        <v>4.3247999999999998</v>
      </c>
      <c r="EX187" s="8">
        <v>4.3475000000000001</v>
      </c>
      <c r="EY187" s="8">
        <v>4.3708999999999998</v>
      </c>
      <c r="EZ187" s="8">
        <v>4.3949999999999996</v>
      </c>
      <c r="FA187" s="8">
        <v>4.4199000000000002</v>
      </c>
      <c r="FB187" s="8">
        <v>4.4457000000000004</v>
      </c>
      <c r="FC187" s="106">
        <v>4.4722999999999997</v>
      </c>
      <c r="FE187" s="50">
        <f t="shared" ca="1" si="21"/>
        <v>3.7429328540838176</v>
      </c>
      <c r="FF187" s="50">
        <f t="shared" ca="1" si="22"/>
        <v>3.7243680230695286</v>
      </c>
      <c r="FG187" s="50">
        <f t="shared" ca="1" si="23"/>
        <v>3.7053475838926175</v>
      </c>
      <c r="FH187" s="50">
        <f t="shared" ca="1" si="24"/>
        <v>3.6854146979865776</v>
      </c>
      <c r="FK187" s="50">
        <f t="shared" ca="1" si="20"/>
        <v>3.7243680230695286</v>
      </c>
      <c r="FL187" s="50"/>
      <c r="FM187" s="50"/>
      <c r="FN187" s="50"/>
    </row>
    <row r="188" spans="48:170" hidden="1">
      <c r="AV188" s="69"/>
      <c r="AW188" s="104">
        <v>25.119</v>
      </c>
      <c r="AX188" s="8">
        <v>1.4607000000000001</v>
      </c>
      <c r="AY188" s="8">
        <v>1.4847999999999999</v>
      </c>
      <c r="AZ188" s="8">
        <v>1.5092000000000001</v>
      </c>
      <c r="BA188" s="8">
        <v>1.5337000000000001</v>
      </c>
      <c r="BB188" s="8">
        <v>1.5585</v>
      </c>
      <c r="BC188" s="8">
        <v>1.5833999999999999</v>
      </c>
      <c r="BD188" s="8">
        <v>1.6086</v>
      </c>
      <c r="BE188" s="8">
        <v>1.6338999999999999</v>
      </c>
      <c r="BF188" s="8">
        <v>1.6594</v>
      </c>
      <c r="BG188" s="8">
        <v>1.6851</v>
      </c>
      <c r="BH188" s="8">
        <v>1.7110000000000001</v>
      </c>
      <c r="BI188" s="8">
        <v>1.7371000000000001</v>
      </c>
      <c r="BJ188" s="8">
        <v>1.7634000000000001</v>
      </c>
      <c r="BK188" s="8">
        <v>1.7899</v>
      </c>
      <c r="BL188" s="8">
        <v>1.8166</v>
      </c>
      <c r="BM188" s="8">
        <v>1.8433999999999999</v>
      </c>
      <c r="BN188" s="8">
        <v>1.8704000000000001</v>
      </c>
      <c r="BO188" s="8">
        <v>1.8976999999999999</v>
      </c>
      <c r="BP188" s="8">
        <v>1.9251</v>
      </c>
      <c r="BQ188" s="8">
        <v>1.9527000000000001</v>
      </c>
      <c r="BR188" s="8">
        <v>1.9804999999999999</v>
      </c>
      <c r="BS188" s="8">
        <v>2.0084</v>
      </c>
      <c r="BT188" s="8">
        <v>2.0365000000000002</v>
      </c>
      <c r="BU188" s="8">
        <v>2.0649000000000002</v>
      </c>
      <c r="BV188" s="8">
        <v>2.0933000000000002</v>
      </c>
      <c r="BW188" s="8">
        <v>2.1219999999999999</v>
      </c>
      <c r="BX188" s="8">
        <v>2.1507999999999998</v>
      </c>
      <c r="BY188" s="8">
        <v>2.1798000000000002</v>
      </c>
      <c r="BZ188" s="8">
        <v>2.2090000000000001</v>
      </c>
      <c r="CA188" s="8">
        <v>2.2383000000000002</v>
      </c>
      <c r="CB188" s="8">
        <v>2.2677999999999998</v>
      </c>
      <c r="CC188" s="8">
        <v>2.2974999999999999</v>
      </c>
      <c r="CD188" s="8">
        <v>2.3273000000000001</v>
      </c>
      <c r="CE188" s="8">
        <v>2.3572000000000002</v>
      </c>
      <c r="CF188" s="8">
        <v>2.3874</v>
      </c>
      <c r="CG188" s="8">
        <v>2.4176000000000002</v>
      </c>
      <c r="CH188" s="8">
        <v>2.448</v>
      </c>
      <c r="CI188" s="8">
        <v>2.4784999999999999</v>
      </c>
      <c r="CJ188" s="8">
        <v>2.5091999999999999</v>
      </c>
      <c r="CK188" s="8">
        <v>2.54</v>
      </c>
      <c r="CL188" s="8">
        <v>2.5709</v>
      </c>
      <c r="CM188" s="8">
        <v>2.6019000000000001</v>
      </c>
      <c r="CN188" s="8">
        <v>2.6331000000000002</v>
      </c>
      <c r="CO188" s="8">
        <v>2.6644000000000001</v>
      </c>
      <c r="CP188" s="8">
        <v>2.6957</v>
      </c>
      <c r="CQ188" s="8">
        <v>2.7271999999999998</v>
      </c>
      <c r="CR188" s="8">
        <v>2.7587000000000002</v>
      </c>
      <c r="CS188" s="8">
        <v>2.7902999999999998</v>
      </c>
      <c r="CT188" s="8">
        <v>2.8220000000000001</v>
      </c>
      <c r="CU188" s="8">
        <v>2.8538000000000001</v>
      </c>
      <c r="CV188" s="8">
        <v>2.8856000000000002</v>
      </c>
      <c r="CW188" s="8">
        <v>2.9175</v>
      </c>
      <c r="CX188" s="8">
        <v>2.9493999999999998</v>
      </c>
      <c r="CY188" s="8">
        <v>2.9813000000000001</v>
      </c>
      <c r="CZ188" s="8">
        <v>3.0133000000000001</v>
      </c>
      <c r="DA188" s="8">
        <v>3.0451999999999999</v>
      </c>
      <c r="DB188" s="8">
        <v>3.0771999999999999</v>
      </c>
      <c r="DC188" s="8">
        <v>3.1092</v>
      </c>
      <c r="DD188" s="8">
        <v>3.1410999999999998</v>
      </c>
      <c r="DE188" s="8">
        <v>3.1730999999999998</v>
      </c>
      <c r="DF188" s="8">
        <v>3.2048999999999999</v>
      </c>
      <c r="DG188" s="8">
        <v>3.2368000000000001</v>
      </c>
      <c r="DH188" s="8">
        <v>3.2685</v>
      </c>
      <c r="DI188" s="8">
        <v>3.3001999999999998</v>
      </c>
      <c r="DJ188" s="8">
        <v>3.3317999999999999</v>
      </c>
      <c r="DK188" s="8">
        <v>3.3633000000000002</v>
      </c>
      <c r="DL188" s="8">
        <v>3.3946999999999998</v>
      </c>
      <c r="DM188" s="8">
        <v>3.4260000000000002</v>
      </c>
      <c r="DN188" s="8">
        <v>3.4571000000000001</v>
      </c>
      <c r="DO188" s="8">
        <v>3.4881000000000002</v>
      </c>
      <c r="DP188" s="8">
        <v>3.5188999999999999</v>
      </c>
      <c r="DQ188" s="8">
        <v>3.5495999999999999</v>
      </c>
      <c r="DR188" s="8">
        <v>3.58</v>
      </c>
      <c r="DS188" s="8">
        <v>3.6103000000000001</v>
      </c>
      <c r="DT188" s="8">
        <v>3.6404000000000001</v>
      </c>
      <c r="DU188" s="8">
        <v>3.6703000000000001</v>
      </c>
      <c r="DV188" s="8">
        <v>3.6999</v>
      </c>
      <c r="DW188" s="8">
        <v>3.7292999999999998</v>
      </c>
      <c r="DX188" s="8">
        <v>3.7585000000000002</v>
      </c>
      <c r="DY188" s="8">
        <v>3.7875000000000001</v>
      </c>
      <c r="DZ188" s="8">
        <v>3.8161999999999998</v>
      </c>
      <c r="EA188" s="8">
        <v>3.8447</v>
      </c>
      <c r="EB188" s="8">
        <v>3.8729</v>
      </c>
      <c r="EC188" s="8">
        <v>3.9009</v>
      </c>
      <c r="ED188" s="8">
        <v>3.9287000000000001</v>
      </c>
      <c r="EE188" s="8">
        <v>3.9563000000000001</v>
      </c>
      <c r="EF188" s="8">
        <v>3.9836</v>
      </c>
      <c r="EG188" s="8">
        <v>4.0106999999999999</v>
      </c>
      <c r="EH188" s="8">
        <v>4.0377000000000001</v>
      </c>
      <c r="EI188" s="8">
        <v>4.0557999999999996</v>
      </c>
      <c r="EJ188" s="8">
        <v>4.0735000000000001</v>
      </c>
      <c r="EK188" s="8">
        <v>4.0913000000000004</v>
      </c>
      <c r="EL188" s="8">
        <v>4.1092000000000004</v>
      </c>
      <c r="EM188" s="8">
        <v>4.1272000000000002</v>
      </c>
      <c r="EN188" s="8">
        <v>4.1452999999999998</v>
      </c>
      <c r="EO188" s="8">
        <v>4.1637000000000004</v>
      </c>
      <c r="EP188" s="8">
        <v>4.1824000000000003</v>
      </c>
      <c r="EQ188" s="8">
        <v>4.2013999999999996</v>
      </c>
      <c r="ER188" s="8">
        <v>4.2206999999999999</v>
      </c>
      <c r="ES188" s="8">
        <v>4.2404999999999999</v>
      </c>
      <c r="ET188" s="8">
        <v>4.2606999999999999</v>
      </c>
      <c r="EU188" s="8">
        <v>4.2815000000000003</v>
      </c>
      <c r="EV188" s="8">
        <v>4.3029000000000002</v>
      </c>
      <c r="EW188" s="8">
        <v>4.3247999999999998</v>
      </c>
      <c r="EX188" s="8">
        <v>4.3475000000000001</v>
      </c>
      <c r="EY188" s="8">
        <v>4.3708999999999998</v>
      </c>
      <c r="EZ188" s="8">
        <v>4.3949999999999996</v>
      </c>
      <c r="FA188" s="8">
        <v>4.4199000000000002</v>
      </c>
      <c r="FB188" s="8">
        <v>4.4457000000000004</v>
      </c>
      <c r="FC188" s="106">
        <v>4.4722999999999997</v>
      </c>
      <c r="FE188" s="50">
        <f t="shared" ca="1" si="21"/>
        <v>3.7351328540838176</v>
      </c>
      <c r="FF188" s="50">
        <f t="shared" ca="1" si="22"/>
        <v>3.7166111823133612</v>
      </c>
      <c r="FG188" s="50">
        <f t="shared" ca="1" si="23"/>
        <v>3.6976551677852347</v>
      </c>
      <c r="FH188" s="50">
        <f t="shared" ca="1" si="24"/>
        <v>3.6777893959731545</v>
      </c>
      <c r="FK188" s="50">
        <f t="shared" ca="1" si="20"/>
        <v>3.7166111823133612</v>
      </c>
      <c r="FL188" s="50"/>
      <c r="FM188" s="50"/>
      <c r="FN188" s="50"/>
    </row>
    <row r="189" spans="48:170" hidden="1">
      <c r="AV189" s="69"/>
      <c r="AW189" s="104">
        <v>26.914999999999999</v>
      </c>
      <c r="AX189" s="8">
        <v>1.4577</v>
      </c>
      <c r="AY189" s="8">
        <v>1.4818</v>
      </c>
      <c r="AZ189" s="8">
        <v>1.5061</v>
      </c>
      <c r="BA189" s="8">
        <v>1.5306</v>
      </c>
      <c r="BB189" s="8">
        <v>1.5552999999999999</v>
      </c>
      <c r="BC189" s="8">
        <v>1.5802</v>
      </c>
      <c r="BD189" s="8">
        <v>1.6052999999999999</v>
      </c>
      <c r="BE189" s="8">
        <v>1.6305000000000001</v>
      </c>
      <c r="BF189" s="8">
        <v>1.6559999999999999</v>
      </c>
      <c r="BG189" s="8">
        <v>1.6817</v>
      </c>
      <c r="BH189" s="8">
        <v>1.7075</v>
      </c>
      <c r="BI189" s="8">
        <v>1.7336</v>
      </c>
      <c r="BJ189" s="8">
        <v>1.7598</v>
      </c>
      <c r="BK189" s="8">
        <v>1.7862</v>
      </c>
      <c r="BL189" s="8">
        <v>1.8128</v>
      </c>
      <c r="BM189" s="8">
        <v>1.8395999999999999</v>
      </c>
      <c r="BN189" s="8">
        <v>1.8666</v>
      </c>
      <c r="BO189" s="8">
        <v>1.8937999999999999</v>
      </c>
      <c r="BP189" s="8">
        <v>1.9211</v>
      </c>
      <c r="BQ189" s="8">
        <v>1.9487000000000001</v>
      </c>
      <c r="BR189" s="8">
        <v>1.9763999999999999</v>
      </c>
      <c r="BS189" s="8">
        <v>2.0043000000000002</v>
      </c>
      <c r="BT189" s="8">
        <v>2.0324</v>
      </c>
      <c r="BU189" s="8">
        <v>2.0606</v>
      </c>
      <c r="BV189" s="8">
        <v>2.089</v>
      </c>
      <c r="BW189" s="8">
        <v>2.1175999999999999</v>
      </c>
      <c r="BX189" s="8">
        <v>2.1463999999999999</v>
      </c>
      <c r="BY189" s="8">
        <v>2.1753999999999998</v>
      </c>
      <c r="BZ189" s="8">
        <v>2.2044999999999999</v>
      </c>
      <c r="CA189" s="8">
        <v>2.2336999999999998</v>
      </c>
      <c r="CB189" s="8">
        <v>2.2631999999999999</v>
      </c>
      <c r="CC189" s="8">
        <v>2.2928000000000002</v>
      </c>
      <c r="CD189" s="8">
        <v>2.3224999999999998</v>
      </c>
      <c r="CE189" s="8">
        <v>2.3523999999999998</v>
      </c>
      <c r="CF189" s="8">
        <v>2.3824999999999998</v>
      </c>
      <c r="CG189" s="8">
        <v>2.4125999999999999</v>
      </c>
      <c r="CH189" s="8">
        <v>2.4430000000000001</v>
      </c>
      <c r="CI189" s="8">
        <v>2.4733999999999998</v>
      </c>
      <c r="CJ189" s="8">
        <v>2.504</v>
      </c>
      <c r="CK189" s="8">
        <v>2.5348000000000002</v>
      </c>
      <c r="CL189" s="8">
        <v>2.5655999999999999</v>
      </c>
      <c r="CM189" s="8">
        <v>2.5966</v>
      </c>
      <c r="CN189" s="8">
        <v>2.6276999999999999</v>
      </c>
      <c r="CO189" s="8">
        <v>2.6589</v>
      </c>
      <c r="CP189" s="8">
        <v>2.6901999999999999</v>
      </c>
      <c r="CQ189" s="8">
        <v>2.7216</v>
      </c>
      <c r="CR189" s="8">
        <v>2.7530000000000001</v>
      </c>
      <c r="CS189" s="8">
        <v>2.7846000000000002</v>
      </c>
      <c r="CT189" s="8">
        <v>2.8161999999999998</v>
      </c>
      <c r="CU189" s="8">
        <v>2.8479000000000001</v>
      </c>
      <c r="CV189" s="8">
        <v>2.8797000000000001</v>
      </c>
      <c r="CW189" s="8">
        <v>2.9115000000000002</v>
      </c>
      <c r="CX189" s="8">
        <v>2.9432999999999998</v>
      </c>
      <c r="CY189" s="8">
        <v>2.9752000000000001</v>
      </c>
      <c r="CZ189" s="8">
        <v>3.0070999999999999</v>
      </c>
      <c r="DA189" s="8">
        <v>3.0390000000000001</v>
      </c>
      <c r="DB189" s="8">
        <v>3.0709</v>
      </c>
      <c r="DC189" s="8">
        <v>3.1027999999999998</v>
      </c>
      <c r="DD189" s="8">
        <v>3.1347</v>
      </c>
      <c r="DE189" s="8">
        <v>3.1665000000000001</v>
      </c>
      <c r="DF189" s="8">
        <v>3.1983999999999999</v>
      </c>
      <c r="DG189" s="8">
        <v>3.2301000000000002</v>
      </c>
      <c r="DH189" s="8">
        <v>3.2618</v>
      </c>
      <c r="DI189" s="8">
        <v>3.2934000000000001</v>
      </c>
      <c r="DJ189" s="8">
        <v>3.3250000000000002</v>
      </c>
      <c r="DK189" s="8">
        <v>3.3563999999999998</v>
      </c>
      <c r="DL189" s="8">
        <v>3.3877000000000002</v>
      </c>
      <c r="DM189" s="8">
        <v>3.4188999999999998</v>
      </c>
      <c r="DN189" s="8">
        <v>3.45</v>
      </c>
      <c r="DO189" s="8">
        <v>3.4809000000000001</v>
      </c>
      <c r="DP189" s="8">
        <v>3.5116999999999998</v>
      </c>
      <c r="DQ189" s="8">
        <v>3.5423</v>
      </c>
      <c r="DR189" s="8">
        <v>3.5727000000000002</v>
      </c>
      <c r="DS189" s="8">
        <v>3.6029</v>
      </c>
      <c r="DT189" s="8">
        <v>3.6328999999999998</v>
      </c>
      <c r="DU189" s="8">
        <v>3.6627000000000001</v>
      </c>
      <c r="DV189" s="8">
        <v>3.6922999999999999</v>
      </c>
      <c r="DW189" s="8">
        <v>3.7216999999999998</v>
      </c>
      <c r="DX189" s="8">
        <v>3.7507999999999999</v>
      </c>
      <c r="DY189" s="8">
        <v>3.7797000000000001</v>
      </c>
      <c r="DZ189" s="8">
        <v>3.8083999999999998</v>
      </c>
      <c r="EA189" s="8">
        <v>3.8368000000000002</v>
      </c>
      <c r="EB189" s="8">
        <v>3.8650000000000002</v>
      </c>
      <c r="EC189" s="8">
        <v>3.8929</v>
      </c>
      <c r="ED189" s="8">
        <v>3.9205999999999999</v>
      </c>
      <c r="EE189" s="8">
        <v>3.9481000000000002</v>
      </c>
      <c r="EF189" s="8">
        <v>3.9754</v>
      </c>
      <c r="EG189" s="8">
        <v>4.0025000000000004</v>
      </c>
      <c r="EH189" s="8">
        <v>4.0293999999999999</v>
      </c>
      <c r="EI189" s="8">
        <v>4.0557999999999996</v>
      </c>
      <c r="EJ189" s="8">
        <v>4.0735000000000001</v>
      </c>
      <c r="EK189" s="8">
        <v>4.0913000000000004</v>
      </c>
      <c r="EL189" s="8">
        <v>4.1092000000000004</v>
      </c>
      <c r="EM189" s="8">
        <v>4.1272000000000002</v>
      </c>
      <c r="EN189" s="8">
        <v>4.1452999999999998</v>
      </c>
      <c r="EO189" s="8">
        <v>4.1637000000000004</v>
      </c>
      <c r="EP189" s="8">
        <v>4.1824000000000003</v>
      </c>
      <c r="EQ189" s="8">
        <v>4.2013999999999996</v>
      </c>
      <c r="ER189" s="8">
        <v>4.2206999999999999</v>
      </c>
      <c r="ES189" s="8">
        <v>4.2404999999999999</v>
      </c>
      <c r="ET189" s="8">
        <v>4.2606999999999999</v>
      </c>
      <c r="EU189" s="8">
        <v>4.2815000000000003</v>
      </c>
      <c r="EV189" s="8">
        <v>4.3029000000000002</v>
      </c>
      <c r="EW189" s="8">
        <v>4.3247999999999998</v>
      </c>
      <c r="EX189" s="8">
        <v>4.3475000000000001</v>
      </c>
      <c r="EY189" s="8">
        <v>4.3708999999999998</v>
      </c>
      <c r="EZ189" s="8">
        <v>4.3949999999999996</v>
      </c>
      <c r="FA189" s="8">
        <v>4.4199000000000002</v>
      </c>
      <c r="FB189" s="8">
        <v>4.4457000000000004</v>
      </c>
      <c r="FC189" s="106">
        <v>4.4722999999999997</v>
      </c>
      <c r="FE189" s="50">
        <f t="shared" ca="1" si="21"/>
        <v>3.7275128785561336</v>
      </c>
      <c r="FF189" s="50">
        <f t="shared" ca="1" si="22"/>
        <v>3.7090111823133611</v>
      </c>
      <c r="FG189" s="50">
        <f t="shared" ca="1" si="23"/>
        <v>3.6900551677852347</v>
      </c>
      <c r="FH189" s="50">
        <f t="shared" ca="1" si="24"/>
        <v>3.6701893959731544</v>
      </c>
      <c r="FK189" s="50">
        <f t="shared" ca="1" si="20"/>
        <v>3.7090111823133611</v>
      </c>
      <c r="FL189" s="50"/>
      <c r="FM189" s="50"/>
      <c r="FN189" s="50"/>
    </row>
    <row r="190" spans="48:170" hidden="1">
      <c r="AV190" s="69"/>
      <c r="AW190" s="104">
        <v>28.84</v>
      </c>
      <c r="AX190" s="8">
        <v>1.4547000000000001</v>
      </c>
      <c r="AY190" s="8">
        <v>1.4787999999999999</v>
      </c>
      <c r="AZ190" s="8">
        <v>1.5029999999999999</v>
      </c>
      <c r="BA190" s="8">
        <v>1.5275000000000001</v>
      </c>
      <c r="BB190" s="8">
        <v>1.5521</v>
      </c>
      <c r="BC190" s="8">
        <v>1.577</v>
      </c>
      <c r="BD190" s="8">
        <v>1.6020000000000001</v>
      </c>
      <c r="BE190" s="8">
        <v>1.6272</v>
      </c>
      <c r="BF190" s="8">
        <v>1.6526000000000001</v>
      </c>
      <c r="BG190" s="8">
        <v>1.6781999999999999</v>
      </c>
      <c r="BH190" s="8">
        <v>1.704</v>
      </c>
      <c r="BI190" s="8">
        <v>1.73</v>
      </c>
      <c r="BJ190" s="8">
        <v>1.7562</v>
      </c>
      <c r="BK190" s="8">
        <v>1.7826</v>
      </c>
      <c r="BL190" s="8">
        <v>1.8090999999999999</v>
      </c>
      <c r="BM190" s="8">
        <v>1.8359000000000001</v>
      </c>
      <c r="BN190" s="8">
        <v>1.8628</v>
      </c>
      <c r="BO190" s="8">
        <v>1.8898999999999999</v>
      </c>
      <c r="BP190" s="8">
        <v>1.9172</v>
      </c>
      <c r="BQ190" s="8">
        <v>1.9447000000000001</v>
      </c>
      <c r="BR190" s="8">
        <v>1.9723999999999999</v>
      </c>
      <c r="BS190" s="8">
        <v>2.0002</v>
      </c>
      <c r="BT190" s="8">
        <v>2.0282</v>
      </c>
      <c r="BU190" s="8">
        <v>2.0564</v>
      </c>
      <c r="BV190" s="8">
        <v>2.0848</v>
      </c>
      <c r="BW190" s="8">
        <v>2.1133000000000002</v>
      </c>
      <c r="BX190" s="8">
        <v>2.1419999999999999</v>
      </c>
      <c r="BY190" s="8">
        <v>2.1709000000000001</v>
      </c>
      <c r="BZ190" s="8">
        <v>2.2000000000000002</v>
      </c>
      <c r="CA190" s="8">
        <v>2.2292000000000001</v>
      </c>
      <c r="CB190" s="8">
        <v>2.2585999999999999</v>
      </c>
      <c r="CC190" s="8">
        <v>2.2881</v>
      </c>
      <c r="CD190" s="8">
        <v>2.3178000000000001</v>
      </c>
      <c r="CE190" s="8">
        <v>2.3475999999999999</v>
      </c>
      <c r="CF190" s="8">
        <v>2.3776000000000002</v>
      </c>
      <c r="CG190" s="8">
        <v>2.4077000000000002</v>
      </c>
      <c r="CH190" s="8">
        <v>2.4380000000000002</v>
      </c>
      <c r="CI190" s="8">
        <v>2.4683999999999999</v>
      </c>
      <c r="CJ190" s="8">
        <v>2.4990000000000001</v>
      </c>
      <c r="CK190" s="8">
        <v>2.5295999999999998</v>
      </c>
      <c r="CL190" s="8">
        <v>2.5604</v>
      </c>
      <c r="CM190" s="8">
        <v>2.5912999999999999</v>
      </c>
      <c r="CN190" s="8">
        <v>2.6223000000000001</v>
      </c>
      <c r="CO190" s="8">
        <v>2.6535000000000002</v>
      </c>
      <c r="CP190" s="8">
        <v>2.6846999999999999</v>
      </c>
      <c r="CQ190" s="8">
        <v>2.7160000000000002</v>
      </c>
      <c r="CR190" s="8">
        <v>2.7473999999999998</v>
      </c>
      <c r="CS190" s="8">
        <v>2.7789000000000001</v>
      </c>
      <c r="CT190" s="8">
        <v>2.8105000000000002</v>
      </c>
      <c r="CU190" s="8">
        <v>2.8420999999999998</v>
      </c>
      <c r="CV190" s="8">
        <v>2.8738000000000001</v>
      </c>
      <c r="CW190" s="8">
        <v>2.9055</v>
      </c>
      <c r="CX190" s="8">
        <v>2.9373</v>
      </c>
      <c r="CY190" s="8">
        <v>2.9691000000000001</v>
      </c>
      <c r="CZ190" s="8">
        <v>3.0009999999999999</v>
      </c>
      <c r="DA190" s="8">
        <v>3.0327999999999999</v>
      </c>
      <c r="DB190" s="8">
        <v>3.0647000000000002</v>
      </c>
      <c r="DC190" s="8">
        <v>3.0964999999999998</v>
      </c>
      <c r="DD190" s="8">
        <v>3.1282999999999999</v>
      </c>
      <c r="DE190" s="8">
        <v>3.1600999999999999</v>
      </c>
      <c r="DF190" s="8">
        <v>3.1919</v>
      </c>
      <c r="DG190" s="8">
        <v>3.2235999999999998</v>
      </c>
      <c r="DH190" s="8">
        <v>3.2551999999999999</v>
      </c>
      <c r="DI190" s="8">
        <v>3.2867000000000002</v>
      </c>
      <c r="DJ190" s="8">
        <v>3.3182</v>
      </c>
      <c r="DK190" s="8">
        <v>3.3496000000000001</v>
      </c>
      <c r="DL190" s="8">
        <v>3.3809</v>
      </c>
      <c r="DM190" s="8">
        <v>3.4119999999999999</v>
      </c>
      <c r="DN190" s="8">
        <v>3.4430000000000001</v>
      </c>
      <c r="DO190" s="8">
        <v>3.4739</v>
      </c>
      <c r="DP190" s="8">
        <v>3.5045000000000002</v>
      </c>
      <c r="DQ190" s="8">
        <v>3.5350999999999999</v>
      </c>
      <c r="DR190" s="8">
        <v>3.5653999999999999</v>
      </c>
      <c r="DS190" s="8">
        <v>3.5956000000000001</v>
      </c>
      <c r="DT190" s="8">
        <v>3.6255000000000002</v>
      </c>
      <c r="DU190" s="8">
        <v>3.6553</v>
      </c>
      <c r="DV190" s="8">
        <v>3.6848000000000001</v>
      </c>
      <c r="DW190" s="8">
        <v>3.7141000000000002</v>
      </c>
      <c r="DX190" s="8">
        <v>3.7431999999999999</v>
      </c>
      <c r="DY190" s="8">
        <v>3.7719999999999998</v>
      </c>
      <c r="DZ190" s="8">
        <v>3.8006000000000002</v>
      </c>
      <c r="EA190" s="8">
        <v>3.8290000000000002</v>
      </c>
      <c r="EB190" s="8">
        <v>3.8571</v>
      </c>
      <c r="EC190" s="8">
        <v>3.8849999999999998</v>
      </c>
      <c r="ED190" s="8">
        <v>3.9127000000000001</v>
      </c>
      <c r="EE190" s="8">
        <v>3.9401000000000002</v>
      </c>
      <c r="EF190" s="8">
        <v>3.9672999999999998</v>
      </c>
      <c r="EG190" s="8">
        <v>3.9944000000000002</v>
      </c>
      <c r="EH190" s="8">
        <v>4.0212000000000003</v>
      </c>
      <c r="EI190" s="8">
        <v>4.0479000000000003</v>
      </c>
      <c r="EJ190" s="8">
        <v>4.0735000000000001</v>
      </c>
      <c r="EK190" s="8">
        <v>4.0913000000000004</v>
      </c>
      <c r="EL190" s="8">
        <v>4.1092000000000004</v>
      </c>
      <c r="EM190" s="8">
        <v>4.1272000000000002</v>
      </c>
      <c r="EN190" s="8">
        <v>4.1452999999999998</v>
      </c>
      <c r="EO190" s="8">
        <v>4.1637000000000004</v>
      </c>
      <c r="EP190" s="8">
        <v>4.1824000000000003</v>
      </c>
      <c r="EQ190" s="8">
        <v>4.2013999999999996</v>
      </c>
      <c r="ER190" s="8">
        <v>4.2206999999999999</v>
      </c>
      <c r="ES190" s="8">
        <v>4.2404999999999999</v>
      </c>
      <c r="ET190" s="8">
        <v>4.2606999999999999</v>
      </c>
      <c r="EU190" s="8">
        <v>4.2815000000000003</v>
      </c>
      <c r="EV190" s="8">
        <v>4.3029000000000002</v>
      </c>
      <c r="EW190" s="8">
        <v>4.3247999999999998</v>
      </c>
      <c r="EX190" s="8">
        <v>4.3475000000000001</v>
      </c>
      <c r="EY190" s="8">
        <v>4.3708999999999998</v>
      </c>
      <c r="EZ190" s="8">
        <v>4.3949999999999996</v>
      </c>
      <c r="FA190" s="8">
        <v>4.4199000000000002</v>
      </c>
      <c r="FB190" s="8">
        <v>4.4457000000000004</v>
      </c>
      <c r="FC190" s="106">
        <v>4.4722999999999997</v>
      </c>
      <c r="FE190" s="50">
        <f t="shared" ca="1" si="21"/>
        <v>3.7199128785561335</v>
      </c>
      <c r="FF190" s="50">
        <f t="shared" ca="1" si="22"/>
        <v>3.7014543415571932</v>
      </c>
      <c r="FG190" s="50">
        <f t="shared" ca="1" si="23"/>
        <v>3.6825627516778523</v>
      </c>
      <c r="FH190" s="50">
        <f t="shared" ca="1" si="24"/>
        <v>3.6627640939597312</v>
      </c>
      <c r="FK190" s="50">
        <f t="shared" ca="1" si="20"/>
        <v>3.7014543415571932</v>
      </c>
      <c r="FL190" s="50"/>
      <c r="FM190" s="50"/>
      <c r="FN190" s="50"/>
    </row>
    <row r="191" spans="48:170" hidden="1">
      <c r="AV191" s="69"/>
      <c r="AW191" s="104">
        <v>30.902999999999999</v>
      </c>
      <c r="AX191" s="8">
        <v>1.4518</v>
      </c>
      <c r="AY191" s="8">
        <v>1.4758</v>
      </c>
      <c r="AZ191" s="8">
        <v>1.5</v>
      </c>
      <c r="BA191" s="8">
        <v>1.5244</v>
      </c>
      <c r="BB191" s="8">
        <v>1.5489999999999999</v>
      </c>
      <c r="BC191" s="8">
        <v>1.5738000000000001</v>
      </c>
      <c r="BD191" s="8">
        <v>1.5988</v>
      </c>
      <c r="BE191" s="8">
        <v>1.6238999999999999</v>
      </c>
      <c r="BF191" s="8">
        <v>1.6493</v>
      </c>
      <c r="BG191" s="8">
        <v>1.6749000000000001</v>
      </c>
      <c r="BH191" s="8">
        <v>1.7005999999999999</v>
      </c>
      <c r="BI191" s="8">
        <v>1.7264999999999999</v>
      </c>
      <c r="BJ191" s="8">
        <v>1.7526999999999999</v>
      </c>
      <c r="BK191" s="8">
        <v>1.7789999999999999</v>
      </c>
      <c r="BL191" s="8">
        <v>1.8055000000000001</v>
      </c>
      <c r="BM191" s="8">
        <v>1.8322000000000001</v>
      </c>
      <c r="BN191" s="8">
        <v>1.8591</v>
      </c>
      <c r="BO191" s="8">
        <v>1.8861000000000001</v>
      </c>
      <c r="BP191" s="8">
        <v>1.9134</v>
      </c>
      <c r="BQ191" s="8">
        <v>1.9408000000000001</v>
      </c>
      <c r="BR191" s="8">
        <v>1.9683999999999999</v>
      </c>
      <c r="BS191" s="8">
        <v>1.9962</v>
      </c>
      <c r="BT191" s="8">
        <v>2.0240999999999998</v>
      </c>
      <c r="BU191" s="8">
        <v>2.0522999999999998</v>
      </c>
      <c r="BV191" s="8">
        <v>2.0806</v>
      </c>
      <c r="BW191" s="8">
        <v>2.1091000000000002</v>
      </c>
      <c r="BX191" s="8">
        <v>2.1377000000000002</v>
      </c>
      <c r="BY191" s="8">
        <v>2.1665999999999999</v>
      </c>
      <c r="BZ191" s="8">
        <v>2.1955</v>
      </c>
      <c r="CA191" s="8">
        <v>2.2246999999999999</v>
      </c>
      <c r="CB191" s="8">
        <v>2.254</v>
      </c>
      <c r="CC191" s="8">
        <v>2.2835000000000001</v>
      </c>
      <c r="CD191" s="8">
        <v>2.3130999999999999</v>
      </c>
      <c r="CE191" s="8">
        <v>2.3429000000000002</v>
      </c>
      <c r="CF191" s="8">
        <v>2.3727999999999998</v>
      </c>
      <c r="CG191" s="8">
        <v>2.4028999999999998</v>
      </c>
      <c r="CH191" s="8">
        <v>2.4331</v>
      </c>
      <c r="CI191" s="8">
        <v>2.4634</v>
      </c>
      <c r="CJ191" s="8">
        <v>2.4939</v>
      </c>
      <c r="CK191" s="8">
        <v>2.5245000000000002</v>
      </c>
      <c r="CL191" s="8">
        <v>2.5552999999999999</v>
      </c>
      <c r="CM191" s="8">
        <v>2.5861000000000001</v>
      </c>
      <c r="CN191" s="8">
        <v>2.6171000000000002</v>
      </c>
      <c r="CO191" s="8">
        <v>2.6480999999999999</v>
      </c>
      <c r="CP191" s="8">
        <v>2.6793</v>
      </c>
      <c r="CQ191" s="8">
        <v>2.7105999999999999</v>
      </c>
      <c r="CR191" s="8">
        <v>2.7418999999999998</v>
      </c>
      <c r="CS191" s="8">
        <v>2.7732999999999999</v>
      </c>
      <c r="CT191" s="8">
        <v>2.8048000000000002</v>
      </c>
      <c r="CU191" s="8">
        <v>2.8363999999999998</v>
      </c>
      <c r="CV191" s="8">
        <v>2.8679999999999999</v>
      </c>
      <c r="CW191" s="8">
        <v>2.8997000000000002</v>
      </c>
      <c r="CX191" s="8">
        <v>2.9314</v>
      </c>
      <c r="CY191" s="8">
        <v>2.9630999999999998</v>
      </c>
      <c r="CZ191" s="8">
        <v>2.9948999999999999</v>
      </c>
      <c r="DA191" s="8">
        <v>3.0266999999999999</v>
      </c>
      <c r="DB191" s="8">
        <v>3.0585</v>
      </c>
      <c r="DC191" s="8">
        <v>3.0903</v>
      </c>
      <c r="DD191" s="8">
        <v>3.1219999999999999</v>
      </c>
      <c r="DE191" s="8">
        <v>3.1537000000000002</v>
      </c>
      <c r="DF191" s="8">
        <v>3.1854</v>
      </c>
      <c r="DG191" s="8">
        <v>3.2170999999999998</v>
      </c>
      <c r="DH191" s="8">
        <v>3.2486000000000002</v>
      </c>
      <c r="DI191" s="8">
        <v>3.2801</v>
      </c>
      <c r="DJ191" s="8">
        <v>3.3115000000000001</v>
      </c>
      <c r="DK191" s="8">
        <v>3.3428</v>
      </c>
      <c r="DL191" s="8">
        <v>3.3740000000000001</v>
      </c>
      <c r="DM191" s="8">
        <v>3.4051</v>
      </c>
      <c r="DN191" s="8">
        <v>3.4361000000000002</v>
      </c>
      <c r="DO191" s="8">
        <v>3.4668999999999999</v>
      </c>
      <c r="DP191" s="8">
        <v>3.4975000000000001</v>
      </c>
      <c r="DQ191" s="8">
        <v>3.528</v>
      </c>
      <c r="DR191" s="8">
        <v>3.5581999999999998</v>
      </c>
      <c r="DS191" s="8">
        <v>3.5882999999999998</v>
      </c>
      <c r="DT191" s="8">
        <v>3.6181999999999999</v>
      </c>
      <c r="DU191" s="8">
        <v>3.6478999999999999</v>
      </c>
      <c r="DV191" s="8">
        <v>3.6774</v>
      </c>
      <c r="DW191" s="8">
        <v>3.7065999999999999</v>
      </c>
      <c r="DX191" s="8">
        <v>3.7355999999999998</v>
      </c>
      <c r="DY191" s="8">
        <v>3.7644000000000002</v>
      </c>
      <c r="DZ191" s="8">
        <v>3.7930000000000001</v>
      </c>
      <c r="EA191" s="8">
        <v>3.8212999999999999</v>
      </c>
      <c r="EB191" s="8">
        <v>3.8492999999999999</v>
      </c>
      <c r="EC191" s="8">
        <v>3.8772000000000002</v>
      </c>
      <c r="ED191" s="8">
        <v>3.9047999999999998</v>
      </c>
      <c r="EE191" s="8">
        <v>3.9321999999999999</v>
      </c>
      <c r="EF191" s="8">
        <v>3.9592999999999998</v>
      </c>
      <c r="EG191" s="8">
        <v>3.9863</v>
      </c>
      <c r="EH191" s="8">
        <v>4.0130999999999997</v>
      </c>
      <c r="EI191" s="8">
        <v>4.0396999999999998</v>
      </c>
      <c r="EJ191" s="8">
        <v>4.0662000000000003</v>
      </c>
      <c r="EK191" s="8">
        <v>4.0913000000000004</v>
      </c>
      <c r="EL191" s="8">
        <v>4.1092000000000004</v>
      </c>
      <c r="EM191" s="8">
        <v>4.1272000000000002</v>
      </c>
      <c r="EN191" s="8">
        <v>4.1452999999999998</v>
      </c>
      <c r="EO191" s="8">
        <v>4.1637000000000004</v>
      </c>
      <c r="EP191" s="8">
        <v>4.1824000000000003</v>
      </c>
      <c r="EQ191" s="8">
        <v>4.2013999999999996</v>
      </c>
      <c r="ER191" s="8">
        <v>4.2206999999999999</v>
      </c>
      <c r="ES191" s="8">
        <v>4.2404999999999999</v>
      </c>
      <c r="ET191" s="8">
        <v>4.2606999999999999</v>
      </c>
      <c r="EU191" s="8">
        <v>4.2815000000000003</v>
      </c>
      <c r="EV191" s="8">
        <v>4.3029000000000002</v>
      </c>
      <c r="EW191" s="8">
        <v>4.3247999999999998</v>
      </c>
      <c r="EX191" s="8">
        <v>4.3475000000000001</v>
      </c>
      <c r="EY191" s="8">
        <v>4.3708999999999998</v>
      </c>
      <c r="EZ191" s="8">
        <v>4.3949999999999996</v>
      </c>
      <c r="FA191" s="8">
        <v>4.4199000000000002</v>
      </c>
      <c r="FB191" s="8">
        <v>4.4457000000000004</v>
      </c>
      <c r="FC191" s="106">
        <v>4.4722999999999997</v>
      </c>
      <c r="FE191" s="50">
        <f t="shared" ca="1" si="21"/>
        <v>3.7123929030284488</v>
      </c>
      <c r="FF191" s="50">
        <f t="shared" ca="1" si="22"/>
        <v>3.693997500801026</v>
      </c>
      <c r="FG191" s="50">
        <f t="shared" ca="1" si="23"/>
        <v>3.6751627516778527</v>
      </c>
      <c r="FH191" s="50">
        <f t="shared" ca="1" si="24"/>
        <v>3.6553640939597316</v>
      </c>
      <c r="FK191" s="50">
        <f t="shared" ca="1" si="20"/>
        <v>3.693997500801026</v>
      </c>
      <c r="FL191" s="50"/>
      <c r="FM191" s="50"/>
      <c r="FN191" s="50"/>
    </row>
    <row r="192" spans="48:170" hidden="1">
      <c r="AV192" s="69"/>
      <c r="AW192" s="104">
        <v>33.113</v>
      </c>
      <c r="AX192" s="8">
        <v>1.4489000000000001</v>
      </c>
      <c r="AY192" s="8">
        <v>1.4729000000000001</v>
      </c>
      <c r="AZ192" s="8">
        <v>1.4970000000000001</v>
      </c>
      <c r="BA192" s="8">
        <v>1.5214000000000001</v>
      </c>
      <c r="BB192" s="8">
        <v>1.5459000000000001</v>
      </c>
      <c r="BC192" s="8">
        <v>1.5706</v>
      </c>
      <c r="BD192" s="8">
        <v>1.5955999999999999</v>
      </c>
      <c r="BE192" s="8">
        <v>1.6207</v>
      </c>
      <c r="BF192" s="8">
        <v>1.6459999999999999</v>
      </c>
      <c r="BG192" s="8">
        <v>1.6715</v>
      </c>
      <c r="BH192" s="8">
        <v>1.6972</v>
      </c>
      <c r="BI192" s="8">
        <v>1.7231000000000001</v>
      </c>
      <c r="BJ192" s="8">
        <v>1.7492000000000001</v>
      </c>
      <c r="BK192" s="8">
        <v>1.7754000000000001</v>
      </c>
      <c r="BL192" s="8">
        <v>1.8019000000000001</v>
      </c>
      <c r="BM192" s="8">
        <v>1.8285</v>
      </c>
      <c r="BN192" s="8">
        <v>1.8552999999999999</v>
      </c>
      <c r="BO192" s="8">
        <v>1.8824000000000001</v>
      </c>
      <c r="BP192" s="8">
        <v>1.9095</v>
      </c>
      <c r="BQ192" s="8">
        <v>1.9369000000000001</v>
      </c>
      <c r="BR192" s="8">
        <v>1.9644999999999999</v>
      </c>
      <c r="BS192" s="8">
        <v>1.9922</v>
      </c>
      <c r="BT192" s="8">
        <v>2.0200999999999998</v>
      </c>
      <c r="BU192" s="8">
        <v>2.0482</v>
      </c>
      <c r="BV192" s="8">
        <v>2.0764</v>
      </c>
      <c r="BW192" s="8">
        <v>2.1049000000000002</v>
      </c>
      <c r="BX192" s="8">
        <v>2.1335000000000002</v>
      </c>
      <c r="BY192" s="8">
        <v>2.1621999999999999</v>
      </c>
      <c r="BZ192" s="8">
        <v>2.1911999999999998</v>
      </c>
      <c r="CA192" s="8">
        <v>2.2202999999999999</v>
      </c>
      <c r="CB192" s="8">
        <v>2.2494999999999998</v>
      </c>
      <c r="CC192" s="8">
        <v>2.2789000000000001</v>
      </c>
      <c r="CD192" s="8">
        <v>2.3085</v>
      </c>
      <c r="CE192" s="8">
        <v>2.3382000000000001</v>
      </c>
      <c r="CF192" s="8">
        <v>2.3681000000000001</v>
      </c>
      <c r="CG192" s="8">
        <v>2.3980999999999999</v>
      </c>
      <c r="CH192" s="8">
        <v>2.4281999999999999</v>
      </c>
      <c r="CI192" s="8">
        <v>2.4584999999999999</v>
      </c>
      <c r="CJ192" s="8">
        <v>2.4889000000000001</v>
      </c>
      <c r="CK192" s="8">
        <v>2.5194999999999999</v>
      </c>
      <c r="CL192" s="8">
        <v>2.5501999999999998</v>
      </c>
      <c r="CM192" s="8">
        <v>2.5809000000000002</v>
      </c>
      <c r="CN192" s="8">
        <v>2.6118000000000001</v>
      </c>
      <c r="CO192" s="8">
        <v>2.6427999999999998</v>
      </c>
      <c r="CP192" s="8">
        <v>2.6739000000000002</v>
      </c>
      <c r="CQ192" s="8">
        <v>2.7050999999999998</v>
      </c>
      <c r="CR192" s="8">
        <v>2.7364000000000002</v>
      </c>
      <c r="CS192" s="8">
        <v>2.7677999999999998</v>
      </c>
      <c r="CT192" s="8">
        <v>2.7991999999999999</v>
      </c>
      <c r="CU192" s="8">
        <v>2.8307000000000002</v>
      </c>
      <c r="CV192" s="8">
        <v>2.8622999999999998</v>
      </c>
      <c r="CW192" s="8">
        <v>2.8938999999999999</v>
      </c>
      <c r="CX192" s="8">
        <v>2.9256000000000002</v>
      </c>
      <c r="CY192" s="8">
        <v>2.9571999999999998</v>
      </c>
      <c r="CZ192" s="8">
        <v>2.9889000000000001</v>
      </c>
      <c r="DA192" s="8">
        <v>3.0207000000000002</v>
      </c>
      <c r="DB192" s="8">
        <v>3.0524</v>
      </c>
      <c r="DC192" s="8">
        <v>3.0840999999999998</v>
      </c>
      <c r="DD192" s="8">
        <v>3.1158000000000001</v>
      </c>
      <c r="DE192" s="8">
        <v>3.1474000000000002</v>
      </c>
      <c r="DF192" s="8">
        <v>3.1791</v>
      </c>
      <c r="DG192" s="8">
        <v>3.2105999999999999</v>
      </c>
      <c r="DH192" s="8">
        <v>3.2422</v>
      </c>
      <c r="DI192" s="8">
        <v>3.2736000000000001</v>
      </c>
      <c r="DJ192" s="8">
        <v>3.3048999999999999</v>
      </c>
      <c r="DK192" s="8">
        <v>3.3361999999999998</v>
      </c>
      <c r="DL192" s="8">
        <v>3.3673000000000002</v>
      </c>
      <c r="DM192" s="8">
        <v>3.3982999999999999</v>
      </c>
      <c r="DN192" s="8">
        <v>3.4291999999999998</v>
      </c>
      <c r="DO192" s="8">
        <v>3.4599000000000002</v>
      </c>
      <c r="DP192" s="8">
        <v>3.4904999999999999</v>
      </c>
      <c r="DQ192" s="8">
        <v>3.5209000000000001</v>
      </c>
      <c r="DR192" s="8">
        <v>3.5510999999999999</v>
      </c>
      <c r="DS192" s="8">
        <v>3.5811999999999999</v>
      </c>
      <c r="DT192" s="8">
        <v>3.6110000000000002</v>
      </c>
      <c r="DU192" s="8">
        <v>3.6406000000000001</v>
      </c>
      <c r="DV192" s="8">
        <v>3.67</v>
      </c>
      <c r="DW192" s="8">
        <v>3.6991999999999998</v>
      </c>
      <c r="DX192" s="8">
        <v>3.7282000000000002</v>
      </c>
      <c r="DY192" s="8">
        <v>3.7568999999999999</v>
      </c>
      <c r="DZ192" s="8">
        <v>3.7854000000000001</v>
      </c>
      <c r="EA192" s="8">
        <v>3.8136999999999999</v>
      </c>
      <c r="EB192" s="8">
        <v>3.8416999999999999</v>
      </c>
      <c r="EC192" s="8">
        <v>3.8694000000000002</v>
      </c>
      <c r="ED192" s="8">
        <v>3.8969999999999998</v>
      </c>
      <c r="EE192" s="8">
        <v>3.9243000000000001</v>
      </c>
      <c r="EF192" s="8">
        <v>3.9514</v>
      </c>
      <c r="EG192" s="8">
        <v>3.9784000000000002</v>
      </c>
      <c r="EH192" s="8">
        <v>4.0050999999999997</v>
      </c>
      <c r="EI192" s="8">
        <v>4.0316000000000001</v>
      </c>
      <c r="EJ192" s="8">
        <v>4.0579999999999998</v>
      </c>
      <c r="EK192" s="8">
        <v>4.0842999999999998</v>
      </c>
      <c r="EL192" s="8">
        <v>4.1092000000000004</v>
      </c>
      <c r="EM192" s="8">
        <v>4.1272000000000002</v>
      </c>
      <c r="EN192" s="8">
        <v>4.1452999999999998</v>
      </c>
      <c r="EO192" s="8">
        <v>4.1637000000000004</v>
      </c>
      <c r="EP192" s="8">
        <v>4.1824000000000003</v>
      </c>
      <c r="EQ192" s="8">
        <v>4.2013999999999996</v>
      </c>
      <c r="ER192" s="8">
        <v>4.2206999999999999</v>
      </c>
      <c r="ES192" s="8">
        <v>4.2404999999999999</v>
      </c>
      <c r="ET192" s="8">
        <v>4.2606999999999999</v>
      </c>
      <c r="EU192" s="8">
        <v>4.2815000000000003</v>
      </c>
      <c r="EV192" s="8">
        <v>4.3029000000000002</v>
      </c>
      <c r="EW192" s="8">
        <v>4.3247999999999998</v>
      </c>
      <c r="EX192" s="8">
        <v>4.3475000000000001</v>
      </c>
      <c r="EY192" s="8">
        <v>4.3708999999999998</v>
      </c>
      <c r="EZ192" s="8">
        <v>4.3949999999999996</v>
      </c>
      <c r="FA192" s="8">
        <v>4.4199000000000002</v>
      </c>
      <c r="FB192" s="8">
        <v>4.4457000000000004</v>
      </c>
      <c r="FC192" s="106">
        <v>4.4722999999999997</v>
      </c>
      <c r="FE192" s="50">
        <f t="shared" ca="1" si="21"/>
        <v>3.7049929030284492</v>
      </c>
      <c r="FF192" s="50">
        <f t="shared" ca="1" si="22"/>
        <v>3.6865975008010254</v>
      </c>
      <c r="FG192" s="50">
        <f t="shared" ca="1" si="23"/>
        <v>3.6677703355704701</v>
      </c>
      <c r="FH192" s="50">
        <f t="shared" ca="1" si="24"/>
        <v>3.6480387919463091</v>
      </c>
      <c r="FK192" s="50">
        <f t="shared" ca="1" si="20"/>
        <v>3.6865975008010254</v>
      </c>
      <c r="FL192" s="50"/>
      <c r="FM192" s="50"/>
      <c r="FN192" s="50"/>
    </row>
    <row r="193" spans="48:170" hidden="1">
      <c r="AV193" s="69"/>
      <c r="AW193" s="104">
        <v>35.481000000000002</v>
      </c>
      <c r="AX193" s="8">
        <v>1.446</v>
      </c>
      <c r="AY193" s="8">
        <v>1.4699</v>
      </c>
      <c r="AZ193" s="8">
        <v>1.4941</v>
      </c>
      <c r="BA193" s="8">
        <v>1.5184</v>
      </c>
      <c r="BB193" s="8">
        <v>1.5428999999999999</v>
      </c>
      <c r="BC193" s="8">
        <v>1.5674999999999999</v>
      </c>
      <c r="BD193" s="8">
        <v>1.5924</v>
      </c>
      <c r="BE193" s="8">
        <v>1.6174999999999999</v>
      </c>
      <c r="BF193" s="8">
        <v>1.6428</v>
      </c>
      <c r="BG193" s="8">
        <v>1.6681999999999999</v>
      </c>
      <c r="BH193" s="8">
        <v>1.6939</v>
      </c>
      <c r="BI193" s="8">
        <v>1.7197</v>
      </c>
      <c r="BJ193" s="8">
        <v>1.7457</v>
      </c>
      <c r="BK193" s="8">
        <v>1.7719</v>
      </c>
      <c r="BL193" s="8">
        <v>1.7983</v>
      </c>
      <c r="BM193" s="8">
        <v>1.8249</v>
      </c>
      <c r="BN193" s="8">
        <v>1.8516999999999999</v>
      </c>
      <c r="BO193" s="8">
        <v>1.8786</v>
      </c>
      <c r="BP193" s="8">
        <v>1.9057999999999999</v>
      </c>
      <c r="BQ193" s="8">
        <v>1.9331</v>
      </c>
      <c r="BR193" s="8">
        <v>1.9605999999999999</v>
      </c>
      <c r="BS193" s="8">
        <v>1.9883</v>
      </c>
      <c r="BT193" s="8">
        <v>2.0160999999999998</v>
      </c>
      <c r="BU193" s="8">
        <v>2.0440999999999998</v>
      </c>
      <c r="BV193" s="8">
        <v>2.0722999999999998</v>
      </c>
      <c r="BW193" s="8">
        <v>2.1006999999999998</v>
      </c>
      <c r="BX193" s="8">
        <v>2.1293000000000002</v>
      </c>
      <c r="BY193" s="8">
        <v>2.1579999999999999</v>
      </c>
      <c r="BZ193" s="8">
        <v>2.1867999999999999</v>
      </c>
      <c r="CA193" s="8">
        <v>2.2159</v>
      </c>
      <c r="CB193" s="8">
        <v>2.2450999999999999</v>
      </c>
      <c r="CC193" s="8">
        <v>2.2744</v>
      </c>
      <c r="CD193" s="8">
        <v>2.3039000000000001</v>
      </c>
      <c r="CE193" s="8">
        <v>2.3336000000000001</v>
      </c>
      <c r="CF193" s="8">
        <v>2.3633999999999999</v>
      </c>
      <c r="CG193" s="8">
        <v>2.3934000000000002</v>
      </c>
      <c r="CH193" s="8">
        <v>2.4234</v>
      </c>
      <c r="CI193" s="8">
        <v>2.4537</v>
      </c>
      <c r="CJ193" s="8">
        <v>2.484</v>
      </c>
      <c r="CK193" s="8">
        <v>2.5145</v>
      </c>
      <c r="CL193" s="8">
        <v>2.5451000000000001</v>
      </c>
      <c r="CM193" s="8">
        <v>2.5758000000000001</v>
      </c>
      <c r="CN193" s="8">
        <v>2.6067</v>
      </c>
      <c r="CO193" s="8">
        <v>2.6375999999999999</v>
      </c>
      <c r="CP193" s="8">
        <v>2.6686999999999999</v>
      </c>
      <c r="CQ193" s="8">
        <v>2.6998000000000002</v>
      </c>
      <c r="CR193" s="8">
        <v>2.7309999999999999</v>
      </c>
      <c r="CS193" s="8">
        <v>2.7623000000000002</v>
      </c>
      <c r="CT193" s="8">
        <v>2.7936999999999999</v>
      </c>
      <c r="CU193" s="8">
        <v>2.8250999999999999</v>
      </c>
      <c r="CV193" s="8">
        <v>2.8565999999999998</v>
      </c>
      <c r="CW193" s="8">
        <v>2.8881999999999999</v>
      </c>
      <c r="CX193" s="8">
        <v>2.9198</v>
      </c>
      <c r="CY193" s="8">
        <v>2.9514</v>
      </c>
      <c r="CZ193" s="8">
        <v>2.9830000000000001</v>
      </c>
      <c r="DA193" s="8">
        <v>3.0146999999999999</v>
      </c>
      <c r="DB193" s="8">
        <v>3.0464000000000002</v>
      </c>
      <c r="DC193" s="8">
        <v>3.0779999999999998</v>
      </c>
      <c r="DD193" s="8">
        <v>3.1095999999999999</v>
      </c>
      <c r="DE193" s="8">
        <v>3.1412</v>
      </c>
      <c r="DF193" s="8">
        <v>3.1728000000000001</v>
      </c>
      <c r="DG193" s="8">
        <v>3.2042999999999999</v>
      </c>
      <c r="DH193" s="8">
        <v>3.2357999999999998</v>
      </c>
      <c r="DI193" s="8">
        <v>3.2671000000000001</v>
      </c>
      <c r="DJ193" s="8">
        <v>3.2984</v>
      </c>
      <c r="DK193" s="8">
        <v>3.3296000000000001</v>
      </c>
      <c r="DL193" s="8">
        <v>3.3607</v>
      </c>
      <c r="DM193" s="8">
        <v>3.3915999999999999</v>
      </c>
      <c r="DN193" s="8">
        <v>3.4224000000000001</v>
      </c>
      <c r="DO193" s="8">
        <v>3.4531000000000001</v>
      </c>
      <c r="DP193" s="8">
        <v>3.4836</v>
      </c>
      <c r="DQ193" s="8">
        <v>3.5139999999999998</v>
      </c>
      <c r="DR193" s="8">
        <v>3.5440999999999998</v>
      </c>
      <c r="DS193" s="8">
        <v>3.5741000000000001</v>
      </c>
      <c r="DT193" s="8">
        <v>3.6038999999999999</v>
      </c>
      <c r="DU193" s="8">
        <v>3.6334</v>
      </c>
      <c r="DV193" s="8">
        <v>3.6627999999999998</v>
      </c>
      <c r="DW193" s="8">
        <v>3.6919</v>
      </c>
      <c r="DX193" s="8">
        <v>3.7208000000000001</v>
      </c>
      <c r="DY193" s="8">
        <v>3.7494999999999998</v>
      </c>
      <c r="DZ193" s="8">
        <v>3.7778999999999998</v>
      </c>
      <c r="EA193" s="8">
        <v>3.8060999999999998</v>
      </c>
      <c r="EB193" s="8">
        <v>3.8340999999999998</v>
      </c>
      <c r="EC193" s="8">
        <v>3.8618000000000001</v>
      </c>
      <c r="ED193" s="8">
        <v>3.8893</v>
      </c>
      <c r="EE193" s="8">
        <v>3.9165999999999999</v>
      </c>
      <c r="EF193" s="8">
        <v>3.9436</v>
      </c>
      <c r="EG193" s="8">
        <v>3.9704999999999999</v>
      </c>
      <c r="EH193" s="8">
        <v>3.9971999999999999</v>
      </c>
      <c r="EI193" s="8">
        <v>4.0236999999999998</v>
      </c>
      <c r="EJ193" s="8">
        <v>4.05</v>
      </c>
      <c r="EK193" s="8">
        <v>4.0762999999999998</v>
      </c>
      <c r="EL193" s="8">
        <v>4.1024000000000003</v>
      </c>
      <c r="EM193" s="8">
        <v>4.1272000000000002</v>
      </c>
      <c r="EN193" s="8">
        <v>4.1452999999999998</v>
      </c>
      <c r="EO193" s="8">
        <v>4.1637000000000004</v>
      </c>
      <c r="EP193" s="8">
        <v>4.1824000000000003</v>
      </c>
      <c r="EQ193" s="8">
        <v>4.2013999999999996</v>
      </c>
      <c r="ER193" s="8">
        <v>4.2206999999999999</v>
      </c>
      <c r="ES193" s="8">
        <v>4.2404999999999999</v>
      </c>
      <c r="ET193" s="8">
        <v>4.2606999999999999</v>
      </c>
      <c r="EU193" s="8">
        <v>4.2815000000000003</v>
      </c>
      <c r="EV193" s="8">
        <v>4.3029000000000002</v>
      </c>
      <c r="EW193" s="8">
        <v>4.3247999999999998</v>
      </c>
      <c r="EX193" s="8">
        <v>4.3475000000000001</v>
      </c>
      <c r="EY193" s="8">
        <v>4.3708999999999998</v>
      </c>
      <c r="EZ193" s="8">
        <v>4.3949999999999996</v>
      </c>
      <c r="FA193" s="8">
        <v>4.4199000000000002</v>
      </c>
      <c r="FB193" s="8">
        <v>4.4457000000000004</v>
      </c>
      <c r="FC193" s="106">
        <v>4.4722999999999997</v>
      </c>
      <c r="FE193" s="50">
        <f t="shared" ca="1" si="21"/>
        <v>3.6976729275007649</v>
      </c>
      <c r="FF193" s="50">
        <f t="shared" ca="1" si="22"/>
        <v>3.6793406600448573</v>
      </c>
      <c r="FG193" s="50">
        <f t="shared" ca="1" si="23"/>
        <v>3.66057033557047</v>
      </c>
      <c r="FH193" s="50">
        <f t="shared" ca="1" si="24"/>
        <v>3.640838791946309</v>
      </c>
      <c r="FK193" s="50">
        <f t="shared" ca="1" si="20"/>
        <v>3.6793406600448573</v>
      </c>
      <c r="FL193" s="50"/>
      <c r="FM193" s="50"/>
      <c r="FN193" s="50"/>
    </row>
    <row r="194" spans="48:170" hidden="1">
      <c r="AV194" s="69"/>
      <c r="AW194" s="104">
        <v>38.018999999999998</v>
      </c>
      <c r="AX194" s="8">
        <v>1.4432</v>
      </c>
      <c r="AY194" s="8">
        <v>1.4671000000000001</v>
      </c>
      <c r="AZ194" s="8">
        <v>1.4911000000000001</v>
      </c>
      <c r="BA194" s="8">
        <v>1.5154000000000001</v>
      </c>
      <c r="BB194" s="8">
        <v>1.5398000000000001</v>
      </c>
      <c r="BC194" s="8">
        <v>1.5645</v>
      </c>
      <c r="BD194" s="8">
        <v>1.5892999999999999</v>
      </c>
      <c r="BE194" s="8">
        <v>1.6143000000000001</v>
      </c>
      <c r="BF194" s="8">
        <v>1.6395999999999999</v>
      </c>
      <c r="BG194" s="8">
        <v>1.665</v>
      </c>
      <c r="BH194" s="8">
        <v>1.6906000000000001</v>
      </c>
      <c r="BI194" s="8">
        <v>1.7162999999999999</v>
      </c>
      <c r="BJ194" s="8">
        <v>1.7423</v>
      </c>
      <c r="BK194" s="8">
        <v>1.7685</v>
      </c>
      <c r="BL194" s="8">
        <v>1.7948</v>
      </c>
      <c r="BM194" s="8">
        <v>1.8212999999999999</v>
      </c>
      <c r="BN194" s="8">
        <v>1.8481000000000001</v>
      </c>
      <c r="BO194" s="8">
        <v>1.875</v>
      </c>
      <c r="BP194" s="8">
        <v>1.9019999999999999</v>
      </c>
      <c r="BQ194" s="8">
        <v>1.9293</v>
      </c>
      <c r="BR194" s="8">
        <v>1.9567000000000001</v>
      </c>
      <c r="BS194" s="8">
        <v>1.9843999999999999</v>
      </c>
      <c r="BT194" s="8">
        <v>2.0122</v>
      </c>
      <c r="BU194" s="8">
        <v>2.0400999999999998</v>
      </c>
      <c r="BV194" s="8">
        <v>2.0682999999999998</v>
      </c>
      <c r="BW194" s="8">
        <v>2.0966</v>
      </c>
      <c r="BX194" s="8">
        <v>2.1251000000000002</v>
      </c>
      <c r="BY194" s="8">
        <v>2.1537000000000002</v>
      </c>
      <c r="BZ194" s="8">
        <v>2.1825999999999999</v>
      </c>
      <c r="CA194" s="8">
        <v>2.2115</v>
      </c>
      <c r="CB194" s="8">
        <v>2.2406999999999999</v>
      </c>
      <c r="CC194" s="8">
        <v>2.27</v>
      </c>
      <c r="CD194" s="8">
        <v>2.2993999999999999</v>
      </c>
      <c r="CE194" s="8">
        <v>2.3290000000000002</v>
      </c>
      <c r="CF194" s="8">
        <v>2.3588</v>
      </c>
      <c r="CG194" s="8">
        <v>2.3887</v>
      </c>
      <c r="CH194" s="8">
        <v>2.4186999999999999</v>
      </c>
      <c r="CI194" s="8">
        <v>2.4489000000000001</v>
      </c>
      <c r="CJ194" s="8">
        <v>2.4792000000000001</v>
      </c>
      <c r="CK194" s="8">
        <v>2.5095999999999998</v>
      </c>
      <c r="CL194" s="8">
        <v>2.5400999999999998</v>
      </c>
      <c r="CM194" s="8">
        <v>2.5708000000000002</v>
      </c>
      <c r="CN194" s="8">
        <v>2.6015999999999999</v>
      </c>
      <c r="CO194" s="8">
        <v>2.6324999999999998</v>
      </c>
      <c r="CP194" s="8">
        <v>2.6634000000000002</v>
      </c>
      <c r="CQ194" s="8">
        <v>2.6945000000000001</v>
      </c>
      <c r="CR194" s="8">
        <v>2.7256999999999998</v>
      </c>
      <c r="CS194" s="8">
        <v>2.7568999999999999</v>
      </c>
      <c r="CT194" s="8">
        <v>2.7881999999999998</v>
      </c>
      <c r="CU194" s="8">
        <v>2.8195999999999999</v>
      </c>
      <c r="CV194" s="8">
        <v>2.8511000000000002</v>
      </c>
      <c r="CW194" s="8">
        <v>2.8824999999999998</v>
      </c>
      <c r="CX194" s="8">
        <v>2.9140999999999999</v>
      </c>
      <c r="CY194" s="8">
        <v>2.9456000000000002</v>
      </c>
      <c r="CZ194" s="8">
        <v>2.9771999999999998</v>
      </c>
      <c r="DA194" s="8">
        <v>3.0087999999999999</v>
      </c>
      <c r="DB194" s="8">
        <v>3.0404</v>
      </c>
      <c r="DC194" s="8">
        <v>3.0720000000000001</v>
      </c>
      <c r="DD194" s="8">
        <v>3.1034999999999999</v>
      </c>
      <c r="DE194" s="8">
        <v>3.1351</v>
      </c>
      <c r="DF194" s="8">
        <v>3.1665999999999999</v>
      </c>
      <c r="DG194" s="8">
        <v>3.198</v>
      </c>
      <c r="DH194" s="8">
        <v>3.2294</v>
      </c>
      <c r="DI194" s="8">
        <v>3.2606999999999999</v>
      </c>
      <c r="DJ194" s="8">
        <v>3.2919999999999998</v>
      </c>
      <c r="DK194" s="8">
        <v>3.3231000000000002</v>
      </c>
      <c r="DL194" s="8">
        <v>3.3540999999999999</v>
      </c>
      <c r="DM194" s="8">
        <v>3.3849999999999998</v>
      </c>
      <c r="DN194" s="8">
        <v>3.4157000000000002</v>
      </c>
      <c r="DO194" s="8">
        <v>3.4464000000000001</v>
      </c>
      <c r="DP194" s="8">
        <v>3.4767999999999999</v>
      </c>
      <c r="DQ194" s="8">
        <v>3.5070999999999999</v>
      </c>
      <c r="DR194" s="8">
        <v>3.5371999999999999</v>
      </c>
      <c r="DS194" s="8">
        <v>3.5670999999999999</v>
      </c>
      <c r="DT194" s="8">
        <v>3.5968</v>
      </c>
      <c r="DU194" s="8">
        <v>3.6263000000000001</v>
      </c>
      <c r="DV194" s="8">
        <v>3.6556000000000002</v>
      </c>
      <c r="DW194" s="8">
        <v>3.6846999999999999</v>
      </c>
      <c r="DX194" s="8">
        <v>3.7134999999999998</v>
      </c>
      <c r="DY194" s="8">
        <v>3.7422</v>
      </c>
      <c r="DZ194" s="8">
        <v>3.7705000000000002</v>
      </c>
      <c r="EA194" s="8">
        <v>3.7987000000000002</v>
      </c>
      <c r="EB194" s="8">
        <v>3.8266</v>
      </c>
      <c r="EC194" s="8">
        <v>3.8542999999999998</v>
      </c>
      <c r="ED194" s="8">
        <v>3.8816999999999999</v>
      </c>
      <c r="EE194" s="8">
        <v>3.9089</v>
      </c>
      <c r="EF194" s="8">
        <v>3.9359000000000002</v>
      </c>
      <c r="EG194" s="8">
        <v>3.9626999999999999</v>
      </c>
      <c r="EH194" s="8">
        <v>3.9893999999999998</v>
      </c>
      <c r="EI194" s="8">
        <v>4.0157999999999996</v>
      </c>
      <c r="EJ194" s="8">
        <v>4.0420999999999996</v>
      </c>
      <c r="EK194" s="8">
        <v>4.0682999999999998</v>
      </c>
      <c r="EL194" s="8">
        <v>4.0942999999999996</v>
      </c>
      <c r="EM194" s="8">
        <v>4.1203000000000003</v>
      </c>
      <c r="EN194" s="8">
        <v>4.1452999999999998</v>
      </c>
      <c r="EO194" s="8">
        <v>4.1637000000000004</v>
      </c>
      <c r="EP194" s="8">
        <v>4.1824000000000003</v>
      </c>
      <c r="EQ194" s="8">
        <v>4.2013999999999996</v>
      </c>
      <c r="ER194" s="8">
        <v>4.2206999999999999</v>
      </c>
      <c r="ES194" s="8">
        <v>4.2404999999999999</v>
      </c>
      <c r="ET194" s="8">
        <v>4.2606999999999999</v>
      </c>
      <c r="EU194" s="8">
        <v>4.2815000000000003</v>
      </c>
      <c r="EV194" s="8">
        <v>4.3029000000000002</v>
      </c>
      <c r="EW194" s="8">
        <v>4.3247999999999998</v>
      </c>
      <c r="EX194" s="8">
        <v>4.3475000000000001</v>
      </c>
      <c r="EY194" s="8">
        <v>4.3708999999999998</v>
      </c>
      <c r="EZ194" s="8">
        <v>4.3949999999999996</v>
      </c>
      <c r="FA194" s="8">
        <v>4.4199000000000002</v>
      </c>
      <c r="FB194" s="8">
        <v>4.4457000000000004</v>
      </c>
      <c r="FC194" s="106">
        <v>4.4722999999999997</v>
      </c>
      <c r="FE194" s="50">
        <f t="shared" ca="1" si="21"/>
        <v>3.69045295197308</v>
      </c>
      <c r="FF194" s="50">
        <f t="shared" ca="1" si="22"/>
        <v>3.6721406600448576</v>
      </c>
      <c r="FG194" s="50">
        <f t="shared" ca="1" si="23"/>
        <v>3.6533779194630873</v>
      </c>
      <c r="FH194" s="50">
        <f t="shared" ca="1" si="24"/>
        <v>3.633713489932886</v>
      </c>
      <c r="FK194" s="50">
        <f t="shared" ca="1" si="20"/>
        <v>3.6721406600448576</v>
      </c>
      <c r="FL194" s="50"/>
      <c r="FM194" s="50"/>
      <c r="FN194" s="50"/>
    </row>
    <row r="195" spans="48:170" hidden="1">
      <c r="AV195" s="69"/>
      <c r="AW195" s="104">
        <v>40.738</v>
      </c>
      <c r="AX195" s="8">
        <v>1.4403999999999999</v>
      </c>
      <c r="AY195" s="8">
        <v>1.4641999999999999</v>
      </c>
      <c r="AZ195" s="8">
        <v>1.4882</v>
      </c>
      <c r="BA195" s="8">
        <v>1.5125</v>
      </c>
      <c r="BB195" s="8">
        <v>1.5368999999999999</v>
      </c>
      <c r="BC195" s="8">
        <v>1.5613999999999999</v>
      </c>
      <c r="BD195" s="8">
        <v>1.5862000000000001</v>
      </c>
      <c r="BE195" s="8">
        <v>1.6112</v>
      </c>
      <c r="BF195" s="8">
        <v>1.6364000000000001</v>
      </c>
      <c r="BG195" s="8">
        <v>1.6617</v>
      </c>
      <c r="BH195" s="8">
        <v>1.6873</v>
      </c>
      <c r="BI195" s="8">
        <v>1.7130000000000001</v>
      </c>
      <c r="BJ195" s="8">
        <v>1.7388999999999999</v>
      </c>
      <c r="BK195" s="8">
        <v>1.7649999999999999</v>
      </c>
      <c r="BL195" s="8">
        <v>1.7912999999999999</v>
      </c>
      <c r="BM195" s="8">
        <v>1.8178000000000001</v>
      </c>
      <c r="BN195" s="8">
        <v>1.8445</v>
      </c>
      <c r="BO195" s="8">
        <v>1.8713</v>
      </c>
      <c r="BP195" s="8">
        <v>1.8984000000000001</v>
      </c>
      <c r="BQ195" s="8">
        <v>1.9256</v>
      </c>
      <c r="BR195" s="8">
        <v>1.9530000000000001</v>
      </c>
      <c r="BS195" s="8">
        <v>1.9804999999999999</v>
      </c>
      <c r="BT195" s="8">
        <v>2.0083000000000002</v>
      </c>
      <c r="BU195" s="8">
        <v>2.0362</v>
      </c>
      <c r="BV195" s="8">
        <v>2.0642999999999998</v>
      </c>
      <c r="BW195" s="8">
        <v>2.0924999999999998</v>
      </c>
      <c r="BX195" s="8">
        <v>2.121</v>
      </c>
      <c r="BY195" s="8">
        <v>2.1496</v>
      </c>
      <c r="BZ195" s="8">
        <v>2.1783000000000001</v>
      </c>
      <c r="CA195" s="8">
        <v>2.2073</v>
      </c>
      <c r="CB195" s="8">
        <v>2.2363</v>
      </c>
      <c r="CC195" s="8">
        <v>2.2656000000000001</v>
      </c>
      <c r="CD195" s="8">
        <v>2.2949999999999999</v>
      </c>
      <c r="CE195" s="8">
        <v>2.3245</v>
      </c>
      <c r="CF195" s="8">
        <v>2.3542000000000001</v>
      </c>
      <c r="CG195" s="8">
        <v>2.3839999999999999</v>
      </c>
      <c r="CH195" s="8">
        <v>2.4140000000000001</v>
      </c>
      <c r="CI195" s="8">
        <v>2.4441000000000002</v>
      </c>
      <c r="CJ195" s="8">
        <v>2.4744000000000002</v>
      </c>
      <c r="CK195" s="8">
        <v>2.5047000000000001</v>
      </c>
      <c r="CL195" s="8">
        <v>2.5352000000000001</v>
      </c>
      <c r="CM195" s="8">
        <v>2.5657999999999999</v>
      </c>
      <c r="CN195" s="8">
        <v>2.5964999999999998</v>
      </c>
      <c r="CO195" s="8">
        <v>2.6274000000000002</v>
      </c>
      <c r="CP195" s="8">
        <v>2.6583000000000001</v>
      </c>
      <c r="CQ195" s="8">
        <v>2.6892999999999998</v>
      </c>
      <c r="CR195" s="8">
        <v>2.7204000000000002</v>
      </c>
      <c r="CS195" s="8">
        <v>2.7515999999999998</v>
      </c>
      <c r="CT195" s="8">
        <v>2.7827999999999999</v>
      </c>
      <c r="CU195" s="8">
        <v>2.8142</v>
      </c>
      <c r="CV195" s="8">
        <v>2.8454999999999999</v>
      </c>
      <c r="CW195" s="8">
        <v>2.8769999999999998</v>
      </c>
      <c r="CX195" s="8">
        <v>2.9083999999999999</v>
      </c>
      <c r="CY195" s="8">
        <v>2.9399000000000002</v>
      </c>
      <c r="CZ195" s="8">
        <v>2.9714</v>
      </c>
      <c r="DA195" s="8">
        <v>3.0030000000000001</v>
      </c>
      <c r="DB195" s="8">
        <v>3.0345</v>
      </c>
      <c r="DC195" s="8">
        <v>3.0659999999999998</v>
      </c>
      <c r="DD195" s="8">
        <v>3.0975000000000001</v>
      </c>
      <c r="DE195" s="8">
        <v>3.129</v>
      </c>
      <c r="DF195" s="8">
        <v>3.1604999999999999</v>
      </c>
      <c r="DG195" s="8">
        <v>3.1918000000000002</v>
      </c>
      <c r="DH195" s="8">
        <v>3.2231999999999998</v>
      </c>
      <c r="DI195" s="8">
        <v>3.2544</v>
      </c>
      <c r="DJ195" s="8">
        <v>3.2856000000000001</v>
      </c>
      <c r="DK195" s="8">
        <v>3.3166000000000002</v>
      </c>
      <c r="DL195" s="8">
        <v>3.3475999999999999</v>
      </c>
      <c r="DM195" s="8">
        <v>3.3784000000000001</v>
      </c>
      <c r="DN195" s="8">
        <v>3.4091</v>
      </c>
      <c r="DO195" s="8">
        <v>3.4397000000000002</v>
      </c>
      <c r="DP195" s="8">
        <v>3.4701</v>
      </c>
      <c r="DQ195" s="8">
        <v>3.5003000000000002</v>
      </c>
      <c r="DR195" s="8">
        <v>3.5303</v>
      </c>
      <c r="DS195" s="8">
        <v>3.5602</v>
      </c>
      <c r="DT195" s="8">
        <v>3.5899000000000001</v>
      </c>
      <c r="DU195" s="8">
        <v>3.6193</v>
      </c>
      <c r="DV195" s="8">
        <v>3.6484999999999999</v>
      </c>
      <c r="DW195" s="8">
        <v>3.6776</v>
      </c>
      <c r="DX195" s="8">
        <v>3.7063999999999999</v>
      </c>
      <c r="DY195" s="8">
        <v>3.7349000000000001</v>
      </c>
      <c r="DZ195" s="8">
        <v>3.7631999999999999</v>
      </c>
      <c r="EA195" s="8">
        <v>3.7913000000000001</v>
      </c>
      <c r="EB195" s="8">
        <v>3.8191999999999999</v>
      </c>
      <c r="EC195" s="8">
        <v>3.8468</v>
      </c>
      <c r="ED195" s="8">
        <v>3.8742000000000001</v>
      </c>
      <c r="EE195" s="8">
        <v>3.9013</v>
      </c>
      <c r="EF195" s="8">
        <v>3.9283000000000001</v>
      </c>
      <c r="EG195" s="8">
        <v>3.9550999999999998</v>
      </c>
      <c r="EH195" s="8">
        <v>3.9815999999999998</v>
      </c>
      <c r="EI195" s="8">
        <v>4.008</v>
      </c>
      <c r="EJ195" s="8">
        <v>4.0343</v>
      </c>
      <c r="EK195" s="8">
        <v>4.0603999999999996</v>
      </c>
      <c r="EL195" s="8">
        <v>4.0864000000000003</v>
      </c>
      <c r="EM195" s="8">
        <v>4.1124000000000001</v>
      </c>
      <c r="EN195" s="8">
        <v>4.1383000000000001</v>
      </c>
      <c r="EO195" s="8">
        <v>4.1637000000000004</v>
      </c>
      <c r="EP195" s="8">
        <v>4.1824000000000003</v>
      </c>
      <c r="EQ195" s="8">
        <v>4.2013999999999996</v>
      </c>
      <c r="ER195" s="8">
        <v>4.2206999999999999</v>
      </c>
      <c r="ES195" s="8">
        <v>4.2404999999999999</v>
      </c>
      <c r="ET195" s="8">
        <v>4.2606999999999999</v>
      </c>
      <c r="EU195" s="8">
        <v>4.2815000000000003</v>
      </c>
      <c r="EV195" s="8">
        <v>4.3029000000000002</v>
      </c>
      <c r="EW195" s="8">
        <v>4.3247999999999998</v>
      </c>
      <c r="EX195" s="8">
        <v>4.3475000000000001</v>
      </c>
      <c r="EY195" s="8">
        <v>4.3708999999999998</v>
      </c>
      <c r="EZ195" s="8">
        <v>4.3949999999999996</v>
      </c>
      <c r="FA195" s="8">
        <v>4.4199000000000002</v>
      </c>
      <c r="FB195" s="8">
        <v>4.4457000000000004</v>
      </c>
      <c r="FC195" s="106">
        <v>4.4722999999999997</v>
      </c>
      <c r="FE195" s="50">
        <f t="shared" ca="1" si="21"/>
        <v>3.6833529519730805</v>
      </c>
      <c r="FF195" s="50">
        <f t="shared" ca="1" si="22"/>
        <v>3.6650406600448577</v>
      </c>
      <c r="FG195" s="50">
        <f t="shared" ca="1" si="23"/>
        <v>3.6462855033557044</v>
      </c>
      <c r="FH195" s="50">
        <f t="shared" ca="1" si="24"/>
        <v>3.6266881879194628</v>
      </c>
      <c r="FK195" s="50">
        <f t="shared" ca="1" si="20"/>
        <v>3.6650406600448577</v>
      </c>
      <c r="FL195" s="50"/>
      <c r="FM195" s="50"/>
      <c r="FN195" s="50"/>
    </row>
    <row r="196" spans="48:170" hidden="1">
      <c r="AV196" s="69"/>
      <c r="AW196" s="104">
        <v>43.652000000000001</v>
      </c>
      <c r="AX196" s="8">
        <v>1.4376</v>
      </c>
      <c r="AY196" s="8">
        <v>1.4614</v>
      </c>
      <c r="AZ196" s="8">
        <v>1.4854000000000001</v>
      </c>
      <c r="BA196" s="8">
        <v>1.5096000000000001</v>
      </c>
      <c r="BB196" s="8">
        <v>1.5339</v>
      </c>
      <c r="BC196" s="8">
        <v>1.5585</v>
      </c>
      <c r="BD196" s="8">
        <v>1.5831999999999999</v>
      </c>
      <c r="BE196" s="8">
        <v>1.6081000000000001</v>
      </c>
      <c r="BF196" s="8">
        <v>1.6332</v>
      </c>
      <c r="BG196" s="8">
        <v>1.6585000000000001</v>
      </c>
      <c r="BH196" s="8">
        <v>1.6839999999999999</v>
      </c>
      <c r="BI196" s="8">
        <v>1.7097</v>
      </c>
      <c r="BJ196" s="8">
        <v>1.7356</v>
      </c>
      <c r="BK196" s="8">
        <v>1.7617</v>
      </c>
      <c r="BL196" s="8">
        <v>1.7879</v>
      </c>
      <c r="BM196" s="8">
        <v>1.8143</v>
      </c>
      <c r="BN196" s="8">
        <v>1.8409</v>
      </c>
      <c r="BO196" s="8">
        <v>1.8676999999999999</v>
      </c>
      <c r="BP196" s="8">
        <v>1.8947000000000001</v>
      </c>
      <c r="BQ196" s="8">
        <v>1.9218999999999999</v>
      </c>
      <c r="BR196" s="8">
        <v>1.9492</v>
      </c>
      <c r="BS196" s="8">
        <v>1.9766999999999999</v>
      </c>
      <c r="BT196" s="8">
        <v>2.0044</v>
      </c>
      <c r="BU196" s="8">
        <v>2.0323000000000002</v>
      </c>
      <c r="BV196" s="8">
        <v>2.0602999999999998</v>
      </c>
      <c r="BW196" s="8">
        <v>2.0884999999999998</v>
      </c>
      <c r="BX196" s="8">
        <v>2.1168999999999998</v>
      </c>
      <c r="BY196" s="8">
        <v>2.1455000000000002</v>
      </c>
      <c r="BZ196" s="8">
        <v>2.1741999999999999</v>
      </c>
      <c r="CA196" s="8">
        <v>2.2029999999999998</v>
      </c>
      <c r="CB196" s="8">
        <v>2.2321</v>
      </c>
      <c r="CC196" s="8">
        <v>2.2612000000000001</v>
      </c>
      <c r="CD196" s="8">
        <v>2.2906</v>
      </c>
      <c r="CE196" s="8">
        <v>2.3201000000000001</v>
      </c>
      <c r="CF196" s="8">
        <v>2.3496999999999999</v>
      </c>
      <c r="CG196" s="8">
        <v>2.3795000000000002</v>
      </c>
      <c r="CH196" s="8">
        <v>2.4094000000000002</v>
      </c>
      <c r="CI196" s="8">
        <v>2.4394</v>
      </c>
      <c r="CJ196" s="8">
        <v>2.4695999999999998</v>
      </c>
      <c r="CK196" s="8">
        <v>2.4998999999999998</v>
      </c>
      <c r="CL196" s="8">
        <v>2.5304000000000002</v>
      </c>
      <c r="CM196" s="8">
        <v>2.5609000000000002</v>
      </c>
      <c r="CN196" s="8">
        <v>2.5916000000000001</v>
      </c>
      <c r="CO196" s="8">
        <v>2.6223000000000001</v>
      </c>
      <c r="CP196" s="8">
        <v>2.6532</v>
      </c>
      <c r="CQ196" s="8">
        <v>2.6840999999999999</v>
      </c>
      <c r="CR196" s="8">
        <v>2.7151999999999998</v>
      </c>
      <c r="CS196" s="8">
        <v>2.7463000000000002</v>
      </c>
      <c r="CT196" s="8">
        <v>2.7774999999999999</v>
      </c>
      <c r="CU196" s="8">
        <v>2.8088000000000002</v>
      </c>
      <c r="CV196" s="8">
        <v>2.8401000000000001</v>
      </c>
      <c r="CW196" s="8">
        <v>2.8714</v>
      </c>
      <c r="CX196" s="8">
        <v>2.9028</v>
      </c>
      <c r="CY196" s="8">
        <v>2.9342999999999999</v>
      </c>
      <c r="CZ196" s="8">
        <v>2.9657</v>
      </c>
      <c r="DA196" s="8">
        <v>2.9971999999999999</v>
      </c>
      <c r="DB196" s="8">
        <v>3.0287000000000002</v>
      </c>
      <c r="DC196" s="8">
        <v>3.0600999999999998</v>
      </c>
      <c r="DD196" s="8">
        <v>3.0916000000000001</v>
      </c>
      <c r="DE196" s="8">
        <v>3.1230000000000002</v>
      </c>
      <c r="DF196" s="8">
        <v>3.1543999999999999</v>
      </c>
      <c r="DG196" s="8">
        <v>3.1857000000000002</v>
      </c>
      <c r="DH196" s="8">
        <v>3.2170000000000001</v>
      </c>
      <c r="DI196" s="8">
        <v>3.2482000000000002</v>
      </c>
      <c r="DJ196" s="8">
        <v>3.2793000000000001</v>
      </c>
      <c r="DK196" s="8">
        <v>3.3102999999999998</v>
      </c>
      <c r="DL196" s="8">
        <v>3.3412000000000002</v>
      </c>
      <c r="DM196" s="8">
        <v>3.3719000000000001</v>
      </c>
      <c r="DN196" s="8">
        <v>3.4026000000000001</v>
      </c>
      <c r="DO196" s="8">
        <v>3.4331</v>
      </c>
      <c r="DP196" s="8">
        <v>3.4634</v>
      </c>
      <c r="DQ196" s="8">
        <v>3.4935999999999998</v>
      </c>
      <c r="DR196" s="8">
        <v>3.5236000000000001</v>
      </c>
      <c r="DS196" s="8">
        <v>3.5533999999999999</v>
      </c>
      <c r="DT196" s="8">
        <v>3.5830000000000002</v>
      </c>
      <c r="DU196" s="8">
        <v>3.6124000000000001</v>
      </c>
      <c r="DV196" s="8">
        <v>3.6415000000000002</v>
      </c>
      <c r="DW196" s="8">
        <v>3.6705000000000001</v>
      </c>
      <c r="DX196" s="8">
        <v>3.6991999999999998</v>
      </c>
      <c r="DY196" s="8">
        <v>3.7277</v>
      </c>
      <c r="DZ196" s="8">
        <v>3.7559999999999998</v>
      </c>
      <c r="EA196" s="8">
        <v>3.7839999999999998</v>
      </c>
      <c r="EB196" s="8">
        <v>3.8117999999999999</v>
      </c>
      <c r="EC196" s="8">
        <v>3.8393999999999999</v>
      </c>
      <c r="ED196" s="8">
        <v>3.8666999999999998</v>
      </c>
      <c r="EE196" s="8">
        <v>3.8938999999999999</v>
      </c>
      <c r="EF196" s="8">
        <v>3.9207999999999998</v>
      </c>
      <c r="EG196" s="8">
        <v>3.9474999999999998</v>
      </c>
      <c r="EH196" s="8">
        <v>3.9740000000000002</v>
      </c>
      <c r="EI196" s="8">
        <v>4.0003000000000002</v>
      </c>
      <c r="EJ196" s="8">
        <v>4.0265000000000004</v>
      </c>
      <c r="EK196" s="8">
        <v>4.0526</v>
      </c>
      <c r="EL196" s="8">
        <v>4.0785999999999998</v>
      </c>
      <c r="EM196" s="8">
        <v>4.1044999999999998</v>
      </c>
      <c r="EN196" s="8">
        <v>4.1303000000000001</v>
      </c>
      <c r="EO196" s="8">
        <v>4.1562000000000001</v>
      </c>
      <c r="EP196" s="8">
        <v>4.1820000000000004</v>
      </c>
      <c r="EQ196" s="8">
        <v>4.2013999999999996</v>
      </c>
      <c r="ER196" s="8">
        <v>4.2206999999999999</v>
      </c>
      <c r="ES196" s="8">
        <v>4.2404999999999999</v>
      </c>
      <c r="ET196" s="8">
        <v>4.2606999999999999</v>
      </c>
      <c r="EU196" s="8">
        <v>4.2815000000000003</v>
      </c>
      <c r="EV196" s="8">
        <v>4.3029000000000002</v>
      </c>
      <c r="EW196" s="8">
        <v>4.3247999999999998</v>
      </c>
      <c r="EX196" s="8">
        <v>4.3475000000000001</v>
      </c>
      <c r="EY196" s="8">
        <v>4.3708999999999998</v>
      </c>
      <c r="EZ196" s="8">
        <v>4.3949999999999996</v>
      </c>
      <c r="FA196" s="8">
        <v>4.4199000000000002</v>
      </c>
      <c r="FB196" s="8">
        <v>4.4457000000000004</v>
      </c>
      <c r="FC196" s="106">
        <v>4.4722999999999997</v>
      </c>
      <c r="FE196" s="50">
        <f t="shared" ca="1" si="21"/>
        <v>3.6762329764453963</v>
      </c>
      <c r="FF196" s="50">
        <f t="shared" ca="1" si="22"/>
        <v>3.6579838192886895</v>
      </c>
      <c r="FG196" s="50">
        <f t="shared" ca="1" si="23"/>
        <v>3.6392930872483222</v>
      </c>
      <c r="FH196" s="50">
        <f t="shared" ca="1" si="24"/>
        <v>3.6197628859060402</v>
      </c>
      <c r="FK196" s="50">
        <f t="shared" ca="1" si="20"/>
        <v>3.6579838192886895</v>
      </c>
      <c r="FL196" s="50"/>
      <c r="FM196" s="50"/>
      <c r="FN196" s="50"/>
    </row>
    <row r="197" spans="48:170" hidden="1">
      <c r="AV197" s="69"/>
      <c r="AW197" s="104">
        <v>46.774000000000001</v>
      </c>
      <c r="AX197" s="8">
        <v>1.4349000000000001</v>
      </c>
      <c r="AY197" s="8">
        <v>1.4585999999999999</v>
      </c>
      <c r="AZ197" s="8">
        <v>1.4825999999999999</v>
      </c>
      <c r="BA197" s="8">
        <v>1.5066999999999999</v>
      </c>
      <c r="BB197" s="8">
        <v>1.5309999999999999</v>
      </c>
      <c r="BC197" s="8">
        <v>1.5555000000000001</v>
      </c>
      <c r="BD197" s="8">
        <v>1.5802</v>
      </c>
      <c r="BE197" s="8">
        <v>1.6051</v>
      </c>
      <c r="BF197" s="8">
        <v>1.6301000000000001</v>
      </c>
      <c r="BG197" s="8">
        <v>1.6554</v>
      </c>
      <c r="BH197" s="8">
        <v>1.6808000000000001</v>
      </c>
      <c r="BI197" s="8">
        <v>1.7064999999999999</v>
      </c>
      <c r="BJ197" s="8">
        <v>1.7323</v>
      </c>
      <c r="BK197" s="8">
        <v>1.7583</v>
      </c>
      <c r="BL197" s="8">
        <v>1.7845</v>
      </c>
      <c r="BM197" s="8">
        <v>1.8109</v>
      </c>
      <c r="BN197" s="8">
        <v>1.8373999999999999</v>
      </c>
      <c r="BO197" s="8">
        <v>1.8642000000000001</v>
      </c>
      <c r="BP197" s="8">
        <v>1.8911</v>
      </c>
      <c r="BQ197" s="8">
        <v>1.9181999999999999</v>
      </c>
      <c r="BR197" s="8">
        <v>1.9455</v>
      </c>
      <c r="BS197" s="8">
        <v>1.9730000000000001</v>
      </c>
      <c r="BT197" s="8">
        <v>2.0005999999999999</v>
      </c>
      <c r="BU197" s="8">
        <v>2.0284</v>
      </c>
      <c r="BV197" s="8">
        <v>2.0564</v>
      </c>
      <c r="BW197" s="8">
        <v>2.0846</v>
      </c>
      <c r="BX197" s="8">
        <v>2.1128999999999998</v>
      </c>
      <c r="BY197" s="8">
        <v>2.1414</v>
      </c>
      <c r="BZ197" s="8">
        <v>2.17</v>
      </c>
      <c r="CA197" s="8">
        <v>2.1987999999999999</v>
      </c>
      <c r="CB197" s="8">
        <v>2.2277999999999998</v>
      </c>
      <c r="CC197" s="8">
        <v>2.2568999999999999</v>
      </c>
      <c r="CD197" s="8">
        <v>2.2862</v>
      </c>
      <c r="CE197" s="8">
        <v>2.3157000000000001</v>
      </c>
      <c r="CF197" s="8">
        <v>2.3452000000000002</v>
      </c>
      <c r="CG197" s="8">
        <v>2.375</v>
      </c>
      <c r="CH197" s="8">
        <v>2.4047999999999998</v>
      </c>
      <c r="CI197" s="8">
        <v>2.4348000000000001</v>
      </c>
      <c r="CJ197" s="8">
        <v>2.4649000000000001</v>
      </c>
      <c r="CK197" s="8">
        <v>2.4952000000000001</v>
      </c>
      <c r="CL197" s="8">
        <v>2.5255999999999998</v>
      </c>
      <c r="CM197" s="8">
        <v>2.556</v>
      </c>
      <c r="CN197" s="8">
        <v>2.5865999999999998</v>
      </c>
      <c r="CO197" s="8">
        <v>2.6173000000000002</v>
      </c>
      <c r="CP197" s="8">
        <v>2.6480999999999999</v>
      </c>
      <c r="CQ197" s="8">
        <v>2.6789999999999998</v>
      </c>
      <c r="CR197" s="8">
        <v>2.71</v>
      </c>
      <c r="CS197" s="8">
        <v>2.7410999999999999</v>
      </c>
      <c r="CT197" s="8">
        <v>2.7722000000000002</v>
      </c>
      <c r="CU197" s="8">
        <v>2.8033999999999999</v>
      </c>
      <c r="CV197" s="8">
        <v>2.8347000000000002</v>
      </c>
      <c r="CW197" s="8">
        <v>2.8660000000000001</v>
      </c>
      <c r="CX197" s="8">
        <v>2.8973</v>
      </c>
      <c r="CY197" s="8">
        <v>2.9287000000000001</v>
      </c>
      <c r="CZ197" s="8">
        <v>2.9601000000000002</v>
      </c>
      <c r="DA197" s="8">
        <v>2.9914999999999998</v>
      </c>
      <c r="DB197" s="8">
        <v>3.0228999999999999</v>
      </c>
      <c r="DC197" s="8">
        <v>3.0543</v>
      </c>
      <c r="DD197" s="8">
        <v>3.0857000000000001</v>
      </c>
      <c r="DE197" s="8">
        <v>3.1171000000000002</v>
      </c>
      <c r="DF197" s="8">
        <v>3.1484000000000001</v>
      </c>
      <c r="DG197" s="8">
        <v>3.1797</v>
      </c>
      <c r="DH197" s="8">
        <v>3.2109000000000001</v>
      </c>
      <c r="DI197" s="8">
        <v>3.242</v>
      </c>
      <c r="DJ197" s="8">
        <v>3.2730000000000001</v>
      </c>
      <c r="DK197" s="8">
        <v>3.3039999999999998</v>
      </c>
      <c r="DL197" s="8">
        <v>3.3348</v>
      </c>
      <c r="DM197" s="8">
        <v>3.3654999999999999</v>
      </c>
      <c r="DN197" s="8">
        <v>3.3961000000000001</v>
      </c>
      <c r="DO197" s="8">
        <v>3.4266000000000001</v>
      </c>
      <c r="DP197" s="8">
        <v>3.4567999999999999</v>
      </c>
      <c r="DQ197" s="8">
        <v>3.4868999999999999</v>
      </c>
      <c r="DR197" s="8">
        <v>3.5169000000000001</v>
      </c>
      <c r="DS197" s="8">
        <v>3.5466000000000002</v>
      </c>
      <c r="DT197" s="8">
        <v>3.5762</v>
      </c>
      <c r="DU197" s="8">
        <v>3.6055000000000001</v>
      </c>
      <c r="DV197" s="8">
        <v>3.6345999999999998</v>
      </c>
      <c r="DW197" s="8">
        <v>3.6635</v>
      </c>
      <c r="DX197" s="8">
        <v>3.6922000000000001</v>
      </c>
      <c r="DY197" s="8">
        <v>3.7206999999999999</v>
      </c>
      <c r="DZ197" s="8">
        <v>3.7488999999999999</v>
      </c>
      <c r="EA197" s="8">
        <v>3.7768999999999999</v>
      </c>
      <c r="EB197" s="8">
        <v>3.8046000000000002</v>
      </c>
      <c r="EC197" s="8">
        <v>3.8321000000000001</v>
      </c>
      <c r="ED197" s="8">
        <v>3.8593999999999999</v>
      </c>
      <c r="EE197" s="8">
        <v>3.8864999999999998</v>
      </c>
      <c r="EF197" s="8">
        <v>3.9133</v>
      </c>
      <c r="EG197" s="8">
        <v>3.94</v>
      </c>
      <c r="EH197" s="8">
        <v>3.9664000000000001</v>
      </c>
      <c r="EI197" s="8">
        <v>3.9927000000000001</v>
      </c>
      <c r="EJ197" s="8">
        <v>4.0189000000000004</v>
      </c>
      <c r="EK197" s="8">
        <v>4.0449000000000002</v>
      </c>
      <c r="EL197" s="8">
        <v>4.0708000000000002</v>
      </c>
      <c r="EM197" s="8">
        <v>4.0967000000000002</v>
      </c>
      <c r="EN197" s="8">
        <v>4.1224999999999996</v>
      </c>
      <c r="EO197" s="8">
        <v>4.1482999999999999</v>
      </c>
      <c r="EP197" s="8">
        <v>4.1741000000000001</v>
      </c>
      <c r="EQ197" s="8">
        <v>4.2</v>
      </c>
      <c r="ER197" s="8">
        <v>4.2206999999999999</v>
      </c>
      <c r="ES197" s="8">
        <v>4.2404999999999999</v>
      </c>
      <c r="ET197" s="8">
        <v>4.2606999999999999</v>
      </c>
      <c r="EU197" s="8">
        <v>4.2815000000000003</v>
      </c>
      <c r="EV197" s="8">
        <v>4.3029000000000002</v>
      </c>
      <c r="EW197" s="8">
        <v>4.3247999999999998</v>
      </c>
      <c r="EX197" s="8">
        <v>4.3475000000000001</v>
      </c>
      <c r="EY197" s="8">
        <v>4.3708999999999998</v>
      </c>
      <c r="EZ197" s="8">
        <v>4.3949999999999996</v>
      </c>
      <c r="FA197" s="8">
        <v>4.4199000000000002</v>
      </c>
      <c r="FB197" s="8">
        <v>4.4457000000000004</v>
      </c>
      <c r="FC197" s="106">
        <v>4.4722999999999997</v>
      </c>
      <c r="FE197" s="50">
        <f t="shared" ca="1" si="21"/>
        <v>3.6692329764453966</v>
      </c>
      <c r="FF197" s="50">
        <f t="shared" ca="1" si="22"/>
        <v>3.6510269785325216</v>
      </c>
      <c r="FG197" s="50">
        <f t="shared" ca="1" si="23"/>
        <v>3.6323930872483219</v>
      </c>
      <c r="FH197" s="50">
        <f t="shared" ca="1" si="24"/>
        <v>3.6128628859060403</v>
      </c>
      <c r="FK197" s="50">
        <f t="shared" ca="1" si="20"/>
        <v>3.6510269785325216</v>
      </c>
      <c r="FL197" s="50"/>
      <c r="FM197" s="50"/>
      <c r="FN197" s="50"/>
    </row>
    <row r="198" spans="48:170" hidden="1">
      <c r="AV198" s="69"/>
      <c r="AW198" s="104">
        <v>50.119</v>
      </c>
      <c r="AX198" s="8">
        <v>1.4321999999999999</v>
      </c>
      <c r="AY198" s="8">
        <v>1.4559</v>
      </c>
      <c r="AZ198" s="8">
        <v>1.4798</v>
      </c>
      <c r="BA198" s="8">
        <v>1.5039</v>
      </c>
      <c r="BB198" s="8">
        <v>1.5281</v>
      </c>
      <c r="BC198" s="8">
        <v>1.5526</v>
      </c>
      <c r="BD198" s="8">
        <v>1.5771999999999999</v>
      </c>
      <c r="BE198" s="8">
        <v>1.6020000000000001</v>
      </c>
      <c r="BF198" s="8">
        <v>1.6271</v>
      </c>
      <c r="BG198" s="8">
        <v>1.6523000000000001</v>
      </c>
      <c r="BH198" s="8">
        <v>1.6777</v>
      </c>
      <c r="BI198" s="8">
        <v>1.7033</v>
      </c>
      <c r="BJ198" s="8">
        <v>1.7290000000000001</v>
      </c>
      <c r="BK198" s="8">
        <v>1.7549999999999999</v>
      </c>
      <c r="BL198" s="8">
        <v>1.7810999999999999</v>
      </c>
      <c r="BM198" s="8">
        <v>1.8075000000000001</v>
      </c>
      <c r="BN198" s="8">
        <v>1.8340000000000001</v>
      </c>
      <c r="BO198" s="8">
        <v>1.8607</v>
      </c>
      <c r="BP198" s="8">
        <v>1.8875999999999999</v>
      </c>
      <c r="BQ198" s="8">
        <v>1.9146000000000001</v>
      </c>
      <c r="BR198" s="8">
        <v>1.9418</v>
      </c>
      <c r="BS198" s="8">
        <v>1.9693000000000001</v>
      </c>
      <c r="BT198" s="8">
        <v>1.9967999999999999</v>
      </c>
      <c r="BU198" s="8">
        <v>2.0246</v>
      </c>
      <c r="BV198" s="8">
        <v>2.0525000000000002</v>
      </c>
      <c r="BW198" s="8">
        <v>2.0806</v>
      </c>
      <c r="BX198" s="8">
        <v>2.1089000000000002</v>
      </c>
      <c r="BY198" s="8">
        <v>2.1373000000000002</v>
      </c>
      <c r="BZ198" s="8">
        <v>2.1659000000000002</v>
      </c>
      <c r="CA198" s="8">
        <v>2.1947000000000001</v>
      </c>
      <c r="CB198" s="8">
        <v>2.2235999999999998</v>
      </c>
      <c r="CC198" s="8">
        <v>2.2526999999999999</v>
      </c>
      <c r="CD198" s="8">
        <v>2.2818999999999998</v>
      </c>
      <c r="CE198" s="8">
        <v>2.3113000000000001</v>
      </c>
      <c r="CF198" s="8">
        <v>2.3408000000000002</v>
      </c>
      <c r="CG198" s="8">
        <v>2.3704999999999998</v>
      </c>
      <c r="CH198" s="8">
        <v>2.4003000000000001</v>
      </c>
      <c r="CI198" s="8">
        <v>2.4302000000000001</v>
      </c>
      <c r="CJ198" s="8">
        <v>2.4603000000000002</v>
      </c>
      <c r="CK198" s="8">
        <v>2.4904999999999999</v>
      </c>
      <c r="CL198" s="8">
        <v>2.5207999999999999</v>
      </c>
      <c r="CM198" s="8">
        <v>2.5512000000000001</v>
      </c>
      <c r="CN198" s="8">
        <v>2.5817999999999999</v>
      </c>
      <c r="CO198" s="8">
        <v>2.6124000000000001</v>
      </c>
      <c r="CP198" s="8">
        <v>2.6432000000000002</v>
      </c>
      <c r="CQ198" s="8">
        <v>2.6739999999999999</v>
      </c>
      <c r="CR198" s="8">
        <v>2.7048999999999999</v>
      </c>
      <c r="CS198" s="8">
        <v>2.7359</v>
      </c>
      <c r="CT198" s="8">
        <v>2.7669999999999999</v>
      </c>
      <c r="CU198" s="8">
        <v>2.7980999999999998</v>
      </c>
      <c r="CV198" s="8">
        <v>2.8292999999999999</v>
      </c>
      <c r="CW198" s="8">
        <v>2.8605999999999998</v>
      </c>
      <c r="CX198" s="8">
        <v>2.8919000000000001</v>
      </c>
      <c r="CY198" s="8">
        <v>2.9232</v>
      </c>
      <c r="CZ198" s="8">
        <v>2.9544999999999999</v>
      </c>
      <c r="DA198" s="8">
        <v>2.9859</v>
      </c>
      <c r="DB198" s="8">
        <v>3.0171999999999999</v>
      </c>
      <c r="DC198" s="8">
        <v>3.0486</v>
      </c>
      <c r="DD198" s="8">
        <v>3.0798999999999999</v>
      </c>
      <c r="DE198" s="8">
        <v>3.1112000000000002</v>
      </c>
      <c r="DF198" s="8">
        <v>3.1425000000000001</v>
      </c>
      <c r="DG198" s="8">
        <v>3.1737000000000002</v>
      </c>
      <c r="DH198" s="8">
        <v>3.2048000000000001</v>
      </c>
      <c r="DI198" s="8">
        <v>3.2359</v>
      </c>
      <c r="DJ198" s="8">
        <v>3.2669000000000001</v>
      </c>
      <c r="DK198" s="8">
        <v>3.2978000000000001</v>
      </c>
      <c r="DL198" s="8">
        <v>3.3285999999999998</v>
      </c>
      <c r="DM198" s="8">
        <v>3.3592</v>
      </c>
      <c r="DN198" s="8">
        <v>3.3896999999999999</v>
      </c>
      <c r="DO198" s="8">
        <v>3.4201000000000001</v>
      </c>
      <c r="DP198" s="8">
        <v>3.4502999999999999</v>
      </c>
      <c r="DQ198" s="8">
        <v>3.4803999999999999</v>
      </c>
      <c r="DR198" s="8">
        <v>3.5103</v>
      </c>
      <c r="DS198" s="8">
        <v>3.5398999999999998</v>
      </c>
      <c r="DT198" s="8">
        <v>3.5693999999999999</v>
      </c>
      <c r="DU198" s="8">
        <v>3.5987</v>
      </c>
      <c r="DV198" s="8">
        <v>3.6278000000000001</v>
      </c>
      <c r="DW198" s="8">
        <v>3.6566000000000001</v>
      </c>
      <c r="DX198" s="8">
        <v>3.6852999999999998</v>
      </c>
      <c r="DY198" s="8">
        <v>3.7136999999999998</v>
      </c>
      <c r="DZ198" s="8">
        <v>3.7418</v>
      </c>
      <c r="EA198" s="8">
        <v>3.7696999999999998</v>
      </c>
      <c r="EB198" s="8">
        <v>3.7974000000000001</v>
      </c>
      <c r="EC198" s="8">
        <v>3.8249</v>
      </c>
      <c r="ED198" s="8">
        <v>3.8521000000000001</v>
      </c>
      <c r="EE198" s="8">
        <v>3.8792</v>
      </c>
      <c r="EF198" s="8">
        <v>3.9060000000000001</v>
      </c>
      <c r="EG198" s="8">
        <v>3.9325999999999999</v>
      </c>
      <c r="EH198" s="8">
        <v>3.9590000000000001</v>
      </c>
      <c r="EI198" s="8">
        <v>3.9851999999999999</v>
      </c>
      <c r="EJ198" s="8">
        <v>4.0113000000000003</v>
      </c>
      <c r="EK198" s="8">
        <v>4.0373000000000001</v>
      </c>
      <c r="EL198" s="8">
        <v>4.0632000000000001</v>
      </c>
      <c r="EM198" s="8">
        <v>4.0890000000000004</v>
      </c>
      <c r="EN198" s="8">
        <v>4.1147</v>
      </c>
      <c r="EO198" s="8">
        <v>4.1405000000000003</v>
      </c>
      <c r="EP198" s="8">
        <v>4.1661999999999999</v>
      </c>
      <c r="EQ198" s="8">
        <v>4.1920999999999999</v>
      </c>
      <c r="ER198" s="8">
        <v>4.218</v>
      </c>
      <c r="ES198" s="8">
        <v>4.2404999999999999</v>
      </c>
      <c r="ET198" s="8">
        <v>4.2606999999999999</v>
      </c>
      <c r="EU198" s="8">
        <v>4.2815000000000003</v>
      </c>
      <c r="EV198" s="8">
        <v>4.3029000000000002</v>
      </c>
      <c r="EW198" s="8">
        <v>4.3247999999999998</v>
      </c>
      <c r="EX198" s="8">
        <v>4.3475000000000001</v>
      </c>
      <c r="EY198" s="8">
        <v>4.3708999999999998</v>
      </c>
      <c r="EZ198" s="8">
        <v>4.3949999999999996</v>
      </c>
      <c r="FA198" s="8">
        <v>4.4199000000000002</v>
      </c>
      <c r="FB198" s="8">
        <v>4.4457000000000004</v>
      </c>
      <c r="FC198" s="106">
        <v>4.4722999999999997</v>
      </c>
      <c r="FE198" s="50">
        <f t="shared" ca="1" si="21"/>
        <v>3.6623329764453962</v>
      </c>
      <c r="FF198" s="50">
        <f t="shared" ca="1" si="22"/>
        <v>3.6441701377763538</v>
      </c>
      <c r="FG198" s="50">
        <f t="shared" ca="1" si="23"/>
        <v>3.6255930872483222</v>
      </c>
      <c r="FH198" s="50">
        <f t="shared" ca="1" si="24"/>
        <v>3.6060628859060402</v>
      </c>
      <c r="FK198" s="50">
        <f t="shared" ca="1" si="20"/>
        <v>3.6441701377763538</v>
      </c>
      <c r="FL198" s="50"/>
      <c r="FM198" s="50"/>
      <c r="FN198" s="50"/>
    </row>
    <row r="199" spans="48:170" hidden="1">
      <c r="AV199" s="69"/>
      <c r="AW199" s="104">
        <v>53.703000000000003</v>
      </c>
      <c r="AX199" s="8">
        <v>1.4295</v>
      </c>
      <c r="AY199" s="8">
        <v>1.4532</v>
      </c>
      <c r="AZ199" s="8">
        <v>1.4770000000000001</v>
      </c>
      <c r="BA199" s="8">
        <v>1.5009999999999999</v>
      </c>
      <c r="BB199" s="8">
        <v>1.5253000000000001</v>
      </c>
      <c r="BC199" s="8">
        <v>1.5497000000000001</v>
      </c>
      <c r="BD199" s="8">
        <v>1.5743</v>
      </c>
      <c r="BE199" s="8">
        <v>1.5991</v>
      </c>
      <c r="BF199" s="8">
        <v>1.6240000000000001</v>
      </c>
      <c r="BG199" s="8">
        <v>1.6492</v>
      </c>
      <c r="BH199" s="8">
        <v>1.6746000000000001</v>
      </c>
      <c r="BI199" s="8">
        <v>1.7000999999999999</v>
      </c>
      <c r="BJ199" s="8">
        <v>1.7258</v>
      </c>
      <c r="BK199" s="8">
        <v>1.7517</v>
      </c>
      <c r="BL199" s="8">
        <v>1.7778</v>
      </c>
      <c r="BM199" s="8">
        <v>1.8041</v>
      </c>
      <c r="BN199" s="8">
        <v>1.8306</v>
      </c>
      <c r="BO199" s="8">
        <v>1.8572</v>
      </c>
      <c r="BP199" s="8">
        <v>1.8839999999999999</v>
      </c>
      <c r="BQ199" s="8">
        <v>1.911</v>
      </c>
      <c r="BR199" s="8">
        <v>1.9381999999999999</v>
      </c>
      <c r="BS199" s="8">
        <v>1.9656</v>
      </c>
      <c r="BT199" s="8">
        <v>1.9931000000000001</v>
      </c>
      <c r="BU199" s="8">
        <v>2.0207999999999999</v>
      </c>
      <c r="BV199" s="8">
        <v>2.0487000000000002</v>
      </c>
      <c r="BW199" s="8">
        <v>2.0768</v>
      </c>
      <c r="BX199" s="8">
        <v>2.105</v>
      </c>
      <c r="BY199" s="8">
        <v>2.1334</v>
      </c>
      <c r="BZ199" s="8">
        <v>2.1619000000000002</v>
      </c>
      <c r="CA199" s="8">
        <v>2.1905999999999999</v>
      </c>
      <c r="CB199" s="8">
        <v>2.2195</v>
      </c>
      <c r="CC199" s="8">
        <v>2.2484999999999999</v>
      </c>
      <c r="CD199" s="8">
        <v>2.2776999999999998</v>
      </c>
      <c r="CE199" s="8">
        <v>2.3069999999999999</v>
      </c>
      <c r="CF199" s="8">
        <v>2.3365</v>
      </c>
      <c r="CG199" s="8">
        <v>2.3660999999999999</v>
      </c>
      <c r="CH199" s="8">
        <v>2.3957999999999999</v>
      </c>
      <c r="CI199" s="8">
        <v>2.4257</v>
      </c>
      <c r="CJ199" s="8">
        <v>2.4557000000000002</v>
      </c>
      <c r="CK199" s="8">
        <v>2.4857999999999998</v>
      </c>
      <c r="CL199" s="8">
        <v>2.5160999999999998</v>
      </c>
      <c r="CM199" s="8">
        <v>2.5465</v>
      </c>
      <c r="CN199" s="8">
        <v>2.577</v>
      </c>
      <c r="CO199" s="8">
        <v>2.6076000000000001</v>
      </c>
      <c r="CP199" s="8">
        <v>2.6381999999999999</v>
      </c>
      <c r="CQ199" s="8">
        <v>2.669</v>
      </c>
      <c r="CR199" s="8">
        <v>2.6999</v>
      </c>
      <c r="CS199" s="8">
        <v>2.7307999999999999</v>
      </c>
      <c r="CT199" s="8">
        <v>2.7618</v>
      </c>
      <c r="CU199" s="8">
        <v>2.7928999999999999</v>
      </c>
      <c r="CV199" s="8">
        <v>2.8241000000000001</v>
      </c>
      <c r="CW199" s="8">
        <v>2.8553000000000002</v>
      </c>
      <c r="CX199" s="8">
        <v>2.8864999999999998</v>
      </c>
      <c r="CY199" s="8">
        <v>2.9177</v>
      </c>
      <c r="CZ199" s="8">
        <v>2.9489999999999998</v>
      </c>
      <c r="DA199" s="8">
        <v>2.9803000000000002</v>
      </c>
      <c r="DB199" s="8">
        <v>3.0116000000000001</v>
      </c>
      <c r="DC199" s="8">
        <v>3.0428999999999999</v>
      </c>
      <c r="DD199" s="8">
        <v>3.0741999999999998</v>
      </c>
      <c r="DE199" s="8">
        <v>3.1053999999999999</v>
      </c>
      <c r="DF199" s="8">
        <v>3.1366000000000001</v>
      </c>
      <c r="DG199" s="8">
        <v>3.1678000000000002</v>
      </c>
      <c r="DH199" s="8">
        <v>3.1989000000000001</v>
      </c>
      <c r="DI199" s="8">
        <v>3.2299000000000002</v>
      </c>
      <c r="DJ199" s="8">
        <v>3.2608000000000001</v>
      </c>
      <c r="DK199" s="8">
        <v>3.2915999999999999</v>
      </c>
      <c r="DL199" s="8">
        <v>3.3222999999999998</v>
      </c>
      <c r="DM199" s="8">
        <v>3.3529</v>
      </c>
      <c r="DN199" s="8">
        <v>3.3834</v>
      </c>
      <c r="DO199" s="8">
        <v>3.4137</v>
      </c>
      <c r="DP199" s="8">
        <v>3.4439000000000002</v>
      </c>
      <c r="DQ199" s="8">
        <v>3.4739</v>
      </c>
      <c r="DR199" s="8">
        <v>3.5036999999999998</v>
      </c>
      <c r="DS199" s="8">
        <v>3.5333000000000001</v>
      </c>
      <c r="DT199" s="8">
        <v>3.5628000000000002</v>
      </c>
      <c r="DU199" s="8">
        <v>3.5920000000000001</v>
      </c>
      <c r="DV199" s="8">
        <v>3.621</v>
      </c>
      <c r="DW199" s="8">
        <v>3.6497999999999999</v>
      </c>
      <c r="DX199" s="8">
        <v>3.6783999999999999</v>
      </c>
      <c r="DY199" s="8">
        <v>3.7067000000000001</v>
      </c>
      <c r="DZ199" s="8">
        <v>3.7347999999999999</v>
      </c>
      <c r="EA199" s="8">
        <v>3.7627000000000002</v>
      </c>
      <c r="EB199" s="8">
        <v>3.7904</v>
      </c>
      <c r="EC199" s="8">
        <v>3.8178000000000001</v>
      </c>
      <c r="ED199" s="8">
        <v>3.8450000000000002</v>
      </c>
      <c r="EE199" s="8">
        <v>3.8719000000000001</v>
      </c>
      <c r="EF199" s="8">
        <v>3.8986999999999998</v>
      </c>
      <c r="EG199" s="8">
        <v>3.9251999999999998</v>
      </c>
      <c r="EH199" s="8">
        <v>3.9516</v>
      </c>
      <c r="EI199" s="8">
        <v>3.9777999999999998</v>
      </c>
      <c r="EJ199" s="8">
        <v>4.0038</v>
      </c>
      <c r="EK199" s="8">
        <v>4.0297999999999998</v>
      </c>
      <c r="EL199" s="8">
        <v>4.0556000000000001</v>
      </c>
      <c r="EM199" s="8">
        <v>4.0812999999999997</v>
      </c>
      <c r="EN199" s="8">
        <v>4.1070000000000002</v>
      </c>
      <c r="EO199" s="8">
        <v>4.1326999999999998</v>
      </c>
      <c r="EP199" s="8">
        <v>4.1585000000000001</v>
      </c>
      <c r="EQ199" s="8">
        <v>4.1841999999999997</v>
      </c>
      <c r="ER199" s="8">
        <v>4.2100999999999997</v>
      </c>
      <c r="ES199" s="8">
        <v>4.2362000000000002</v>
      </c>
      <c r="ET199" s="8">
        <v>4.2606999999999999</v>
      </c>
      <c r="EU199" s="8">
        <v>4.2815000000000003</v>
      </c>
      <c r="EV199" s="8">
        <v>4.3029000000000002</v>
      </c>
      <c r="EW199" s="8">
        <v>4.3247999999999998</v>
      </c>
      <c r="EX199" s="8">
        <v>4.3475000000000001</v>
      </c>
      <c r="EY199" s="8">
        <v>4.3708999999999998</v>
      </c>
      <c r="EZ199" s="8">
        <v>4.3949999999999996</v>
      </c>
      <c r="FA199" s="8">
        <v>4.4199000000000002</v>
      </c>
      <c r="FB199" s="8">
        <v>4.4457000000000004</v>
      </c>
      <c r="FC199" s="106">
        <v>4.4722999999999997</v>
      </c>
      <c r="FE199" s="50">
        <f t="shared" ca="1" si="21"/>
        <v>3.6555130009177117</v>
      </c>
      <c r="FF199" s="50">
        <f t="shared" ca="1" si="22"/>
        <v>3.6373701377763537</v>
      </c>
      <c r="FG199" s="50">
        <f t="shared" ca="1" si="23"/>
        <v>3.6188006711409395</v>
      </c>
      <c r="FH199" s="50">
        <f t="shared" ca="1" si="24"/>
        <v>3.5993375838926176</v>
      </c>
      <c r="FK199" s="50">
        <f t="shared" ca="1" si="20"/>
        <v>3.6373701377763537</v>
      </c>
      <c r="FL199" s="50"/>
      <c r="FM199" s="50"/>
      <c r="FN199" s="50"/>
    </row>
    <row r="200" spans="48:170" hidden="1">
      <c r="AV200" s="69"/>
      <c r="AW200" s="104">
        <v>57.543999999999997</v>
      </c>
      <c r="AX200" s="8">
        <v>1.4269000000000001</v>
      </c>
      <c r="AY200" s="8">
        <v>1.4504999999999999</v>
      </c>
      <c r="AZ200" s="8">
        <v>1.4742999999999999</v>
      </c>
      <c r="BA200" s="8">
        <v>1.4983</v>
      </c>
      <c r="BB200" s="8">
        <v>1.5224</v>
      </c>
      <c r="BC200" s="8">
        <v>1.5468</v>
      </c>
      <c r="BD200" s="8">
        <v>1.5713999999999999</v>
      </c>
      <c r="BE200" s="8">
        <v>1.5961000000000001</v>
      </c>
      <c r="BF200" s="8">
        <v>1.621</v>
      </c>
      <c r="BG200" s="8">
        <v>1.6462000000000001</v>
      </c>
      <c r="BH200" s="8">
        <v>1.6715</v>
      </c>
      <c r="BI200" s="8">
        <v>1.6970000000000001</v>
      </c>
      <c r="BJ200" s="8">
        <v>1.7225999999999999</v>
      </c>
      <c r="BK200" s="8">
        <v>1.7484999999999999</v>
      </c>
      <c r="BL200" s="8">
        <v>1.7745</v>
      </c>
      <c r="BM200" s="8">
        <v>1.8008</v>
      </c>
      <c r="BN200" s="8">
        <v>1.8271999999999999</v>
      </c>
      <c r="BO200" s="8">
        <v>1.8537999999999999</v>
      </c>
      <c r="BP200" s="8">
        <v>1.8806</v>
      </c>
      <c r="BQ200" s="8">
        <v>1.9075</v>
      </c>
      <c r="BR200" s="8">
        <v>1.9347000000000001</v>
      </c>
      <c r="BS200" s="8">
        <v>1.962</v>
      </c>
      <c r="BT200" s="8">
        <v>1.9894000000000001</v>
      </c>
      <c r="BU200" s="8">
        <v>2.0171000000000001</v>
      </c>
      <c r="BV200" s="8">
        <v>2.0449000000000002</v>
      </c>
      <c r="BW200" s="8">
        <v>2.0729000000000002</v>
      </c>
      <c r="BX200" s="8">
        <v>2.1011000000000002</v>
      </c>
      <c r="BY200" s="8">
        <v>2.1294</v>
      </c>
      <c r="BZ200" s="8">
        <v>2.1579000000000002</v>
      </c>
      <c r="CA200" s="8">
        <v>2.1865999999999999</v>
      </c>
      <c r="CB200" s="8">
        <v>2.2153999999999998</v>
      </c>
      <c r="CC200" s="8">
        <v>2.2443</v>
      </c>
      <c r="CD200" s="8">
        <v>2.2734999999999999</v>
      </c>
      <c r="CE200" s="8">
        <v>2.3027000000000002</v>
      </c>
      <c r="CF200" s="8">
        <v>2.3321000000000001</v>
      </c>
      <c r="CG200" s="8">
        <v>2.3616999999999999</v>
      </c>
      <c r="CH200" s="8">
        <v>2.3914</v>
      </c>
      <c r="CI200" s="8">
        <v>2.4211999999999998</v>
      </c>
      <c r="CJ200" s="8">
        <v>2.4512</v>
      </c>
      <c r="CK200" s="8">
        <v>2.4813000000000001</v>
      </c>
      <c r="CL200" s="8">
        <v>2.5114999999999998</v>
      </c>
      <c r="CM200" s="8">
        <v>2.5417999999999998</v>
      </c>
      <c r="CN200" s="8">
        <v>2.5722</v>
      </c>
      <c r="CO200" s="8">
        <v>2.6027</v>
      </c>
      <c r="CP200" s="8">
        <v>2.6334</v>
      </c>
      <c r="CQ200" s="8">
        <v>2.6640999999999999</v>
      </c>
      <c r="CR200" s="8">
        <v>2.6949000000000001</v>
      </c>
      <c r="CS200" s="8">
        <v>2.7258</v>
      </c>
      <c r="CT200" s="8">
        <v>2.7566999999999999</v>
      </c>
      <c r="CU200" s="8">
        <v>2.7877999999999998</v>
      </c>
      <c r="CV200" s="8">
        <v>2.8189000000000002</v>
      </c>
      <c r="CW200" s="8">
        <v>2.85</v>
      </c>
      <c r="CX200" s="8">
        <v>2.8812000000000002</v>
      </c>
      <c r="CY200" s="8">
        <v>2.9123999999999999</v>
      </c>
      <c r="CZ200" s="8">
        <v>2.9436</v>
      </c>
      <c r="DA200" s="8">
        <v>2.9748000000000001</v>
      </c>
      <c r="DB200" s="8">
        <v>3.0061</v>
      </c>
      <c r="DC200" s="8">
        <v>3.0373000000000001</v>
      </c>
      <c r="DD200" s="8">
        <v>3.0684999999999998</v>
      </c>
      <c r="DE200" s="8">
        <v>3.0996999999999999</v>
      </c>
      <c r="DF200" s="8">
        <v>3.1307999999999998</v>
      </c>
      <c r="DG200" s="8">
        <v>3.1619000000000002</v>
      </c>
      <c r="DH200" s="8">
        <v>3.1930000000000001</v>
      </c>
      <c r="DI200" s="8">
        <v>3.2239</v>
      </c>
      <c r="DJ200" s="8">
        <v>3.2547999999999999</v>
      </c>
      <c r="DK200" s="8">
        <v>3.2856000000000001</v>
      </c>
      <c r="DL200" s="8">
        <v>3.3161999999999998</v>
      </c>
      <c r="DM200" s="8">
        <v>3.3468</v>
      </c>
      <c r="DN200" s="8">
        <v>3.3772000000000002</v>
      </c>
      <c r="DO200" s="8">
        <v>3.4074</v>
      </c>
      <c r="DP200" s="8">
        <v>3.4375</v>
      </c>
      <c r="DQ200" s="8">
        <v>3.4674999999999998</v>
      </c>
      <c r="DR200" s="8">
        <v>3.4971999999999999</v>
      </c>
      <c r="DS200" s="8">
        <v>3.5268000000000002</v>
      </c>
      <c r="DT200" s="8">
        <v>3.5562</v>
      </c>
      <c r="DU200" s="8">
        <v>3.5853999999999999</v>
      </c>
      <c r="DV200" s="8">
        <v>3.6143000000000001</v>
      </c>
      <c r="DW200" s="8">
        <v>3.6431</v>
      </c>
      <c r="DX200" s="8">
        <v>3.6716000000000002</v>
      </c>
      <c r="DY200" s="8">
        <v>3.6999</v>
      </c>
      <c r="DZ200" s="8">
        <v>3.7280000000000002</v>
      </c>
      <c r="EA200" s="8">
        <v>3.7557999999999998</v>
      </c>
      <c r="EB200" s="8">
        <v>3.7833999999999999</v>
      </c>
      <c r="EC200" s="8">
        <v>3.8107000000000002</v>
      </c>
      <c r="ED200" s="8">
        <v>3.8378999999999999</v>
      </c>
      <c r="EE200" s="8">
        <v>3.8647999999999998</v>
      </c>
      <c r="EF200" s="8">
        <v>3.8915000000000002</v>
      </c>
      <c r="EG200" s="8">
        <v>3.9180000000000001</v>
      </c>
      <c r="EH200" s="8">
        <v>3.9443000000000001</v>
      </c>
      <c r="EI200" s="8">
        <v>3.9704999999999999</v>
      </c>
      <c r="EJ200" s="8">
        <v>3.9965000000000002</v>
      </c>
      <c r="EK200" s="8">
        <v>4.0223000000000004</v>
      </c>
      <c r="EL200" s="8">
        <v>4.0480999999999998</v>
      </c>
      <c r="EM200" s="8">
        <v>4.0738000000000003</v>
      </c>
      <c r="EN200" s="8">
        <v>4.0994999999999999</v>
      </c>
      <c r="EO200" s="8">
        <v>4.1250999999999998</v>
      </c>
      <c r="EP200" s="8">
        <v>4.1508000000000003</v>
      </c>
      <c r="EQ200" s="8">
        <v>4.1764999999999999</v>
      </c>
      <c r="ER200" s="8">
        <v>4.2023999999999999</v>
      </c>
      <c r="ES200" s="8">
        <v>4.2283999999999997</v>
      </c>
      <c r="ET200" s="8">
        <v>4.2545999999999999</v>
      </c>
      <c r="EU200" s="8">
        <v>4.2809999999999997</v>
      </c>
      <c r="EV200" s="8">
        <v>4.3029000000000002</v>
      </c>
      <c r="EW200" s="8">
        <v>4.3247999999999998</v>
      </c>
      <c r="EX200" s="8">
        <v>4.3475000000000001</v>
      </c>
      <c r="EY200" s="8">
        <v>4.3708999999999998</v>
      </c>
      <c r="EZ200" s="8">
        <v>4.3949999999999996</v>
      </c>
      <c r="FA200" s="8">
        <v>4.4199000000000002</v>
      </c>
      <c r="FB200" s="8">
        <v>4.4457000000000004</v>
      </c>
      <c r="FC200" s="106">
        <v>4.4722999999999997</v>
      </c>
      <c r="FE200" s="50">
        <f t="shared" ca="1" si="21"/>
        <v>3.6487930253900274</v>
      </c>
      <c r="FF200" s="50">
        <f t="shared" ca="1" si="22"/>
        <v>3.6306701377763542</v>
      </c>
      <c r="FG200" s="50">
        <f t="shared" ca="1" si="23"/>
        <v>3.612108255033557</v>
      </c>
      <c r="FH200" s="50">
        <f t="shared" ca="1" si="24"/>
        <v>3.5927122818791943</v>
      </c>
      <c r="FK200" s="50">
        <f t="shared" ca="1" si="20"/>
        <v>3.6306701377763542</v>
      </c>
      <c r="FL200" s="50"/>
      <c r="FM200" s="50"/>
      <c r="FN200" s="50"/>
    </row>
    <row r="201" spans="48:170" hidden="1">
      <c r="AV201" s="69"/>
      <c r="AW201" s="104">
        <v>61.66</v>
      </c>
      <c r="AX201" s="8">
        <v>1.4242999999999999</v>
      </c>
      <c r="AY201" s="8">
        <v>1.4479</v>
      </c>
      <c r="AZ201" s="8">
        <v>1.4716</v>
      </c>
      <c r="BA201" s="8">
        <v>1.4955000000000001</v>
      </c>
      <c r="BB201" s="8">
        <v>1.5197000000000001</v>
      </c>
      <c r="BC201" s="8">
        <v>1.544</v>
      </c>
      <c r="BD201" s="8">
        <v>1.5685</v>
      </c>
      <c r="BE201" s="8">
        <v>1.5931999999999999</v>
      </c>
      <c r="BF201" s="8">
        <v>1.6181000000000001</v>
      </c>
      <c r="BG201" s="8">
        <v>1.6431</v>
      </c>
      <c r="BH201" s="8">
        <v>1.6684000000000001</v>
      </c>
      <c r="BI201" s="8">
        <v>1.6939</v>
      </c>
      <c r="BJ201" s="8">
        <v>1.7195</v>
      </c>
      <c r="BK201" s="8">
        <v>1.7453000000000001</v>
      </c>
      <c r="BL201" s="8">
        <v>1.7713000000000001</v>
      </c>
      <c r="BM201" s="8">
        <v>1.7975000000000001</v>
      </c>
      <c r="BN201" s="8">
        <v>1.8239000000000001</v>
      </c>
      <c r="BO201" s="8">
        <v>1.8504</v>
      </c>
      <c r="BP201" s="8">
        <v>1.8771</v>
      </c>
      <c r="BQ201" s="8">
        <v>1.9039999999999999</v>
      </c>
      <c r="BR201" s="8">
        <v>1.9311</v>
      </c>
      <c r="BS201" s="8">
        <v>1.9583999999999999</v>
      </c>
      <c r="BT201" s="8">
        <v>1.9858</v>
      </c>
      <c r="BU201" s="8">
        <v>2.0133999999999999</v>
      </c>
      <c r="BV201" s="8">
        <v>2.0411999999999999</v>
      </c>
      <c r="BW201" s="8">
        <v>2.0691000000000002</v>
      </c>
      <c r="BX201" s="8">
        <v>2.0973000000000002</v>
      </c>
      <c r="BY201" s="8">
        <v>2.1255000000000002</v>
      </c>
      <c r="BZ201" s="8">
        <v>2.1539999999999999</v>
      </c>
      <c r="CA201" s="8">
        <v>2.1825999999999999</v>
      </c>
      <c r="CB201" s="8">
        <v>2.2113</v>
      </c>
      <c r="CC201" s="8">
        <v>2.2402000000000002</v>
      </c>
      <c r="CD201" s="8">
        <v>2.2692999999999999</v>
      </c>
      <c r="CE201" s="8">
        <v>2.2985000000000002</v>
      </c>
      <c r="CF201" s="8">
        <v>2.3279000000000001</v>
      </c>
      <c r="CG201" s="8">
        <v>2.3574000000000002</v>
      </c>
      <c r="CH201" s="8">
        <v>2.387</v>
      </c>
      <c r="CI201" s="8">
        <v>2.4167999999999998</v>
      </c>
      <c r="CJ201" s="8">
        <v>2.4466999999999999</v>
      </c>
      <c r="CK201" s="8">
        <v>2.4767000000000001</v>
      </c>
      <c r="CL201" s="8">
        <v>2.5068999999999999</v>
      </c>
      <c r="CM201" s="8">
        <v>2.5371000000000001</v>
      </c>
      <c r="CN201" s="8">
        <v>2.5674999999999999</v>
      </c>
      <c r="CO201" s="8">
        <v>2.5979999999999999</v>
      </c>
      <c r="CP201" s="8">
        <v>2.6286</v>
      </c>
      <c r="CQ201" s="8">
        <v>2.6591999999999998</v>
      </c>
      <c r="CR201" s="8">
        <v>2.69</v>
      </c>
      <c r="CS201" s="8">
        <v>2.7208000000000001</v>
      </c>
      <c r="CT201" s="8">
        <v>2.7517</v>
      </c>
      <c r="CU201" s="8">
        <v>2.7827000000000002</v>
      </c>
      <c r="CV201" s="8">
        <v>2.8136999999999999</v>
      </c>
      <c r="CW201" s="8">
        <v>2.8448000000000002</v>
      </c>
      <c r="CX201" s="8">
        <v>2.8759000000000001</v>
      </c>
      <c r="CY201" s="8">
        <v>2.907</v>
      </c>
      <c r="CZ201" s="8">
        <v>2.9382000000000001</v>
      </c>
      <c r="DA201" s="8">
        <v>2.9693999999999998</v>
      </c>
      <c r="DB201" s="8">
        <v>3.0005999999999999</v>
      </c>
      <c r="DC201" s="8">
        <v>3.0316999999999998</v>
      </c>
      <c r="DD201" s="8">
        <v>3.0629</v>
      </c>
      <c r="DE201" s="8">
        <v>3.0939999999999999</v>
      </c>
      <c r="DF201" s="8">
        <v>3.1251000000000002</v>
      </c>
      <c r="DG201" s="8">
        <v>3.1560999999999999</v>
      </c>
      <c r="DH201" s="8">
        <v>3.1871</v>
      </c>
      <c r="DI201" s="8">
        <v>3.218</v>
      </c>
      <c r="DJ201" s="8">
        <v>3.2488000000000001</v>
      </c>
      <c r="DK201" s="8">
        <v>3.2795000000000001</v>
      </c>
      <c r="DL201" s="8">
        <v>3.3102</v>
      </c>
      <c r="DM201" s="8">
        <v>3.3405999999999998</v>
      </c>
      <c r="DN201" s="8">
        <v>3.371</v>
      </c>
      <c r="DO201" s="8">
        <v>3.4011999999999998</v>
      </c>
      <c r="DP201" s="8">
        <v>3.4312999999999998</v>
      </c>
      <c r="DQ201" s="8">
        <v>3.4611000000000001</v>
      </c>
      <c r="DR201" s="8">
        <v>3.4908999999999999</v>
      </c>
      <c r="DS201" s="8">
        <v>3.5204</v>
      </c>
      <c r="DT201" s="8">
        <v>3.5497000000000001</v>
      </c>
      <c r="DU201" s="8">
        <v>3.5788000000000002</v>
      </c>
      <c r="DV201" s="8">
        <v>3.6076999999999999</v>
      </c>
      <c r="DW201" s="8">
        <v>3.6364000000000001</v>
      </c>
      <c r="DX201" s="8">
        <v>3.6648999999999998</v>
      </c>
      <c r="DY201" s="8">
        <v>3.6930999999999998</v>
      </c>
      <c r="DZ201" s="8">
        <v>3.7210999999999999</v>
      </c>
      <c r="EA201" s="8">
        <v>3.7488999999999999</v>
      </c>
      <c r="EB201" s="8">
        <v>3.7764000000000002</v>
      </c>
      <c r="EC201" s="8">
        <v>3.8037999999999998</v>
      </c>
      <c r="ED201" s="8">
        <v>3.8308</v>
      </c>
      <c r="EE201" s="8">
        <v>3.8576999999999999</v>
      </c>
      <c r="EF201" s="8">
        <v>3.8843999999999999</v>
      </c>
      <c r="EG201" s="8">
        <v>3.9108000000000001</v>
      </c>
      <c r="EH201" s="8">
        <v>3.9371</v>
      </c>
      <c r="EI201" s="8">
        <v>3.9632000000000001</v>
      </c>
      <c r="EJ201" s="8">
        <v>3.9891999999999999</v>
      </c>
      <c r="EK201" s="8">
        <v>4.0149999999999997</v>
      </c>
      <c r="EL201" s="8">
        <v>4.0407000000000002</v>
      </c>
      <c r="EM201" s="8">
        <v>4.0663999999999998</v>
      </c>
      <c r="EN201" s="8">
        <v>4.0919999999999996</v>
      </c>
      <c r="EO201" s="8">
        <v>4.1176000000000004</v>
      </c>
      <c r="EP201" s="8">
        <v>4.1432000000000002</v>
      </c>
      <c r="EQ201" s="8">
        <v>4.1688999999999998</v>
      </c>
      <c r="ER201" s="8">
        <v>4.1947000000000001</v>
      </c>
      <c r="ES201" s="8">
        <v>4.2206000000000001</v>
      </c>
      <c r="ET201" s="8">
        <v>4.2468000000000004</v>
      </c>
      <c r="EU201" s="8">
        <v>4.2732000000000001</v>
      </c>
      <c r="EV201" s="8">
        <v>4.2998000000000003</v>
      </c>
      <c r="EW201" s="8">
        <v>4.3247999999999998</v>
      </c>
      <c r="EX201" s="8">
        <v>4.3475000000000001</v>
      </c>
      <c r="EY201" s="8">
        <v>4.3708999999999998</v>
      </c>
      <c r="EZ201" s="8">
        <v>4.3949999999999996</v>
      </c>
      <c r="FA201" s="8">
        <v>4.4199000000000002</v>
      </c>
      <c r="FB201" s="8">
        <v>4.4457000000000004</v>
      </c>
      <c r="FC201" s="106">
        <v>4.4722999999999997</v>
      </c>
      <c r="FE201" s="50">
        <f t="shared" ca="1" si="21"/>
        <v>3.6420930253900274</v>
      </c>
      <c r="FF201" s="50">
        <f t="shared" ca="1" si="22"/>
        <v>3.6240132970201859</v>
      </c>
      <c r="FG201" s="50">
        <f t="shared" ca="1" si="23"/>
        <v>3.6055082550335573</v>
      </c>
      <c r="FH201" s="50">
        <f t="shared" ca="1" si="24"/>
        <v>3.5861122818791951</v>
      </c>
      <c r="FK201" s="50">
        <f t="shared" ca="1" si="20"/>
        <v>3.6240132970201859</v>
      </c>
      <c r="FL201" s="50"/>
      <c r="FM201" s="50"/>
      <c r="FN201" s="50"/>
    </row>
    <row r="202" spans="48:170" hidden="1">
      <c r="AV202" s="69"/>
      <c r="AW202" s="104">
        <v>66.069000000000003</v>
      </c>
      <c r="AX202" s="8">
        <v>1.4217</v>
      </c>
      <c r="AY202" s="8">
        <v>1.4452</v>
      </c>
      <c r="AZ202" s="8">
        <v>1.4689000000000001</v>
      </c>
      <c r="BA202" s="8">
        <v>1.4927999999999999</v>
      </c>
      <c r="BB202" s="8">
        <v>1.5168999999999999</v>
      </c>
      <c r="BC202" s="8">
        <v>1.5411999999999999</v>
      </c>
      <c r="BD202" s="8">
        <v>1.5656000000000001</v>
      </c>
      <c r="BE202" s="8">
        <v>1.5903</v>
      </c>
      <c r="BF202" s="8">
        <v>1.6151</v>
      </c>
      <c r="BG202" s="8">
        <v>1.6402000000000001</v>
      </c>
      <c r="BH202" s="8">
        <v>1.6654</v>
      </c>
      <c r="BI202" s="8">
        <v>1.6908000000000001</v>
      </c>
      <c r="BJ202" s="8">
        <v>1.7163999999999999</v>
      </c>
      <c r="BK202" s="8">
        <v>1.7421</v>
      </c>
      <c r="BL202" s="8">
        <v>1.7681</v>
      </c>
      <c r="BM202" s="8">
        <v>1.7942</v>
      </c>
      <c r="BN202" s="8">
        <v>1.8205</v>
      </c>
      <c r="BO202" s="8">
        <v>1.847</v>
      </c>
      <c r="BP202" s="8">
        <v>1.8736999999999999</v>
      </c>
      <c r="BQ202" s="8">
        <v>1.9006000000000001</v>
      </c>
      <c r="BR202" s="8">
        <v>1.9276</v>
      </c>
      <c r="BS202" s="8">
        <v>1.9548000000000001</v>
      </c>
      <c r="BT202" s="8">
        <v>1.9822</v>
      </c>
      <c r="BU202" s="8">
        <v>2.0097999999999998</v>
      </c>
      <c r="BV202" s="8">
        <v>2.0375000000000001</v>
      </c>
      <c r="BW202" s="8">
        <v>2.0653999999999999</v>
      </c>
      <c r="BX202" s="8">
        <v>2.0935000000000001</v>
      </c>
      <c r="BY202" s="8">
        <v>2.1217000000000001</v>
      </c>
      <c r="BZ202" s="8">
        <v>2.1501000000000001</v>
      </c>
      <c r="CA202" s="8">
        <v>2.1785999999999999</v>
      </c>
      <c r="CB202" s="8">
        <v>2.2073</v>
      </c>
      <c r="CC202" s="8">
        <v>2.2362000000000002</v>
      </c>
      <c r="CD202" s="8">
        <v>2.2652000000000001</v>
      </c>
      <c r="CE202" s="8">
        <v>2.2944</v>
      </c>
      <c r="CF202" s="8">
        <v>2.3237000000000001</v>
      </c>
      <c r="CG202" s="8">
        <v>2.3531</v>
      </c>
      <c r="CH202" s="8">
        <v>2.3826999999999998</v>
      </c>
      <c r="CI202" s="8">
        <v>2.4123999999999999</v>
      </c>
      <c r="CJ202" s="8">
        <v>2.4422999999999999</v>
      </c>
      <c r="CK202" s="8">
        <v>2.4722</v>
      </c>
      <c r="CL202" s="8">
        <v>2.5023</v>
      </c>
      <c r="CM202" s="8">
        <v>2.5325000000000002</v>
      </c>
      <c r="CN202" s="8">
        <v>2.5628000000000002</v>
      </c>
      <c r="CO202" s="8">
        <v>2.5933000000000002</v>
      </c>
      <c r="CP202" s="8">
        <v>2.6238000000000001</v>
      </c>
      <c r="CQ202" s="8">
        <v>2.6543999999999999</v>
      </c>
      <c r="CR202" s="8">
        <v>2.6850999999999998</v>
      </c>
      <c r="CS202" s="8">
        <v>2.7159</v>
      </c>
      <c r="CT202" s="8">
        <v>2.7467000000000001</v>
      </c>
      <c r="CU202" s="8">
        <v>2.7776000000000001</v>
      </c>
      <c r="CV202" s="8">
        <v>2.8086000000000002</v>
      </c>
      <c r="CW202" s="8">
        <v>2.8395999999999999</v>
      </c>
      <c r="CX202" s="8">
        <v>2.8706999999999998</v>
      </c>
      <c r="CY202" s="8">
        <v>2.9018000000000002</v>
      </c>
      <c r="CZ202" s="8">
        <v>2.9329000000000001</v>
      </c>
      <c r="DA202" s="8">
        <v>2.964</v>
      </c>
      <c r="DB202" s="8">
        <v>2.9950999999999999</v>
      </c>
      <c r="DC202" s="8">
        <v>3.0261999999999998</v>
      </c>
      <c r="DD202" s="8">
        <v>3.0573000000000001</v>
      </c>
      <c r="DE202" s="8">
        <v>3.0884</v>
      </c>
      <c r="DF202" s="8">
        <v>3.1194000000000002</v>
      </c>
      <c r="DG202" s="8">
        <v>3.1503999999999999</v>
      </c>
      <c r="DH202" s="8">
        <v>3.1812999999999998</v>
      </c>
      <c r="DI202" s="8">
        <v>3.2122000000000002</v>
      </c>
      <c r="DJ202" s="8">
        <v>3.2429000000000001</v>
      </c>
      <c r="DK202" s="8">
        <v>3.2736000000000001</v>
      </c>
      <c r="DL202" s="8">
        <v>3.3041999999999998</v>
      </c>
      <c r="DM202" s="8">
        <v>3.3346</v>
      </c>
      <c r="DN202" s="8">
        <v>3.3649</v>
      </c>
      <c r="DO202" s="8">
        <v>3.395</v>
      </c>
      <c r="DP202" s="8">
        <v>3.4249999999999998</v>
      </c>
      <c r="DQ202" s="8">
        <v>3.4548999999999999</v>
      </c>
      <c r="DR202" s="8">
        <v>3.4845000000000002</v>
      </c>
      <c r="DS202" s="8">
        <v>3.5139999999999998</v>
      </c>
      <c r="DT202" s="8">
        <v>3.5432999999999999</v>
      </c>
      <c r="DU202" s="8">
        <v>3.5722999999999998</v>
      </c>
      <c r="DV202" s="8">
        <v>3.6012</v>
      </c>
      <c r="DW202" s="8">
        <v>3.6297999999999999</v>
      </c>
      <c r="DX202" s="8">
        <v>3.6583000000000001</v>
      </c>
      <c r="DY202" s="8">
        <v>3.6863999999999999</v>
      </c>
      <c r="DZ202" s="8">
        <v>3.7143999999999999</v>
      </c>
      <c r="EA202" s="8">
        <v>3.7421000000000002</v>
      </c>
      <c r="EB202" s="8">
        <v>3.7696000000000001</v>
      </c>
      <c r="EC202" s="8">
        <v>3.7968999999999999</v>
      </c>
      <c r="ED202" s="8">
        <v>3.8239000000000001</v>
      </c>
      <c r="EE202" s="8">
        <v>3.8506999999999998</v>
      </c>
      <c r="EF202" s="8">
        <v>3.8773</v>
      </c>
      <c r="EG202" s="8">
        <v>3.9037000000000002</v>
      </c>
      <c r="EH202" s="8">
        <v>3.93</v>
      </c>
      <c r="EI202" s="8">
        <v>3.956</v>
      </c>
      <c r="EJ202" s="8">
        <v>3.9819</v>
      </c>
      <c r="EK202" s="8">
        <v>4.0076999999999998</v>
      </c>
      <c r="EL202" s="8">
        <v>4.0334000000000003</v>
      </c>
      <c r="EM202" s="8">
        <v>4.0590000000000002</v>
      </c>
      <c r="EN202" s="8">
        <v>4.0846</v>
      </c>
      <c r="EO202" s="8">
        <v>4.1101000000000001</v>
      </c>
      <c r="EP202" s="8">
        <v>4.1356999999999999</v>
      </c>
      <c r="EQ202" s="8">
        <v>4.1612999999999998</v>
      </c>
      <c r="ER202" s="8">
        <v>4.1871</v>
      </c>
      <c r="ES202" s="8">
        <v>4.2130000000000001</v>
      </c>
      <c r="ET202" s="8">
        <v>4.2390999999999996</v>
      </c>
      <c r="EU202" s="8">
        <v>4.2653999999999996</v>
      </c>
      <c r="EV202" s="8">
        <v>4.2920999999999996</v>
      </c>
      <c r="EW202" s="8">
        <v>4.319</v>
      </c>
      <c r="EX202" s="8">
        <v>4.3464</v>
      </c>
      <c r="EY202" s="8">
        <v>4.3708999999999998</v>
      </c>
      <c r="EZ202" s="8">
        <v>4.3949999999999996</v>
      </c>
      <c r="FA202" s="8">
        <v>4.4199000000000002</v>
      </c>
      <c r="FB202" s="8">
        <v>4.4457000000000004</v>
      </c>
      <c r="FC202" s="106">
        <v>4.4722999999999997</v>
      </c>
      <c r="FE202" s="50">
        <f t="shared" ca="1" si="21"/>
        <v>3.6354930253900273</v>
      </c>
      <c r="FF202" s="50">
        <f t="shared" ca="1" si="22"/>
        <v>3.6174564562640179</v>
      </c>
      <c r="FG202" s="50">
        <f t="shared" ca="1" si="23"/>
        <v>3.5990082550335569</v>
      </c>
      <c r="FH202" s="50">
        <f t="shared" ca="1" si="24"/>
        <v>3.5796122818791942</v>
      </c>
      <c r="FK202" s="50">
        <f t="shared" ca="1" si="20"/>
        <v>3.6174564562640179</v>
      </c>
      <c r="FL202" s="50"/>
      <c r="FM202" s="50"/>
      <c r="FN202" s="50"/>
    </row>
    <row r="203" spans="48:170" hidden="1">
      <c r="AV203" s="69"/>
      <c r="AW203" s="104">
        <v>70.795000000000002</v>
      </c>
      <c r="AX203" s="8">
        <v>1.4192</v>
      </c>
      <c r="AY203" s="8">
        <v>1.4426000000000001</v>
      </c>
      <c r="AZ203" s="8">
        <v>1.4662999999999999</v>
      </c>
      <c r="BA203" s="8">
        <v>1.4901</v>
      </c>
      <c r="BB203" s="8">
        <v>1.5142</v>
      </c>
      <c r="BC203" s="8">
        <v>1.5384</v>
      </c>
      <c r="BD203" s="8">
        <v>1.5628</v>
      </c>
      <c r="BE203" s="8">
        <v>1.5873999999999999</v>
      </c>
      <c r="BF203" s="8">
        <v>1.6122000000000001</v>
      </c>
      <c r="BG203" s="8">
        <v>1.6372</v>
      </c>
      <c r="BH203" s="8">
        <v>1.6624000000000001</v>
      </c>
      <c r="BI203" s="8">
        <v>1.6877</v>
      </c>
      <c r="BJ203" s="8">
        <v>1.7133</v>
      </c>
      <c r="BK203" s="8">
        <v>1.7390000000000001</v>
      </c>
      <c r="BL203" s="8">
        <v>1.7648999999999999</v>
      </c>
      <c r="BM203" s="8">
        <v>1.7909999999999999</v>
      </c>
      <c r="BN203" s="8">
        <v>1.8172999999999999</v>
      </c>
      <c r="BO203" s="8">
        <v>1.8436999999999999</v>
      </c>
      <c r="BP203" s="8">
        <v>1.8704000000000001</v>
      </c>
      <c r="BQ203" s="8">
        <v>1.8972</v>
      </c>
      <c r="BR203" s="8">
        <v>1.9241999999999999</v>
      </c>
      <c r="BS203" s="8">
        <v>1.9513</v>
      </c>
      <c r="BT203" s="8">
        <v>1.9786999999999999</v>
      </c>
      <c r="BU203" s="8">
        <v>2.0062000000000002</v>
      </c>
      <c r="BV203" s="8">
        <v>2.0337999999999998</v>
      </c>
      <c r="BW203" s="8">
        <v>2.0617000000000001</v>
      </c>
      <c r="BX203" s="8">
        <v>2.0897000000000001</v>
      </c>
      <c r="BY203" s="8">
        <v>2.1179000000000001</v>
      </c>
      <c r="BZ203" s="8">
        <v>2.1461999999999999</v>
      </c>
      <c r="CA203" s="8">
        <v>2.1747000000000001</v>
      </c>
      <c r="CB203" s="8">
        <v>2.2033999999999998</v>
      </c>
      <c r="CC203" s="8">
        <v>2.2322000000000002</v>
      </c>
      <c r="CD203" s="8">
        <v>2.2610999999999999</v>
      </c>
      <c r="CE203" s="8">
        <v>2.2902</v>
      </c>
      <c r="CF203" s="8">
        <v>2.3195000000000001</v>
      </c>
      <c r="CG203" s="8">
        <v>2.3489</v>
      </c>
      <c r="CH203" s="8">
        <v>2.3784000000000001</v>
      </c>
      <c r="CI203" s="8">
        <v>2.4081000000000001</v>
      </c>
      <c r="CJ203" s="8">
        <v>2.4379</v>
      </c>
      <c r="CK203" s="8">
        <v>2.4678</v>
      </c>
      <c r="CL203" s="8">
        <v>2.4977999999999998</v>
      </c>
      <c r="CM203" s="8">
        <v>2.528</v>
      </c>
      <c r="CN203" s="8">
        <v>2.5581999999999998</v>
      </c>
      <c r="CO203" s="8">
        <v>2.5886</v>
      </c>
      <c r="CP203" s="8">
        <v>2.6191</v>
      </c>
      <c r="CQ203" s="8">
        <v>2.6496</v>
      </c>
      <c r="CR203" s="8">
        <v>2.6802999999999999</v>
      </c>
      <c r="CS203" s="8">
        <v>2.7109999999999999</v>
      </c>
      <c r="CT203" s="8">
        <v>2.7418</v>
      </c>
      <c r="CU203" s="8">
        <v>2.7726999999999999</v>
      </c>
      <c r="CV203" s="8">
        <v>2.8035999999999999</v>
      </c>
      <c r="CW203" s="8">
        <v>2.8344999999999998</v>
      </c>
      <c r="CX203" s="8">
        <v>2.8654999999999999</v>
      </c>
      <c r="CY203" s="8">
        <v>2.8965999999999998</v>
      </c>
      <c r="CZ203" s="8">
        <v>2.9276</v>
      </c>
      <c r="DA203" s="8">
        <v>2.9586999999999999</v>
      </c>
      <c r="DB203" s="8">
        <v>2.9897</v>
      </c>
      <c r="DC203" s="8">
        <v>3.0207999999999999</v>
      </c>
      <c r="DD203" s="8">
        <v>3.0518999999999998</v>
      </c>
      <c r="DE203" s="8">
        <v>3.0829</v>
      </c>
      <c r="DF203" s="8">
        <v>3.1137999999999999</v>
      </c>
      <c r="DG203" s="8">
        <v>3.1448</v>
      </c>
      <c r="DH203" s="8">
        <v>3.1756000000000002</v>
      </c>
      <c r="DI203" s="8">
        <v>3.2063999999999999</v>
      </c>
      <c r="DJ203" s="8">
        <v>3.2370999999999999</v>
      </c>
      <c r="DK203" s="8">
        <v>3.2677</v>
      </c>
      <c r="DL203" s="8">
        <v>3.2982</v>
      </c>
      <c r="DM203" s="8">
        <v>3.3285999999999998</v>
      </c>
      <c r="DN203" s="8">
        <v>3.3588</v>
      </c>
      <c r="DO203" s="8">
        <v>3.3889</v>
      </c>
      <c r="DP203" s="8">
        <v>3.4188999999999998</v>
      </c>
      <c r="DQ203" s="8">
        <v>3.4487000000000001</v>
      </c>
      <c r="DR203" s="8">
        <v>3.4782999999999999</v>
      </c>
      <c r="DS203" s="8">
        <v>3.5076999999999998</v>
      </c>
      <c r="DT203" s="8">
        <v>3.5369000000000002</v>
      </c>
      <c r="DU203" s="8">
        <v>3.5659000000000001</v>
      </c>
      <c r="DV203" s="8">
        <v>3.5947</v>
      </c>
      <c r="DW203" s="8">
        <v>3.6233</v>
      </c>
      <c r="DX203" s="8">
        <v>3.6516999999999999</v>
      </c>
      <c r="DY203" s="8">
        <v>3.6798000000000002</v>
      </c>
      <c r="DZ203" s="8">
        <v>3.7077</v>
      </c>
      <c r="EA203" s="8">
        <v>3.7353999999999998</v>
      </c>
      <c r="EB203" s="8">
        <v>3.7627999999999999</v>
      </c>
      <c r="EC203" s="8">
        <v>3.7900999999999998</v>
      </c>
      <c r="ED203" s="8">
        <v>3.8170000000000002</v>
      </c>
      <c r="EE203" s="8">
        <v>3.8437999999999999</v>
      </c>
      <c r="EF203" s="8">
        <v>3.8704000000000001</v>
      </c>
      <c r="EG203" s="8">
        <v>3.8967000000000001</v>
      </c>
      <c r="EH203" s="8">
        <v>3.9228999999999998</v>
      </c>
      <c r="EI203" s="8">
        <v>3.9489000000000001</v>
      </c>
      <c r="EJ203" s="8">
        <v>3.9748000000000001</v>
      </c>
      <c r="EK203" s="8">
        <v>4.0004999999999997</v>
      </c>
      <c r="EL203" s="8">
        <v>4.0260999999999996</v>
      </c>
      <c r="EM203" s="8">
        <v>4.0517000000000003</v>
      </c>
      <c r="EN203" s="8">
        <v>4.0772000000000004</v>
      </c>
      <c r="EO203" s="8">
        <v>4.1026999999999996</v>
      </c>
      <c r="EP203" s="8">
        <v>4.1283000000000003</v>
      </c>
      <c r="EQ203" s="8">
        <v>4.1539000000000001</v>
      </c>
      <c r="ER203" s="8">
        <v>4.1795999999999998</v>
      </c>
      <c r="ES203" s="8">
        <v>4.2054</v>
      </c>
      <c r="ET203" s="8">
        <v>4.2314999999999996</v>
      </c>
      <c r="EU203" s="8">
        <v>4.2577999999999996</v>
      </c>
      <c r="EV203" s="8">
        <v>4.2843999999999998</v>
      </c>
      <c r="EW203" s="8">
        <v>4.3113000000000001</v>
      </c>
      <c r="EX203" s="8">
        <v>4.3385999999999996</v>
      </c>
      <c r="EY203" s="8">
        <v>4.3663999999999996</v>
      </c>
      <c r="EZ203" s="8">
        <v>4.3945999999999996</v>
      </c>
      <c r="FA203" s="8">
        <v>4.4199000000000002</v>
      </c>
      <c r="FB203" s="8">
        <v>4.4457000000000004</v>
      </c>
      <c r="FC203" s="106">
        <v>4.4722999999999997</v>
      </c>
      <c r="FE203" s="50">
        <f t="shared" ca="1" si="21"/>
        <v>3.6289730498623429</v>
      </c>
      <c r="FF203" s="50">
        <f t="shared" ca="1" si="22"/>
        <v>3.610956456264018</v>
      </c>
      <c r="FG203" s="50">
        <f t="shared" ca="1" si="23"/>
        <v>3.5925158389261749</v>
      </c>
      <c r="FH203" s="50">
        <f t="shared" ca="1" si="24"/>
        <v>3.5731869798657723</v>
      </c>
      <c r="FK203" s="50">
        <f t="shared" ca="1" si="20"/>
        <v>3.610956456264018</v>
      </c>
      <c r="FL203" s="50"/>
      <c r="FM203" s="50"/>
      <c r="FN203" s="50"/>
    </row>
    <row r="204" spans="48:170" hidden="1">
      <c r="AV204" s="69"/>
      <c r="AW204" s="104">
        <v>75.858000000000004</v>
      </c>
      <c r="AX204" s="8">
        <v>1.4166000000000001</v>
      </c>
      <c r="AY204" s="8">
        <v>1.4400999999999999</v>
      </c>
      <c r="AZ204" s="8">
        <v>1.4637</v>
      </c>
      <c r="BA204" s="8">
        <v>1.4875</v>
      </c>
      <c r="BB204" s="8">
        <v>1.5115000000000001</v>
      </c>
      <c r="BC204" s="8">
        <v>1.5357000000000001</v>
      </c>
      <c r="BD204" s="8">
        <v>1.5601</v>
      </c>
      <c r="BE204" s="8">
        <v>1.5846</v>
      </c>
      <c r="BF204" s="8">
        <v>1.6093999999999999</v>
      </c>
      <c r="BG204" s="8">
        <v>1.6343000000000001</v>
      </c>
      <c r="BH204" s="8">
        <v>1.6594</v>
      </c>
      <c r="BI204" s="8">
        <v>1.6847000000000001</v>
      </c>
      <c r="BJ204" s="8">
        <v>1.7101999999999999</v>
      </c>
      <c r="BK204" s="8">
        <v>1.7359</v>
      </c>
      <c r="BL204" s="8">
        <v>1.7618</v>
      </c>
      <c r="BM204" s="8">
        <v>1.7878000000000001</v>
      </c>
      <c r="BN204" s="8">
        <v>1.8140000000000001</v>
      </c>
      <c r="BO204" s="8">
        <v>1.8405</v>
      </c>
      <c r="BP204" s="8">
        <v>1.867</v>
      </c>
      <c r="BQ204" s="8">
        <v>1.8937999999999999</v>
      </c>
      <c r="BR204" s="8">
        <v>1.9207000000000001</v>
      </c>
      <c r="BS204" s="8">
        <v>1.9478</v>
      </c>
      <c r="BT204" s="8">
        <v>1.9751000000000001</v>
      </c>
      <c r="BU204" s="8">
        <v>2.0026000000000002</v>
      </c>
      <c r="BV204" s="8">
        <v>2.0301999999999998</v>
      </c>
      <c r="BW204" s="8">
        <v>2.0579999999999998</v>
      </c>
      <c r="BX204" s="8">
        <v>2.0859999999999999</v>
      </c>
      <c r="BY204" s="8">
        <v>2.1141000000000001</v>
      </c>
      <c r="BZ204" s="8">
        <v>2.1423999999999999</v>
      </c>
      <c r="CA204" s="8">
        <v>2.1707999999999998</v>
      </c>
      <c r="CB204" s="8">
        <v>2.1993999999999998</v>
      </c>
      <c r="CC204" s="8">
        <v>2.2282000000000002</v>
      </c>
      <c r="CD204" s="8">
        <v>2.2570999999999999</v>
      </c>
      <c r="CE204" s="8">
        <v>2.2862</v>
      </c>
      <c r="CF204" s="8">
        <v>2.3153999999999999</v>
      </c>
      <c r="CG204" s="8">
        <v>2.3447</v>
      </c>
      <c r="CH204" s="8">
        <v>2.3742000000000001</v>
      </c>
      <c r="CI204" s="8">
        <v>2.4037999999999999</v>
      </c>
      <c r="CJ204" s="8">
        <v>2.4335</v>
      </c>
      <c r="CK204" s="8">
        <v>2.4634</v>
      </c>
      <c r="CL204" s="8">
        <v>2.4933999999999998</v>
      </c>
      <c r="CM204" s="8">
        <v>2.5234999999999999</v>
      </c>
      <c r="CN204" s="8">
        <v>2.5537000000000001</v>
      </c>
      <c r="CO204" s="8">
        <v>2.5840000000000001</v>
      </c>
      <c r="CP204" s="8">
        <v>2.6143999999999998</v>
      </c>
      <c r="CQ204" s="8">
        <v>2.6448999999999998</v>
      </c>
      <c r="CR204" s="8">
        <v>2.6755</v>
      </c>
      <c r="CS204" s="8">
        <v>2.7061999999999999</v>
      </c>
      <c r="CT204" s="8">
        <v>2.7368999999999999</v>
      </c>
      <c r="CU204" s="8">
        <v>2.7677</v>
      </c>
      <c r="CV204" s="8">
        <v>2.7986</v>
      </c>
      <c r="CW204" s="8">
        <v>2.8294999999999999</v>
      </c>
      <c r="CX204" s="8">
        <v>2.8603999999999998</v>
      </c>
      <c r="CY204" s="8">
        <v>2.8914</v>
      </c>
      <c r="CZ204" s="8">
        <v>2.9224000000000001</v>
      </c>
      <c r="DA204" s="8">
        <v>2.9533999999999998</v>
      </c>
      <c r="DB204" s="8">
        <v>2.9843999999999999</v>
      </c>
      <c r="DC204" s="8">
        <v>3.0154000000000001</v>
      </c>
      <c r="DD204" s="8">
        <v>3.0464000000000002</v>
      </c>
      <c r="DE204" s="8">
        <v>3.0773999999999999</v>
      </c>
      <c r="DF204" s="8">
        <v>3.1082999999999998</v>
      </c>
      <c r="DG204" s="8">
        <v>3.1392000000000002</v>
      </c>
      <c r="DH204" s="8">
        <v>3.17</v>
      </c>
      <c r="DI204" s="8">
        <v>3.2006999999999999</v>
      </c>
      <c r="DJ204" s="8">
        <v>3.2313999999999998</v>
      </c>
      <c r="DK204" s="8">
        <v>3.2618999999999998</v>
      </c>
      <c r="DL204" s="8">
        <v>3.2924000000000002</v>
      </c>
      <c r="DM204" s="8">
        <v>3.3227000000000002</v>
      </c>
      <c r="DN204" s="8">
        <v>3.3529</v>
      </c>
      <c r="DO204" s="8">
        <v>3.3828999999999998</v>
      </c>
      <c r="DP204" s="8">
        <v>3.4127999999999998</v>
      </c>
      <c r="DQ204" s="8">
        <v>3.4424999999999999</v>
      </c>
      <c r="DR204" s="8">
        <v>3.4721000000000002</v>
      </c>
      <c r="DS204" s="8">
        <v>3.5015000000000001</v>
      </c>
      <c r="DT204" s="8">
        <v>3.5306000000000002</v>
      </c>
      <c r="DU204" s="8">
        <v>3.5596000000000001</v>
      </c>
      <c r="DV204" s="8">
        <v>3.5882999999999998</v>
      </c>
      <c r="DW204" s="8">
        <v>3.6168999999999998</v>
      </c>
      <c r="DX204" s="8">
        <v>3.6452</v>
      </c>
      <c r="DY204" s="8">
        <v>3.6732999999999998</v>
      </c>
      <c r="DZ204" s="8">
        <v>3.7010999999999998</v>
      </c>
      <c r="EA204" s="8">
        <v>3.7288000000000001</v>
      </c>
      <c r="EB204" s="8">
        <v>3.7562000000000002</v>
      </c>
      <c r="EC204" s="8">
        <v>3.7833000000000001</v>
      </c>
      <c r="ED204" s="8">
        <v>3.8102999999999998</v>
      </c>
      <c r="EE204" s="8">
        <v>3.8370000000000002</v>
      </c>
      <c r="EF204" s="8">
        <v>3.8635000000000002</v>
      </c>
      <c r="EG204" s="8">
        <v>3.8898000000000001</v>
      </c>
      <c r="EH204" s="8">
        <v>3.9159000000000002</v>
      </c>
      <c r="EI204" s="8">
        <v>3.9419</v>
      </c>
      <c r="EJ204" s="8">
        <v>3.9676999999999998</v>
      </c>
      <c r="EK204" s="8">
        <v>3.9933999999999998</v>
      </c>
      <c r="EL204" s="8">
        <v>4.0190000000000001</v>
      </c>
      <c r="EM204" s="8">
        <v>4.0445000000000002</v>
      </c>
      <c r="EN204" s="8">
        <v>4.07</v>
      </c>
      <c r="EO204" s="8">
        <v>4.0953999999999997</v>
      </c>
      <c r="EP204" s="8">
        <v>4.1208999999999998</v>
      </c>
      <c r="EQ204" s="8">
        <v>4.1464999999999996</v>
      </c>
      <c r="ER204" s="8">
        <v>4.1721000000000004</v>
      </c>
      <c r="ES204" s="8">
        <v>4.1978999999999997</v>
      </c>
      <c r="ET204" s="8">
        <v>4.2239000000000004</v>
      </c>
      <c r="EU204" s="8">
        <v>4.2502000000000004</v>
      </c>
      <c r="EV204" s="8">
        <v>4.2766999999999999</v>
      </c>
      <c r="EW204" s="8">
        <v>4.3036000000000003</v>
      </c>
      <c r="EX204" s="8">
        <v>4.3308999999999997</v>
      </c>
      <c r="EY204" s="8">
        <v>4.3586</v>
      </c>
      <c r="EZ204" s="8">
        <v>4.3868</v>
      </c>
      <c r="FA204" s="8">
        <v>4.4154999999999998</v>
      </c>
      <c r="FB204" s="8">
        <v>4.4448999999999996</v>
      </c>
      <c r="FC204" s="106">
        <v>4.4722999999999997</v>
      </c>
      <c r="FE204" s="50">
        <f t="shared" ca="1" si="21"/>
        <v>3.6225530743346592</v>
      </c>
      <c r="FF204" s="50">
        <f t="shared" ca="1" si="22"/>
        <v>3.6045564562640178</v>
      </c>
      <c r="FG204" s="50">
        <f t="shared" ca="1" si="23"/>
        <v>3.5861234228187922</v>
      </c>
      <c r="FH204" s="50">
        <f t="shared" ca="1" si="24"/>
        <v>3.5668616778523492</v>
      </c>
      <c r="FK204" s="50">
        <f t="shared" ca="1" si="20"/>
        <v>3.6045564562640178</v>
      </c>
      <c r="FL204" s="50"/>
      <c r="FM204" s="50"/>
      <c r="FN204" s="50"/>
    </row>
    <row r="205" spans="48:170" hidden="1">
      <c r="AV205" s="69"/>
      <c r="AW205" s="104">
        <v>81.283000000000001</v>
      </c>
      <c r="AX205" s="8">
        <v>1.4140999999999999</v>
      </c>
      <c r="AY205" s="8">
        <v>1.4375</v>
      </c>
      <c r="AZ205" s="8">
        <v>1.4611000000000001</v>
      </c>
      <c r="BA205" s="8">
        <v>1.4849000000000001</v>
      </c>
      <c r="BB205" s="8">
        <v>1.5087999999999999</v>
      </c>
      <c r="BC205" s="8">
        <v>1.5329999999999999</v>
      </c>
      <c r="BD205" s="8">
        <v>1.5572999999999999</v>
      </c>
      <c r="BE205" s="8">
        <v>1.5818000000000001</v>
      </c>
      <c r="BF205" s="8">
        <v>1.6065</v>
      </c>
      <c r="BG205" s="8">
        <v>1.6314</v>
      </c>
      <c r="BH205" s="8">
        <v>1.6565000000000001</v>
      </c>
      <c r="BI205" s="8">
        <v>1.6818</v>
      </c>
      <c r="BJ205" s="8">
        <v>1.7072000000000001</v>
      </c>
      <c r="BK205" s="8">
        <v>1.7329000000000001</v>
      </c>
      <c r="BL205" s="8">
        <v>1.7586999999999999</v>
      </c>
      <c r="BM205" s="8">
        <v>1.7847</v>
      </c>
      <c r="BN205" s="8">
        <v>1.8109</v>
      </c>
      <c r="BO205" s="8">
        <v>1.8371999999999999</v>
      </c>
      <c r="BP205" s="8">
        <v>1.8636999999999999</v>
      </c>
      <c r="BQ205" s="8">
        <v>1.8905000000000001</v>
      </c>
      <c r="BR205" s="8">
        <v>1.9174</v>
      </c>
      <c r="BS205" s="8">
        <v>1.9443999999999999</v>
      </c>
      <c r="BT205" s="8">
        <v>1.9717</v>
      </c>
      <c r="BU205" s="8">
        <v>1.9991000000000001</v>
      </c>
      <c r="BV205" s="8">
        <v>2.0266000000000002</v>
      </c>
      <c r="BW205" s="8">
        <v>2.0543999999999998</v>
      </c>
      <c r="BX205" s="8">
        <v>2.0823</v>
      </c>
      <c r="BY205" s="8">
        <v>2.1103999999999998</v>
      </c>
      <c r="BZ205" s="8">
        <v>2.1385999999999998</v>
      </c>
      <c r="CA205" s="8">
        <v>2.1669999999999998</v>
      </c>
      <c r="CB205" s="8">
        <v>2.1956000000000002</v>
      </c>
      <c r="CC205" s="8">
        <v>2.2242999999999999</v>
      </c>
      <c r="CD205" s="8">
        <v>2.2530999999999999</v>
      </c>
      <c r="CE205" s="8">
        <v>2.2820999999999998</v>
      </c>
      <c r="CF205" s="8">
        <v>2.3113000000000001</v>
      </c>
      <c r="CG205" s="8">
        <v>2.3405999999999998</v>
      </c>
      <c r="CH205" s="8">
        <v>2.37</v>
      </c>
      <c r="CI205" s="8">
        <v>2.3996</v>
      </c>
      <c r="CJ205" s="8">
        <v>2.4293</v>
      </c>
      <c r="CK205" s="8">
        <v>2.4590999999999998</v>
      </c>
      <c r="CL205" s="8">
        <v>2.4889999999999999</v>
      </c>
      <c r="CM205" s="8">
        <v>2.5190000000000001</v>
      </c>
      <c r="CN205" s="8">
        <v>2.5491999999999999</v>
      </c>
      <c r="CO205" s="8">
        <v>2.5794999999999999</v>
      </c>
      <c r="CP205" s="8">
        <v>2.6097999999999999</v>
      </c>
      <c r="CQ205" s="8">
        <v>2.6402999999999999</v>
      </c>
      <c r="CR205" s="8">
        <v>2.6707999999999998</v>
      </c>
      <c r="CS205" s="8">
        <v>2.7014</v>
      </c>
      <c r="CT205" s="8">
        <v>2.7321</v>
      </c>
      <c r="CU205" s="8">
        <v>2.7627999999999999</v>
      </c>
      <c r="CV205" s="8">
        <v>2.7936999999999999</v>
      </c>
      <c r="CW205" s="8">
        <v>2.8245</v>
      </c>
      <c r="CX205" s="8">
        <v>2.8553999999999999</v>
      </c>
      <c r="CY205" s="8">
        <v>2.8862999999999999</v>
      </c>
      <c r="CZ205" s="8">
        <v>2.9173</v>
      </c>
      <c r="DA205" s="8">
        <v>2.9481999999999999</v>
      </c>
      <c r="DB205" s="8">
        <v>2.9792000000000001</v>
      </c>
      <c r="DC205" s="8">
        <v>3.0101</v>
      </c>
      <c r="DD205" s="8">
        <v>3.0411000000000001</v>
      </c>
      <c r="DE205" s="8">
        <v>3.0720000000000001</v>
      </c>
      <c r="DF205" s="8">
        <v>3.1027999999999998</v>
      </c>
      <c r="DG205" s="8">
        <v>3.1335999999999999</v>
      </c>
      <c r="DH205" s="8">
        <v>3.1644000000000001</v>
      </c>
      <c r="DI205" s="8">
        <v>3.1951000000000001</v>
      </c>
      <c r="DJ205" s="8">
        <v>3.2256999999999998</v>
      </c>
      <c r="DK205" s="8">
        <v>3.2562000000000002</v>
      </c>
      <c r="DL205" s="8">
        <v>3.2866</v>
      </c>
      <c r="DM205" s="8">
        <v>3.3168000000000002</v>
      </c>
      <c r="DN205" s="8">
        <v>3.347</v>
      </c>
      <c r="DO205" s="8">
        <v>3.3769999999999998</v>
      </c>
      <c r="DP205" s="8">
        <v>3.4068000000000001</v>
      </c>
      <c r="DQ205" s="8">
        <v>3.4365000000000001</v>
      </c>
      <c r="DR205" s="8">
        <v>3.4660000000000002</v>
      </c>
      <c r="DS205" s="8">
        <v>3.4952999999999999</v>
      </c>
      <c r="DT205" s="8">
        <v>3.5244</v>
      </c>
      <c r="DU205" s="8">
        <v>3.5533000000000001</v>
      </c>
      <c r="DV205" s="8">
        <v>3.5819999999999999</v>
      </c>
      <c r="DW205" s="8">
        <v>3.6105</v>
      </c>
      <c r="DX205" s="8">
        <v>3.6387999999999998</v>
      </c>
      <c r="DY205" s="8">
        <v>3.6667999999999998</v>
      </c>
      <c r="DZ205" s="8">
        <v>3.6945999999999999</v>
      </c>
      <c r="EA205" s="8">
        <v>3.7222</v>
      </c>
      <c r="EB205" s="8">
        <v>3.7494999999999998</v>
      </c>
      <c r="EC205" s="8">
        <v>3.7766999999999999</v>
      </c>
      <c r="ED205" s="8">
        <v>3.8035000000000001</v>
      </c>
      <c r="EE205" s="8">
        <v>3.8302</v>
      </c>
      <c r="EF205" s="8">
        <v>3.8567</v>
      </c>
      <c r="EG205" s="8">
        <v>3.883</v>
      </c>
      <c r="EH205" s="8">
        <v>3.9089999999999998</v>
      </c>
      <c r="EI205" s="8">
        <v>3.9350000000000001</v>
      </c>
      <c r="EJ205" s="8">
        <v>3.9607000000000001</v>
      </c>
      <c r="EK205" s="8">
        <v>3.9864000000000002</v>
      </c>
      <c r="EL205" s="8">
        <v>4.0118999999999998</v>
      </c>
      <c r="EM205" s="8">
        <v>4.0373999999999999</v>
      </c>
      <c r="EN205" s="8">
        <v>4.0628000000000002</v>
      </c>
      <c r="EO205" s="8">
        <v>4.0881999999999996</v>
      </c>
      <c r="EP205" s="8">
        <v>4.1136999999999997</v>
      </c>
      <c r="EQ205" s="8">
        <v>4.1391999999999998</v>
      </c>
      <c r="ER205" s="8">
        <v>4.1647999999999996</v>
      </c>
      <c r="ES205" s="8">
        <v>4.1905999999999999</v>
      </c>
      <c r="ET205" s="8">
        <v>4.2164999999999999</v>
      </c>
      <c r="EU205" s="8">
        <v>4.2427000000000001</v>
      </c>
      <c r="EV205" s="8">
        <v>4.2691999999999997</v>
      </c>
      <c r="EW205" s="8">
        <v>4.2960000000000003</v>
      </c>
      <c r="EX205" s="8">
        <v>4.3232999999999997</v>
      </c>
      <c r="EY205" s="8">
        <v>4.3509000000000002</v>
      </c>
      <c r="EZ205" s="8">
        <v>4.3791000000000002</v>
      </c>
      <c r="FA205" s="8">
        <v>4.4077999999999999</v>
      </c>
      <c r="FB205" s="8">
        <v>4.4370000000000003</v>
      </c>
      <c r="FC205" s="106">
        <v>4.4668999999999999</v>
      </c>
      <c r="FE205" s="50">
        <f t="shared" ca="1" si="21"/>
        <v>3.616153074334659</v>
      </c>
      <c r="FF205" s="50">
        <f t="shared" ca="1" si="22"/>
        <v>3.5981996155078502</v>
      </c>
      <c r="FG205" s="50">
        <f t="shared" ca="1" si="23"/>
        <v>3.5798234228187917</v>
      </c>
      <c r="FH205" s="50">
        <f t="shared" ca="1" si="24"/>
        <v>3.5605616778523492</v>
      </c>
      <c r="FK205" s="50">
        <f t="shared" ca="1" si="20"/>
        <v>3.5981996155078502</v>
      </c>
      <c r="FL205" s="50"/>
      <c r="FM205" s="50"/>
      <c r="FN205" s="50"/>
    </row>
    <row r="206" spans="48:170" hidden="1">
      <c r="AV206" s="69"/>
      <c r="AW206" s="104">
        <v>87.096000000000004</v>
      </c>
      <c r="AX206" s="8">
        <v>1.4117</v>
      </c>
      <c r="AY206" s="8">
        <v>1.4350000000000001</v>
      </c>
      <c r="AZ206" s="8">
        <v>1.4585999999999999</v>
      </c>
      <c r="BA206" s="8">
        <v>1.4823</v>
      </c>
      <c r="BB206" s="8">
        <v>1.5062</v>
      </c>
      <c r="BC206" s="8">
        <v>1.5303</v>
      </c>
      <c r="BD206" s="8">
        <v>1.5546</v>
      </c>
      <c r="BE206" s="8">
        <v>1.5790999999999999</v>
      </c>
      <c r="BF206" s="8">
        <v>1.6036999999999999</v>
      </c>
      <c r="BG206" s="8">
        <v>1.6286</v>
      </c>
      <c r="BH206" s="8">
        <v>1.6536</v>
      </c>
      <c r="BI206" s="8">
        <v>1.6788000000000001</v>
      </c>
      <c r="BJ206" s="8">
        <v>1.7041999999999999</v>
      </c>
      <c r="BK206" s="8">
        <v>1.7298</v>
      </c>
      <c r="BL206" s="8">
        <v>1.7556</v>
      </c>
      <c r="BM206" s="8">
        <v>1.7816000000000001</v>
      </c>
      <c r="BN206" s="8">
        <v>1.8077000000000001</v>
      </c>
      <c r="BO206" s="8">
        <v>1.8340000000000001</v>
      </c>
      <c r="BP206" s="8">
        <v>1.8605</v>
      </c>
      <c r="BQ206" s="8">
        <v>1.8872</v>
      </c>
      <c r="BR206" s="8">
        <v>1.9139999999999999</v>
      </c>
      <c r="BS206" s="8">
        <v>1.9410000000000001</v>
      </c>
      <c r="BT206" s="8">
        <v>1.9681999999999999</v>
      </c>
      <c r="BU206" s="8">
        <v>1.9956</v>
      </c>
      <c r="BV206" s="8">
        <v>2.0230999999999999</v>
      </c>
      <c r="BW206" s="8">
        <v>2.0508000000000002</v>
      </c>
      <c r="BX206" s="8">
        <v>2.0787</v>
      </c>
      <c r="BY206" s="8">
        <v>2.1067</v>
      </c>
      <c r="BZ206" s="8">
        <v>2.1349</v>
      </c>
      <c r="CA206" s="8">
        <v>2.1631999999999998</v>
      </c>
      <c r="CB206" s="8">
        <v>2.1917</v>
      </c>
      <c r="CC206" s="8">
        <v>2.2204000000000002</v>
      </c>
      <c r="CD206" s="8">
        <v>2.2492000000000001</v>
      </c>
      <c r="CE206" s="8">
        <v>2.2782</v>
      </c>
      <c r="CF206" s="8">
        <v>2.3073000000000001</v>
      </c>
      <c r="CG206" s="8">
        <v>2.3365</v>
      </c>
      <c r="CH206" s="8">
        <v>2.3658999999999999</v>
      </c>
      <c r="CI206" s="8">
        <v>2.3954</v>
      </c>
      <c r="CJ206" s="8">
        <v>2.4249999999999998</v>
      </c>
      <c r="CK206" s="8">
        <v>2.4548000000000001</v>
      </c>
      <c r="CL206" s="8">
        <v>2.4847000000000001</v>
      </c>
      <c r="CM206" s="8">
        <v>2.5146999999999999</v>
      </c>
      <c r="CN206" s="8">
        <v>2.5448</v>
      </c>
      <c r="CO206" s="8">
        <v>2.5750000000000002</v>
      </c>
      <c r="CP206" s="8">
        <v>2.6053000000000002</v>
      </c>
      <c r="CQ206" s="8">
        <v>2.6356999999999999</v>
      </c>
      <c r="CR206" s="8">
        <v>2.6661000000000001</v>
      </c>
      <c r="CS206" s="8">
        <v>2.6966999999999999</v>
      </c>
      <c r="CT206" s="8">
        <v>2.7273000000000001</v>
      </c>
      <c r="CU206" s="8">
        <v>2.758</v>
      </c>
      <c r="CV206" s="8">
        <v>2.7888000000000002</v>
      </c>
      <c r="CW206" s="8">
        <v>2.8195999999999999</v>
      </c>
      <c r="CX206" s="8">
        <v>2.8504</v>
      </c>
      <c r="CY206" s="8">
        <v>2.8813</v>
      </c>
      <c r="CZ206" s="8">
        <v>2.9121999999999999</v>
      </c>
      <c r="DA206" s="8">
        <v>2.9430999999999998</v>
      </c>
      <c r="DB206" s="8">
        <v>2.9740000000000002</v>
      </c>
      <c r="DC206" s="8">
        <v>3.0049000000000001</v>
      </c>
      <c r="DD206" s="8">
        <v>3.0358000000000001</v>
      </c>
      <c r="DE206" s="8">
        <v>3.0666000000000002</v>
      </c>
      <c r="DF206" s="8">
        <v>3.0973999999999999</v>
      </c>
      <c r="DG206" s="8">
        <v>3.1282000000000001</v>
      </c>
      <c r="DH206" s="8">
        <v>3.1589</v>
      </c>
      <c r="DI206" s="8">
        <v>3.1894999999999998</v>
      </c>
      <c r="DJ206" s="8">
        <v>3.22</v>
      </c>
      <c r="DK206" s="8">
        <v>3.2505000000000002</v>
      </c>
      <c r="DL206" s="8">
        <v>3.2808000000000002</v>
      </c>
      <c r="DM206" s="8">
        <v>3.3109999999999999</v>
      </c>
      <c r="DN206" s="8">
        <v>3.3411</v>
      </c>
      <c r="DO206" s="8">
        <v>3.3711000000000002</v>
      </c>
      <c r="DP206" s="8">
        <v>3.4009</v>
      </c>
      <c r="DQ206" s="8">
        <v>3.4304999999999999</v>
      </c>
      <c r="DR206" s="8">
        <v>3.4599000000000002</v>
      </c>
      <c r="DS206" s="8">
        <v>3.4891999999999999</v>
      </c>
      <c r="DT206" s="8">
        <v>3.5183</v>
      </c>
      <c r="DU206" s="8">
        <v>3.5470999999999999</v>
      </c>
      <c r="DV206" s="8">
        <v>3.5758000000000001</v>
      </c>
      <c r="DW206" s="8">
        <v>3.6042000000000001</v>
      </c>
      <c r="DX206" s="8">
        <v>3.6324000000000001</v>
      </c>
      <c r="DY206" s="8">
        <v>3.6604000000000001</v>
      </c>
      <c r="DZ206" s="8">
        <v>3.6882000000000001</v>
      </c>
      <c r="EA206" s="8">
        <v>3.7157</v>
      </c>
      <c r="EB206" s="8">
        <v>3.7429999999999999</v>
      </c>
      <c r="EC206" s="8">
        <v>3.7700999999999998</v>
      </c>
      <c r="ED206" s="8">
        <v>3.7968999999999999</v>
      </c>
      <c r="EE206" s="8">
        <v>3.8235000000000001</v>
      </c>
      <c r="EF206" s="8">
        <v>3.85</v>
      </c>
      <c r="EG206" s="8">
        <v>3.8761999999999999</v>
      </c>
      <c r="EH206" s="8">
        <v>3.9022000000000001</v>
      </c>
      <c r="EI206" s="8">
        <v>3.9281000000000001</v>
      </c>
      <c r="EJ206" s="8">
        <v>3.9538000000000002</v>
      </c>
      <c r="EK206" s="8">
        <v>3.9794</v>
      </c>
      <c r="EL206" s="8">
        <v>4.0049000000000001</v>
      </c>
      <c r="EM206" s="8">
        <v>4.0303000000000004</v>
      </c>
      <c r="EN206" s="8">
        <v>4.0556999999999999</v>
      </c>
      <c r="EO206" s="8">
        <v>4.0811000000000002</v>
      </c>
      <c r="EP206" s="8">
        <v>4.1064999999999996</v>
      </c>
      <c r="EQ206" s="8">
        <v>4.1318999999999999</v>
      </c>
      <c r="ER206" s="8">
        <v>4.1574999999999998</v>
      </c>
      <c r="ES206" s="8">
        <v>4.1832000000000003</v>
      </c>
      <c r="ET206" s="8">
        <v>4.2092000000000001</v>
      </c>
      <c r="EU206" s="8">
        <v>4.2352999999999996</v>
      </c>
      <c r="EV206" s="8">
        <v>4.2618</v>
      </c>
      <c r="EW206" s="8">
        <v>4.2885</v>
      </c>
      <c r="EX206" s="8">
        <v>4.3156999999999996</v>
      </c>
      <c r="EY206" s="8">
        <v>4.3433000000000002</v>
      </c>
      <c r="EZ206" s="8">
        <v>4.3714000000000004</v>
      </c>
      <c r="FA206" s="8">
        <v>4.4001000000000001</v>
      </c>
      <c r="FB206" s="8">
        <v>4.4292999999999996</v>
      </c>
      <c r="FC206" s="106">
        <v>4.4592000000000001</v>
      </c>
      <c r="FE206" s="50">
        <f t="shared" ca="1" si="21"/>
        <v>3.6098330988069751</v>
      </c>
      <c r="FF206" s="50">
        <f t="shared" ca="1" si="22"/>
        <v>3.5919427747516819</v>
      </c>
      <c r="FG206" s="50">
        <f t="shared" ca="1" si="23"/>
        <v>3.5736234228187915</v>
      </c>
      <c r="FH206" s="50">
        <f t="shared" ca="1" si="24"/>
        <v>3.5543616778523486</v>
      </c>
      <c r="FK206" s="50">
        <f t="shared" ca="1" si="20"/>
        <v>3.5919427747516819</v>
      </c>
      <c r="FL206" s="50"/>
      <c r="FM206" s="50"/>
      <c r="FN206" s="50"/>
    </row>
    <row r="207" spans="48:170" hidden="1">
      <c r="AV207" s="69"/>
      <c r="AW207" s="104">
        <v>93.325000000000003</v>
      </c>
      <c r="AX207" s="8">
        <v>1.4092</v>
      </c>
      <c r="AY207" s="8">
        <v>1.4325000000000001</v>
      </c>
      <c r="AZ207" s="8">
        <v>1.456</v>
      </c>
      <c r="BA207" s="8">
        <v>1.4797</v>
      </c>
      <c r="BB207" s="8">
        <v>1.5036</v>
      </c>
      <c r="BC207" s="8">
        <v>1.5277000000000001</v>
      </c>
      <c r="BD207" s="8">
        <v>1.5519000000000001</v>
      </c>
      <c r="BE207" s="8">
        <v>1.5763</v>
      </c>
      <c r="BF207" s="8">
        <v>1.601</v>
      </c>
      <c r="BG207" s="8">
        <v>1.6257999999999999</v>
      </c>
      <c r="BH207" s="8">
        <v>1.6508</v>
      </c>
      <c r="BI207" s="8">
        <v>1.6758999999999999</v>
      </c>
      <c r="BJ207" s="8">
        <v>1.7013</v>
      </c>
      <c r="BK207" s="8">
        <v>1.7267999999999999</v>
      </c>
      <c r="BL207" s="8">
        <v>1.7525999999999999</v>
      </c>
      <c r="BM207" s="8">
        <v>1.7785</v>
      </c>
      <c r="BN207" s="8">
        <v>1.8046</v>
      </c>
      <c r="BO207" s="8">
        <v>1.8308</v>
      </c>
      <c r="BP207" s="8">
        <v>1.8573</v>
      </c>
      <c r="BQ207" s="8">
        <v>1.8838999999999999</v>
      </c>
      <c r="BR207" s="8">
        <v>1.9107000000000001</v>
      </c>
      <c r="BS207" s="8">
        <v>1.9377</v>
      </c>
      <c r="BT207" s="8">
        <v>1.9648000000000001</v>
      </c>
      <c r="BU207" s="8">
        <v>1.9921</v>
      </c>
      <c r="BV207" s="8">
        <v>2.0196000000000001</v>
      </c>
      <c r="BW207" s="8">
        <v>2.0472999999999999</v>
      </c>
      <c r="BX207" s="8">
        <v>2.0750999999999999</v>
      </c>
      <c r="BY207" s="8">
        <v>2.1031</v>
      </c>
      <c r="BZ207" s="8">
        <v>2.1312000000000002</v>
      </c>
      <c r="CA207" s="8">
        <v>2.1595</v>
      </c>
      <c r="CB207" s="8">
        <v>2.1879</v>
      </c>
      <c r="CC207" s="8">
        <v>2.2166000000000001</v>
      </c>
      <c r="CD207" s="8">
        <v>2.2452999999999999</v>
      </c>
      <c r="CE207" s="8">
        <v>2.2742</v>
      </c>
      <c r="CF207" s="8">
        <v>2.3033000000000001</v>
      </c>
      <c r="CG207" s="8">
        <v>2.3325</v>
      </c>
      <c r="CH207" s="8">
        <v>2.3618000000000001</v>
      </c>
      <c r="CI207" s="8">
        <v>2.3912</v>
      </c>
      <c r="CJ207" s="8">
        <v>2.4207999999999998</v>
      </c>
      <c r="CK207" s="8">
        <v>2.4504999999999999</v>
      </c>
      <c r="CL207" s="8">
        <v>2.4803999999999999</v>
      </c>
      <c r="CM207" s="8">
        <v>2.5103</v>
      </c>
      <c r="CN207" s="8">
        <v>2.5404</v>
      </c>
      <c r="CO207" s="8">
        <v>2.5705</v>
      </c>
      <c r="CP207" s="8">
        <v>2.6008</v>
      </c>
      <c r="CQ207" s="8">
        <v>2.6311</v>
      </c>
      <c r="CR207" s="8">
        <v>2.6615000000000002</v>
      </c>
      <c r="CS207" s="8">
        <v>2.6920000000000002</v>
      </c>
      <c r="CT207" s="8">
        <v>2.7225999999999999</v>
      </c>
      <c r="CU207" s="8">
        <v>2.7532999999999999</v>
      </c>
      <c r="CV207" s="8">
        <v>2.7839999999999998</v>
      </c>
      <c r="CW207" s="8">
        <v>2.8147000000000002</v>
      </c>
      <c r="CX207" s="8">
        <v>2.8454999999999999</v>
      </c>
      <c r="CY207" s="8">
        <v>2.8763000000000001</v>
      </c>
      <c r="CZ207" s="8">
        <v>2.9070999999999998</v>
      </c>
      <c r="DA207" s="8">
        <v>2.9380000000000002</v>
      </c>
      <c r="DB207" s="8">
        <v>2.9687999999999999</v>
      </c>
      <c r="DC207" s="8">
        <v>2.9996999999999998</v>
      </c>
      <c r="DD207" s="8">
        <v>3.0305</v>
      </c>
      <c r="DE207" s="8">
        <v>3.0613000000000001</v>
      </c>
      <c r="DF207" s="8">
        <v>3.0920999999999998</v>
      </c>
      <c r="DG207" s="8">
        <v>3.1227999999999998</v>
      </c>
      <c r="DH207" s="8">
        <v>3.1534</v>
      </c>
      <c r="DI207" s="8">
        <v>3.1840000000000002</v>
      </c>
      <c r="DJ207" s="8">
        <v>3.2145000000000001</v>
      </c>
      <c r="DK207" s="8">
        <v>3.2448999999999999</v>
      </c>
      <c r="DL207" s="8">
        <v>3.2751999999999999</v>
      </c>
      <c r="DM207" s="8">
        <v>3.3052999999999999</v>
      </c>
      <c r="DN207" s="8">
        <v>3.3353999999999999</v>
      </c>
      <c r="DO207" s="8">
        <v>3.3652000000000002</v>
      </c>
      <c r="DP207" s="8">
        <v>3.395</v>
      </c>
      <c r="DQ207" s="8">
        <v>3.4245000000000001</v>
      </c>
      <c r="DR207" s="8">
        <v>3.4539</v>
      </c>
      <c r="DS207" s="8">
        <v>3.4832000000000001</v>
      </c>
      <c r="DT207" s="8">
        <v>3.5122</v>
      </c>
      <c r="DU207" s="8">
        <v>3.5409999999999999</v>
      </c>
      <c r="DV207" s="8">
        <v>3.5695999999999999</v>
      </c>
      <c r="DW207" s="8">
        <v>3.5979999999999999</v>
      </c>
      <c r="DX207" s="8">
        <v>3.6261000000000001</v>
      </c>
      <c r="DY207" s="8">
        <v>3.6541000000000001</v>
      </c>
      <c r="DZ207" s="8">
        <v>3.6818</v>
      </c>
      <c r="EA207" s="8">
        <v>3.7092999999999998</v>
      </c>
      <c r="EB207" s="8">
        <v>3.7364999999999999</v>
      </c>
      <c r="EC207" s="8">
        <v>3.7635000000000001</v>
      </c>
      <c r="ED207" s="8">
        <v>3.7902999999999998</v>
      </c>
      <c r="EE207" s="8">
        <v>3.8169</v>
      </c>
      <c r="EF207" s="8">
        <v>3.8433000000000002</v>
      </c>
      <c r="EG207" s="8">
        <v>3.8694999999999999</v>
      </c>
      <c r="EH207" s="8">
        <v>3.8955000000000002</v>
      </c>
      <c r="EI207" s="8">
        <v>3.9213</v>
      </c>
      <c r="EJ207" s="8">
        <v>3.9470000000000001</v>
      </c>
      <c r="EK207" s="8">
        <v>3.9725000000000001</v>
      </c>
      <c r="EL207" s="8">
        <v>3.9980000000000002</v>
      </c>
      <c r="EM207" s="8">
        <v>4.0233999999999996</v>
      </c>
      <c r="EN207" s="8">
        <v>4.0487000000000002</v>
      </c>
      <c r="EO207" s="8">
        <v>4.0739999999999998</v>
      </c>
      <c r="EP207" s="8">
        <v>4.0994000000000002</v>
      </c>
      <c r="EQ207" s="8">
        <v>4.1247999999999996</v>
      </c>
      <c r="ER207" s="8">
        <v>4.1502999999999997</v>
      </c>
      <c r="ES207" s="8">
        <v>4.1760000000000002</v>
      </c>
      <c r="ET207" s="8">
        <v>4.2019000000000002</v>
      </c>
      <c r="EU207" s="8">
        <v>4.2279999999999998</v>
      </c>
      <c r="EV207" s="8">
        <v>4.2544000000000004</v>
      </c>
      <c r="EW207" s="8">
        <v>4.2811000000000003</v>
      </c>
      <c r="EX207" s="8">
        <v>4.3082000000000003</v>
      </c>
      <c r="EY207" s="8">
        <v>4.3357999999999999</v>
      </c>
      <c r="EZ207" s="8">
        <v>4.3639000000000001</v>
      </c>
      <c r="FA207" s="8">
        <v>4.3925000000000001</v>
      </c>
      <c r="FB207" s="8">
        <v>4.4215999999999998</v>
      </c>
      <c r="FC207" s="106">
        <v>4.4513999999999996</v>
      </c>
      <c r="FE207" s="50">
        <f t="shared" ca="1" si="21"/>
        <v>3.6036131232792901</v>
      </c>
      <c r="FF207" s="50">
        <f t="shared" ca="1" si="22"/>
        <v>3.5857427747516821</v>
      </c>
      <c r="FG207" s="50">
        <f t="shared" ca="1" si="23"/>
        <v>3.5674310067114092</v>
      </c>
      <c r="FH207" s="50">
        <f t="shared" ca="1" si="24"/>
        <v>3.5482363758389259</v>
      </c>
      <c r="FK207" s="50">
        <f t="shared" ca="1" si="20"/>
        <v>3.5857427747516821</v>
      </c>
      <c r="FL207" s="50"/>
      <c r="FM207" s="50"/>
      <c r="FN207" s="50"/>
    </row>
    <row r="208" spans="48:170" ht="15.75" hidden="1" thickBot="1">
      <c r="AV208" s="74"/>
      <c r="AW208" s="107">
        <v>100</v>
      </c>
      <c r="AX208" s="108">
        <v>1.4068000000000001</v>
      </c>
      <c r="AY208" s="108">
        <v>1.4300999999999999</v>
      </c>
      <c r="AZ208" s="108">
        <v>1.4535</v>
      </c>
      <c r="BA208" s="108">
        <v>1.4772000000000001</v>
      </c>
      <c r="BB208" s="108">
        <v>1.5009999999999999</v>
      </c>
      <c r="BC208" s="108">
        <v>1.5249999999999999</v>
      </c>
      <c r="BD208" s="108">
        <v>1.5491999999999999</v>
      </c>
      <c r="BE208" s="108">
        <v>1.5736000000000001</v>
      </c>
      <c r="BF208" s="108">
        <v>1.5982000000000001</v>
      </c>
      <c r="BG208" s="108">
        <v>1.623</v>
      </c>
      <c r="BH208" s="108">
        <v>1.6478999999999999</v>
      </c>
      <c r="BI208" s="108">
        <v>1.6731</v>
      </c>
      <c r="BJ208" s="108">
        <v>1.6983999999999999</v>
      </c>
      <c r="BK208" s="108">
        <v>1.7239</v>
      </c>
      <c r="BL208" s="108">
        <v>1.7496</v>
      </c>
      <c r="BM208" s="108">
        <v>1.7754000000000001</v>
      </c>
      <c r="BN208" s="108">
        <v>1.8015000000000001</v>
      </c>
      <c r="BO208" s="108">
        <v>1.8277000000000001</v>
      </c>
      <c r="BP208" s="108">
        <v>1.8541000000000001</v>
      </c>
      <c r="BQ208" s="108">
        <v>1.8807</v>
      </c>
      <c r="BR208" s="108">
        <v>1.9074</v>
      </c>
      <c r="BS208" s="108">
        <v>1.9342999999999999</v>
      </c>
      <c r="BT208" s="108">
        <v>1.9614</v>
      </c>
      <c r="BU208" s="108">
        <v>1.9886999999999999</v>
      </c>
      <c r="BV208" s="108">
        <v>2.0162</v>
      </c>
      <c r="BW208" s="108">
        <v>2.0438000000000001</v>
      </c>
      <c r="BX208" s="108">
        <v>2.0714999999999999</v>
      </c>
      <c r="BY208" s="108">
        <v>2.0994999999999999</v>
      </c>
      <c r="BZ208" s="108">
        <v>2.1274999999999999</v>
      </c>
      <c r="CA208" s="108">
        <v>2.1558000000000002</v>
      </c>
      <c r="CB208" s="108">
        <v>2.1842000000000001</v>
      </c>
      <c r="CC208" s="108">
        <v>2.2128000000000001</v>
      </c>
      <c r="CD208" s="108">
        <v>2.2414999999999998</v>
      </c>
      <c r="CE208" s="108">
        <v>2.2703000000000002</v>
      </c>
      <c r="CF208" s="108">
        <v>2.2993000000000001</v>
      </c>
      <c r="CG208" s="108">
        <v>2.3285</v>
      </c>
      <c r="CH208" s="108">
        <v>2.3576999999999999</v>
      </c>
      <c r="CI208" s="108">
        <v>2.3871000000000002</v>
      </c>
      <c r="CJ208" s="108">
        <v>2.4167000000000001</v>
      </c>
      <c r="CK208" s="108">
        <v>2.4462999999999999</v>
      </c>
      <c r="CL208" s="108">
        <v>2.4761000000000002</v>
      </c>
      <c r="CM208" s="108">
        <v>2.5059999999999998</v>
      </c>
      <c r="CN208" s="108">
        <v>2.536</v>
      </c>
      <c r="CO208" s="108">
        <v>2.5661</v>
      </c>
      <c r="CP208" s="108">
        <v>2.5962999999999998</v>
      </c>
      <c r="CQ208" s="108">
        <v>2.6265999999999998</v>
      </c>
      <c r="CR208" s="108">
        <v>2.657</v>
      </c>
      <c r="CS208" s="108">
        <v>2.6873999999999998</v>
      </c>
      <c r="CT208" s="108">
        <v>2.718</v>
      </c>
      <c r="CU208" s="108">
        <v>2.7484999999999999</v>
      </c>
      <c r="CV208" s="108">
        <v>2.7791999999999999</v>
      </c>
      <c r="CW208" s="108">
        <v>2.8098999999999998</v>
      </c>
      <c r="CX208" s="108">
        <v>2.8405999999999998</v>
      </c>
      <c r="CY208" s="108">
        <v>2.8714</v>
      </c>
      <c r="CZ208" s="108">
        <v>2.9022000000000001</v>
      </c>
      <c r="DA208" s="108">
        <v>2.9329999999999998</v>
      </c>
      <c r="DB208" s="108">
        <v>2.9636999999999998</v>
      </c>
      <c r="DC208" s="108">
        <v>2.9944999999999999</v>
      </c>
      <c r="DD208" s="108">
        <v>3.0253000000000001</v>
      </c>
      <c r="DE208" s="108">
        <v>3.0560999999999998</v>
      </c>
      <c r="DF208" s="108">
        <v>3.0868000000000002</v>
      </c>
      <c r="DG208" s="108">
        <v>3.1173999999999999</v>
      </c>
      <c r="DH208" s="108">
        <v>3.1480000000000001</v>
      </c>
      <c r="DI208" s="108">
        <v>3.1785000000000001</v>
      </c>
      <c r="DJ208" s="108">
        <v>3.2090000000000001</v>
      </c>
      <c r="DK208" s="108">
        <v>3.2393000000000001</v>
      </c>
      <c r="DL208" s="108">
        <v>3.2694999999999999</v>
      </c>
      <c r="DM208" s="108">
        <v>3.2997000000000001</v>
      </c>
      <c r="DN208" s="108">
        <v>3.3296000000000001</v>
      </c>
      <c r="DO208" s="108">
        <v>3.3595000000000002</v>
      </c>
      <c r="DP208" s="108">
        <v>3.3892000000000002</v>
      </c>
      <c r="DQ208" s="108">
        <v>3.4186999999999999</v>
      </c>
      <c r="DR208" s="108">
        <v>3.448</v>
      </c>
      <c r="DS208" s="108">
        <v>3.4771999999999998</v>
      </c>
      <c r="DT208" s="108">
        <v>3.5062000000000002</v>
      </c>
      <c r="DU208" s="108">
        <v>3.5348999999999999</v>
      </c>
      <c r="DV208" s="108">
        <v>3.5634999999999999</v>
      </c>
      <c r="DW208" s="108">
        <v>3.5918000000000001</v>
      </c>
      <c r="DX208" s="108">
        <v>3.6198999999999999</v>
      </c>
      <c r="DY208" s="108">
        <v>3.6478000000000002</v>
      </c>
      <c r="DZ208" s="108">
        <v>3.6755</v>
      </c>
      <c r="EA208" s="108">
        <v>3.7029000000000001</v>
      </c>
      <c r="EB208" s="108">
        <v>3.7301000000000002</v>
      </c>
      <c r="EC208" s="108">
        <v>3.7570999999999999</v>
      </c>
      <c r="ED208" s="108">
        <v>3.7837999999999998</v>
      </c>
      <c r="EE208" s="108">
        <v>3.8104</v>
      </c>
      <c r="EF208" s="108">
        <v>3.8367</v>
      </c>
      <c r="EG208" s="108">
        <v>3.8628</v>
      </c>
      <c r="EH208" s="108">
        <v>3.8887999999999998</v>
      </c>
      <c r="EI208" s="108">
        <v>3.9146000000000001</v>
      </c>
      <c r="EJ208" s="108">
        <v>3.9401999999999999</v>
      </c>
      <c r="EK208" s="108">
        <v>3.9657</v>
      </c>
      <c r="EL208" s="108">
        <v>3.9910999999999999</v>
      </c>
      <c r="EM208" s="108">
        <v>4.0164999999999997</v>
      </c>
      <c r="EN208" s="108">
        <v>4.0418000000000003</v>
      </c>
      <c r="EO208" s="108">
        <v>4.0670999999999999</v>
      </c>
      <c r="EP208" s="108">
        <v>4.0923999999999996</v>
      </c>
      <c r="EQ208" s="108">
        <v>4.1177000000000001</v>
      </c>
      <c r="ER208" s="108">
        <v>4.1432000000000002</v>
      </c>
      <c r="ES208" s="108">
        <v>4.1688999999999998</v>
      </c>
      <c r="ET208" s="108">
        <v>4.1947000000000001</v>
      </c>
      <c r="EU208" s="108">
        <v>4.2206999999999999</v>
      </c>
      <c r="EV208" s="108">
        <v>4.2470999999999997</v>
      </c>
      <c r="EW208" s="108">
        <v>4.2737999999999996</v>
      </c>
      <c r="EX208" s="108">
        <v>4.3009000000000004</v>
      </c>
      <c r="EY208" s="108">
        <v>4.3284000000000002</v>
      </c>
      <c r="EZ208" s="108">
        <v>4.3563999999999998</v>
      </c>
      <c r="FA208" s="108">
        <v>4.3849</v>
      </c>
      <c r="FB208" s="108">
        <v>4.4141000000000004</v>
      </c>
      <c r="FC208" s="109">
        <v>4.4438000000000004</v>
      </c>
      <c r="FE208" s="50">
        <f t="shared" ca="1" si="21"/>
        <v>3.5974131232792903</v>
      </c>
      <c r="FF208" s="50">
        <f t="shared" ca="1" si="22"/>
        <v>3.5795859339955145</v>
      </c>
      <c r="FG208" s="50">
        <f t="shared" ca="1" si="23"/>
        <v>3.5613310067114092</v>
      </c>
      <c r="FH208" s="50">
        <f t="shared" ca="1" si="24"/>
        <v>3.5421363758389259</v>
      </c>
      <c r="FK208" s="50">
        <f t="shared" ca="1" si="20"/>
        <v>3.5795859339955145</v>
      </c>
      <c r="FL208" s="50"/>
      <c r="FM208" s="50"/>
      <c r="FN208" s="50"/>
    </row>
    <row r="209" spans="48:170" ht="15.75" hidden="1" thickBot="1"/>
    <row r="210" spans="48:170" ht="15.75" hidden="1" thickBot="1">
      <c r="AV210" s="57" t="s">
        <v>202</v>
      </c>
      <c r="AW210" s="110" t="s">
        <v>201</v>
      </c>
      <c r="AX210" s="111"/>
    </row>
    <row r="211" spans="48:170" hidden="1">
      <c r="AW211" s="112"/>
      <c r="AX211" s="112">
        <v>2</v>
      </c>
      <c r="AY211" s="112">
        <v>2.0939999999999999</v>
      </c>
      <c r="AZ211" s="112">
        <v>2.1930000000000001</v>
      </c>
      <c r="BA211" s="112">
        <v>2.2959999999999998</v>
      </c>
      <c r="BB211" s="112">
        <v>2.4049999999999998</v>
      </c>
      <c r="BC211" s="112">
        <v>2.5179999999999998</v>
      </c>
      <c r="BD211" s="112">
        <v>2.637</v>
      </c>
      <c r="BE211" s="112">
        <v>2.7610000000000001</v>
      </c>
      <c r="BF211" s="112">
        <v>2.891</v>
      </c>
      <c r="BG211" s="112">
        <v>3.0270000000000001</v>
      </c>
      <c r="BH211" s="112">
        <v>3.17</v>
      </c>
      <c r="BI211" s="112">
        <v>3.319</v>
      </c>
      <c r="BJ211" s="112">
        <v>3.476</v>
      </c>
      <c r="BK211" s="112">
        <v>3.6389999999999998</v>
      </c>
      <c r="BL211" s="112">
        <v>3.8109999999999999</v>
      </c>
      <c r="BM211" s="112">
        <v>3.9910000000000001</v>
      </c>
      <c r="BN211" s="112">
        <v>4.1790000000000003</v>
      </c>
      <c r="BO211" s="112">
        <v>4.3760000000000003</v>
      </c>
      <c r="BP211" s="112">
        <v>4.5819999999999999</v>
      </c>
      <c r="BQ211" s="112">
        <v>4.798</v>
      </c>
      <c r="BR211" s="112">
        <v>5.024</v>
      </c>
      <c r="BS211" s="112">
        <v>5.2610000000000001</v>
      </c>
      <c r="BT211" s="112">
        <v>5.508</v>
      </c>
      <c r="BU211" s="112">
        <v>5.7679999999999998</v>
      </c>
      <c r="BV211" s="112">
        <v>6.04</v>
      </c>
      <c r="BW211" s="112">
        <v>6.3250000000000002</v>
      </c>
      <c r="BX211" s="112">
        <v>6.6230000000000002</v>
      </c>
      <c r="BY211" s="112">
        <v>6.9349999999999996</v>
      </c>
      <c r="BZ211" s="112">
        <v>7.2619999999999996</v>
      </c>
      <c r="CA211" s="112">
        <v>7.6040000000000001</v>
      </c>
      <c r="CB211" s="112">
        <v>7.9619999999999997</v>
      </c>
      <c r="CC211" s="112">
        <v>8.3369999999999997</v>
      </c>
      <c r="CD211" s="112">
        <v>8.73</v>
      </c>
      <c r="CE211" s="112">
        <v>9.1419999999999995</v>
      </c>
      <c r="CF211" s="112">
        <v>9.5730000000000004</v>
      </c>
      <c r="CG211" s="112">
        <v>10.023999999999999</v>
      </c>
      <c r="CH211" s="112">
        <v>10.496</v>
      </c>
      <c r="CI211" s="112">
        <v>10.991</v>
      </c>
      <c r="CJ211" s="112">
        <v>11.509</v>
      </c>
      <c r="CK211" s="112">
        <v>12.051</v>
      </c>
      <c r="CL211" s="112">
        <v>12.619</v>
      </c>
      <c r="CM211" s="112">
        <v>13.214</v>
      </c>
      <c r="CN211" s="112">
        <v>13.837</v>
      </c>
      <c r="CO211" s="112">
        <v>14.489000000000001</v>
      </c>
      <c r="CP211" s="112">
        <v>15.172000000000001</v>
      </c>
      <c r="CQ211" s="112">
        <v>15.887</v>
      </c>
      <c r="CR211" s="112">
        <v>16.635000000000002</v>
      </c>
      <c r="CS211" s="112">
        <v>17.419</v>
      </c>
      <c r="CT211" s="112">
        <v>18.239999999999998</v>
      </c>
      <c r="CU211" s="112">
        <v>19.100000000000001</v>
      </c>
      <c r="CV211" s="112">
        <v>20</v>
      </c>
      <c r="CW211" s="112">
        <v>20.943000000000001</v>
      </c>
      <c r="CX211" s="112">
        <v>21.93</v>
      </c>
      <c r="CY211" s="112">
        <v>22.963000000000001</v>
      </c>
      <c r="CZ211" s="112">
        <v>24.045000000000002</v>
      </c>
      <c r="DA211" s="112">
        <v>25.178999999999998</v>
      </c>
      <c r="DB211" s="112">
        <v>26.364999999999998</v>
      </c>
      <c r="DC211" s="112">
        <v>27.608000000000001</v>
      </c>
      <c r="DD211" s="112">
        <v>28.908999999999999</v>
      </c>
      <c r="DE211" s="112">
        <v>30.271000000000001</v>
      </c>
      <c r="DF211" s="112">
        <v>31.698</v>
      </c>
      <c r="DG211" s="112">
        <v>33.192</v>
      </c>
      <c r="DH211" s="112">
        <v>34.756</v>
      </c>
      <c r="DI211" s="112">
        <v>36.393999999999998</v>
      </c>
      <c r="DJ211" s="112">
        <v>38.109000000000002</v>
      </c>
      <c r="DK211" s="112">
        <v>39.905000000000001</v>
      </c>
      <c r="DL211" s="112">
        <v>41.786000000000001</v>
      </c>
      <c r="DM211" s="112">
        <v>43.755000000000003</v>
      </c>
      <c r="DN211" s="112">
        <v>45.817</v>
      </c>
      <c r="DO211" s="112">
        <v>47.976999999999997</v>
      </c>
      <c r="DP211" s="112">
        <v>50.238</v>
      </c>
      <c r="DQ211" s="112">
        <v>52.604999999999997</v>
      </c>
      <c r="DR211" s="112">
        <v>55.085000000000001</v>
      </c>
      <c r="DS211" s="112">
        <v>57.680999999999997</v>
      </c>
      <c r="DT211" s="112">
        <v>60.399000000000001</v>
      </c>
      <c r="DU211" s="112">
        <v>63.246000000000002</v>
      </c>
      <c r="DV211" s="112">
        <v>66.225999999999999</v>
      </c>
      <c r="DW211" s="112">
        <v>69.346999999999994</v>
      </c>
      <c r="DX211" s="112">
        <v>72.616</v>
      </c>
      <c r="DY211" s="112">
        <v>76.037999999999997</v>
      </c>
      <c r="DZ211" s="112">
        <v>79.620999999999995</v>
      </c>
      <c r="EA211" s="112">
        <v>83.373999999999995</v>
      </c>
      <c r="EB211" s="112">
        <v>87.302999999999997</v>
      </c>
      <c r="EC211" s="112">
        <v>91.418000000000006</v>
      </c>
      <c r="ED211" s="112">
        <v>95.725999999999999</v>
      </c>
      <c r="EE211" s="112">
        <v>100.23699999999999</v>
      </c>
      <c r="EF211" s="112">
        <v>104.961</v>
      </c>
      <c r="EG211" s="112">
        <v>109.908</v>
      </c>
      <c r="EH211" s="112">
        <v>115.08799999999999</v>
      </c>
      <c r="EI211" s="112">
        <v>120.512</v>
      </c>
      <c r="EJ211" s="112">
        <v>126.191</v>
      </c>
      <c r="EK211" s="112">
        <v>132.13900000000001</v>
      </c>
      <c r="EL211" s="112">
        <v>138.36600000000001</v>
      </c>
      <c r="EM211" s="112">
        <v>144.887</v>
      </c>
      <c r="EN211" s="112">
        <v>151.71600000000001</v>
      </c>
      <c r="EO211" s="112">
        <v>158.86600000000001</v>
      </c>
      <c r="EP211" s="112">
        <v>166.35300000000001</v>
      </c>
      <c r="EQ211" s="112">
        <v>174.19300000000001</v>
      </c>
      <c r="ER211" s="112">
        <v>182.40199999999999</v>
      </c>
      <c r="ES211" s="112">
        <v>190.999</v>
      </c>
      <c r="ET211" s="112">
        <v>200</v>
      </c>
      <c r="EU211" s="112">
        <v>209.42599999999999</v>
      </c>
      <c r="EV211" s="112">
        <v>219.29599999999999</v>
      </c>
      <c r="EW211" s="112">
        <v>229.631</v>
      </c>
      <c r="EX211" s="112">
        <v>240.453</v>
      </c>
      <c r="EY211" s="112">
        <v>251.785</v>
      </c>
      <c r="EZ211" s="112">
        <v>263.65100000000001</v>
      </c>
      <c r="FA211" s="112">
        <v>276.077</v>
      </c>
      <c r="FB211" s="112">
        <v>289.08800000000002</v>
      </c>
      <c r="FC211" s="112">
        <v>302.71199999999999</v>
      </c>
    </row>
    <row r="212" spans="48:170" hidden="1">
      <c r="AW212" s="112">
        <v>0.1</v>
      </c>
      <c r="AX212" s="7">
        <v>0.21299999999999999</v>
      </c>
      <c r="AY212" s="7">
        <v>0.21149999999999999</v>
      </c>
      <c r="AZ212" s="7">
        <v>0.21</v>
      </c>
      <c r="BA212" s="7">
        <v>0.20860000000000001</v>
      </c>
      <c r="BB212" s="7">
        <v>0.2072</v>
      </c>
      <c r="BC212" s="7">
        <v>0.2051</v>
      </c>
      <c r="BD212" s="7">
        <v>0.2026</v>
      </c>
      <c r="BE212" s="7">
        <v>0.2001</v>
      </c>
      <c r="BF212" s="7">
        <v>0.19769999999999999</v>
      </c>
      <c r="BG212" s="7">
        <v>0.1953</v>
      </c>
      <c r="BH212" s="7">
        <v>0.193</v>
      </c>
      <c r="BI212" s="7">
        <v>0.19059999999999999</v>
      </c>
      <c r="BJ212" s="7">
        <v>0.18840000000000001</v>
      </c>
      <c r="BK212" s="7">
        <v>0.1862</v>
      </c>
      <c r="BL212" s="7">
        <v>0.184</v>
      </c>
      <c r="BM212" s="7">
        <v>0.18179999999999999</v>
      </c>
      <c r="BN212" s="7">
        <v>0.1797</v>
      </c>
      <c r="BO212" s="7">
        <v>0.17760000000000001</v>
      </c>
      <c r="BP212" s="7">
        <v>0.17560000000000001</v>
      </c>
      <c r="BQ212" s="7">
        <v>0.17349999999999999</v>
      </c>
      <c r="BR212" s="7">
        <v>0.1716</v>
      </c>
      <c r="BS212" s="7">
        <v>0.1696</v>
      </c>
      <c r="BT212" s="7">
        <v>0.16769999999999999</v>
      </c>
      <c r="BU212" s="7">
        <v>0.1658</v>
      </c>
      <c r="BV212" s="7">
        <v>0.16389999999999999</v>
      </c>
      <c r="BW212" s="7">
        <v>0.16200000000000001</v>
      </c>
      <c r="BX212" s="7">
        <v>0.16020000000000001</v>
      </c>
      <c r="BY212" s="7">
        <v>0.15840000000000001</v>
      </c>
      <c r="BZ212" s="7">
        <v>0.15659999999999999</v>
      </c>
      <c r="CA212" s="7">
        <v>0.15490000000000001</v>
      </c>
      <c r="CB212" s="7">
        <v>0.15310000000000001</v>
      </c>
      <c r="CC212" s="7">
        <v>0.15140000000000001</v>
      </c>
      <c r="CD212" s="7">
        <v>0.1497</v>
      </c>
      <c r="CE212" s="7">
        <v>0.14799999999999999</v>
      </c>
      <c r="CF212" s="7">
        <v>0.14630000000000001</v>
      </c>
      <c r="CG212" s="7">
        <v>0.1447</v>
      </c>
      <c r="CH212" s="7">
        <v>0.14299999999999999</v>
      </c>
      <c r="CI212" s="7">
        <v>0.1414</v>
      </c>
      <c r="CJ212" s="7">
        <v>0.13980000000000001</v>
      </c>
      <c r="CK212" s="7">
        <v>0.13819999999999999</v>
      </c>
      <c r="CL212" s="7">
        <v>0.1366</v>
      </c>
      <c r="CM212" s="7">
        <v>0.13500000000000001</v>
      </c>
      <c r="CN212" s="7">
        <v>0.13350000000000001</v>
      </c>
      <c r="CO212" s="7">
        <v>0.13189999999999999</v>
      </c>
      <c r="CP212" s="7">
        <v>0.1303</v>
      </c>
      <c r="CQ212" s="7">
        <v>0.1288</v>
      </c>
      <c r="CR212" s="7">
        <v>0.12720000000000001</v>
      </c>
      <c r="CS212" s="7">
        <v>0.12570000000000001</v>
      </c>
      <c r="CT212" s="7">
        <v>0.1242</v>
      </c>
      <c r="CU212" s="7">
        <v>0.1226</v>
      </c>
      <c r="CV212" s="7">
        <v>0.1211</v>
      </c>
      <c r="CW212" s="7">
        <v>0.1196</v>
      </c>
      <c r="CX212" s="7">
        <v>0.1181</v>
      </c>
      <c r="CY212" s="7">
        <v>0.11650000000000001</v>
      </c>
      <c r="CZ212" s="7">
        <v>0.11559999999999999</v>
      </c>
      <c r="DA212" s="7">
        <v>0.1148</v>
      </c>
      <c r="DB212" s="7">
        <v>0.11409999999999999</v>
      </c>
      <c r="DC212" s="7">
        <v>0.1133</v>
      </c>
      <c r="DD212" s="7">
        <v>0.11260000000000001</v>
      </c>
      <c r="DE212" s="7">
        <v>0.1118</v>
      </c>
      <c r="DF212" s="7">
        <v>0.111</v>
      </c>
      <c r="DG212" s="7">
        <v>0.1101</v>
      </c>
      <c r="DH212" s="7">
        <v>0.10929999999999999</v>
      </c>
      <c r="DI212" s="7">
        <v>0.1084</v>
      </c>
      <c r="DJ212" s="7">
        <v>0.1075</v>
      </c>
      <c r="DK212" s="7">
        <v>0.1066</v>
      </c>
      <c r="DL212" s="7">
        <v>0.1057</v>
      </c>
      <c r="DM212" s="7">
        <v>0.1048</v>
      </c>
      <c r="DN212" s="7">
        <v>0.1038</v>
      </c>
      <c r="DO212" s="7">
        <v>0.1028</v>
      </c>
      <c r="DP212" s="7">
        <v>0.1018</v>
      </c>
      <c r="DQ212" s="7">
        <v>0.1008</v>
      </c>
      <c r="DR212" s="7">
        <v>9.9699999999999997E-2</v>
      </c>
      <c r="DS212" s="7">
        <v>9.8699999999999996E-2</v>
      </c>
      <c r="DT212" s="7">
        <v>9.7600000000000006E-2</v>
      </c>
      <c r="DU212" s="7">
        <v>9.6500000000000002E-2</v>
      </c>
      <c r="DV212" s="7">
        <v>9.5299999999999996E-2</v>
      </c>
      <c r="DW212" s="7">
        <v>9.4200000000000006E-2</v>
      </c>
      <c r="DX212" s="7">
        <v>9.2999999999999999E-2</v>
      </c>
      <c r="DY212" s="7">
        <v>9.1800000000000007E-2</v>
      </c>
      <c r="DZ212" s="7">
        <v>9.06E-2</v>
      </c>
      <c r="EA212" s="7">
        <v>8.9399999999999993E-2</v>
      </c>
      <c r="EB212" s="7">
        <v>8.8099999999999998E-2</v>
      </c>
      <c r="EC212" s="7">
        <v>8.6800000000000002E-2</v>
      </c>
      <c r="ED212" s="7">
        <v>8.5500000000000007E-2</v>
      </c>
      <c r="EE212" s="7">
        <v>8.4199999999999997E-2</v>
      </c>
      <c r="EF212" s="7">
        <v>8.2900000000000001E-2</v>
      </c>
      <c r="EG212" s="7">
        <v>8.1600000000000006E-2</v>
      </c>
      <c r="EH212" s="7">
        <v>8.0199999999999994E-2</v>
      </c>
      <c r="EI212" s="7">
        <v>7.8899999999999998E-2</v>
      </c>
      <c r="EJ212" s="7">
        <v>7.7499999999999999E-2</v>
      </c>
      <c r="EK212" s="7">
        <v>7.6100000000000001E-2</v>
      </c>
      <c r="EL212" s="7">
        <v>7.4700000000000003E-2</v>
      </c>
      <c r="EM212" s="7">
        <v>7.3400000000000007E-2</v>
      </c>
      <c r="EN212" s="7">
        <v>7.1999999999999995E-2</v>
      </c>
      <c r="EO212" s="7">
        <v>7.0599999999999996E-2</v>
      </c>
      <c r="EP212" s="7">
        <v>6.9199999999999998E-2</v>
      </c>
      <c r="EQ212" s="7">
        <v>6.7799999999999999E-2</v>
      </c>
      <c r="ER212" s="7">
        <v>6.6400000000000001E-2</v>
      </c>
      <c r="ES212" s="7">
        <v>6.5000000000000002E-2</v>
      </c>
      <c r="ET212" s="7">
        <v>6.3600000000000004E-2</v>
      </c>
      <c r="EU212" s="7">
        <v>6.2199999999999998E-2</v>
      </c>
      <c r="EV212" s="7">
        <v>6.08E-2</v>
      </c>
      <c r="EW212" s="7">
        <v>5.9499999999999997E-2</v>
      </c>
      <c r="EX212" s="7">
        <v>5.8099999999999999E-2</v>
      </c>
      <c r="EY212" s="7">
        <v>5.6800000000000003E-2</v>
      </c>
      <c r="EZ212" s="7">
        <v>5.5399999999999998E-2</v>
      </c>
      <c r="FA212" s="7">
        <v>5.4100000000000002E-2</v>
      </c>
      <c r="FB212" s="7">
        <v>5.28E-2</v>
      </c>
      <c r="FC212" s="7">
        <v>5.1499999999999997E-2</v>
      </c>
      <c r="FE212" s="50">
        <f ca="1">FORECAST(J$39,OFFSET($AX212,0,MATCH(J$39,$AX$211:$FC$211,1)-1,1,2),OFFSET($AX$211,0,MATCH(J$39,$AX$211:$FC$211,1)-1,1,2))</f>
        <v>9.3960293667788325E-2</v>
      </c>
      <c r="FF212" s="50">
        <f ca="1">FORECAST(L$39,OFFSET($AX212,0,MATCH(L$39,$AX$211:$FC$211,1)-1,1,2),OFFSET($AX$211,0,MATCH(L$39,$AX$211:$FC$211,1)-1,1,2))</f>
        <v>9.4674751682153169E-2</v>
      </c>
      <c r="FG212" s="50">
        <f ca="1">FORECAST(N$39,OFFSET($AX212,0,MATCH(N$39,$AX$211:$FC$211,1)-1,1,2),OFFSET($AX$211,0,MATCH(N$39,$AX$211:$FC$211,1)-1,1,2))</f>
        <v>9.5391006711409404E-2</v>
      </c>
      <c r="FH212" s="50">
        <f ca="1">FORECAST(P$39,OFFSET($AX212,0,MATCH(P$39,$AX$211:$FC$211,1)-1,1,2),OFFSET($AX$211,0,MATCH(P$39,$AX$211:$FC$211,1)-1,1,2))</f>
        <v>9.6196375838926179E-2</v>
      </c>
      <c r="FI212" s="50"/>
      <c r="FJ212" s="50"/>
      <c r="FK212" s="50">
        <f t="shared" ref="FK212:FK243" ca="1" si="25">FORECAST(AN$22,OFFSET($AX212,0,MATCH(AN$22,$AX$211:$FC$211,1)-1,1,2),OFFSET($AX$211,0,MATCH(AN$22,$AX$211:$FC$211,1)-1,1,2))</f>
        <v>9.4674751682153169E-2</v>
      </c>
      <c r="FL212" s="50"/>
      <c r="FM212" s="50"/>
      <c r="FN212" s="50"/>
    </row>
    <row r="213" spans="48:170" hidden="1">
      <c r="AW213" s="112">
        <v>0.107</v>
      </c>
      <c r="AX213" s="7">
        <v>0.21299999999999999</v>
      </c>
      <c r="AY213" s="7">
        <v>0.21149999999999999</v>
      </c>
      <c r="AZ213" s="7">
        <v>0.21</v>
      </c>
      <c r="BA213" s="7">
        <v>0.20860000000000001</v>
      </c>
      <c r="BB213" s="7">
        <v>0.2072</v>
      </c>
      <c r="BC213" s="7">
        <v>0.20580000000000001</v>
      </c>
      <c r="BD213" s="7">
        <v>0.20399999999999999</v>
      </c>
      <c r="BE213" s="7">
        <v>0.2016</v>
      </c>
      <c r="BF213" s="7">
        <v>0.1991</v>
      </c>
      <c r="BG213" s="7">
        <v>0.19670000000000001</v>
      </c>
      <c r="BH213" s="7">
        <v>0.19439999999999999</v>
      </c>
      <c r="BI213" s="7">
        <v>0.192</v>
      </c>
      <c r="BJ213" s="7">
        <v>0.1898</v>
      </c>
      <c r="BK213" s="7">
        <v>0.1875</v>
      </c>
      <c r="BL213" s="7">
        <v>0.18529999999999999</v>
      </c>
      <c r="BM213" s="7">
        <v>0.1832</v>
      </c>
      <c r="BN213" s="7">
        <v>0.18110000000000001</v>
      </c>
      <c r="BO213" s="7">
        <v>0.17899999999999999</v>
      </c>
      <c r="BP213" s="7">
        <v>0.1769</v>
      </c>
      <c r="BQ213" s="7">
        <v>0.1749</v>
      </c>
      <c r="BR213" s="7">
        <v>0.1729</v>
      </c>
      <c r="BS213" s="7">
        <v>0.1709</v>
      </c>
      <c r="BT213" s="7">
        <v>0.16900000000000001</v>
      </c>
      <c r="BU213" s="7">
        <v>0.1671</v>
      </c>
      <c r="BV213" s="7">
        <v>0.16520000000000001</v>
      </c>
      <c r="BW213" s="7">
        <v>0.16339999999999999</v>
      </c>
      <c r="BX213" s="7">
        <v>0.1615</v>
      </c>
      <c r="BY213" s="7">
        <v>0.15970000000000001</v>
      </c>
      <c r="BZ213" s="7">
        <v>0.15790000000000001</v>
      </c>
      <c r="CA213" s="7">
        <v>0.15620000000000001</v>
      </c>
      <c r="CB213" s="7">
        <v>0.15440000000000001</v>
      </c>
      <c r="CC213" s="7">
        <v>0.1527</v>
      </c>
      <c r="CD213" s="7">
        <v>0.151</v>
      </c>
      <c r="CE213" s="7">
        <v>0.14929999999999999</v>
      </c>
      <c r="CF213" s="7">
        <v>0.14760000000000001</v>
      </c>
      <c r="CG213" s="7">
        <v>0.14599999999999999</v>
      </c>
      <c r="CH213" s="7">
        <v>0.14430000000000001</v>
      </c>
      <c r="CI213" s="7">
        <v>0.14269999999999999</v>
      </c>
      <c r="CJ213" s="7">
        <v>0.1411</v>
      </c>
      <c r="CK213" s="7">
        <v>0.13950000000000001</v>
      </c>
      <c r="CL213" s="7">
        <v>0.13789999999999999</v>
      </c>
      <c r="CM213" s="7">
        <v>0.1363</v>
      </c>
      <c r="CN213" s="7">
        <v>0.13469999999999999</v>
      </c>
      <c r="CO213" s="7">
        <v>0.1331</v>
      </c>
      <c r="CP213" s="7">
        <v>0.13159999999999999</v>
      </c>
      <c r="CQ213" s="7">
        <v>0.13</v>
      </c>
      <c r="CR213" s="7">
        <v>0.1285</v>
      </c>
      <c r="CS213" s="7">
        <v>0.12690000000000001</v>
      </c>
      <c r="CT213" s="7">
        <v>0.12540000000000001</v>
      </c>
      <c r="CU213" s="7">
        <v>0.1239</v>
      </c>
      <c r="CV213" s="7">
        <v>0.12230000000000001</v>
      </c>
      <c r="CW213" s="7">
        <v>0.1208</v>
      </c>
      <c r="CX213" s="7">
        <v>0.1193</v>
      </c>
      <c r="CY213" s="7">
        <v>0.1178</v>
      </c>
      <c r="CZ213" s="7">
        <v>0.1162</v>
      </c>
      <c r="DA213" s="7">
        <v>0.1148</v>
      </c>
      <c r="DB213" s="7">
        <v>0.11409999999999999</v>
      </c>
      <c r="DC213" s="7">
        <v>0.1133</v>
      </c>
      <c r="DD213" s="7">
        <v>0.11260000000000001</v>
      </c>
      <c r="DE213" s="7">
        <v>0.1118</v>
      </c>
      <c r="DF213" s="7">
        <v>0.111</v>
      </c>
      <c r="DG213" s="7">
        <v>0.1101</v>
      </c>
      <c r="DH213" s="7">
        <v>0.10929999999999999</v>
      </c>
      <c r="DI213" s="7">
        <v>0.1084</v>
      </c>
      <c r="DJ213" s="7">
        <v>0.1075</v>
      </c>
      <c r="DK213" s="7">
        <v>0.1066</v>
      </c>
      <c r="DL213" s="7">
        <v>0.1057</v>
      </c>
      <c r="DM213" s="7">
        <v>0.1048</v>
      </c>
      <c r="DN213" s="7">
        <v>0.1038</v>
      </c>
      <c r="DO213" s="7">
        <v>0.1028</v>
      </c>
      <c r="DP213" s="7">
        <v>0.1018</v>
      </c>
      <c r="DQ213" s="7">
        <v>0.1008</v>
      </c>
      <c r="DR213" s="7">
        <v>9.9699999999999997E-2</v>
      </c>
      <c r="DS213" s="7">
        <v>9.8699999999999996E-2</v>
      </c>
      <c r="DT213" s="7">
        <v>9.7600000000000006E-2</v>
      </c>
      <c r="DU213" s="7">
        <v>9.6500000000000002E-2</v>
      </c>
      <c r="DV213" s="7">
        <v>9.5299999999999996E-2</v>
      </c>
      <c r="DW213" s="7">
        <v>9.4200000000000006E-2</v>
      </c>
      <c r="DX213" s="7">
        <v>9.2999999999999999E-2</v>
      </c>
      <c r="DY213" s="7">
        <v>9.1800000000000007E-2</v>
      </c>
      <c r="DZ213" s="7">
        <v>9.06E-2</v>
      </c>
      <c r="EA213" s="7">
        <v>8.9399999999999993E-2</v>
      </c>
      <c r="EB213" s="7">
        <v>8.8099999999999998E-2</v>
      </c>
      <c r="EC213" s="7">
        <v>8.6800000000000002E-2</v>
      </c>
      <c r="ED213" s="7">
        <v>8.5500000000000007E-2</v>
      </c>
      <c r="EE213" s="7">
        <v>8.4199999999999997E-2</v>
      </c>
      <c r="EF213" s="7">
        <v>8.2900000000000001E-2</v>
      </c>
      <c r="EG213" s="7">
        <v>8.1600000000000006E-2</v>
      </c>
      <c r="EH213" s="7">
        <v>8.0199999999999994E-2</v>
      </c>
      <c r="EI213" s="7">
        <v>7.8899999999999998E-2</v>
      </c>
      <c r="EJ213" s="7">
        <v>7.7499999999999999E-2</v>
      </c>
      <c r="EK213" s="7">
        <v>7.6100000000000001E-2</v>
      </c>
      <c r="EL213" s="7">
        <v>7.4700000000000003E-2</v>
      </c>
      <c r="EM213" s="7">
        <v>7.3400000000000007E-2</v>
      </c>
      <c r="EN213" s="7">
        <v>7.1999999999999995E-2</v>
      </c>
      <c r="EO213" s="7">
        <v>7.0599999999999996E-2</v>
      </c>
      <c r="EP213" s="7">
        <v>6.9199999999999998E-2</v>
      </c>
      <c r="EQ213" s="7">
        <v>6.7799999999999999E-2</v>
      </c>
      <c r="ER213" s="7">
        <v>6.6400000000000001E-2</v>
      </c>
      <c r="ES213" s="7">
        <v>6.5000000000000002E-2</v>
      </c>
      <c r="ET213" s="7">
        <v>6.3600000000000004E-2</v>
      </c>
      <c r="EU213" s="7">
        <v>6.2199999999999998E-2</v>
      </c>
      <c r="EV213" s="7">
        <v>6.08E-2</v>
      </c>
      <c r="EW213" s="7">
        <v>5.9499999999999997E-2</v>
      </c>
      <c r="EX213" s="7">
        <v>5.8099999999999999E-2</v>
      </c>
      <c r="EY213" s="7">
        <v>5.6800000000000003E-2</v>
      </c>
      <c r="EZ213" s="7">
        <v>5.5399999999999998E-2</v>
      </c>
      <c r="FA213" s="7">
        <v>5.4100000000000002E-2</v>
      </c>
      <c r="FB213" s="7">
        <v>5.28E-2</v>
      </c>
      <c r="FC213" s="7">
        <v>5.1499999999999997E-2</v>
      </c>
      <c r="FE213" s="50">
        <f t="shared" ref="FE213:FE276" ca="1" si="26">FORECAST(J$39,OFFSET($AX213,0,MATCH(J$39,$AX$211:$FC$211,1)-1,1,2),OFFSET($AX$211,0,MATCH(J$39,$AX$211:$FC$211,1)-1,1,2))</f>
        <v>9.3960293667788325E-2</v>
      </c>
      <c r="FF213" s="50">
        <f t="shared" ref="FF213:FF276" ca="1" si="27">FORECAST(L$39,OFFSET($AX213,0,MATCH(L$39,$AX$211:$FC$211,1)-1,1,2),OFFSET($AX$211,0,MATCH(L$39,$AX$211:$FC$211,1)-1,1,2))</f>
        <v>9.4674751682153169E-2</v>
      </c>
      <c r="FG213" s="50">
        <f t="shared" ref="FG213:FG276" ca="1" si="28">FORECAST(N$39,OFFSET($AX213,0,MATCH(N$39,$AX$211:$FC$211,1)-1,1,2),OFFSET($AX$211,0,MATCH(N$39,$AX$211:$FC$211,1)-1,1,2))</f>
        <v>9.5391006711409404E-2</v>
      </c>
      <c r="FH213" s="50">
        <f t="shared" ref="FH213:FH276" ca="1" si="29">FORECAST(P$39,OFFSET($AX213,0,MATCH(P$39,$AX$211:$FC$211,1)-1,1,2),OFFSET($AX$211,0,MATCH(P$39,$AX$211:$FC$211,1)-1,1,2))</f>
        <v>9.6196375838926179E-2</v>
      </c>
      <c r="FI213" s="50"/>
      <c r="FJ213" s="50"/>
      <c r="FK213" s="50">
        <f t="shared" ca="1" si="25"/>
        <v>9.4674751682153169E-2</v>
      </c>
      <c r="FL213" s="50"/>
      <c r="FM213" s="50"/>
      <c r="FN213" s="50"/>
    </row>
    <row r="214" spans="48:170" hidden="1">
      <c r="AW214" s="112">
        <v>0.115</v>
      </c>
      <c r="AX214" s="7">
        <v>0.21299999999999999</v>
      </c>
      <c r="AY214" s="7">
        <v>0.21149999999999999</v>
      </c>
      <c r="AZ214" s="7">
        <v>0.21</v>
      </c>
      <c r="BA214" s="7">
        <v>0.20860000000000001</v>
      </c>
      <c r="BB214" s="7">
        <v>0.2072</v>
      </c>
      <c r="BC214" s="7">
        <v>0.20580000000000001</v>
      </c>
      <c r="BD214" s="7">
        <v>0.2044</v>
      </c>
      <c r="BE214" s="7">
        <v>0.20300000000000001</v>
      </c>
      <c r="BF214" s="7">
        <v>0.20050000000000001</v>
      </c>
      <c r="BG214" s="7">
        <v>0.1981</v>
      </c>
      <c r="BH214" s="7">
        <v>0.1958</v>
      </c>
      <c r="BI214" s="7">
        <v>0.19339999999999999</v>
      </c>
      <c r="BJ214" s="7">
        <v>0.19120000000000001</v>
      </c>
      <c r="BK214" s="7">
        <v>0.18890000000000001</v>
      </c>
      <c r="BL214" s="7">
        <v>0.1867</v>
      </c>
      <c r="BM214" s="7">
        <v>0.18459999999999999</v>
      </c>
      <c r="BN214" s="7">
        <v>0.18240000000000001</v>
      </c>
      <c r="BO214" s="7">
        <v>0.18029999999999999</v>
      </c>
      <c r="BP214" s="7">
        <v>0.17829999999999999</v>
      </c>
      <c r="BQ214" s="7">
        <v>0.1762</v>
      </c>
      <c r="BR214" s="7">
        <v>0.17419999999999999</v>
      </c>
      <c r="BS214" s="7">
        <v>0.17230000000000001</v>
      </c>
      <c r="BT214" s="7">
        <v>0.17030000000000001</v>
      </c>
      <c r="BU214" s="7">
        <v>0.16839999999999999</v>
      </c>
      <c r="BV214" s="7">
        <v>0.16650000000000001</v>
      </c>
      <c r="BW214" s="7">
        <v>0.16470000000000001</v>
      </c>
      <c r="BX214" s="7">
        <v>0.1628</v>
      </c>
      <c r="BY214" s="7">
        <v>0.161</v>
      </c>
      <c r="BZ214" s="7">
        <v>0.15920000000000001</v>
      </c>
      <c r="CA214" s="7">
        <v>0.1575</v>
      </c>
      <c r="CB214" s="7">
        <v>0.15570000000000001</v>
      </c>
      <c r="CC214" s="7">
        <v>0.154</v>
      </c>
      <c r="CD214" s="7">
        <v>0.15229999999999999</v>
      </c>
      <c r="CE214" s="7">
        <v>0.15060000000000001</v>
      </c>
      <c r="CF214" s="7">
        <v>0.1489</v>
      </c>
      <c r="CG214" s="7">
        <v>0.1472</v>
      </c>
      <c r="CH214" s="7">
        <v>0.14560000000000001</v>
      </c>
      <c r="CI214" s="7">
        <v>0.1439</v>
      </c>
      <c r="CJ214" s="7">
        <v>0.14230000000000001</v>
      </c>
      <c r="CK214" s="7">
        <v>0.14069999999999999</v>
      </c>
      <c r="CL214" s="7">
        <v>0.1391</v>
      </c>
      <c r="CM214" s="7">
        <v>0.13750000000000001</v>
      </c>
      <c r="CN214" s="7">
        <v>0.13589999999999999</v>
      </c>
      <c r="CO214" s="7">
        <v>0.13439999999999999</v>
      </c>
      <c r="CP214" s="7">
        <v>0.1328</v>
      </c>
      <c r="CQ214" s="7">
        <v>0.13120000000000001</v>
      </c>
      <c r="CR214" s="7">
        <v>0.12970000000000001</v>
      </c>
      <c r="CS214" s="7">
        <v>0.12820000000000001</v>
      </c>
      <c r="CT214" s="7">
        <v>0.12659999999999999</v>
      </c>
      <c r="CU214" s="7">
        <v>0.12509999999999999</v>
      </c>
      <c r="CV214" s="7">
        <v>0.1235</v>
      </c>
      <c r="CW214" s="7">
        <v>0.122</v>
      </c>
      <c r="CX214" s="7">
        <v>0.1205</v>
      </c>
      <c r="CY214" s="7">
        <v>0.11890000000000001</v>
      </c>
      <c r="CZ214" s="7">
        <v>0.1174</v>
      </c>
      <c r="DA214" s="7">
        <v>0.1159</v>
      </c>
      <c r="DB214" s="7">
        <v>0.1143</v>
      </c>
      <c r="DC214" s="7">
        <v>0.1133</v>
      </c>
      <c r="DD214" s="7">
        <v>0.11260000000000001</v>
      </c>
      <c r="DE214" s="7">
        <v>0.1118</v>
      </c>
      <c r="DF214" s="7">
        <v>0.111</v>
      </c>
      <c r="DG214" s="7">
        <v>0.1101</v>
      </c>
      <c r="DH214" s="7">
        <v>0.10929999999999999</v>
      </c>
      <c r="DI214" s="7">
        <v>0.1084</v>
      </c>
      <c r="DJ214" s="7">
        <v>0.1075</v>
      </c>
      <c r="DK214" s="7">
        <v>0.1066</v>
      </c>
      <c r="DL214" s="7">
        <v>0.1057</v>
      </c>
      <c r="DM214" s="7">
        <v>0.1048</v>
      </c>
      <c r="DN214" s="7">
        <v>0.1038</v>
      </c>
      <c r="DO214" s="7">
        <v>0.1028</v>
      </c>
      <c r="DP214" s="7">
        <v>0.1018</v>
      </c>
      <c r="DQ214" s="7">
        <v>0.1008</v>
      </c>
      <c r="DR214" s="7">
        <v>9.9699999999999997E-2</v>
      </c>
      <c r="DS214" s="7">
        <v>9.8699999999999996E-2</v>
      </c>
      <c r="DT214" s="7">
        <v>9.7600000000000006E-2</v>
      </c>
      <c r="DU214" s="7">
        <v>9.6500000000000002E-2</v>
      </c>
      <c r="DV214" s="7">
        <v>9.5299999999999996E-2</v>
      </c>
      <c r="DW214" s="7">
        <v>9.4200000000000006E-2</v>
      </c>
      <c r="DX214" s="7">
        <v>9.2999999999999999E-2</v>
      </c>
      <c r="DY214" s="7">
        <v>9.1800000000000007E-2</v>
      </c>
      <c r="DZ214" s="7">
        <v>9.06E-2</v>
      </c>
      <c r="EA214" s="7">
        <v>8.9399999999999993E-2</v>
      </c>
      <c r="EB214" s="7">
        <v>8.8099999999999998E-2</v>
      </c>
      <c r="EC214" s="7">
        <v>8.6800000000000002E-2</v>
      </c>
      <c r="ED214" s="7">
        <v>8.5500000000000007E-2</v>
      </c>
      <c r="EE214" s="7">
        <v>8.4199999999999997E-2</v>
      </c>
      <c r="EF214" s="7">
        <v>8.2900000000000001E-2</v>
      </c>
      <c r="EG214" s="7">
        <v>8.1600000000000006E-2</v>
      </c>
      <c r="EH214" s="7">
        <v>8.0199999999999994E-2</v>
      </c>
      <c r="EI214" s="7">
        <v>7.8899999999999998E-2</v>
      </c>
      <c r="EJ214" s="7">
        <v>7.7499999999999999E-2</v>
      </c>
      <c r="EK214" s="7">
        <v>7.6100000000000001E-2</v>
      </c>
      <c r="EL214" s="7">
        <v>7.4700000000000003E-2</v>
      </c>
      <c r="EM214" s="7">
        <v>7.3400000000000007E-2</v>
      </c>
      <c r="EN214" s="7">
        <v>7.1999999999999995E-2</v>
      </c>
      <c r="EO214" s="7">
        <v>7.0599999999999996E-2</v>
      </c>
      <c r="EP214" s="7">
        <v>6.9199999999999998E-2</v>
      </c>
      <c r="EQ214" s="7">
        <v>6.7799999999999999E-2</v>
      </c>
      <c r="ER214" s="7">
        <v>6.6400000000000001E-2</v>
      </c>
      <c r="ES214" s="7">
        <v>6.5000000000000002E-2</v>
      </c>
      <c r="ET214" s="7">
        <v>6.3600000000000004E-2</v>
      </c>
      <c r="EU214" s="7">
        <v>6.2199999999999998E-2</v>
      </c>
      <c r="EV214" s="7">
        <v>6.08E-2</v>
      </c>
      <c r="EW214" s="7">
        <v>5.9499999999999997E-2</v>
      </c>
      <c r="EX214" s="7">
        <v>5.8099999999999999E-2</v>
      </c>
      <c r="EY214" s="7">
        <v>5.6800000000000003E-2</v>
      </c>
      <c r="EZ214" s="7">
        <v>5.5399999999999998E-2</v>
      </c>
      <c r="FA214" s="7">
        <v>5.4100000000000002E-2</v>
      </c>
      <c r="FB214" s="7">
        <v>5.28E-2</v>
      </c>
      <c r="FC214" s="7">
        <v>5.1499999999999997E-2</v>
      </c>
      <c r="FE214" s="50">
        <f t="shared" ca="1" si="26"/>
        <v>9.3960293667788325E-2</v>
      </c>
      <c r="FF214" s="50">
        <f t="shared" ca="1" si="27"/>
        <v>9.4674751682153169E-2</v>
      </c>
      <c r="FG214" s="50">
        <f t="shared" ca="1" si="28"/>
        <v>9.5391006711409404E-2</v>
      </c>
      <c r="FH214" s="50">
        <f t="shared" ca="1" si="29"/>
        <v>9.6196375838926179E-2</v>
      </c>
      <c r="FI214" s="50"/>
      <c r="FJ214" s="50"/>
      <c r="FK214" s="50">
        <f t="shared" ca="1" si="25"/>
        <v>9.4674751682153169E-2</v>
      </c>
      <c r="FL214" s="50"/>
      <c r="FM214" s="50"/>
      <c r="FN214" s="50"/>
    </row>
    <row r="215" spans="48:170" hidden="1">
      <c r="AW215" s="112">
        <v>0.123</v>
      </c>
      <c r="AX215" s="7">
        <v>0.21299999999999999</v>
      </c>
      <c r="AY215" s="7">
        <v>0.21149999999999999</v>
      </c>
      <c r="AZ215" s="7">
        <v>0.21</v>
      </c>
      <c r="BA215" s="7">
        <v>0.20860000000000001</v>
      </c>
      <c r="BB215" s="7">
        <v>0.2072</v>
      </c>
      <c r="BC215" s="7">
        <v>0.20580000000000001</v>
      </c>
      <c r="BD215" s="7">
        <v>0.2044</v>
      </c>
      <c r="BE215" s="7">
        <v>0.2031</v>
      </c>
      <c r="BF215" s="7">
        <v>0.20180000000000001</v>
      </c>
      <c r="BG215" s="7">
        <v>0.19950000000000001</v>
      </c>
      <c r="BH215" s="7">
        <v>0.1971</v>
      </c>
      <c r="BI215" s="7">
        <v>0.1948</v>
      </c>
      <c r="BJ215" s="7">
        <v>0.1925</v>
      </c>
      <c r="BK215" s="7">
        <v>0.1903</v>
      </c>
      <c r="BL215" s="7">
        <v>0.18809999999999999</v>
      </c>
      <c r="BM215" s="7">
        <v>0.18590000000000001</v>
      </c>
      <c r="BN215" s="7">
        <v>0.18379999999999999</v>
      </c>
      <c r="BO215" s="7">
        <v>0.1817</v>
      </c>
      <c r="BP215" s="7">
        <v>0.17960000000000001</v>
      </c>
      <c r="BQ215" s="7">
        <v>0.17760000000000001</v>
      </c>
      <c r="BR215" s="7">
        <v>0.17560000000000001</v>
      </c>
      <c r="BS215" s="7">
        <v>0.1736</v>
      </c>
      <c r="BT215" s="7">
        <v>0.1716</v>
      </c>
      <c r="BU215" s="7">
        <v>0.16969999999999999</v>
      </c>
      <c r="BV215" s="7">
        <v>0.1678</v>
      </c>
      <c r="BW215" s="7">
        <v>0.16600000000000001</v>
      </c>
      <c r="BX215" s="7">
        <v>0.1641</v>
      </c>
      <c r="BY215" s="7">
        <v>0.1623</v>
      </c>
      <c r="BZ215" s="7">
        <v>0.1605</v>
      </c>
      <c r="CA215" s="7">
        <v>0.15870000000000001</v>
      </c>
      <c r="CB215" s="7">
        <v>0.157</v>
      </c>
      <c r="CC215" s="7">
        <v>0.1552</v>
      </c>
      <c r="CD215" s="7">
        <v>0.1535</v>
      </c>
      <c r="CE215" s="7">
        <v>0.15179999999999999</v>
      </c>
      <c r="CF215" s="7">
        <v>0.15010000000000001</v>
      </c>
      <c r="CG215" s="7">
        <v>0.14849999999999999</v>
      </c>
      <c r="CH215" s="7">
        <v>0.14680000000000001</v>
      </c>
      <c r="CI215" s="7">
        <v>0.1452</v>
      </c>
      <c r="CJ215" s="7">
        <v>0.14349999999999999</v>
      </c>
      <c r="CK215" s="7">
        <v>0.1419</v>
      </c>
      <c r="CL215" s="7">
        <v>0.14030000000000001</v>
      </c>
      <c r="CM215" s="7">
        <v>0.13869999999999999</v>
      </c>
      <c r="CN215" s="7">
        <v>0.13719999999999999</v>
      </c>
      <c r="CO215" s="7">
        <v>0.1356</v>
      </c>
      <c r="CP215" s="7">
        <v>0.13400000000000001</v>
      </c>
      <c r="CQ215" s="7">
        <v>0.13250000000000001</v>
      </c>
      <c r="CR215" s="7">
        <v>0.13089999999999999</v>
      </c>
      <c r="CS215" s="7">
        <v>0.12939999999999999</v>
      </c>
      <c r="CT215" s="7">
        <v>0.1278</v>
      </c>
      <c r="CU215" s="7">
        <v>0.1263</v>
      </c>
      <c r="CV215" s="7">
        <v>0.12470000000000001</v>
      </c>
      <c r="CW215" s="7">
        <v>0.1232</v>
      </c>
      <c r="CX215" s="7">
        <v>0.1217</v>
      </c>
      <c r="CY215" s="7">
        <v>0.1201</v>
      </c>
      <c r="CZ215" s="7">
        <v>0.1186</v>
      </c>
      <c r="DA215" s="7">
        <v>0.11700000000000001</v>
      </c>
      <c r="DB215" s="7">
        <v>0.11550000000000001</v>
      </c>
      <c r="DC215" s="7">
        <v>0.114</v>
      </c>
      <c r="DD215" s="7">
        <v>0.11260000000000001</v>
      </c>
      <c r="DE215" s="7">
        <v>0.1118</v>
      </c>
      <c r="DF215" s="7">
        <v>0.111</v>
      </c>
      <c r="DG215" s="7">
        <v>0.1101</v>
      </c>
      <c r="DH215" s="7">
        <v>0.10929999999999999</v>
      </c>
      <c r="DI215" s="7">
        <v>0.1084</v>
      </c>
      <c r="DJ215" s="7">
        <v>0.1075</v>
      </c>
      <c r="DK215" s="7">
        <v>0.1066</v>
      </c>
      <c r="DL215" s="7">
        <v>0.1057</v>
      </c>
      <c r="DM215" s="7">
        <v>0.1048</v>
      </c>
      <c r="DN215" s="7">
        <v>0.1038</v>
      </c>
      <c r="DO215" s="7">
        <v>0.1028</v>
      </c>
      <c r="DP215" s="7">
        <v>0.1018</v>
      </c>
      <c r="DQ215" s="7">
        <v>0.1008</v>
      </c>
      <c r="DR215" s="7">
        <v>9.9699999999999997E-2</v>
      </c>
      <c r="DS215" s="7">
        <v>9.8699999999999996E-2</v>
      </c>
      <c r="DT215" s="7">
        <v>9.7600000000000006E-2</v>
      </c>
      <c r="DU215" s="7">
        <v>9.6500000000000002E-2</v>
      </c>
      <c r="DV215" s="7">
        <v>9.5299999999999996E-2</v>
      </c>
      <c r="DW215" s="7">
        <v>9.4200000000000006E-2</v>
      </c>
      <c r="DX215" s="7">
        <v>9.2999999999999999E-2</v>
      </c>
      <c r="DY215" s="7">
        <v>9.1800000000000007E-2</v>
      </c>
      <c r="DZ215" s="7">
        <v>9.06E-2</v>
      </c>
      <c r="EA215" s="7">
        <v>8.9399999999999993E-2</v>
      </c>
      <c r="EB215" s="7">
        <v>8.8099999999999998E-2</v>
      </c>
      <c r="EC215" s="7">
        <v>8.6800000000000002E-2</v>
      </c>
      <c r="ED215" s="7">
        <v>8.5500000000000007E-2</v>
      </c>
      <c r="EE215" s="7">
        <v>8.4199999999999997E-2</v>
      </c>
      <c r="EF215" s="7">
        <v>8.2900000000000001E-2</v>
      </c>
      <c r="EG215" s="7">
        <v>8.1600000000000006E-2</v>
      </c>
      <c r="EH215" s="7">
        <v>8.0199999999999994E-2</v>
      </c>
      <c r="EI215" s="7">
        <v>7.8899999999999998E-2</v>
      </c>
      <c r="EJ215" s="7">
        <v>7.7499999999999999E-2</v>
      </c>
      <c r="EK215" s="7">
        <v>7.6100000000000001E-2</v>
      </c>
      <c r="EL215" s="7">
        <v>7.4700000000000003E-2</v>
      </c>
      <c r="EM215" s="7">
        <v>7.3400000000000007E-2</v>
      </c>
      <c r="EN215" s="7">
        <v>7.1999999999999995E-2</v>
      </c>
      <c r="EO215" s="7">
        <v>7.0599999999999996E-2</v>
      </c>
      <c r="EP215" s="7">
        <v>6.9199999999999998E-2</v>
      </c>
      <c r="EQ215" s="7">
        <v>6.7799999999999999E-2</v>
      </c>
      <c r="ER215" s="7">
        <v>6.6400000000000001E-2</v>
      </c>
      <c r="ES215" s="7">
        <v>6.5000000000000002E-2</v>
      </c>
      <c r="ET215" s="7">
        <v>6.3600000000000004E-2</v>
      </c>
      <c r="EU215" s="7">
        <v>6.2199999999999998E-2</v>
      </c>
      <c r="EV215" s="7">
        <v>6.08E-2</v>
      </c>
      <c r="EW215" s="7">
        <v>5.9499999999999997E-2</v>
      </c>
      <c r="EX215" s="7">
        <v>5.8099999999999999E-2</v>
      </c>
      <c r="EY215" s="7">
        <v>5.6800000000000003E-2</v>
      </c>
      <c r="EZ215" s="7">
        <v>5.5399999999999998E-2</v>
      </c>
      <c r="FA215" s="7">
        <v>5.4100000000000002E-2</v>
      </c>
      <c r="FB215" s="7">
        <v>5.28E-2</v>
      </c>
      <c r="FC215" s="7">
        <v>5.1499999999999997E-2</v>
      </c>
      <c r="FE215" s="50">
        <f t="shared" ca="1" si="26"/>
        <v>9.3960293667788325E-2</v>
      </c>
      <c r="FF215" s="50">
        <f t="shared" ca="1" si="27"/>
        <v>9.4674751682153169E-2</v>
      </c>
      <c r="FG215" s="50">
        <f t="shared" ca="1" si="28"/>
        <v>9.5391006711409404E-2</v>
      </c>
      <c r="FH215" s="50">
        <f t="shared" ca="1" si="29"/>
        <v>9.6196375838926179E-2</v>
      </c>
      <c r="FI215" s="50"/>
      <c r="FJ215" s="50"/>
      <c r="FK215" s="50">
        <f t="shared" ca="1" si="25"/>
        <v>9.4674751682153169E-2</v>
      </c>
      <c r="FL215" s="50"/>
      <c r="FM215" s="50"/>
      <c r="FN215" s="50"/>
    </row>
    <row r="216" spans="48:170" hidden="1">
      <c r="AW216" s="112">
        <v>0.13200000000000001</v>
      </c>
      <c r="AX216" s="7">
        <v>0.21299999999999999</v>
      </c>
      <c r="AY216" s="7">
        <v>0.21149999999999999</v>
      </c>
      <c r="AZ216" s="7">
        <v>0.21</v>
      </c>
      <c r="BA216" s="7">
        <v>0.20860000000000001</v>
      </c>
      <c r="BB216" s="7">
        <v>0.2072</v>
      </c>
      <c r="BC216" s="7">
        <v>0.20580000000000001</v>
      </c>
      <c r="BD216" s="7">
        <v>0.2044</v>
      </c>
      <c r="BE216" s="7">
        <v>0.2031</v>
      </c>
      <c r="BF216" s="7">
        <v>0.20180000000000001</v>
      </c>
      <c r="BG216" s="7">
        <v>0.20050000000000001</v>
      </c>
      <c r="BH216" s="7">
        <v>0.19850000000000001</v>
      </c>
      <c r="BI216" s="7">
        <v>0.19620000000000001</v>
      </c>
      <c r="BJ216" s="7">
        <v>0.19389999999999999</v>
      </c>
      <c r="BK216" s="7">
        <v>0.19159999999999999</v>
      </c>
      <c r="BL216" s="7">
        <v>0.18940000000000001</v>
      </c>
      <c r="BM216" s="7">
        <v>0.18720000000000001</v>
      </c>
      <c r="BN216" s="7">
        <v>0.18509999999999999</v>
      </c>
      <c r="BO216" s="7">
        <v>0.183</v>
      </c>
      <c r="BP216" s="7">
        <v>0.18090000000000001</v>
      </c>
      <c r="BQ216" s="7">
        <v>0.1789</v>
      </c>
      <c r="BR216" s="7">
        <v>0.1769</v>
      </c>
      <c r="BS216" s="7">
        <v>0.1749</v>
      </c>
      <c r="BT216" s="7">
        <v>0.1729</v>
      </c>
      <c r="BU216" s="7">
        <v>0.17100000000000001</v>
      </c>
      <c r="BV216" s="7">
        <v>0.1691</v>
      </c>
      <c r="BW216" s="7">
        <v>0.16719999999999999</v>
      </c>
      <c r="BX216" s="7">
        <v>0.16539999999999999</v>
      </c>
      <c r="BY216" s="7">
        <v>0.1636</v>
      </c>
      <c r="BZ216" s="7">
        <v>0.1618</v>
      </c>
      <c r="CA216" s="7">
        <v>0.16</v>
      </c>
      <c r="CB216" s="7">
        <v>0.15820000000000001</v>
      </c>
      <c r="CC216" s="7">
        <v>0.1565</v>
      </c>
      <c r="CD216" s="7">
        <v>0.15479999999999999</v>
      </c>
      <c r="CE216" s="7">
        <v>0.15310000000000001</v>
      </c>
      <c r="CF216" s="7">
        <v>0.15140000000000001</v>
      </c>
      <c r="CG216" s="7">
        <v>0.1497</v>
      </c>
      <c r="CH216" s="7">
        <v>0.14799999999999999</v>
      </c>
      <c r="CI216" s="7">
        <v>0.1464</v>
      </c>
      <c r="CJ216" s="7">
        <v>0.14480000000000001</v>
      </c>
      <c r="CK216" s="7">
        <v>0.14319999999999999</v>
      </c>
      <c r="CL216" s="7">
        <v>0.14149999999999999</v>
      </c>
      <c r="CM216" s="7">
        <v>0.1399</v>
      </c>
      <c r="CN216" s="7">
        <v>0.1384</v>
      </c>
      <c r="CO216" s="7">
        <v>0.1368</v>
      </c>
      <c r="CP216" s="7">
        <v>0.13519999999999999</v>
      </c>
      <c r="CQ216" s="7">
        <v>0.1336</v>
      </c>
      <c r="CR216" s="7">
        <v>0.1321</v>
      </c>
      <c r="CS216" s="7">
        <v>0.1305</v>
      </c>
      <c r="CT216" s="7">
        <v>0.129</v>
      </c>
      <c r="CU216" s="7">
        <v>0.12740000000000001</v>
      </c>
      <c r="CV216" s="7">
        <v>0.12590000000000001</v>
      </c>
      <c r="CW216" s="7">
        <v>0.1244</v>
      </c>
      <c r="CX216" s="7">
        <v>0.12280000000000001</v>
      </c>
      <c r="CY216" s="7">
        <v>0.12130000000000001</v>
      </c>
      <c r="CZ216" s="7">
        <v>0.1197</v>
      </c>
      <c r="DA216" s="7">
        <v>0.1182</v>
      </c>
      <c r="DB216" s="7">
        <v>0.1167</v>
      </c>
      <c r="DC216" s="7">
        <v>0.11509999999999999</v>
      </c>
      <c r="DD216" s="7">
        <v>0.11360000000000001</v>
      </c>
      <c r="DE216" s="7">
        <v>0.112</v>
      </c>
      <c r="DF216" s="7">
        <v>0.111</v>
      </c>
      <c r="DG216" s="7">
        <v>0.1101</v>
      </c>
      <c r="DH216" s="7">
        <v>0.10929999999999999</v>
      </c>
      <c r="DI216" s="7">
        <v>0.1084</v>
      </c>
      <c r="DJ216" s="7">
        <v>0.1075</v>
      </c>
      <c r="DK216" s="7">
        <v>0.1066</v>
      </c>
      <c r="DL216" s="7">
        <v>0.1057</v>
      </c>
      <c r="DM216" s="7">
        <v>0.1048</v>
      </c>
      <c r="DN216" s="7">
        <v>0.1038</v>
      </c>
      <c r="DO216" s="7">
        <v>0.1028</v>
      </c>
      <c r="DP216" s="7">
        <v>0.1018</v>
      </c>
      <c r="DQ216" s="7">
        <v>0.1008</v>
      </c>
      <c r="DR216" s="7">
        <v>9.9699999999999997E-2</v>
      </c>
      <c r="DS216" s="7">
        <v>9.8699999999999996E-2</v>
      </c>
      <c r="DT216" s="7">
        <v>9.7600000000000006E-2</v>
      </c>
      <c r="DU216" s="7">
        <v>9.6500000000000002E-2</v>
      </c>
      <c r="DV216" s="7">
        <v>9.5299999999999996E-2</v>
      </c>
      <c r="DW216" s="7">
        <v>9.4200000000000006E-2</v>
      </c>
      <c r="DX216" s="7">
        <v>9.2999999999999999E-2</v>
      </c>
      <c r="DY216" s="7">
        <v>9.1800000000000007E-2</v>
      </c>
      <c r="DZ216" s="7">
        <v>9.06E-2</v>
      </c>
      <c r="EA216" s="7">
        <v>8.9399999999999993E-2</v>
      </c>
      <c r="EB216" s="7">
        <v>8.8099999999999998E-2</v>
      </c>
      <c r="EC216" s="7">
        <v>8.6800000000000002E-2</v>
      </c>
      <c r="ED216" s="7">
        <v>8.5500000000000007E-2</v>
      </c>
      <c r="EE216" s="7">
        <v>8.4199999999999997E-2</v>
      </c>
      <c r="EF216" s="7">
        <v>8.2900000000000001E-2</v>
      </c>
      <c r="EG216" s="7">
        <v>8.1600000000000006E-2</v>
      </c>
      <c r="EH216" s="7">
        <v>8.0199999999999994E-2</v>
      </c>
      <c r="EI216" s="7">
        <v>7.8899999999999998E-2</v>
      </c>
      <c r="EJ216" s="7">
        <v>7.7499999999999999E-2</v>
      </c>
      <c r="EK216" s="7">
        <v>7.6100000000000001E-2</v>
      </c>
      <c r="EL216" s="7">
        <v>7.4700000000000003E-2</v>
      </c>
      <c r="EM216" s="7">
        <v>7.3400000000000007E-2</v>
      </c>
      <c r="EN216" s="7">
        <v>7.1999999999999995E-2</v>
      </c>
      <c r="EO216" s="7">
        <v>7.0599999999999996E-2</v>
      </c>
      <c r="EP216" s="7">
        <v>6.9199999999999998E-2</v>
      </c>
      <c r="EQ216" s="7">
        <v>6.7799999999999999E-2</v>
      </c>
      <c r="ER216" s="7">
        <v>6.6400000000000001E-2</v>
      </c>
      <c r="ES216" s="7">
        <v>6.5000000000000002E-2</v>
      </c>
      <c r="ET216" s="7">
        <v>6.3600000000000004E-2</v>
      </c>
      <c r="EU216" s="7">
        <v>6.2199999999999998E-2</v>
      </c>
      <c r="EV216" s="7">
        <v>6.08E-2</v>
      </c>
      <c r="EW216" s="7">
        <v>5.9499999999999997E-2</v>
      </c>
      <c r="EX216" s="7">
        <v>5.8099999999999999E-2</v>
      </c>
      <c r="EY216" s="7">
        <v>5.6800000000000003E-2</v>
      </c>
      <c r="EZ216" s="7">
        <v>5.5399999999999998E-2</v>
      </c>
      <c r="FA216" s="7">
        <v>5.4100000000000002E-2</v>
      </c>
      <c r="FB216" s="7">
        <v>5.28E-2</v>
      </c>
      <c r="FC216" s="7">
        <v>5.1499999999999997E-2</v>
      </c>
      <c r="FE216" s="50">
        <f t="shared" ca="1" si="26"/>
        <v>9.3960293667788325E-2</v>
      </c>
      <c r="FF216" s="50">
        <f t="shared" ca="1" si="27"/>
        <v>9.4674751682153169E-2</v>
      </c>
      <c r="FG216" s="50">
        <f t="shared" ca="1" si="28"/>
        <v>9.5391006711409404E-2</v>
      </c>
      <c r="FH216" s="50">
        <f t="shared" ca="1" si="29"/>
        <v>9.6196375838926179E-2</v>
      </c>
      <c r="FI216" s="50"/>
      <c r="FJ216" s="50"/>
      <c r="FK216" s="50">
        <f t="shared" ca="1" si="25"/>
        <v>9.4674751682153169E-2</v>
      </c>
      <c r="FL216" s="50"/>
      <c r="FM216" s="50"/>
      <c r="FN216" s="50"/>
    </row>
    <row r="217" spans="48:170" hidden="1">
      <c r="AW217" s="112">
        <v>0.14099999999999999</v>
      </c>
      <c r="AX217" s="7">
        <v>0.21299999999999999</v>
      </c>
      <c r="AY217" s="7">
        <v>0.21149999999999999</v>
      </c>
      <c r="AZ217" s="7">
        <v>0.21</v>
      </c>
      <c r="BA217" s="7">
        <v>0.20860000000000001</v>
      </c>
      <c r="BB217" s="7">
        <v>0.2072</v>
      </c>
      <c r="BC217" s="7">
        <v>0.20580000000000001</v>
      </c>
      <c r="BD217" s="7">
        <v>0.2044</v>
      </c>
      <c r="BE217" s="7">
        <v>0.2031</v>
      </c>
      <c r="BF217" s="7">
        <v>0.20180000000000001</v>
      </c>
      <c r="BG217" s="7">
        <v>0.20050000000000001</v>
      </c>
      <c r="BH217" s="7">
        <v>0.1993</v>
      </c>
      <c r="BI217" s="7">
        <v>0.19750000000000001</v>
      </c>
      <c r="BJ217" s="7">
        <v>0.19520000000000001</v>
      </c>
      <c r="BK217" s="7">
        <v>0.19289999999999999</v>
      </c>
      <c r="BL217" s="7">
        <v>0.19070000000000001</v>
      </c>
      <c r="BM217" s="7">
        <v>0.1885</v>
      </c>
      <c r="BN217" s="7">
        <v>0.18640000000000001</v>
      </c>
      <c r="BO217" s="7">
        <v>0.18429999999999999</v>
      </c>
      <c r="BP217" s="7">
        <v>0.1822</v>
      </c>
      <c r="BQ217" s="7">
        <v>0.1802</v>
      </c>
      <c r="BR217" s="7">
        <v>0.1782</v>
      </c>
      <c r="BS217" s="7">
        <v>0.1762</v>
      </c>
      <c r="BT217" s="7">
        <v>0.17419999999999999</v>
      </c>
      <c r="BU217" s="7">
        <v>0.17230000000000001</v>
      </c>
      <c r="BV217" s="7">
        <v>0.1704</v>
      </c>
      <c r="BW217" s="7">
        <v>0.16850000000000001</v>
      </c>
      <c r="BX217" s="7">
        <v>0.16669999999999999</v>
      </c>
      <c r="BY217" s="7">
        <v>0.1648</v>
      </c>
      <c r="BZ217" s="7">
        <v>0.16300000000000001</v>
      </c>
      <c r="CA217" s="7">
        <v>0.16120000000000001</v>
      </c>
      <c r="CB217" s="7">
        <v>0.1595</v>
      </c>
      <c r="CC217" s="7">
        <v>0.15770000000000001</v>
      </c>
      <c r="CD217" s="7">
        <v>0.156</v>
      </c>
      <c r="CE217" s="7">
        <v>0.15429999999999999</v>
      </c>
      <c r="CF217" s="7">
        <v>0.15260000000000001</v>
      </c>
      <c r="CG217" s="7">
        <v>0.15090000000000001</v>
      </c>
      <c r="CH217" s="7">
        <v>0.14929999999999999</v>
      </c>
      <c r="CI217" s="7">
        <v>0.14760000000000001</v>
      </c>
      <c r="CJ217" s="7">
        <v>0.14599999999999999</v>
      </c>
      <c r="CK217" s="7">
        <v>0.1444</v>
      </c>
      <c r="CL217" s="7">
        <v>0.14269999999999999</v>
      </c>
      <c r="CM217" s="7">
        <v>0.1411</v>
      </c>
      <c r="CN217" s="7">
        <v>0.1396</v>
      </c>
      <c r="CO217" s="7">
        <v>0.13800000000000001</v>
      </c>
      <c r="CP217" s="7">
        <v>0.13639999999999999</v>
      </c>
      <c r="CQ217" s="7">
        <v>0.1348</v>
      </c>
      <c r="CR217" s="7">
        <v>0.1333</v>
      </c>
      <c r="CS217" s="7">
        <v>0.13170000000000001</v>
      </c>
      <c r="CT217" s="7">
        <v>0.13020000000000001</v>
      </c>
      <c r="CU217" s="7">
        <v>0.12859999999999999</v>
      </c>
      <c r="CV217" s="7">
        <v>0.12709999999999999</v>
      </c>
      <c r="CW217" s="7">
        <v>0.1255</v>
      </c>
      <c r="CX217" s="7">
        <v>0.124</v>
      </c>
      <c r="CY217" s="7">
        <v>0.12239999999999999</v>
      </c>
      <c r="CZ217" s="7">
        <v>0.12089999999999999</v>
      </c>
      <c r="DA217" s="7">
        <v>0.1193</v>
      </c>
      <c r="DB217" s="7">
        <v>0.1178</v>
      </c>
      <c r="DC217" s="7">
        <v>0.1162</v>
      </c>
      <c r="DD217" s="7">
        <v>0.1147</v>
      </c>
      <c r="DE217" s="7">
        <v>0.11310000000000001</v>
      </c>
      <c r="DF217" s="7">
        <v>0.1116</v>
      </c>
      <c r="DG217" s="7">
        <v>0.1101</v>
      </c>
      <c r="DH217" s="7">
        <v>0.10929999999999999</v>
      </c>
      <c r="DI217" s="7">
        <v>0.1084</v>
      </c>
      <c r="DJ217" s="7">
        <v>0.1075</v>
      </c>
      <c r="DK217" s="7">
        <v>0.1066</v>
      </c>
      <c r="DL217" s="7">
        <v>0.1057</v>
      </c>
      <c r="DM217" s="7">
        <v>0.1048</v>
      </c>
      <c r="DN217" s="7">
        <v>0.1038</v>
      </c>
      <c r="DO217" s="7">
        <v>0.1028</v>
      </c>
      <c r="DP217" s="7">
        <v>0.1018</v>
      </c>
      <c r="DQ217" s="7">
        <v>0.1008</v>
      </c>
      <c r="DR217" s="7">
        <v>9.9699999999999997E-2</v>
      </c>
      <c r="DS217" s="7">
        <v>9.8699999999999996E-2</v>
      </c>
      <c r="DT217" s="7">
        <v>9.7600000000000006E-2</v>
      </c>
      <c r="DU217" s="7">
        <v>9.6500000000000002E-2</v>
      </c>
      <c r="DV217" s="7">
        <v>9.5299999999999996E-2</v>
      </c>
      <c r="DW217" s="7">
        <v>9.4200000000000006E-2</v>
      </c>
      <c r="DX217" s="7">
        <v>9.2999999999999999E-2</v>
      </c>
      <c r="DY217" s="7">
        <v>9.1800000000000007E-2</v>
      </c>
      <c r="DZ217" s="7">
        <v>9.06E-2</v>
      </c>
      <c r="EA217" s="7">
        <v>8.9399999999999993E-2</v>
      </c>
      <c r="EB217" s="7">
        <v>8.8099999999999998E-2</v>
      </c>
      <c r="EC217" s="7">
        <v>8.6800000000000002E-2</v>
      </c>
      <c r="ED217" s="7">
        <v>8.5500000000000007E-2</v>
      </c>
      <c r="EE217" s="7">
        <v>8.4199999999999997E-2</v>
      </c>
      <c r="EF217" s="7">
        <v>8.2900000000000001E-2</v>
      </c>
      <c r="EG217" s="7">
        <v>8.1600000000000006E-2</v>
      </c>
      <c r="EH217" s="7">
        <v>8.0199999999999994E-2</v>
      </c>
      <c r="EI217" s="7">
        <v>7.8899999999999998E-2</v>
      </c>
      <c r="EJ217" s="7">
        <v>7.7499999999999999E-2</v>
      </c>
      <c r="EK217" s="7">
        <v>7.6100000000000001E-2</v>
      </c>
      <c r="EL217" s="7">
        <v>7.4700000000000003E-2</v>
      </c>
      <c r="EM217" s="7">
        <v>7.3400000000000007E-2</v>
      </c>
      <c r="EN217" s="7">
        <v>7.1999999999999995E-2</v>
      </c>
      <c r="EO217" s="7">
        <v>7.0599999999999996E-2</v>
      </c>
      <c r="EP217" s="7">
        <v>6.9199999999999998E-2</v>
      </c>
      <c r="EQ217" s="7">
        <v>6.7799999999999999E-2</v>
      </c>
      <c r="ER217" s="7">
        <v>6.6400000000000001E-2</v>
      </c>
      <c r="ES217" s="7">
        <v>6.5000000000000002E-2</v>
      </c>
      <c r="ET217" s="7">
        <v>6.3600000000000004E-2</v>
      </c>
      <c r="EU217" s="7">
        <v>6.2199999999999998E-2</v>
      </c>
      <c r="EV217" s="7">
        <v>6.08E-2</v>
      </c>
      <c r="EW217" s="7">
        <v>5.9499999999999997E-2</v>
      </c>
      <c r="EX217" s="7">
        <v>5.8099999999999999E-2</v>
      </c>
      <c r="EY217" s="7">
        <v>5.6800000000000003E-2</v>
      </c>
      <c r="EZ217" s="7">
        <v>5.5399999999999998E-2</v>
      </c>
      <c r="FA217" s="7">
        <v>5.4100000000000002E-2</v>
      </c>
      <c r="FB217" s="7">
        <v>5.28E-2</v>
      </c>
      <c r="FC217" s="7">
        <v>5.1499999999999997E-2</v>
      </c>
      <c r="FE217" s="50">
        <f t="shared" ca="1" si="26"/>
        <v>9.3960293667788325E-2</v>
      </c>
      <c r="FF217" s="50">
        <f t="shared" ca="1" si="27"/>
        <v>9.4674751682153169E-2</v>
      </c>
      <c r="FG217" s="50">
        <f t="shared" ca="1" si="28"/>
        <v>9.5391006711409404E-2</v>
      </c>
      <c r="FH217" s="50">
        <f t="shared" ca="1" si="29"/>
        <v>9.6196375838926179E-2</v>
      </c>
      <c r="FI217" s="50"/>
      <c r="FJ217" s="50"/>
      <c r="FK217" s="50">
        <f t="shared" ca="1" si="25"/>
        <v>9.4674751682153169E-2</v>
      </c>
      <c r="FL217" s="50"/>
      <c r="FM217" s="50"/>
      <c r="FN217" s="50"/>
    </row>
    <row r="218" spans="48:170" hidden="1">
      <c r="AW218" s="112">
        <v>0.151</v>
      </c>
      <c r="AX218" s="7">
        <v>0.21299999999999999</v>
      </c>
      <c r="AY218" s="7">
        <v>0.21149999999999999</v>
      </c>
      <c r="AZ218" s="7">
        <v>0.21</v>
      </c>
      <c r="BA218" s="7">
        <v>0.20860000000000001</v>
      </c>
      <c r="BB218" s="7">
        <v>0.2072</v>
      </c>
      <c r="BC218" s="7">
        <v>0.20580000000000001</v>
      </c>
      <c r="BD218" s="7">
        <v>0.2044</v>
      </c>
      <c r="BE218" s="7">
        <v>0.2031</v>
      </c>
      <c r="BF218" s="7">
        <v>0.20180000000000001</v>
      </c>
      <c r="BG218" s="7">
        <v>0.20050000000000001</v>
      </c>
      <c r="BH218" s="7">
        <v>0.1993</v>
      </c>
      <c r="BI218" s="7">
        <v>0.19800000000000001</v>
      </c>
      <c r="BJ218" s="7">
        <v>0.19650000000000001</v>
      </c>
      <c r="BK218" s="7">
        <v>0.1943</v>
      </c>
      <c r="BL218" s="7">
        <v>0.192</v>
      </c>
      <c r="BM218" s="7">
        <v>0.18990000000000001</v>
      </c>
      <c r="BN218" s="7">
        <v>0.18770000000000001</v>
      </c>
      <c r="BO218" s="7">
        <v>0.18559999999999999</v>
      </c>
      <c r="BP218" s="7">
        <v>0.1835</v>
      </c>
      <c r="BQ218" s="7">
        <v>0.18149999999999999</v>
      </c>
      <c r="BR218" s="7">
        <v>0.1794</v>
      </c>
      <c r="BS218" s="7">
        <v>0.1774</v>
      </c>
      <c r="BT218" s="7">
        <v>0.17549999999999999</v>
      </c>
      <c r="BU218" s="7">
        <v>0.1736</v>
      </c>
      <c r="BV218" s="7">
        <v>0.1716</v>
      </c>
      <c r="BW218" s="7">
        <v>0.16980000000000001</v>
      </c>
      <c r="BX218" s="7">
        <v>0.16789999999999999</v>
      </c>
      <c r="BY218" s="7">
        <v>0.1661</v>
      </c>
      <c r="BZ218" s="7">
        <v>0.1643</v>
      </c>
      <c r="CA218" s="7">
        <v>0.16250000000000001</v>
      </c>
      <c r="CB218" s="7">
        <v>0.16070000000000001</v>
      </c>
      <c r="CC218" s="7">
        <v>0.159</v>
      </c>
      <c r="CD218" s="7">
        <v>0.15720000000000001</v>
      </c>
      <c r="CE218" s="7">
        <v>0.1555</v>
      </c>
      <c r="CF218" s="7">
        <v>0.15379999999999999</v>
      </c>
      <c r="CG218" s="7">
        <v>0.15210000000000001</v>
      </c>
      <c r="CH218" s="7">
        <v>0.15049999999999999</v>
      </c>
      <c r="CI218" s="7">
        <v>0.14879999999999999</v>
      </c>
      <c r="CJ218" s="7">
        <v>0.1472</v>
      </c>
      <c r="CK218" s="7">
        <v>0.14549999999999999</v>
      </c>
      <c r="CL218" s="7">
        <v>0.1439</v>
      </c>
      <c r="CM218" s="7">
        <v>0.14230000000000001</v>
      </c>
      <c r="CN218" s="7">
        <v>0.14069999999999999</v>
      </c>
      <c r="CO218" s="7">
        <v>0.1391</v>
      </c>
      <c r="CP218" s="7">
        <v>0.1376</v>
      </c>
      <c r="CQ218" s="7">
        <v>0.13600000000000001</v>
      </c>
      <c r="CR218" s="7">
        <v>0.13439999999999999</v>
      </c>
      <c r="CS218" s="7">
        <v>0.13289999999999999</v>
      </c>
      <c r="CT218" s="7">
        <v>0.1313</v>
      </c>
      <c r="CU218" s="7">
        <v>0.1298</v>
      </c>
      <c r="CV218" s="7">
        <v>0.12820000000000001</v>
      </c>
      <c r="CW218" s="7">
        <v>0.12670000000000001</v>
      </c>
      <c r="CX218" s="7">
        <v>0.12509999999999999</v>
      </c>
      <c r="CY218" s="7">
        <v>0.1236</v>
      </c>
      <c r="CZ218" s="7">
        <v>0.122</v>
      </c>
      <c r="DA218" s="7">
        <v>0.1205</v>
      </c>
      <c r="DB218" s="7">
        <v>0.11890000000000001</v>
      </c>
      <c r="DC218" s="7">
        <v>0.1174</v>
      </c>
      <c r="DD218" s="7">
        <v>0.1158</v>
      </c>
      <c r="DE218" s="7">
        <v>0.1142</v>
      </c>
      <c r="DF218" s="7">
        <v>0.11269999999999999</v>
      </c>
      <c r="DG218" s="7">
        <v>0.1111</v>
      </c>
      <c r="DH218" s="7">
        <v>0.1095</v>
      </c>
      <c r="DI218" s="7">
        <v>0.1084</v>
      </c>
      <c r="DJ218" s="7">
        <v>0.1075</v>
      </c>
      <c r="DK218" s="7">
        <v>0.1066</v>
      </c>
      <c r="DL218" s="7">
        <v>0.1057</v>
      </c>
      <c r="DM218" s="7">
        <v>0.1048</v>
      </c>
      <c r="DN218" s="7">
        <v>0.1038</v>
      </c>
      <c r="DO218" s="7">
        <v>0.1028</v>
      </c>
      <c r="DP218" s="7">
        <v>0.1018</v>
      </c>
      <c r="DQ218" s="7">
        <v>0.1008</v>
      </c>
      <c r="DR218" s="7">
        <v>9.9699999999999997E-2</v>
      </c>
      <c r="DS218" s="7">
        <v>9.8699999999999996E-2</v>
      </c>
      <c r="DT218" s="7">
        <v>9.7600000000000006E-2</v>
      </c>
      <c r="DU218" s="7">
        <v>9.6500000000000002E-2</v>
      </c>
      <c r="DV218" s="7">
        <v>9.5299999999999996E-2</v>
      </c>
      <c r="DW218" s="7">
        <v>9.4200000000000006E-2</v>
      </c>
      <c r="DX218" s="7">
        <v>9.2999999999999999E-2</v>
      </c>
      <c r="DY218" s="7">
        <v>9.1800000000000007E-2</v>
      </c>
      <c r="DZ218" s="7">
        <v>9.06E-2</v>
      </c>
      <c r="EA218" s="7">
        <v>8.9399999999999993E-2</v>
      </c>
      <c r="EB218" s="7">
        <v>8.8099999999999998E-2</v>
      </c>
      <c r="EC218" s="7">
        <v>8.6800000000000002E-2</v>
      </c>
      <c r="ED218" s="7">
        <v>8.5500000000000007E-2</v>
      </c>
      <c r="EE218" s="7">
        <v>8.4199999999999997E-2</v>
      </c>
      <c r="EF218" s="7">
        <v>8.2900000000000001E-2</v>
      </c>
      <c r="EG218" s="7">
        <v>8.1600000000000006E-2</v>
      </c>
      <c r="EH218" s="7">
        <v>8.0199999999999994E-2</v>
      </c>
      <c r="EI218" s="7">
        <v>7.8899999999999998E-2</v>
      </c>
      <c r="EJ218" s="7">
        <v>7.7499999999999999E-2</v>
      </c>
      <c r="EK218" s="7">
        <v>7.6100000000000001E-2</v>
      </c>
      <c r="EL218" s="7">
        <v>7.4700000000000003E-2</v>
      </c>
      <c r="EM218" s="7">
        <v>7.3400000000000007E-2</v>
      </c>
      <c r="EN218" s="7">
        <v>7.1999999999999995E-2</v>
      </c>
      <c r="EO218" s="7">
        <v>7.0599999999999996E-2</v>
      </c>
      <c r="EP218" s="7">
        <v>6.9199999999999998E-2</v>
      </c>
      <c r="EQ218" s="7">
        <v>6.7799999999999999E-2</v>
      </c>
      <c r="ER218" s="7">
        <v>6.6400000000000001E-2</v>
      </c>
      <c r="ES218" s="7">
        <v>6.5000000000000002E-2</v>
      </c>
      <c r="ET218" s="7">
        <v>6.3600000000000004E-2</v>
      </c>
      <c r="EU218" s="7">
        <v>6.2199999999999998E-2</v>
      </c>
      <c r="EV218" s="7">
        <v>6.08E-2</v>
      </c>
      <c r="EW218" s="7">
        <v>5.9499999999999997E-2</v>
      </c>
      <c r="EX218" s="7">
        <v>5.8099999999999999E-2</v>
      </c>
      <c r="EY218" s="7">
        <v>5.6800000000000003E-2</v>
      </c>
      <c r="EZ218" s="7">
        <v>5.5399999999999998E-2</v>
      </c>
      <c r="FA218" s="7">
        <v>5.4100000000000002E-2</v>
      </c>
      <c r="FB218" s="7">
        <v>5.28E-2</v>
      </c>
      <c r="FC218" s="7">
        <v>5.1499999999999997E-2</v>
      </c>
      <c r="FE218" s="50">
        <f t="shared" ca="1" si="26"/>
        <v>9.3960293667788325E-2</v>
      </c>
      <c r="FF218" s="50">
        <f t="shared" ca="1" si="27"/>
        <v>9.4674751682153169E-2</v>
      </c>
      <c r="FG218" s="50">
        <f t="shared" ca="1" si="28"/>
        <v>9.5391006711409404E-2</v>
      </c>
      <c r="FH218" s="50">
        <f t="shared" ca="1" si="29"/>
        <v>9.6196375838926179E-2</v>
      </c>
      <c r="FI218" s="50"/>
      <c r="FJ218" s="50"/>
      <c r="FK218" s="50">
        <f t="shared" ca="1" si="25"/>
        <v>9.4674751682153169E-2</v>
      </c>
      <c r="FL218" s="50"/>
      <c r="FM218" s="50"/>
      <c r="FN218" s="50"/>
    </row>
    <row r="219" spans="48:170" hidden="1">
      <c r="AW219" s="112">
        <v>0.16200000000000001</v>
      </c>
      <c r="AX219" s="7">
        <v>0.21299999999999999</v>
      </c>
      <c r="AY219" s="7">
        <v>0.21149999999999999</v>
      </c>
      <c r="AZ219" s="7">
        <v>0.21</v>
      </c>
      <c r="BA219" s="7">
        <v>0.20860000000000001</v>
      </c>
      <c r="BB219" s="7">
        <v>0.2072</v>
      </c>
      <c r="BC219" s="7">
        <v>0.20580000000000001</v>
      </c>
      <c r="BD219" s="7">
        <v>0.2044</v>
      </c>
      <c r="BE219" s="7">
        <v>0.2031</v>
      </c>
      <c r="BF219" s="7">
        <v>0.20180000000000001</v>
      </c>
      <c r="BG219" s="7">
        <v>0.20050000000000001</v>
      </c>
      <c r="BH219" s="7">
        <v>0.1993</v>
      </c>
      <c r="BI219" s="7">
        <v>0.19800000000000001</v>
      </c>
      <c r="BJ219" s="7">
        <v>0.1968</v>
      </c>
      <c r="BK219" s="7">
        <v>0.1956</v>
      </c>
      <c r="BL219" s="7">
        <v>0.1933</v>
      </c>
      <c r="BM219" s="7">
        <v>0.19109999999999999</v>
      </c>
      <c r="BN219" s="7">
        <v>0.189</v>
      </c>
      <c r="BO219" s="7">
        <v>0.18690000000000001</v>
      </c>
      <c r="BP219" s="7">
        <v>0.18479999999999999</v>
      </c>
      <c r="BQ219" s="7">
        <v>0.1827</v>
      </c>
      <c r="BR219" s="7">
        <v>0.1807</v>
      </c>
      <c r="BS219" s="7">
        <v>0.1787</v>
      </c>
      <c r="BT219" s="7">
        <v>0.1767</v>
      </c>
      <c r="BU219" s="7">
        <v>0.17480000000000001</v>
      </c>
      <c r="BV219" s="7">
        <v>0.1729</v>
      </c>
      <c r="BW219" s="7">
        <v>0.17100000000000001</v>
      </c>
      <c r="BX219" s="7">
        <v>0.1691</v>
      </c>
      <c r="BY219" s="7">
        <v>0.1673</v>
      </c>
      <c r="BZ219" s="7">
        <v>0.16550000000000001</v>
      </c>
      <c r="CA219" s="7">
        <v>0.16370000000000001</v>
      </c>
      <c r="CB219" s="7">
        <v>0.16189999999999999</v>
      </c>
      <c r="CC219" s="7">
        <v>0.16020000000000001</v>
      </c>
      <c r="CD219" s="7">
        <v>0.15840000000000001</v>
      </c>
      <c r="CE219" s="7">
        <v>0.15670000000000001</v>
      </c>
      <c r="CF219" s="7">
        <v>0.155</v>
      </c>
      <c r="CG219" s="7">
        <v>0.15329999999999999</v>
      </c>
      <c r="CH219" s="7">
        <v>0.1517</v>
      </c>
      <c r="CI219" s="7">
        <v>0.15</v>
      </c>
      <c r="CJ219" s="7">
        <v>0.1484</v>
      </c>
      <c r="CK219" s="7">
        <v>0.1467</v>
      </c>
      <c r="CL219" s="7">
        <v>0.14510000000000001</v>
      </c>
      <c r="CM219" s="7">
        <v>0.14349999999999999</v>
      </c>
      <c r="CN219" s="7">
        <v>0.1419</v>
      </c>
      <c r="CO219" s="7">
        <v>0.14030000000000001</v>
      </c>
      <c r="CP219" s="7">
        <v>0.13869999999999999</v>
      </c>
      <c r="CQ219" s="7">
        <v>0.13719999999999999</v>
      </c>
      <c r="CR219" s="7">
        <v>0.1356</v>
      </c>
      <c r="CS219" s="7">
        <v>0.13400000000000001</v>
      </c>
      <c r="CT219" s="7">
        <v>0.13250000000000001</v>
      </c>
      <c r="CU219" s="7">
        <v>0.13089999999999999</v>
      </c>
      <c r="CV219" s="7">
        <v>0.1293</v>
      </c>
      <c r="CW219" s="7">
        <v>0.1278</v>
      </c>
      <c r="CX219" s="7">
        <v>0.12620000000000001</v>
      </c>
      <c r="CY219" s="7">
        <v>0.12470000000000001</v>
      </c>
      <c r="CZ219" s="7">
        <v>0.1231</v>
      </c>
      <c r="DA219" s="7">
        <v>0.1216</v>
      </c>
      <c r="DB219" s="7">
        <v>0.12</v>
      </c>
      <c r="DC219" s="7">
        <v>0.11849999999999999</v>
      </c>
      <c r="DD219" s="7">
        <v>0.1169</v>
      </c>
      <c r="DE219" s="7">
        <v>0.1153</v>
      </c>
      <c r="DF219" s="7">
        <v>0.1138</v>
      </c>
      <c r="DG219" s="7">
        <v>0.11219999999999999</v>
      </c>
      <c r="DH219" s="7">
        <v>0.1106</v>
      </c>
      <c r="DI219" s="7">
        <v>0.109</v>
      </c>
      <c r="DJ219" s="7">
        <v>0.1075</v>
      </c>
      <c r="DK219" s="7">
        <v>0.1066</v>
      </c>
      <c r="DL219" s="7">
        <v>0.1057</v>
      </c>
      <c r="DM219" s="7">
        <v>0.1048</v>
      </c>
      <c r="DN219" s="7">
        <v>0.1038</v>
      </c>
      <c r="DO219" s="7">
        <v>0.1028</v>
      </c>
      <c r="DP219" s="7">
        <v>0.1018</v>
      </c>
      <c r="DQ219" s="7">
        <v>0.1008</v>
      </c>
      <c r="DR219" s="7">
        <v>9.9699999999999997E-2</v>
      </c>
      <c r="DS219" s="7">
        <v>9.8699999999999996E-2</v>
      </c>
      <c r="DT219" s="7">
        <v>9.7600000000000006E-2</v>
      </c>
      <c r="DU219" s="7">
        <v>9.6500000000000002E-2</v>
      </c>
      <c r="DV219" s="7">
        <v>9.5299999999999996E-2</v>
      </c>
      <c r="DW219" s="7">
        <v>9.4200000000000006E-2</v>
      </c>
      <c r="DX219" s="7">
        <v>9.2999999999999999E-2</v>
      </c>
      <c r="DY219" s="7">
        <v>9.1800000000000007E-2</v>
      </c>
      <c r="DZ219" s="7">
        <v>9.06E-2</v>
      </c>
      <c r="EA219" s="7">
        <v>8.9399999999999993E-2</v>
      </c>
      <c r="EB219" s="7">
        <v>8.8099999999999998E-2</v>
      </c>
      <c r="EC219" s="7">
        <v>8.6800000000000002E-2</v>
      </c>
      <c r="ED219" s="7">
        <v>8.5500000000000007E-2</v>
      </c>
      <c r="EE219" s="7">
        <v>8.4199999999999997E-2</v>
      </c>
      <c r="EF219" s="7">
        <v>8.2900000000000001E-2</v>
      </c>
      <c r="EG219" s="7">
        <v>8.1600000000000006E-2</v>
      </c>
      <c r="EH219" s="7">
        <v>8.0199999999999994E-2</v>
      </c>
      <c r="EI219" s="7">
        <v>7.8899999999999998E-2</v>
      </c>
      <c r="EJ219" s="7">
        <v>7.7499999999999999E-2</v>
      </c>
      <c r="EK219" s="7">
        <v>7.6100000000000001E-2</v>
      </c>
      <c r="EL219" s="7">
        <v>7.4700000000000003E-2</v>
      </c>
      <c r="EM219" s="7">
        <v>7.3400000000000007E-2</v>
      </c>
      <c r="EN219" s="7">
        <v>7.1999999999999995E-2</v>
      </c>
      <c r="EO219" s="7">
        <v>7.0599999999999996E-2</v>
      </c>
      <c r="EP219" s="7">
        <v>6.9199999999999998E-2</v>
      </c>
      <c r="EQ219" s="7">
        <v>6.7799999999999999E-2</v>
      </c>
      <c r="ER219" s="7">
        <v>6.6400000000000001E-2</v>
      </c>
      <c r="ES219" s="7">
        <v>6.5000000000000002E-2</v>
      </c>
      <c r="ET219" s="7">
        <v>6.3600000000000004E-2</v>
      </c>
      <c r="EU219" s="7">
        <v>6.2199999999999998E-2</v>
      </c>
      <c r="EV219" s="7">
        <v>6.08E-2</v>
      </c>
      <c r="EW219" s="7">
        <v>5.9499999999999997E-2</v>
      </c>
      <c r="EX219" s="7">
        <v>5.8099999999999999E-2</v>
      </c>
      <c r="EY219" s="7">
        <v>5.6800000000000003E-2</v>
      </c>
      <c r="EZ219" s="7">
        <v>5.5399999999999998E-2</v>
      </c>
      <c r="FA219" s="7">
        <v>5.4100000000000002E-2</v>
      </c>
      <c r="FB219" s="7">
        <v>5.28E-2</v>
      </c>
      <c r="FC219" s="7">
        <v>5.1499999999999997E-2</v>
      </c>
      <c r="FE219" s="50">
        <f t="shared" ca="1" si="26"/>
        <v>9.3960293667788325E-2</v>
      </c>
      <c r="FF219" s="50">
        <f t="shared" ca="1" si="27"/>
        <v>9.4674751682153169E-2</v>
      </c>
      <c r="FG219" s="50">
        <f t="shared" ca="1" si="28"/>
        <v>9.5391006711409404E-2</v>
      </c>
      <c r="FH219" s="50">
        <f t="shared" ca="1" si="29"/>
        <v>9.6196375838926179E-2</v>
      </c>
      <c r="FI219" s="50"/>
      <c r="FJ219" s="50"/>
      <c r="FK219" s="50">
        <f t="shared" ca="1" si="25"/>
        <v>9.4674751682153169E-2</v>
      </c>
      <c r="FL219" s="50"/>
      <c r="FM219" s="50"/>
      <c r="FN219" s="50"/>
    </row>
    <row r="220" spans="48:170" hidden="1">
      <c r="AW220" s="112">
        <v>0.17399999999999999</v>
      </c>
      <c r="AX220" s="7">
        <v>0.21299999999999999</v>
      </c>
      <c r="AY220" s="7">
        <v>0.21149999999999999</v>
      </c>
      <c r="AZ220" s="7">
        <v>0.21</v>
      </c>
      <c r="BA220" s="7">
        <v>0.20860000000000001</v>
      </c>
      <c r="BB220" s="7">
        <v>0.2072</v>
      </c>
      <c r="BC220" s="7">
        <v>0.20580000000000001</v>
      </c>
      <c r="BD220" s="7">
        <v>0.2044</v>
      </c>
      <c r="BE220" s="7">
        <v>0.2031</v>
      </c>
      <c r="BF220" s="7">
        <v>0.20180000000000001</v>
      </c>
      <c r="BG220" s="7">
        <v>0.20050000000000001</v>
      </c>
      <c r="BH220" s="7">
        <v>0.1993</v>
      </c>
      <c r="BI220" s="7">
        <v>0.19800000000000001</v>
      </c>
      <c r="BJ220" s="7">
        <v>0.1968</v>
      </c>
      <c r="BK220" s="7">
        <v>0.1956</v>
      </c>
      <c r="BL220" s="7">
        <v>0.19439999999999999</v>
      </c>
      <c r="BM220" s="7">
        <v>0.19239999999999999</v>
      </c>
      <c r="BN220" s="7">
        <v>0.19020000000000001</v>
      </c>
      <c r="BO220" s="7">
        <v>0.18809999999999999</v>
      </c>
      <c r="BP220" s="7">
        <v>0.186</v>
      </c>
      <c r="BQ220" s="7">
        <v>0.184</v>
      </c>
      <c r="BR220" s="7">
        <v>0.18190000000000001</v>
      </c>
      <c r="BS220" s="7">
        <v>0.1799</v>
      </c>
      <c r="BT220" s="7">
        <v>0.17799999999999999</v>
      </c>
      <c r="BU220" s="7">
        <v>0.17599999999999999</v>
      </c>
      <c r="BV220" s="7">
        <v>0.1741</v>
      </c>
      <c r="BW220" s="7">
        <v>0.17219999999999999</v>
      </c>
      <c r="BX220" s="7">
        <v>0.1704</v>
      </c>
      <c r="BY220" s="7">
        <v>0.16850000000000001</v>
      </c>
      <c r="BZ220" s="7">
        <v>0.16669999999999999</v>
      </c>
      <c r="CA220" s="7">
        <v>0.16489999999999999</v>
      </c>
      <c r="CB220" s="7">
        <v>0.16309999999999999</v>
      </c>
      <c r="CC220" s="7">
        <v>0.16139999999999999</v>
      </c>
      <c r="CD220" s="7">
        <v>0.15959999999999999</v>
      </c>
      <c r="CE220" s="7">
        <v>0.15790000000000001</v>
      </c>
      <c r="CF220" s="7">
        <v>0.15620000000000001</v>
      </c>
      <c r="CG220" s="7">
        <v>0.1545</v>
      </c>
      <c r="CH220" s="7">
        <v>0.15279999999999999</v>
      </c>
      <c r="CI220" s="7">
        <v>0.1512</v>
      </c>
      <c r="CJ220" s="7">
        <v>0.14949999999999999</v>
      </c>
      <c r="CK220" s="7">
        <v>0.1479</v>
      </c>
      <c r="CL220" s="7">
        <v>0.14630000000000001</v>
      </c>
      <c r="CM220" s="7">
        <v>0.1447</v>
      </c>
      <c r="CN220" s="7">
        <v>0.1431</v>
      </c>
      <c r="CO220" s="7">
        <v>0.14149999999999999</v>
      </c>
      <c r="CP220" s="7">
        <v>0.1399</v>
      </c>
      <c r="CQ220" s="7">
        <v>0.13830000000000001</v>
      </c>
      <c r="CR220" s="7">
        <v>0.13669999999999999</v>
      </c>
      <c r="CS220" s="7">
        <v>0.13519999999999999</v>
      </c>
      <c r="CT220" s="7">
        <v>0.1336</v>
      </c>
      <c r="CU220" s="7">
        <v>0.13200000000000001</v>
      </c>
      <c r="CV220" s="7">
        <v>0.1305</v>
      </c>
      <c r="CW220" s="7">
        <v>0.12889999999999999</v>
      </c>
      <c r="CX220" s="7">
        <v>0.12740000000000001</v>
      </c>
      <c r="CY220" s="7">
        <v>0.1258</v>
      </c>
      <c r="CZ220" s="7">
        <v>0.1242</v>
      </c>
      <c r="DA220" s="7">
        <v>0.1227</v>
      </c>
      <c r="DB220" s="7">
        <v>0.1211</v>
      </c>
      <c r="DC220" s="7">
        <v>0.1196</v>
      </c>
      <c r="DD220" s="7">
        <v>0.11799999999999999</v>
      </c>
      <c r="DE220" s="7">
        <v>0.1164</v>
      </c>
      <c r="DF220" s="7">
        <v>0.1149</v>
      </c>
      <c r="DG220" s="7">
        <v>0.1133</v>
      </c>
      <c r="DH220" s="7">
        <v>0.11169999999999999</v>
      </c>
      <c r="DI220" s="7">
        <v>0.1101</v>
      </c>
      <c r="DJ220" s="7">
        <v>0.1085</v>
      </c>
      <c r="DK220" s="7">
        <v>0.1069</v>
      </c>
      <c r="DL220" s="7">
        <v>0.1057</v>
      </c>
      <c r="DM220" s="7">
        <v>0.1048</v>
      </c>
      <c r="DN220" s="7">
        <v>0.1038</v>
      </c>
      <c r="DO220" s="7">
        <v>0.1028</v>
      </c>
      <c r="DP220" s="7">
        <v>0.1018</v>
      </c>
      <c r="DQ220" s="7">
        <v>0.1008</v>
      </c>
      <c r="DR220" s="7">
        <v>9.9699999999999997E-2</v>
      </c>
      <c r="DS220" s="7">
        <v>9.8699999999999996E-2</v>
      </c>
      <c r="DT220" s="7">
        <v>9.7600000000000006E-2</v>
      </c>
      <c r="DU220" s="7">
        <v>9.6500000000000002E-2</v>
      </c>
      <c r="DV220" s="7">
        <v>9.5299999999999996E-2</v>
      </c>
      <c r="DW220" s="7">
        <v>9.4200000000000006E-2</v>
      </c>
      <c r="DX220" s="7">
        <v>9.2999999999999999E-2</v>
      </c>
      <c r="DY220" s="7">
        <v>9.1800000000000007E-2</v>
      </c>
      <c r="DZ220" s="7">
        <v>9.06E-2</v>
      </c>
      <c r="EA220" s="7">
        <v>8.9399999999999993E-2</v>
      </c>
      <c r="EB220" s="7">
        <v>8.8099999999999998E-2</v>
      </c>
      <c r="EC220" s="7">
        <v>8.6800000000000002E-2</v>
      </c>
      <c r="ED220" s="7">
        <v>8.5500000000000007E-2</v>
      </c>
      <c r="EE220" s="7">
        <v>8.4199999999999997E-2</v>
      </c>
      <c r="EF220" s="7">
        <v>8.2900000000000001E-2</v>
      </c>
      <c r="EG220" s="7">
        <v>8.1600000000000006E-2</v>
      </c>
      <c r="EH220" s="7">
        <v>8.0199999999999994E-2</v>
      </c>
      <c r="EI220" s="7">
        <v>7.8899999999999998E-2</v>
      </c>
      <c r="EJ220" s="7">
        <v>7.7499999999999999E-2</v>
      </c>
      <c r="EK220" s="7">
        <v>7.6100000000000001E-2</v>
      </c>
      <c r="EL220" s="7">
        <v>7.4700000000000003E-2</v>
      </c>
      <c r="EM220" s="7">
        <v>7.3400000000000007E-2</v>
      </c>
      <c r="EN220" s="7">
        <v>7.1999999999999995E-2</v>
      </c>
      <c r="EO220" s="7">
        <v>7.0599999999999996E-2</v>
      </c>
      <c r="EP220" s="7">
        <v>6.9199999999999998E-2</v>
      </c>
      <c r="EQ220" s="7">
        <v>6.7799999999999999E-2</v>
      </c>
      <c r="ER220" s="7">
        <v>6.6400000000000001E-2</v>
      </c>
      <c r="ES220" s="7">
        <v>6.5000000000000002E-2</v>
      </c>
      <c r="ET220" s="7">
        <v>6.3600000000000004E-2</v>
      </c>
      <c r="EU220" s="7">
        <v>6.2199999999999998E-2</v>
      </c>
      <c r="EV220" s="7">
        <v>6.08E-2</v>
      </c>
      <c r="EW220" s="7">
        <v>5.9499999999999997E-2</v>
      </c>
      <c r="EX220" s="7">
        <v>5.8099999999999999E-2</v>
      </c>
      <c r="EY220" s="7">
        <v>5.6800000000000003E-2</v>
      </c>
      <c r="EZ220" s="7">
        <v>5.5399999999999998E-2</v>
      </c>
      <c r="FA220" s="7">
        <v>5.4100000000000002E-2</v>
      </c>
      <c r="FB220" s="7">
        <v>5.28E-2</v>
      </c>
      <c r="FC220" s="7">
        <v>5.1499999999999997E-2</v>
      </c>
      <c r="FE220" s="50">
        <f t="shared" ca="1" si="26"/>
        <v>9.3960293667788325E-2</v>
      </c>
      <c r="FF220" s="50">
        <f t="shared" ca="1" si="27"/>
        <v>9.4674751682153169E-2</v>
      </c>
      <c r="FG220" s="50">
        <f t="shared" ca="1" si="28"/>
        <v>9.5391006711409404E-2</v>
      </c>
      <c r="FH220" s="50">
        <f t="shared" ca="1" si="29"/>
        <v>9.6196375838926179E-2</v>
      </c>
      <c r="FI220" s="50"/>
      <c r="FJ220" s="50"/>
      <c r="FK220" s="50">
        <f t="shared" ca="1" si="25"/>
        <v>9.4674751682153169E-2</v>
      </c>
      <c r="FL220" s="50"/>
      <c r="FM220" s="50"/>
      <c r="FN220" s="50"/>
    </row>
    <row r="221" spans="48:170" hidden="1">
      <c r="AW221" s="112">
        <v>0.186</v>
      </c>
      <c r="AX221" s="7">
        <v>0.21299999999999999</v>
      </c>
      <c r="AY221" s="7">
        <v>0.21149999999999999</v>
      </c>
      <c r="AZ221" s="7">
        <v>0.21</v>
      </c>
      <c r="BA221" s="7">
        <v>0.20860000000000001</v>
      </c>
      <c r="BB221" s="7">
        <v>0.2072</v>
      </c>
      <c r="BC221" s="7">
        <v>0.20580000000000001</v>
      </c>
      <c r="BD221" s="7">
        <v>0.2044</v>
      </c>
      <c r="BE221" s="7">
        <v>0.2031</v>
      </c>
      <c r="BF221" s="7">
        <v>0.20180000000000001</v>
      </c>
      <c r="BG221" s="7">
        <v>0.20050000000000001</v>
      </c>
      <c r="BH221" s="7">
        <v>0.1993</v>
      </c>
      <c r="BI221" s="7">
        <v>0.19800000000000001</v>
      </c>
      <c r="BJ221" s="7">
        <v>0.1968</v>
      </c>
      <c r="BK221" s="7">
        <v>0.1956</v>
      </c>
      <c r="BL221" s="7">
        <v>0.19439999999999999</v>
      </c>
      <c r="BM221" s="7">
        <v>0.1933</v>
      </c>
      <c r="BN221" s="7">
        <v>0.1915</v>
      </c>
      <c r="BO221" s="7">
        <v>0.18940000000000001</v>
      </c>
      <c r="BP221" s="7">
        <v>0.18729999999999999</v>
      </c>
      <c r="BQ221" s="7">
        <v>0.1852</v>
      </c>
      <c r="BR221" s="7">
        <v>0.1832</v>
      </c>
      <c r="BS221" s="7">
        <v>0.1812</v>
      </c>
      <c r="BT221" s="7">
        <v>0.1792</v>
      </c>
      <c r="BU221" s="7">
        <v>0.1772</v>
      </c>
      <c r="BV221" s="7">
        <v>0.17530000000000001</v>
      </c>
      <c r="BW221" s="7">
        <v>0.1734</v>
      </c>
      <c r="BX221" s="7">
        <v>0.1716</v>
      </c>
      <c r="BY221" s="7">
        <v>0.16969999999999999</v>
      </c>
      <c r="BZ221" s="7">
        <v>0.16789999999999999</v>
      </c>
      <c r="CA221" s="7">
        <v>0.1661</v>
      </c>
      <c r="CB221" s="7">
        <v>0.1643</v>
      </c>
      <c r="CC221" s="7">
        <v>0.16250000000000001</v>
      </c>
      <c r="CD221" s="7">
        <v>0.1608</v>
      </c>
      <c r="CE221" s="7">
        <v>0.15909999999999999</v>
      </c>
      <c r="CF221" s="7">
        <v>0.15740000000000001</v>
      </c>
      <c r="CG221" s="7">
        <v>0.15570000000000001</v>
      </c>
      <c r="CH221" s="7">
        <v>0.154</v>
      </c>
      <c r="CI221" s="7">
        <v>0.15229999999999999</v>
      </c>
      <c r="CJ221" s="7">
        <v>0.1507</v>
      </c>
      <c r="CK221" s="7">
        <v>0.14899999999999999</v>
      </c>
      <c r="CL221" s="7">
        <v>0.1474</v>
      </c>
      <c r="CM221" s="7">
        <v>0.14580000000000001</v>
      </c>
      <c r="CN221" s="7">
        <v>0.14419999999999999</v>
      </c>
      <c r="CO221" s="7">
        <v>0.1426</v>
      </c>
      <c r="CP221" s="7">
        <v>0.14099999999999999</v>
      </c>
      <c r="CQ221" s="7">
        <v>0.1394</v>
      </c>
      <c r="CR221" s="7">
        <v>0.13780000000000001</v>
      </c>
      <c r="CS221" s="7">
        <v>0.1363</v>
      </c>
      <c r="CT221" s="7">
        <v>0.13469999999999999</v>
      </c>
      <c r="CU221" s="7">
        <v>0.1331</v>
      </c>
      <c r="CV221" s="7">
        <v>0.13159999999999999</v>
      </c>
      <c r="CW221" s="7">
        <v>0.13</v>
      </c>
      <c r="CX221" s="7">
        <v>0.1285</v>
      </c>
      <c r="CY221" s="7">
        <v>0.12690000000000001</v>
      </c>
      <c r="CZ221" s="7">
        <v>0.12529999999999999</v>
      </c>
      <c r="DA221" s="7">
        <v>0.12379999999999999</v>
      </c>
      <c r="DB221" s="7">
        <v>0.1222</v>
      </c>
      <c r="DC221" s="7">
        <v>0.1207</v>
      </c>
      <c r="DD221" s="7">
        <v>0.1191</v>
      </c>
      <c r="DE221" s="7">
        <v>0.11749999999999999</v>
      </c>
      <c r="DF221" s="7">
        <v>0.1159</v>
      </c>
      <c r="DG221" s="7">
        <v>0.1144</v>
      </c>
      <c r="DH221" s="7">
        <v>0.1128</v>
      </c>
      <c r="DI221" s="7">
        <v>0.11119999999999999</v>
      </c>
      <c r="DJ221" s="7">
        <v>0.1096</v>
      </c>
      <c r="DK221" s="7">
        <v>0.1079</v>
      </c>
      <c r="DL221" s="7">
        <v>0.10630000000000001</v>
      </c>
      <c r="DM221" s="7">
        <v>0.1048</v>
      </c>
      <c r="DN221" s="7">
        <v>0.1038</v>
      </c>
      <c r="DO221" s="7">
        <v>0.1028</v>
      </c>
      <c r="DP221" s="7">
        <v>0.1018</v>
      </c>
      <c r="DQ221" s="7">
        <v>0.1008</v>
      </c>
      <c r="DR221" s="7">
        <v>9.9699999999999997E-2</v>
      </c>
      <c r="DS221" s="7">
        <v>9.8699999999999996E-2</v>
      </c>
      <c r="DT221" s="7">
        <v>9.7600000000000006E-2</v>
      </c>
      <c r="DU221" s="7">
        <v>9.6500000000000002E-2</v>
      </c>
      <c r="DV221" s="7">
        <v>9.5299999999999996E-2</v>
      </c>
      <c r="DW221" s="7">
        <v>9.4200000000000006E-2</v>
      </c>
      <c r="DX221" s="7">
        <v>9.2999999999999999E-2</v>
      </c>
      <c r="DY221" s="7">
        <v>9.1800000000000007E-2</v>
      </c>
      <c r="DZ221" s="7">
        <v>9.06E-2</v>
      </c>
      <c r="EA221" s="7">
        <v>8.9399999999999993E-2</v>
      </c>
      <c r="EB221" s="7">
        <v>8.8099999999999998E-2</v>
      </c>
      <c r="EC221" s="7">
        <v>8.6800000000000002E-2</v>
      </c>
      <c r="ED221" s="7">
        <v>8.5500000000000007E-2</v>
      </c>
      <c r="EE221" s="7">
        <v>8.4199999999999997E-2</v>
      </c>
      <c r="EF221" s="7">
        <v>8.2900000000000001E-2</v>
      </c>
      <c r="EG221" s="7">
        <v>8.1600000000000006E-2</v>
      </c>
      <c r="EH221" s="7">
        <v>8.0199999999999994E-2</v>
      </c>
      <c r="EI221" s="7">
        <v>7.8899999999999998E-2</v>
      </c>
      <c r="EJ221" s="7">
        <v>7.7499999999999999E-2</v>
      </c>
      <c r="EK221" s="7">
        <v>7.6100000000000001E-2</v>
      </c>
      <c r="EL221" s="7">
        <v>7.4700000000000003E-2</v>
      </c>
      <c r="EM221" s="7">
        <v>7.3400000000000007E-2</v>
      </c>
      <c r="EN221" s="7">
        <v>7.1999999999999995E-2</v>
      </c>
      <c r="EO221" s="7">
        <v>7.0599999999999996E-2</v>
      </c>
      <c r="EP221" s="7">
        <v>6.9199999999999998E-2</v>
      </c>
      <c r="EQ221" s="7">
        <v>6.7799999999999999E-2</v>
      </c>
      <c r="ER221" s="7">
        <v>6.6400000000000001E-2</v>
      </c>
      <c r="ES221" s="7">
        <v>6.5000000000000002E-2</v>
      </c>
      <c r="ET221" s="7">
        <v>6.3600000000000004E-2</v>
      </c>
      <c r="EU221" s="7">
        <v>6.2199999999999998E-2</v>
      </c>
      <c r="EV221" s="7">
        <v>6.08E-2</v>
      </c>
      <c r="EW221" s="7">
        <v>5.9499999999999997E-2</v>
      </c>
      <c r="EX221" s="7">
        <v>5.8099999999999999E-2</v>
      </c>
      <c r="EY221" s="7">
        <v>5.6800000000000003E-2</v>
      </c>
      <c r="EZ221" s="7">
        <v>5.5399999999999998E-2</v>
      </c>
      <c r="FA221" s="7">
        <v>5.4100000000000002E-2</v>
      </c>
      <c r="FB221" s="7">
        <v>5.28E-2</v>
      </c>
      <c r="FC221" s="7">
        <v>5.1499999999999997E-2</v>
      </c>
      <c r="FE221" s="50">
        <f t="shared" ca="1" si="26"/>
        <v>9.3960293667788325E-2</v>
      </c>
      <c r="FF221" s="50">
        <f t="shared" ca="1" si="27"/>
        <v>9.4674751682153169E-2</v>
      </c>
      <c r="FG221" s="50">
        <f t="shared" ca="1" si="28"/>
        <v>9.5391006711409404E-2</v>
      </c>
      <c r="FH221" s="50">
        <f t="shared" ca="1" si="29"/>
        <v>9.6196375838926179E-2</v>
      </c>
      <c r="FI221" s="50"/>
      <c r="FJ221" s="50"/>
      <c r="FK221" s="50">
        <f t="shared" ca="1" si="25"/>
        <v>9.4674751682153169E-2</v>
      </c>
      <c r="FL221" s="50"/>
      <c r="FM221" s="50"/>
      <c r="FN221" s="50"/>
    </row>
    <row r="222" spans="48:170" hidden="1">
      <c r="AW222" s="112">
        <v>0.2</v>
      </c>
      <c r="AX222" s="7">
        <v>0.21299999999999999</v>
      </c>
      <c r="AY222" s="7">
        <v>0.21149999999999999</v>
      </c>
      <c r="AZ222" s="7">
        <v>0.21</v>
      </c>
      <c r="BA222" s="7">
        <v>0.20860000000000001</v>
      </c>
      <c r="BB222" s="7">
        <v>0.2072</v>
      </c>
      <c r="BC222" s="7">
        <v>0.20580000000000001</v>
      </c>
      <c r="BD222" s="7">
        <v>0.2044</v>
      </c>
      <c r="BE222" s="7">
        <v>0.2031</v>
      </c>
      <c r="BF222" s="7">
        <v>0.20180000000000001</v>
      </c>
      <c r="BG222" s="7">
        <v>0.20050000000000001</v>
      </c>
      <c r="BH222" s="7">
        <v>0.1993</v>
      </c>
      <c r="BI222" s="7">
        <v>0.19800000000000001</v>
      </c>
      <c r="BJ222" s="7">
        <v>0.1968</v>
      </c>
      <c r="BK222" s="7">
        <v>0.1956</v>
      </c>
      <c r="BL222" s="7">
        <v>0.19439999999999999</v>
      </c>
      <c r="BM222" s="7">
        <v>0.1933</v>
      </c>
      <c r="BN222" s="7">
        <v>0.19209999999999999</v>
      </c>
      <c r="BO222" s="7">
        <v>0.19059999999999999</v>
      </c>
      <c r="BP222" s="7">
        <v>0.1885</v>
      </c>
      <c r="BQ222" s="7">
        <v>0.18640000000000001</v>
      </c>
      <c r="BR222" s="7">
        <v>0.18440000000000001</v>
      </c>
      <c r="BS222" s="7">
        <v>0.18240000000000001</v>
      </c>
      <c r="BT222" s="7">
        <v>0.1804</v>
      </c>
      <c r="BU222" s="7">
        <v>0.17849999999999999</v>
      </c>
      <c r="BV222" s="7">
        <v>0.17649999999999999</v>
      </c>
      <c r="BW222" s="7">
        <v>0.17460000000000001</v>
      </c>
      <c r="BX222" s="7">
        <v>0.17280000000000001</v>
      </c>
      <c r="BY222" s="7">
        <v>0.1709</v>
      </c>
      <c r="BZ222" s="7">
        <v>0.1691</v>
      </c>
      <c r="CA222" s="7">
        <v>0.1673</v>
      </c>
      <c r="CB222" s="7">
        <v>0.16550000000000001</v>
      </c>
      <c r="CC222" s="7">
        <v>0.16370000000000001</v>
      </c>
      <c r="CD222" s="7">
        <v>0.16200000000000001</v>
      </c>
      <c r="CE222" s="7">
        <v>0.16020000000000001</v>
      </c>
      <c r="CF222" s="7">
        <v>0.1585</v>
      </c>
      <c r="CG222" s="7">
        <v>0.15679999999999999</v>
      </c>
      <c r="CH222" s="7">
        <v>0.15509999999999999</v>
      </c>
      <c r="CI222" s="7">
        <v>0.1535</v>
      </c>
      <c r="CJ222" s="7">
        <v>0.15179999999999999</v>
      </c>
      <c r="CK222" s="7">
        <v>0.1502</v>
      </c>
      <c r="CL222" s="7">
        <v>0.14860000000000001</v>
      </c>
      <c r="CM222" s="7">
        <v>0.1469</v>
      </c>
      <c r="CN222" s="7">
        <v>0.14530000000000001</v>
      </c>
      <c r="CO222" s="7">
        <v>0.14369999999999999</v>
      </c>
      <c r="CP222" s="7">
        <v>0.1421</v>
      </c>
      <c r="CQ222" s="7">
        <v>0.14050000000000001</v>
      </c>
      <c r="CR222" s="7">
        <v>0.13900000000000001</v>
      </c>
      <c r="CS222" s="7">
        <v>0.13739999999999999</v>
      </c>
      <c r="CT222" s="7">
        <v>0.1358</v>
      </c>
      <c r="CU222" s="7">
        <v>0.13420000000000001</v>
      </c>
      <c r="CV222" s="7">
        <v>0.13270000000000001</v>
      </c>
      <c r="CW222" s="7">
        <v>0.13109999999999999</v>
      </c>
      <c r="CX222" s="7">
        <v>0.12959999999999999</v>
      </c>
      <c r="CY222" s="7">
        <v>0.128</v>
      </c>
      <c r="CZ222" s="7">
        <v>0.12640000000000001</v>
      </c>
      <c r="DA222" s="7">
        <v>0.1249</v>
      </c>
      <c r="DB222" s="7">
        <v>0.12330000000000001</v>
      </c>
      <c r="DC222" s="7">
        <v>0.1217</v>
      </c>
      <c r="DD222" s="7">
        <v>0.1202</v>
      </c>
      <c r="DE222" s="7">
        <v>0.1186</v>
      </c>
      <c r="DF222" s="7">
        <v>0.11700000000000001</v>
      </c>
      <c r="DG222" s="7">
        <v>0.1154</v>
      </c>
      <c r="DH222" s="7">
        <v>0.1138</v>
      </c>
      <c r="DI222" s="7">
        <v>0.11219999999999999</v>
      </c>
      <c r="DJ222" s="7">
        <v>0.1106</v>
      </c>
      <c r="DK222" s="7">
        <v>0.109</v>
      </c>
      <c r="DL222" s="7">
        <v>0.1074</v>
      </c>
      <c r="DM222" s="7">
        <v>0.1057</v>
      </c>
      <c r="DN222" s="7">
        <v>0.1041</v>
      </c>
      <c r="DO222" s="7">
        <v>0.1028</v>
      </c>
      <c r="DP222" s="7">
        <v>0.1018</v>
      </c>
      <c r="DQ222" s="7">
        <v>0.1008</v>
      </c>
      <c r="DR222" s="7">
        <v>9.9699999999999997E-2</v>
      </c>
      <c r="DS222" s="7">
        <v>9.8699999999999996E-2</v>
      </c>
      <c r="DT222" s="7">
        <v>9.7600000000000006E-2</v>
      </c>
      <c r="DU222" s="7">
        <v>9.6500000000000002E-2</v>
      </c>
      <c r="DV222" s="7">
        <v>9.5299999999999996E-2</v>
      </c>
      <c r="DW222" s="7">
        <v>9.4200000000000006E-2</v>
      </c>
      <c r="DX222" s="7">
        <v>9.2999999999999999E-2</v>
      </c>
      <c r="DY222" s="7">
        <v>9.1800000000000007E-2</v>
      </c>
      <c r="DZ222" s="7">
        <v>9.06E-2</v>
      </c>
      <c r="EA222" s="7">
        <v>8.9399999999999993E-2</v>
      </c>
      <c r="EB222" s="7">
        <v>8.8099999999999998E-2</v>
      </c>
      <c r="EC222" s="7">
        <v>8.6800000000000002E-2</v>
      </c>
      <c r="ED222" s="7">
        <v>8.5500000000000007E-2</v>
      </c>
      <c r="EE222" s="7">
        <v>8.4199999999999997E-2</v>
      </c>
      <c r="EF222" s="7">
        <v>8.2900000000000001E-2</v>
      </c>
      <c r="EG222" s="7">
        <v>8.1600000000000006E-2</v>
      </c>
      <c r="EH222" s="7">
        <v>8.0199999999999994E-2</v>
      </c>
      <c r="EI222" s="7">
        <v>7.8899999999999998E-2</v>
      </c>
      <c r="EJ222" s="7">
        <v>7.7499999999999999E-2</v>
      </c>
      <c r="EK222" s="7">
        <v>7.6100000000000001E-2</v>
      </c>
      <c r="EL222" s="7">
        <v>7.4700000000000003E-2</v>
      </c>
      <c r="EM222" s="7">
        <v>7.3400000000000007E-2</v>
      </c>
      <c r="EN222" s="7">
        <v>7.1999999999999995E-2</v>
      </c>
      <c r="EO222" s="7">
        <v>7.0599999999999996E-2</v>
      </c>
      <c r="EP222" s="7">
        <v>6.9199999999999998E-2</v>
      </c>
      <c r="EQ222" s="7">
        <v>6.7799999999999999E-2</v>
      </c>
      <c r="ER222" s="7">
        <v>6.6400000000000001E-2</v>
      </c>
      <c r="ES222" s="7">
        <v>6.5000000000000002E-2</v>
      </c>
      <c r="ET222" s="7">
        <v>6.3600000000000004E-2</v>
      </c>
      <c r="EU222" s="7">
        <v>6.2199999999999998E-2</v>
      </c>
      <c r="EV222" s="7">
        <v>6.08E-2</v>
      </c>
      <c r="EW222" s="7">
        <v>5.9499999999999997E-2</v>
      </c>
      <c r="EX222" s="7">
        <v>5.8099999999999999E-2</v>
      </c>
      <c r="EY222" s="7">
        <v>5.6800000000000003E-2</v>
      </c>
      <c r="EZ222" s="7">
        <v>5.5399999999999998E-2</v>
      </c>
      <c r="FA222" s="7">
        <v>5.4100000000000002E-2</v>
      </c>
      <c r="FB222" s="7">
        <v>5.28E-2</v>
      </c>
      <c r="FC222" s="7">
        <v>5.1499999999999997E-2</v>
      </c>
      <c r="FE222" s="50">
        <f t="shared" ca="1" si="26"/>
        <v>9.3960293667788325E-2</v>
      </c>
      <c r="FF222" s="50">
        <f t="shared" ca="1" si="27"/>
        <v>9.4674751682153169E-2</v>
      </c>
      <c r="FG222" s="50">
        <f t="shared" ca="1" si="28"/>
        <v>9.5391006711409404E-2</v>
      </c>
      <c r="FH222" s="50">
        <f t="shared" ca="1" si="29"/>
        <v>9.6196375838926179E-2</v>
      </c>
      <c r="FI222" s="50"/>
      <c r="FJ222" s="50"/>
      <c r="FK222" s="50">
        <f t="shared" ca="1" si="25"/>
        <v>9.4674751682153169E-2</v>
      </c>
      <c r="FL222" s="50"/>
      <c r="FM222" s="50"/>
      <c r="FN222" s="50"/>
    </row>
    <row r="223" spans="48:170" hidden="1">
      <c r="AW223" s="112">
        <v>0.214</v>
      </c>
      <c r="AX223" s="7">
        <v>0.21299999999999999</v>
      </c>
      <c r="AY223" s="7">
        <v>0.21149999999999999</v>
      </c>
      <c r="AZ223" s="7">
        <v>0.21</v>
      </c>
      <c r="BA223" s="7">
        <v>0.20860000000000001</v>
      </c>
      <c r="BB223" s="7">
        <v>0.2072</v>
      </c>
      <c r="BC223" s="7">
        <v>0.20580000000000001</v>
      </c>
      <c r="BD223" s="7">
        <v>0.2044</v>
      </c>
      <c r="BE223" s="7">
        <v>0.2031</v>
      </c>
      <c r="BF223" s="7">
        <v>0.20180000000000001</v>
      </c>
      <c r="BG223" s="7">
        <v>0.20050000000000001</v>
      </c>
      <c r="BH223" s="7">
        <v>0.1993</v>
      </c>
      <c r="BI223" s="7">
        <v>0.19800000000000001</v>
      </c>
      <c r="BJ223" s="7">
        <v>0.1968</v>
      </c>
      <c r="BK223" s="7">
        <v>0.1956</v>
      </c>
      <c r="BL223" s="7">
        <v>0.19439999999999999</v>
      </c>
      <c r="BM223" s="7">
        <v>0.1933</v>
      </c>
      <c r="BN223" s="7">
        <v>0.19209999999999999</v>
      </c>
      <c r="BO223" s="7">
        <v>0.191</v>
      </c>
      <c r="BP223" s="7">
        <v>0.18970000000000001</v>
      </c>
      <c r="BQ223" s="7">
        <v>0.18759999999999999</v>
      </c>
      <c r="BR223" s="7">
        <v>0.18559999999999999</v>
      </c>
      <c r="BS223" s="7">
        <v>0.18360000000000001</v>
      </c>
      <c r="BT223" s="7">
        <v>0.18160000000000001</v>
      </c>
      <c r="BU223" s="7">
        <v>0.17960000000000001</v>
      </c>
      <c r="BV223" s="7">
        <v>0.1777</v>
      </c>
      <c r="BW223" s="7">
        <v>0.17580000000000001</v>
      </c>
      <c r="BX223" s="7">
        <v>0.1739</v>
      </c>
      <c r="BY223" s="7">
        <v>0.1721</v>
      </c>
      <c r="BZ223" s="7">
        <v>0.17019999999999999</v>
      </c>
      <c r="CA223" s="7">
        <v>0.16839999999999999</v>
      </c>
      <c r="CB223" s="7">
        <v>0.1666</v>
      </c>
      <c r="CC223" s="7">
        <v>0.16489999999999999</v>
      </c>
      <c r="CD223" s="7">
        <v>0.16309999999999999</v>
      </c>
      <c r="CE223" s="7">
        <v>0.16139999999999999</v>
      </c>
      <c r="CF223" s="7">
        <v>0.15970000000000001</v>
      </c>
      <c r="CG223" s="7">
        <v>0.158</v>
      </c>
      <c r="CH223" s="7">
        <v>0.15629999999999999</v>
      </c>
      <c r="CI223" s="7">
        <v>0.15459999999999999</v>
      </c>
      <c r="CJ223" s="7">
        <v>0.153</v>
      </c>
      <c r="CK223" s="7">
        <v>0.15129999999999999</v>
      </c>
      <c r="CL223" s="7">
        <v>0.1497</v>
      </c>
      <c r="CM223" s="7">
        <v>0.14810000000000001</v>
      </c>
      <c r="CN223" s="7">
        <v>0.1464</v>
      </c>
      <c r="CO223" s="7">
        <v>0.14480000000000001</v>
      </c>
      <c r="CP223" s="7">
        <v>0.14319999999999999</v>
      </c>
      <c r="CQ223" s="7">
        <v>0.1416</v>
      </c>
      <c r="CR223" s="7">
        <v>0.1401</v>
      </c>
      <c r="CS223" s="7">
        <v>0.13850000000000001</v>
      </c>
      <c r="CT223" s="7">
        <v>0.13689999999999999</v>
      </c>
      <c r="CU223" s="7">
        <v>0.1353</v>
      </c>
      <c r="CV223" s="7">
        <v>0.1338</v>
      </c>
      <c r="CW223" s="7">
        <v>0.13220000000000001</v>
      </c>
      <c r="CX223" s="7">
        <v>0.13059999999999999</v>
      </c>
      <c r="CY223" s="7">
        <v>0.12909999999999999</v>
      </c>
      <c r="CZ223" s="7">
        <v>0.1275</v>
      </c>
      <c r="DA223" s="7">
        <v>0.12590000000000001</v>
      </c>
      <c r="DB223" s="7">
        <v>0.1244</v>
      </c>
      <c r="DC223" s="7">
        <v>0.12280000000000001</v>
      </c>
      <c r="DD223" s="7">
        <v>0.1212</v>
      </c>
      <c r="DE223" s="7">
        <v>0.1196</v>
      </c>
      <c r="DF223" s="7">
        <v>0.11799999999999999</v>
      </c>
      <c r="DG223" s="7">
        <v>0.11650000000000001</v>
      </c>
      <c r="DH223" s="7">
        <v>0.1149</v>
      </c>
      <c r="DI223" s="7">
        <v>0.1132</v>
      </c>
      <c r="DJ223" s="7">
        <v>0.1116</v>
      </c>
      <c r="DK223" s="7">
        <v>0.11</v>
      </c>
      <c r="DL223" s="7">
        <v>0.1084</v>
      </c>
      <c r="DM223" s="7">
        <v>0.1067</v>
      </c>
      <c r="DN223" s="7">
        <v>0.1051</v>
      </c>
      <c r="DO223" s="7">
        <v>0.10340000000000001</v>
      </c>
      <c r="DP223" s="7">
        <v>0.1018</v>
      </c>
      <c r="DQ223" s="7">
        <v>0.1008</v>
      </c>
      <c r="DR223" s="7">
        <v>9.9699999999999997E-2</v>
      </c>
      <c r="DS223" s="7">
        <v>9.8699999999999996E-2</v>
      </c>
      <c r="DT223" s="7">
        <v>9.7600000000000006E-2</v>
      </c>
      <c r="DU223" s="7">
        <v>9.6500000000000002E-2</v>
      </c>
      <c r="DV223" s="7">
        <v>9.5299999999999996E-2</v>
      </c>
      <c r="DW223" s="7">
        <v>9.4200000000000006E-2</v>
      </c>
      <c r="DX223" s="7">
        <v>9.2999999999999999E-2</v>
      </c>
      <c r="DY223" s="7">
        <v>9.1800000000000007E-2</v>
      </c>
      <c r="DZ223" s="7">
        <v>9.06E-2</v>
      </c>
      <c r="EA223" s="7">
        <v>8.9399999999999993E-2</v>
      </c>
      <c r="EB223" s="7">
        <v>8.8099999999999998E-2</v>
      </c>
      <c r="EC223" s="7">
        <v>8.6800000000000002E-2</v>
      </c>
      <c r="ED223" s="7">
        <v>8.5500000000000007E-2</v>
      </c>
      <c r="EE223" s="7">
        <v>8.4199999999999997E-2</v>
      </c>
      <c r="EF223" s="7">
        <v>8.2900000000000001E-2</v>
      </c>
      <c r="EG223" s="7">
        <v>8.1600000000000006E-2</v>
      </c>
      <c r="EH223" s="7">
        <v>8.0199999999999994E-2</v>
      </c>
      <c r="EI223" s="7">
        <v>7.8899999999999998E-2</v>
      </c>
      <c r="EJ223" s="7">
        <v>7.7499999999999999E-2</v>
      </c>
      <c r="EK223" s="7">
        <v>7.6100000000000001E-2</v>
      </c>
      <c r="EL223" s="7">
        <v>7.4700000000000003E-2</v>
      </c>
      <c r="EM223" s="7">
        <v>7.3400000000000007E-2</v>
      </c>
      <c r="EN223" s="7">
        <v>7.1999999999999995E-2</v>
      </c>
      <c r="EO223" s="7">
        <v>7.0599999999999996E-2</v>
      </c>
      <c r="EP223" s="7">
        <v>6.9199999999999998E-2</v>
      </c>
      <c r="EQ223" s="7">
        <v>6.7799999999999999E-2</v>
      </c>
      <c r="ER223" s="7">
        <v>6.6400000000000001E-2</v>
      </c>
      <c r="ES223" s="7">
        <v>6.5000000000000002E-2</v>
      </c>
      <c r="ET223" s="7">
        <v>6.3600000000000004E-2</v>
      </c>
      <c r="EU223" s="7">
        <v>6.2199999999999998E-2</v>
      </c>
      <c r="EV223" s="7">
        <v>6.08E-2</v>
      </c>
      <c r="EW223" s="7">
        <v>5.9499999999999997E-2</v>
      </c>
      <c r="EX223" s="7">
        <v>5.8099999999999999E-2</v>
      </c>
      <c r="EY223" s="7">
        <v>5.6800000000000003E-2</v>
      </c>
      <c r="EZ223" s="7">
        <v>5.5399999999999998E-2</v>
      </c>
      <c r="FA223" s="7">
        <v>5.4100000000000002E-2</v>
      </c>
      <c r="FB223" s="7">
        <v>5.28E-2</v>
      </c>
      <c r="FC223" s="7">
        <v>5.1499999999999997E-2</v>
      </c>
      <c r="FE223" s="50">
        <f t="shared" ca="1" si="26"/>
        <v>9.3960293667788325E-2</v>
      </c>
      <c r="FF223" s="50">
        <f t="shared" ca="1" si="27"/>
        <v>9.4674751682153169E-2</v>
      </c>
      <c r="FG223" s="50">
        <f t="shared" ca="1" si="28"/>
        <v>9.5391006711409404E-2</v>
      </c>
      <c r="FH223" s="50">
        <f t="shared" ca="1" si="29"/>
        <v>9.6196375838926179E-2</v>
      </c>
      <c r="FI223" s="50"/>
      <c r="FJ223" s="50"/>
      <c r="FK223" s="50">
        <f t="shared" ca="1" si="25"/>
        <v>9.4674751682153169E-2</v>
      </c>
      <c r="FL223" s="50"/>
      <c r="FM223" s="50"/>
      <c r="FN223" s="50"/>
    </row>
    <row r="224" spans="48:170" hidden="1">
      <c r="AW224" s="112">
        <v>0.22900000000000001</v>
      </c>
      <c r="AX224" s="7">
        <v>0.21299999999999999</v>
      </c>
      <c r="AY224" s="7">
        <v>0.21149999999999999</v>
      </c>
      <c r="AZ224" s="7">
        <v>0.21</v>
      </c>
      <c r="BA224" s="7">
        <v>0.20860000000000001</v>
      </c>
      <c r="BB224" s="7">
        <v>0.2072</v>
      </c>
      <c r="BC224" s="7">
        <v>0.20580000000000001</v>
      </c>
      <c r="BD224" s="7">
        <v>0.2044</v>
      </c>
      <c r="BE224" s="7">
        <v>0.2031</v>
      </c>
      <c r="BF224" s="7">
        <v>0.20180000000000001</v>
      </c>
      <c r="BG224" s="7">
        <v>0.20050000000000001</v>
      </c>
      <c r="BH224" s="7">
        <v>0.1993</v>
      </c>
      <c r="BI224" s="7">
        <v>0.19800000000000001</v>
      </c>
      <c r="BJ224" s="7">
        <v>0.1968</v>
      </c>
      <c r="BK224" s="7">
        <v>0.1956</v>
      </c>
      <c r="BL224" s="7">
        <v>0.19439999999999999</v>
      </c>
      <c r="BM224" s="7">
        <v>0.1933</v>
      </c>
      <c r="BN224" s="7">
        <v>0.19209999999999999</v>
      </c>
      <c r="BO224" s="7">
        <v>0.191</v>
      </c>
      <c r="BP224" s="7">
        <v>0.18990000000000001</v>
      </c>
      <c r="BQ224" s="7">
        <v>0.1888</v>
      </c>
      <c r="BR224" s="7">
        <v>0.18679999999999999</v>
      </c>
      <c r="BS224" s="7">
        <v>0.18479999999999999</v>
      </c>
      <c r="BT224" s="7">
        <v>0.18279999999999999</v>
      </c>
      <c r="BU224" s="7">
        <v>0.18079999999999999</v>
      </c>
      <c r="BV224" s="7">
        <v>0.1789</v>
      </c>
      <c r="BW224" s="7">
        <v>0.17699999999999999</v>
      </c>
      <c r="BX224" s="7">
        <v>0.17510000000000001</v>
      </c>
      <c r="BY224" s="7">
        <v>0.17319999999999999</v>
      </c>
      <c r="BZ224" s="7">
        <v>0.1714</v>
      </c>
      <c r="CA224" s="7">
        <v>0.1696</v>
      </c>
      <c r="CB224" s="7">
        <v>0.1678</v>
      </c>
      <c r="CC224" s="7">
        <v>0.16600000000000001</v>
      </c>
      <c r="CD224" s="7">
        <v>0.1643</v>
      </c>
      <c r="CE224" s="7">
        <v>0.16250000000000001</v>
      </c>
      <c r="CF224" s="7">
        <v>0.1608</v>
      </c>
      <c r="CG224" s="7">
        <v>0.15909999999999999</v>
      </c>
      <c r="CH224" s="7">
        <v>0.15740000000000001</v>
      </c>
      <c r="CI224" s="7">
        <v>0.15570000000000001</v>
      </c>
      <c r="CJ224" s="7">
        <v>0.15409999999999999</v>
      </c>
      <c r="CK224" s="7">
        <v>0.15240000000000001</v>
      </c>
      <c r="CL224" s="7">
        <v>0.15079999999999999</v>
      </c>
      <c r="CM224" s="7">
        <v>0.1492</v>
      </c>
      <c r="CN224" s="7">
        <v>0.14749999999999999</v>
      </c>
      <c r="CO224" s="7">
        <v>0.1459</v>
      </c>
      <c r="CP224" s="7">
        <v>0.14430000000000001</v>
      </c>
      <c r="CQ224" s="7">
        <v>0.14269999999999999</v>
      </c>
      <c r="CR224" s="7">
        <v>0.1411</v>
      </c>
      <c r="CS224" s="7">
        <v>0.1396</v>
      </c>
      <c r="CT224" s="7">
        <v>0.13800000000000001</v>
      </c>
      <c r="CU224" s="7">
        <v>0.13639999999999999</v>
      </c>
      <c r="CV224" s="7">
        <v>0.1348</v>
      </c>
      <c r="CW224" s="7">
        <v>0.1333</v>
      </c>
      <c r="CX224" s="7">
        <v>0.13170000000000001</v>
      </c>
      <c r="CY224" s="7">
        <v>0.13009999999999999</v>
      </c>
      <c r="CZ224" s="7">
        <v>0.12859999999999999</v>
      </c>
      <c r="DA224" s="7">
        <v>0.127</v>
      </c>
      <c r="DB224" s="7">
        <v>0.12540000000000001</v>
      </c>
      <c r="DC224" s="7">
        <v>0.12379999999999999</v>
      </c>
      <c r="DD224" s="7">
        <v>0.12230000000000001</v>
      </c>
      <c r="DE224" s="7">
        <v>0.1207</v>
      </c>
      <c r="DF224" s="7">
        <v>0.1191</v>
      </c>
      <c r="DG224" s="7">
        <v>0.11749999999999999</v>
      </c>
      <c r="DH224" s="7">
        <v>0.1159</v>
      </c>
      <c r="DI224" s="7">
        <v>0.1143</v>
      </c>
      <c r="DJ224" s="7">
        <v>0.11269999999999999</v>
      </c>
      <c r="DK224" s="7">
        <v>0.111</v>
      </c>
      <c r="DL224" s="7">
        <v>0.1094</v>
      </c>
      <c r="DM224" s="7">
        <v>0.10780000000000001</v>
      </c>
      <c r="DN224" s="7">
        <v>0.1061</v>
      </c>
      <c r="DO224" s="7">
        <v>0.10440000000000001</v>
      </c>
      <c r="DP224" s="7">
        <v>0.1028</v>
      </c>
      <c r="DQ224" s="7">
        <v>0.1011</v>
      </c>
      <c r="DR224" s="7">
        <v>9.9699999999999997E-2</v>
      </c>
      <c r="DS224" s="7">
        <v>9.8699999999999996E-2</v>
      </c>
      <c r="DT224" s="7">
        <v>9.7600000000000006E-2</v>
      </c>
      <c r="DU224" s="7">
        <v>9.6500000000000002E-2</v>
      </c>
      <c r="DV224" s="7">
        <v>9.5299999999999996E-2</v>
      </c>
      <c r="DW224" s="7">
        <v>9.4200000000000006E-2</v>
      </c>
      <c r="DX224" s="7">
        <v>9.2999999999999999E-2</v>
      </c>
      <c r="DY224" s="7">
        <v>9.1800000000000007E-2</v>
      </c>
      <c r="DZ224" s="7">
        <v>9.06E-2</v>
      </c>
      <c r="EA224" s="7">
        <v>8.9399999999999993E-2</v>
      </c>
      <c r="EB224" s="7">
        <v>8.8099999999999998E-2</v>
      </c>
      <c r="EC224" s="7">
        <v>8.6800000000000002E-2</v>
      </c>
      <c r="ED224" s="7">
        <v>8.5500000000000007E-2</v>
      </c>
      <c r="EE224" s="7">
        <v>8.4199999999999997E-2</v>
      </c>
      <c r="EF224" s="7">
        <v>8.2900000000000001E-2</v>
      </c>
      <c r="EG224" s="7">
        <v>8.1600000000000006E-2</v>
      </c>
      <c r="EH224" s="7">
        <v>8.0199999999999994E-2</v>
      </c>
      <c r="EI224" s="7">
        <v>7.8899999999999998E-2</v>
      </c>
      <c r="EJ224" s="7">
        <v>7.7499999999999999E-2</v>
      </c>
      <c r="EK224" s="7">
        <v>7.6100000000000001E-2</v>
      </c>
      <c r="EL224" s="7">
        <v>7.4700000000000003E-2</v>
      </c>
      <c r="EM224" s="7">
        <v>7.3400000000000007E-2</v>
      </c>
      <c r="EN224" s="7">
        <v>7.1999999999999995E-2</v>
      </c>
      <c r="EO224" s="7">
        <v>7.0599999999999996E-2</v>
      </c>
      <c r="EP224" s="7">
        <v>6.9199999999999998E-2</v>
      </c>
      <c r="EQ224" s="7">
        <v>6.7799999999999999E-2</v>
      </c>
      <c r="ER224" s="7">
        <v>6.6400000000000001E-2</v>
      </c>
      <c r="ES224" s="7">
        <v>6.5000000000000002E-2</v>
      </c>
      <c r="ET224" s="7">
        <v>6.3600000000000004E-2</v>
      </c>
      <c r="EU224" s="7">
        <v>6.2199999999999998E-2</v>
      </c>
      <c r="EV224" s="7">
        <v>6.08E-2</v>
      </c>
      <c r="EW224" s="7">
        <v>5.9499999999999997E-2</v>
      </c>
      <c r="EX224" s="7">
        <v>5.8099999999999999E-2</v>
      </c>
      <c r="EY224" s="7">
        <v>5.6800000000000003E-2</v>
      </c>
      <c r="EZ224" s="7">
        <v>5.5399999999999998E-2</v>
      </c>
      <c r="FA224" s="7">
        <v>5.4100000000000002E-2</v>
      </c>
      <c r="FB224" s="7">
        <v>5.28E-2</v>
      </c>
      <c r="FC224" s="7">
        <v>5.1499999999999997E-2</v>
      </c>
      <c r="FE224" s="50">
        <f t="shared" ca="1" si="26"/>
        <v>9.3960293667788325E-2</v>
      </c>
      <c r="FF224" s="50">
        <f t="shared" ca="1" si="27"/>
        <v>9.4674751682153169E-2</v>
      </c>
      <c r="FG224" s="50">
        <f t="shared" ca="1" si="28"/>
        <v>9.5391006711409404E-2</v>
      </c>
      <c r="FH224" s="50">
        <f t="shared" ca="1" si="29"/>
        <v>9.6196375838926179E-2</v>
      </c>
      <c r="FI224" s="50"/>
      <c r="FJ224" s="50"/>
      <c r="FK224" s="50">
        <f t="shared" ca="1" si="25"/>
        <v>9.4674751682153169E-2</v>
      </c>
      <c r="FL224" s="50"/>
      <c r="FM224" s="50"/>
      <c r="FN224" s="50"/>
    </row>
    <row r="225" spans="49:170" hidden="1">
      <c r="AW225" s="112">
        <v>0.245</v>
      </c>
      <c r="AX225" s="7">
        <v>0.21299999999999999</v>
      </c>
      <c r="AY225" s="7">
        <v>0.21149999999999999</v>
      </c>
      <c r="AZ225" s="7">
        <v>0.21</v>
      </c>
      <c r="BA225" s="7">
        <v>0.20860000000000001</v>
      </c>
      <c r="BB225" s="7">
        <v>0.2072</v>
      </c>
      <c r="BC225" s="7">
        <v>0.20580000000000001</v>
      </c>
      <c r="BD225" s="7">
        <v>0.2044</v>
      </c>
      <c r="BE225" s="7">
        <v>0.2031</v>
      </c>
      <c r="BF225" s="7">
        <v>0.20180000000000001</v>
      </c>
      <c r="BG225" s="7">
        <v>0.20050000000000001</v>
      </c>
      <c r="BH225" s="7">
        <v>0.1993</v>
      </c>
      <c r="BI225" s="7">
        <v>0.19800000000000001</v>
      </c>
      <c r="BJ225" s="7">
        <v>0.1968</v>
      </c>
      <c r="BK225" s="7">
        <v>0.1956</v>
      </c>
      <c r="BL225" s="7">
        <v>0.19439999999999999</v>
      </c>
      <c r="BM225" s="7">
        <v>0.1933</v>
      </c>
      <c r="BN225" s="7">
        <v>0.19209999999999999</v>
      </c>
      <c r="BO225" s="7">
        <v>0.191</v>
      </c>
      <c r="BP225" s="7">
        <v>0.18990000000000001</v>
      </c>
      <c r="BQ225" s="7">
        <v>0.1888</v>
      </c>
      <c r="BR225" s="7">
        <v>0.18779999999999999</v>
      </c>
      <c r="BS225" s="7">
        <v>0.18590000000000001</v>
      </c>
      <c r="BT225" s="7">
        <v>0.184</v>
      </c>
      <c r="BU225" s="7">
        <v>0.182</v>
      </c>
      <c r="BV225" s="7">
        <v>0.18010000000000001</v>
      </c>
      <c r="BW225" s="7">
        <v>0.17810000000000001</v>
      </c>
      <c r="BX225" s="7">
        <v>0.17630000000000001</v>
      </c>
      <c r="BY225" s="7">
        <v>0.1744</v>
      </c>
      <c r="BZ225" s="7">
        <v>0.17249999999999999</v>
      </c>
      <c r="CA225" s="7">
        <v>0.17069999999999999</v>
      </c>
      <c r="CB225" s="7">
        <v>0.16889999999999999</v>
      </c>
      <c r="CC225" s="7">
        <v>0.16719999999999999</v>
      </c>
      <c r="CD225" s="7">
        <v>0.16539999999999999</v>
      </c>
      <c r="CE225" s="7">
        <v>0.1636</v>
      </c>
      <c r="CF225" s="7">
        <v>0.16189999999999999</v>
      </c>
      <c r="CG225" s="7">
        <v>0.16020000000000001</v>
      </c>
      <c r="CH225" s="7">
        <v>0.1585</v>
      </c>
      <c r="CI225" s="7">
        <v>0.15679999999999999</v>
      </c>
      <c r="CJ225" s="7">
        <v>0.1552</v>
      </c>
      <c r="CK225" s="7">
        <v>0.1535</v>
      </c>
      <c r="CL225" s="7">
        <v>0.15190000000000001</v>
      </c>
      <c r="CM225" s="7">
        <v>0.15029999999999999</v>
      </c>
      <c r="CN225" s="7">
        <v>0.14860000000000001</v>
      </c>
      <c r="CO225" s="7">
        <v>0.14699999999999999</v>
      </c>
      <c r="CP225" s="7">
        <v>0.1454</v>
      </c>
      <c r="CQ225" s="7">
        <v>0.14380000000000001</v>
      </c>
      <c r="CR225" s="7">
        <v>0.14219999999999999</v>
      </c>
      <c r="CS225" s="7">
        <v>0.1406</v>
      </c>
      <c r="CT225" s="7">
        <v>0.1391</v>
      </c>
      <c r="CU225" s="7">
        <v>0.13750000000000001</v>
      </c>
      <c r="CV225" s="7">
        <v>0.13589999999999999</v>
      </c>
      <c r="CW225" s="7">
        <v>0.1343</v>
      </c>
      <c r="CX225" s="7">
        <v>0.1328</v>
      </c>
      <c r="CY225" s="7">
        <v>0.13120000000000001</v>
      </c>
      <c r="CZ225" s="7">
        <v>0.12959999999999999</v>
      </c>
      <c r="DA225" s="7">
        <v>0.128</v>
      </c>
      <c r="DB225" s="7">
        <v>0.1265</v>
      </c>
      <c r="DC225" s="7">
        <v>0.1249</v>
      </c>
      <c r="DD225" s="7">
        <v>0.12330000000000001</v>
      </c>
      <c r="DE225" s="7">
        <v>0.1217</v>
      </c>
      <c r="DF225" s="7">
        <v>0.1201</v>
      </c>
      <c r="DG225" s="7">
        <v>0.11849999999999999</v>
      </c>
      <c r="DH225" s="7">
        <v>0.1169</v>
      </c>
      <c r="DI225" s="7">
        <v>0.1153</v>
      </c>
      <c r="DJ225" s="7">
        <v>0.1137</v>
      </c>
      <c r="DK225" s="7">
        <v>0.112</v>
      </c>
      <c r="DL225" s="7">
        <v>0.1104</v>
      </c>
      <c r="DM225" s="7">
        <v>0.10879999999999999</v>
      </c>
      <c r="DN225" s="7">
        <v>0.1071</v>
      </c>
      <c r="DO225" s="7">
        <v>0.10539999999999999</v>
      </c>
      <c r="DP225" s="7">
        <v>0.1037</v>
      </c>
      <c r="DQ225" s="7">
        <v>0.1021</v>
      </c>
      <c r="DR225" s="7">
        <v>0.1004</v>
      </c>
      <c r="DS225" s="7">
        <v>9.8699999999999996E-2</v>
      </c>
      <c r="DT225" s="7">
        <v>9.7600000000000006E-2</v>
      </c>
      <c r="DU225" s="7">
        <v>9.6500000000000002E-2</v>
      </c>
      <c r="DV225" s="7">
        <v>9.5299999999999996E-2</v>
      </c>
      <c r="DW225" s="7">
        <v>9.4200000000000006E-2</v>
      </c>
      <c r="DX225" s="7">
        <v>9.2999999999999999E-2</v>
      </c>
      <c r="DY225" s="7">
        <v>9.1800000000000007E-2</v>
      </c>
      <c r="DZ225" s="7">
        <v>9.06E-2</v>
      </c>
      <c r="EA225" s="7">
        <v>8.9399999999999993E-2</v>
      </c>
      <c r="EB225" s="7">
        <v>8.8099999999999998E-2</v>
      </c>
      <c r="EC225" s="7">
        <v>8.6800000000000002E-2</v>
      </c>
      <c r="ED225" s="7">
        <v>8.5500000000000007E-2</v>
      </c>
      <c r="EE225" s="7">
        <v>8.4199999999999997E-2</v>
      </c>
      <c r="EF225" s="7">
        <v>8.2900000000000001E-2</v>
      </c>
      <c r="EG225" s="7">
        <v>8.1600000000000006E-2</v>
      </c>
      <c r="EH225" s="7">
        <v>8.0199999999999994E-2</v>
      </c>
      <c r="EI225" s="7">
        <v>7.8899999999999998E-2</v>
      </c>
      <c r="EJ225" s="7">
        <v>7.7499999999999999E-2</v>
      </c>
      <c r="EK225" s="7">
        <v>7.6100000000000001E-2</v>
      </c>
      <c r="EL225" s="7">
        <v>7.4700000000000003E-2</v>
      </c>
      <c r="EM225" s="7">
        <v>7.3400000000000007E-2</v>
      </c>
      <c r="EN225" s="7">
        <v>7.1999999999999995E-2</v>
      </c>
      <c r="EO225" s="7">
        <v>7.0599999999999996E-2</v>
      </c>
      <c r="EP225" s="7">
        <v>6.9199999999999998E-2</v>
      </c>
      <c r="EQ225" s="7">
        <v>6.7799999999999999E-2</v>
      </c>
      <c r="ER225" s="7">
        <v>6.6400000000000001E-2</v>
      </c>
      <c r="ES225" s="7">
        <v>6.5000000000000002E-2</v>
      </c>
      <c r="ET225" s="7">
        <v>6.3600000000000004E-2</v>
      </c>
      <c r="EU225" s="7">
        <v>6.2199999999999998E-2</v>
      </c>
      <c r="EV225" s="7">
        <v>6.08E-2</v>
      </c>
      <c r="EW225" s="7">
        <v>5.9499999999999997E-2</v>
      </c>
      <c r="EX225" s="7">
        <v>5.8099999999999999E-2</v>
      </c>
      <c r="EY225" s="7">
        <v>5.6800000000000003E-2</v>
      </c>
      <c r="EZ225" s="7">
        <v>5.5399999999999998E-2</v>
      </c>
      <c r="FA225" s="7">
        <v>5.4100000000000002E-2</v>
      </c>
      <c r="FB225" s="7">
        <v>5.28E-2</v>
      </c>
      <c r="FC225" s="7">
        <v>5.1499999999999997E-2</v>
      </c>
      <c r="FE225" s="50">
        <f t="shared" ca="1" si="26"/>
        <v>9.3960293667788325E-2</v>
      </c>
      <c r="FF225" s="50">
        <f t="shared" ca="1" si="27"/>
        <v>9.4674751682153169E-2</v>
      </c>
      <c r="FG225" s="50">
        <f t="shared" ca="1" si="28"/>
        <v>9.5391006711409404E-2</v>
      </c>
      <c r="FH225" s="50">
        <f t="shared" ca="1" si="29"/>
        <v>9.6196375838926179E-2</v>
      </c>
      <c r="FI225" s="50"/>
      <c r="FJ225" s="50"/>
      <c r="FK225" s="50">
        <f t="shared" ca="1" si="25"/>
        <v>9.4674751682153169E-2</v>
      </c>
      <c r="FL225" s="50"/>
      <c r="FM225" s="50"/>
      <c r="FN225" s="50"/>
    </row>
    <row r="226" spans="49:170" hidden="1">
      <c r="AW226" s="112">
        <v>0.26300000000000001</v>
      </c>
      <c r="AX226" s="7">
        <v>0.21299999999999999</v>
      </c>
      <c r="AY226" s="7">
        <v>0.21149999999999999</v>
      </c>
      <c r="AZ226" s="7">
        <v>0.21</v>
      </c>
      <c r="BA226" s="7">
        <v>0.20860000000000001</v>
      </c>
      <c r="BB226" s="7">
        <v>0.2072</v>
      </c>
      <c r="BC226" s="7">
        <v>0.20580000000000001</v>
      </c>
      <c r="BD226" s="7">
        <v>0.2044</v>
      </c>
      <c r="BE226" s="7">
        <v>0.2031</v>
      </c>
      <c r="BF226" s="7">
        <v>0.20180000000000001</v>
      </c>
      <c r="BG226" s="7">
        <v>0.20050000000000001</v>
      </c>
      <c r="BH226" s="7">
        <v>0.1993</v>
      </c>
      <c r="BI226" s="7">
        <v>0.19800000000000001</v>
      </c>
      <c r="BJ226" s="7">
        <v>0.1968</v>
      </c>
      <c r="BK226" s="7">
        <v>0.1956</v>
      </c>
      <c r="BL226" s="7">
        <v>0.19439999999999999</v>
      </c>
      <c r="BM226" s="7">
        <v>0.1933</v>
      </c>
      <c r="BN226" s="7">
        <v>0.19209999999999999</v>
      </c>
      <c r="BO226" s="7">
        <v>0.191</v>
      </c>
      <c r="BP226" s="7">
        <v>0.18990000000000001</v>
      </c>
      <c r="BQ226" s="7">
        <v>0.1888</v>
      </c>
      <c r="BR226" s="7">
        <v>0.18779999999999999</v>
      </c>
      <c r="BS226" s="7">
        <v>0.1867</v>
      </c>
      <c r="BT226" s="7">
        <v>0.18509999999999999</v>
      </c>
      <c r="BU226" s="7">
        <v>0.18310000000000001</v>
      </c>
      <c r="BV226" s="7">
        <v>0.1812</v>
      </c>
      <c r="BW226" s="7">
        <v>0.17929999999999999</v>
      </c>
      <c r="BX226" s="7">
        <v>0.1774</v>
      </c>
      <c r="BY226" s="7">
        <v>0.17549999999999999</v>
      </c>
      <c r="BZ226" s="7">
        <v>0.17369999999999999</v>
      </c>
      <c r="CA226" s="7">
        <v>0.1719</v>
      </c>
      <c r="CB226" s="7">
        <v>0.1701</v>
      </c>
      <c r="CC226" s="7">
        <v>0.16830000000000001</v>
      </c>
      <c r="CD226" s="7">
        <v>0.16650000000000001</v>
      </c>
      <c r="CE226" s="7">
        <v>0.1648</v>
      </c>
      <c r="CF226" s="7">
        <v>0.16300000000000001</v>
      </c>
      <c r="CG226" s="7">
        <v>0.1613</v>
      </c>
      <c r="CH226" s="7">
        <v>0.15959999999999999</v>
      </c>
      <c r="CI226" s="7">
        <v>0.15790000000000001</v>
      </c>
      <c r="CJ226" s="7">
        <v>0.15629999999999999</v>
      </c>
      <c r="CK226" s="7">
        <v>0.15459999999999999</v>
      </c>
      <c r="CL226" s="7">
        <v>0.153</v>
      </c>
      <c r="CM226" s="7">
        <v>0.15129999999999999</v>
      </c>
      <c r="CN226" s="7">
        <v>0.1497</v>
      </c>
      <c r="CO226" s="7">
        <v>0.14810000000000001</v>
      </c>
      <c r="CP226" s="7">
        <v>0.14649999999999999</v>
      </c>
      <c r="CQ226" s="7">
        <v>0.1449</v>
      </c>
      <c r="CR226" s="7">
        <v>0.14330000000000001</v>
      </c>
      <c r="CS226" s="7">
        <v>0.14169999999999999</v>
      </c>
      <c r="CT226" s="7">
        <v>0.1401</v>
      </c>
      <c r="CU226" s="7">
        <v>0.13850000000000001</v>
      </c>
      <c r="CV226" s="7">
        <v>0.13689999999999999</v>
      </c>
      <c r="CW226" s="7">
        <v>0.13539999999999999</v>
      </c>
      <c r="CX226" s="7">
        <v>0.1338</v>
      </c>
      <c r="CY226" s="7">
        <v>0.13220000000000001</v>
      </c>
      <c r="CZ226" s="7">
        <v>0.13059999999999999</v>
      </c>
      <c r="DA226" s="7">
        <v>0.12909999999999999</v>
      </c>
      <c r="DB226" s="7">
        <v>0.1275</v>
      </c>
      <c r="DC226" s="7">
        <v>0.12590000000000001</v>
      </c>
      <c r="DD226" s="7">
        <v>0.12429999999999999</v>
      </c>
      <c r="DE226" s="7">
        <v>0.1227</v>
      </c>
      <c r="DF226" s="7">
        <v>0.1211</v>
      </c>
      <c r="DG226" s="7">
        <v>0.1195</v>
      </c>
      <c r="DH226" s="7">
        <v>0.1179</v>
      </c>
      <c r="DI226" s="7">
        <v>0.1163</v>
      </c>
      <c r="DJ226" s="7">
        <v>0.1147</v>
      </c>
      <c r="DK226" s="7">
        <v>0.113</v>
      </c>
      <c r="DL226" s="7">
        <v>0.1114</v>
      </c>
      <c r="DM226" s="7">
        <v>0.10970000000000001</v>
      </c>
      <c r="DN226" s="7">
        <v>0.1081</v>
      </c>
      <c r="DO226" s="7">
        <v>0.10639999999999999</v>
      </c>
      <c r="DP226" s="7">
        <v>0.1047</v>
      </c>
      <c r="DQ226" s="7">
        <v>0.10299999999999999</v>
      </c>
      <c r="DR226" s="7">
        <v>0.1013</v>
      </c>
      <c r="DS226" s="7">
        <v>9.9599999999999994E-2</v>
      </c>
      <c r="DT226" s="7">
        <v>9.7900000000000001E-2</v>
      </c>
      <c r="DU226" s="7">
        <v>9.6500000000000002E-2</v>
      </c>
      <c r="DV226" s="7">
        <v>9.5299999999999996E-2</v>
      </c>
      <c r="DW226" s="7">
        <v>9.4200000000000006E-2</v>
      </c>
      <c r="DX226" s="7">
        <v>9.2999999999999999E-2</v>
      </c>
      <c r="DY226" s="7">
        <v>9.1800000000000007E-2</v>
      </c>
      <c r="DZ226" s="7">
        <v>9.06E-2</v>
      </c>
      <c r="EA226" s="7">
        <v>8.9399999999999993E-2</v>
      </c>
      <c r="EB226" s="7">
        <v>8.8099999999999998E-2</v>
      </c>
      <c r="EC226" s="7">
        <v>8.6800000000000002E-2</v>
      </c>
      <c r="ED226" s="7">
        <v>8.5500000000000007E-2</v>
      </c>
      <c r="EE226" s="7">
        <v>8.4199999999999997E-2</v>
      </c>
      <c r="EF226" s="7">
        <v>8.2900000000000001E-2</v>
      </c>
      <c r="EG226" s="7">
        <v>8.1600000000000006E-2</v>
      </c>
      <c r="EH226" s="7">
        <v>8.0199999999999994E-2</v>
      </c>
      <c r="EI226" s="7">
        <v>7.8899999999999998E-2</v>
      </c>
      <c r="EJ226" s="7">
        <v>7.7499999999999999E-2</v>
      </c>
      <c r="EK226" s="7">
        <v>7.6100000000000001E-2</v>
      </c>
      <c r="EL226" s="7">
        <v>7.4700000000000003E-2</v>
      </c>
      <c r="EM226" s="7">
        <v>7.3400000000000007E-2</v>
      </c>
      <c r="EN226" s="7">
        <v>7.1999999999999995E-2</v>
      </c>
      <c r="EO226" s="7">
        <v>7.0599999999999996E-2</v>
      </c>
      <c r="EP226" s="7">
        <v>6.9199999999999998E-2</v>
      </c>
      <c r="EQ226" s="7">
        <v>6.7799999999999999E-2</v>
      </c>
      <c r="ER226" s="7">
        <v>6.6400000000000001E-2</v>
      </c>
      <c r="ES226" s="7">
        <v>6.5000000000000002E-2</v>
      </c>
      <c r="ET226" s="7">
        <v>6.3600000000000004E-2</v>
      </c>
      <c r="EU226" s="7">
        <v>6.2199999999999998E-2</v>
      </c>
      <c r="EV226" s="7">
        <v>6.08E-2</v>
      </c>
      <c r="EW226" s="7">
        <v>5.9499999999999997E-2</v>
      </c>
      <c r="EX226" s="7">
        <v>5.8099999999999999E-2</v>
      </c>
      <c r="EY226" s="7">
        <v>5.6800000000000003E-2</v>
      </c>
      <c r="EZ226" s="7">
        <v>5.5399999999999998E-2</v>
      </c>
      <c r="FA226" s="7">
        <v>5.4100000000000002E-2</v>
      </c>
      <c r="FB226" s="7">
        <v>5.28E-2</v>
      </c>
      <c r="FC226" s="7">
        <v>5.1499999999999997E-2</v>
      </c>
      <c r="FE226" s="50">
        <f t="shared" ca="1" si="26"/>
        <v>9.3960293667788325E-2</v>
      </c>
      <c r="FF226" s="50">
        <f t="shared" ca="1" si="27"/>
        <v>9.4674751682153169E-2</v>
      </c>
      <c r="FG226" s="50">
        <f t="shared" ca="1" si="28"/>
        <v>9.5391006711409404E-2</v>
      </c>
      <c r="FH226" s="50">
        <f t="shared" ca="1" si="29"/>
        <v>9.6196375838926179E-2</v>
      </c>
      <c r="FI226" s="50"/>
      <c r="FJ226" s="50"/>
      <c r="FK226" s="50">
        <f t="shared" ca="1" si="25"/>
        <v>9.4674751682153169E-2</v>
      </c>
      <c r="FL226" s="50"/>
      <c r="FM226" s="50"/>
      <c r="FN226" s="50"/>
    </row>
    <row r="227" spans="49:170" hidden="1">
      <c r="AW227" s="112">
        <v>0.28199999999999997</v>
      </c>
      <c r="AX227" s="7">
        <v>0.21299999999999999</v>
      </c>
      <c r="AY227" s="7">
        <v>0.21149999999999999</v>
      </c>
      <c r="AZ227" s="7">
        <v>0.21</v>
      </c>
      <c r="BA227" s="7">
        <v>0.20860000000000001</v>
      </c>
      <c r="BB227" s="7">
        <v>0.2072</v>
      </c>
      <c r="BC227" s="7">
        <v>0.20580000000000001</v>
      </c>
      <c r="BD227" s="7">
        <v>0.2044</v>
      </c>
      <c r="BE227" s="7">
        <v>0.2031</v>
      </c>
      <c r="BF227" s="7">
        <v>0.20180000000000001</v>
      </c>
      <c r="BG227" s="7">
        <v>0.20050000000000001</v>
      </c>
      <c r="BH227" s="7">
        <v>0.1993</v>
      </c>
      <c r="BI227" s="7">
        <v>0.19800000000000001</v>
      </c>
      <c r="BJ227" s="7">
        <v>0.1968</v>
      </c>
      <c r="BK227" s="7">
        <v>0.1956</v>
      </c>
      <c r="BL227" s="7">
        <v>0.19439999999999999</v>
      </c>
      <c r="BM227" s="7">
        <v>0.1933</v>
      </c>
      <c r="BN227" s="7">
        <v>0.19209999999999999</v>
      </c>
      <c r="BO227" s="7">
        <v>0.191</v>
      </c>
      <c r="BP227" s="7">
        <v>0.18990000000000001</v>
      </c>
      <c r="BQ227" s="7">
        <v>0.1888</v>
      </c>
      <c r="BR227" s="7">
        <v>0.18779999999999999</v>
      </c>
      <c r="BS227" s="7">
        <v>0.1867</v>
      </c>
      <c r="BT227" s="7">
        <v>0.1857</v>
      </c>
      <c r="BU227" s="7">
        <v>0.18429999999999999</v>
      </c>
      <c r="BV227" s="7">
        <v>0.18229999999999999</v>
      </c>
      <c r="BW227" s="7">
        <v>0.1804</v>
      </c>
      <c r="BX227" s="7">
        <v>0.17849999999999999</v>
      </c>
      <c r="BY227" s="7">
        <v>0.17660000000000001</v>
      </c>
      <c r="BZ227" s="7">
        <v>0.17480000000000001</v>
      </c>
      <c r="CA227" s="7">
        <v>0.17299999999999999</v>
      </c>
      <c r="CB227" s="7">
        <v>0.17119999999999999</v>
      </c>
      <c r="CC227" s="7">
        <v>0.1694</v>
      </c>
      <c r="CD227" s="7">
        <v>0.1676</v>
      </c>
      <c r="CE227" s="7">
        <v>0.16589999999999999</v>
      </c>
      <c r="CF227" s="7">
        <v>0.1641</v>
      </c>
      <c r="CG227" s="7">
        <v>0.16239999999999999</v>
      </c>
      <c r="CH227" s="7">
        <v>0.16070000000000001</v>
      </c>
      <c r="CI227" s="7">
        <v>0.159</v>
      </c>
      <c r="CJ227" s="7">
        <v>0.15740000000000001</v>
      </c>
      <c r="CK227" s="7">
        <v>0.15570000000000001</v>
      </c>
      <c r="CL227" s="7">
        <v>0.154</v>
      </c>
      <c r="CM227" s="7">
        <v>0.15240000000000001</v>
      </c>
      <c r="CN227" s="7">
        <v>0.15079999999999999</v>
      </c>
      <c r="CO227" s="7">
        <v>0.1492</v>
      </c>
      <c r="CP227" s="7">
        <v>0.14749999999999999</v>
      </c>
      <c r="CQ227" s="7">
        <v>0.1459</v>
      </c>
      <c r="CR227" s="7">
        <v>0.14430000000000001</v>
      </c>
      <c r="CS227" s="7">
        <v>0.14269999999999999</v>
      </c>
      <c r="CT227" s="7">
        <v>0.14119999999999999</v>
      </c>
      <c r="CU227" s="7">
        <v>0.1396</v>
      </c>
      <c r="CV227" s="7">
        <v>0.13800000000000001</v>
      </c>
      <c r="CW227" s="7">
        <v>0.13639999999999999</v>
      </c>
      <c r="CX227" s="7">
        <v>0.1348</v>
      </c>
      <c r="CY227" s="7">
        <v>0.13320000000000001</v>
      </c>
      <c r="CZ227" s="7">
        <v>0.13170000000000001</v>
      </c>
      <c r="DA227" s="7">
        <v>0.13009999999999999</v>
      </c>
      <c r="DB227" s="7">
        <v>0.1285</v>
      </c>
      <c r="DC227" s="7">
        <v>0.12690000000000001</v>
      </c>
      <c r="DD227" s="7">
        <v>0.12529999999999999</v>
      </c>
      <c r="DE227" s="7">
        <v>0.1237</v>
      </c>
      <c r="DF227" s="7">
        <v>0.1221</v>
      </c>
      <c r="DG227" s="7">
        <v>0.1205</v>
      </c>
      <c r="DH227" s="7">
        <v>0.11890000000000001</v>
      </c>
      <c r="DI227" s="7">
        <v>0.1173</v>
      </c>
      <c r="DJ227" s="7">
        <v>0.1157</v>
      </c>
      <c r="DK227" s="7">
        <v>0.114</v>
      </c>
      <c r="DL227" s="7">
        <v>0.1124</v>
      </c>
      <c r="DM227" s="7">
        <v>0.11070000000000001</v>
      </c>
      <c r="DN227" s="7">
        <v>0.1091</v>
      </c>
      <c r="DO227" s="7">
        <v>0.1074</v>
      </c>
      <c r="DP227" s="7">
        <v>0.1057</v>
      </c>
      <c r="DQ227" s="7">
        <v>0.104</v>
      </c>
      <c r="DR227" s="7">
        <v>0.1023</v>
      </c>
      <c r="DS227" s="7">
        <v>0.10059999999999999</v>
      </c>
      <c r="DT227" s="7">
        <v>9.8799999999999999E-2</v>
      </c>
      <c r="DU227" s="7">
        <v>9.7100000000000006E-2</v>
      </c>
      <c r="DV227" s="7">
        <v>9.5299999999999996E-2</v>
      </c>
      <c r="DW227" s="7">
        <v>9.4200000000000006E-2</v>
      </c>
      <c r="DX227" s="7">
        <v>9.2999999999999999E-2</v>
      </c>
      <c r="DY227" s="7">
        <v>9.1800000000000007E-2</v>
      </c>
      <c r="DZ227" s="7">
        <v>9.06E-2</v>
      </c>
      <c r="EA227" s="7">
        <v>8.9399999999999993E-2</v>
      </c>
      <c r="EB227" s="7">
        <v>8.8099999999999998E-2</v>
      </c>
      <c r="EC227" s="7">
        <v>8.6800000000000002E-2</v>
      </c>
      <c r="ED227" s="7">
        <v>8.5500000000000007E-2</v>
      </c>
      <c r="EE227" s="7">
        <v>8.4199999999999997E-2</v>
      </c>
      <c r="EF227" s="7">
        <v>8.2900000000000001E-2</v>
      </c>
      <c r="EG227" s="7">
        <v>8.1600000000000006E-2</v>
      </c>
      <c r="EH227" s="7">
        <v>8.0199999999999994E-2</v>
      </c>
      <c r="EI227" s="7">
        <v>7.8899999999999998E-2</v>
      </c>
      <c r="EJ227" s="7">
        <v>7.7499999999999999E-2</v>
      </c>
      <c r="EK227" s="7">
        <v>7.6100000000000001E-2</v>
      </c>
      <c r="EL227" s="7">
        <v>7.4700000000000003E-2</v>
      </c>
      <c r="EM227" s="7">
        <v>7.3400000000000007E-2</v>
      </c>
      <c r="EN227" s="7">
        <v>7.1999999999999995E-2</v>
      </c>
      <c r="EO227" s="7">
        <v>7.0599999999999996E-2</v>
      </c>
      <c r="EP227" s="7">
        <v>6.9199999999999998E-2</v>
      </c>
      <c r="EQ227" s="7">
        <v>6.7799999999999999E-2</v>
      </c>
      <c r="ER227" s="7">
        <v>6.6400000000000001E-2</v>
      </c>
      <c r="ES227" s="7">
        <v>6.5000000000000002E-2</v>
      </c>
      <c r="ET227" s="7">
        <v>6.3600000000000004E-2</v>
      </c>
      <c r="EU227" s="7">
        <v>6.2199999999999998E-2</v>
      </c>
      <c r="EV227" s="7">
        <v>6.08E-2</v>
      </c>
      <c r="EW227" s="7">
        <v>5.9499999999999997E-2</v>
      </c>
      <c r="EX227" s="7">
        <v>5.8099999999999999E-2</v>
      </c>
      <c r="EY227" s="7">
        <v>5.6800000000000003E-2</v>
      </c>
      <c r="EZ227" s="7">
        <v>5.5399999999999998E-2</v>
      </c>
      <c r="FA227" s="7">
        <v>5.4100000000000002E-2</v>
      </c>
      <c r="FB227" s="7">
        <v>5.28E-2</v>
      </c>
      <c r="FC227" s="7">
        <v>5.1499999999999997E-2</v>
      </c>
      <c r="FE227" s="50">
        <f t="shared" ca="1" si="26"/>
        <v>9.3960293667788325E-2</v>
      </c>
      <c r="FF227" s="50">
        <f t="shared" ca="1" si="27"/>
        <v>9.4674751682153169E-2</v>
      </c>
      <c r="FG227" s="50">
        <f t="shared" ca="1" si="28"/>
        <v>9.5436510067114094E-2</v>
      </c>
      <c r="FH227" s="50">
        <f t="shared" ca="1" si="29"/>
        <v>9.6644563758389285E-2</v>
      </c>
      <c r="FI227" s="50"/>
      <c r="FJ227" s="50"/>
      <c r="FK227" s="50">
        <f t="shared" ca="1" si="25"/>
        <v>9.4674751682153169E-2</v>
      </c>
      <c r="FL227" s="50"/>
      <c r="FM227" s="50"/>
      <c r="FN227" s="50"/>
    </row>
    <row r="228" spans="49:170" hidden="1">
      <c r="AW228" s="112">
        <v>0.30199999999999999</v>
      </c>
      <c r="AX228" s="7">
        <v>0.21299999999999999</v>
      </c>
      <c r="AY228" s="7">
        <v>0.21149999999999999</v>
      </c>
      <c r="AZ228" s="7">
        <v>0.21</v>
      </c>
      <c r="BA228" s="7">
        <v>0.20860000000000001</v>
      </c>
      <c r="BB228" s="7">
        <v>0.2072</v>
      </c>
      <c r="BC228" s="7">
        <v>0.20580000000000001</v>
      </c>
      <c r="BD228" s="7">
        <v>0.2044</v>
      </c>
      <c r="BE228" s="7">
        <v>0.2031</v>
      </c>
      <c r="BF228" s="7">
        <v>0.20180000000000001</v>
      </c>
      <c r="BG228" s="7">
        <v>0.20050000000000001</v>
      </c>
      <c r="BH228" s="7">
        <v>0.1993</v>
      </c>
      <c r="BI228" s="7">
        <v>0.19800000000000001</v>
      </c>
      <c r="BJ228" s="7">
        <v>0.1968</v>
      </c>
      <c r="BK228" s="7">
        <v>0.1956</v>
      </c>
      <c r="BL228" s="7">
        <v>0.19439999999999999</v>
      </c>
      <c r="BM228" s="7">
        <v>0.1933</v>
      </c>
      <c r="BN228" s="7">
        <v>0.19209999999999999</v>
      </c>
      <c r="BO228" s="7">
        <v>0.191</v>
      </c>
      <c r="BP228" s="7">
        <v>0.18990000000000001</v>
      </c>
      <c r="BQ228" s="7">
        <v>0.1888</v>
      </c>
      <c r="BR228" s="7">
        <v>0.18779999999999999</v>
      </c>
      <c r="BS228" s="7">
        <v>0.1867</v>
      </c>
      <c r="BT228" s="7">
        <v>0.1857</v>
      </c>
      <c r="BU228" s="7">
        <v>0.18459999999999999</v>
      </c>
      <c r="BV228" s="7">
        <v>0.1835</v>
      </c>
      <c r="BW228" s="7">
        <v>0.18149999999999999</v>
      </c>
      <c r="BX228" s="7">
        <v>0.17960000000000001</v>
      </c>
      <c r="BY228" s="7">
        <v>0.17780000000000001</v>
      </c>
      <c r="BZ228" s="7">
        <v>0.1759</v>
      </c>
      <c r="CA228" s="7">
        <v>0.1741</v>
      </c>
      <c r="CB228" s="7">
        <v>0.17230000000000001</v>
      </c>
      <c r="CC228" s="7">
        <v>0.17050000000000001</v>
      </c>
      <c r="CD228" s="7">
        <v>0.16869999999999999</v>
      </c>
      <c r="CE228" s="7">
        <v>0.16689999999999999</v>
      </c>
      <c r="CF228" s="7">
        <v>0.16520000000000001</v>
      </c>
      <c r="CG228" s="7">
        <v>0.16350000000000001</v>
      </c>
      <c r="CH228" s="7">
        <v>0.1618</v>
      </c>
      <c r="CI228" s="7">
        <v>0.16009999999999999</v>
      </c>
      <c r="CJ228" s="7">
        <v>0.15840000000000001</v>
      </c>
      <c r="CK228" s="7">
        <v>0.15679999999999999</v>
      </c>
      <c r="CL228" s="7">
        <v>0.15509999999999999</v>
      </c>
      <c r="CM228" s="7">
        <v>0.1535</v>
      </c>
      <c r="CN228" s="7">
        <v>0.15179999999999999</v>
      </c>
      <c r="CO228" s="7">
        <v>0.1502</v>
      </c>
      <c r="CP228" s="7">
        <v>0.14860000000000001</v>
      </c>
      <c r="CQ228" s="7">
        <v>0.14699999999999999</v>
      </c>
      <c r="CR228" s="7">
        <v>0.1454</v>
      </c>
      <c r="CS228" s="7">
        <v>0.14380000000000001</v>
      </c>
      <c r="CT228" s="7">
        <v>0.14219999999999999</v>
      </c>
      <c r="CU228" s="7">
        <v>0.1406</v>
      </c>
      <c r="CV228" s="7">
        <v>0.13900000000000001</v>
      </c>
      <c r="CW228" s="7">
        <v>0.13739999999999999</v>
      </c>
      <c r="CX228" s="7">
        <v>0.1358</v>
      </c>
      <c r="CY228" s="7">
        <v>0.1343</v>
      </c>
      <c r="CZ228" s="7">
        <v>0.13270000000000001</v>
      </c>
      <c r="DA228" s="7">
        <v>0.13109999999999999</v>
      </c>
      <c r="DB228" s="7">
        <v>0.1295</v>
      </c>
      <c r="DC228" s="7">
        <v>0.12790000000000001</v>
      </c>
      <c r="DD228" s="7">
        <v>0.1263</v>
      </c>
      <c r="DE228" s="7">
        <v>0.12470000000000001</v>
      </c>
      <c r="DF228" s="7">
        <v>0.1231</v>
      </c>
      <c r="DG228" s="7">
        <v>0.1215</v>
      </c>
      <c r="DH228" s="7">
        <v>0.11990000000000001</v>
      </c>
      <c r="DI228" s="7">
        <v>0.1183</v>
      </c>
      <c r="DJ228" s="7">
        <v>0.1166</v>
      </c>
      <c r="DK228" s="7">
        <v>0.115</v>
      </c>
      <c r="DL228" s="7">
        <v>0.1133</v>
      </c>
      <c r="DM228" s="7">
        <v>0.11169999999999999</v>
      </c>
      <c r="DN228" s="7">
        <v>0.11</v>
      </c>
      <c r="DO228" s="7">
        <v>0.10829999999999999</v>
      </c>
      <c r="DP228" s="7">
        <v>0.1066</v>
      </c>
      <c r="DQ228" s="7">
        <v>0.10489999999999999</v>
      </c>
      <c r="DR228" s="7">
        <v>0.1032</v>
      </c>
      <c r="DS228" s="7">
        <v>0.10150000000000001</v>
      </c>
      <c r="DT228" s="7">
        <v>9.98E-2</v>
      </c>
      <c r="DU228" s="7">
        <v>9.8000000000000004E-2</v>
      </c>
      <c r="DV228" s="7">
        <v>9.6299999999999997E-2</v>
      </c>
      <c r="DW228" s="7">
        <v>9.4500000000000001E-2</v>
      </c>
      <c r="DX228" s="7">
        <v>9.2999999999999999E-2</v>
      </c>
      <c r="DY228" s="7">
        <v>9.1800000000000007E-2</v>
      </c>
      <c r="DZ228" s="7">
        <v>9.06E-2</v>
      </c>
      <c r="EA228" s="7">
        <v>8.9399999999999993E-2</v>
      </c>
      <c r="EB228" s="7">
        <v>8.8099999999999998E-2</v>
      </c>
      <c r="EC228" s="7">
        <v>8.6800000000000002E-2</v>
      </c>
      <c r="ED228" s="7">
        <v>8.5500000000000007E-2</v>
      </c>
      <c r="EE228" s="7">
        <v>8.4199999999999997E-2</v>
      </c>
      <c r="EF228" s="7">
        <v>8.2900000000000001E-2</v>
      </c>
      <c r="EG228" s="7">
        <v>8.1600000000000006E-2</v>
      </c>
      <c r="EH228" s="7">
        <v>8.0199999999999994E-2</v>
      </c>
      <c r="EI228" s="7">
        <v>7.8899999999999998E-2</v>
      </c>
      <c r="EJ228" s="7">
        <v>7.7499999999999999E-2</v>
      </c>
      <c r="EK228" s="7">
        <v>7.6100000000000001E-2</v>
      </c>
      <c r="EL228" s="7">
        <v>7.4700000000000003E-2</v>
      </c>
      <c r="EM228" s="7">
        <v>7.3400000000000007E-2</v>
      </c>
      <c r="EN228" s="7">
        <v>7.1999999999999995E-2</v>
      </c>
      <c r="EO228" s="7">
        <v>7.0599999999999996E-2</v>
      </c>
      <c r="EP228" s="7">
        <v>6.9199999999999998E-2</v>
      </c>
      <c r="EQ228" s="7">
        <v>6.7799999999999999E-2</v>
      </c>
      <c r="ER228" s="7">
        <v>6.6400000000000001E-2</v>
      </c>
      <c r="ES228" s="7">
        <v>6.5000000000000002E-2</v>
      </c>
      <c r="ET228" s="7">
        <v>6.3600000000000004E-2</v>
      </c>
      <c r="EU228" s="7">
        <v>6.2199999999999998E-2</v>
      </c>
      <c r="EV228" s="7">
        <v>6.08E-2</v>
      </c>
      <c r="EW228" s="7">
        <v>5.9499999999999997E-2</v>
      </c>
      <c r="EX228" s="7">
        <v>5.8099999999999999E-2</v>
      </c>
      <c r="EY228" s="7">
        <v>5.6800000000000003E-2</v>
      </c>
      <c r="EZ228" s="7">
        <v>5.5399999999999998E-2</v>
      </c>
      <c r="FA228" s="7">
        <v>5.4100000000000002E-2</v>
      </c>
      <c r="FB228" s="7">
        <v>5.28E-2</v>
      </c>
      <c r="FC228" s="7">
        <v>5.1499999999999997E-2</v>
      </c>
      <c r="FE228" s="50">
        <f t="shared" ca="1" si="26"/>
        <v>9.4200367084735379E-2</v>
      </c>
      <c r="FF228" s="50">
        <f t="shared" ca="1" si="27"/>
        <v>9.5276866388977879E-2</v>
      </c>
      <c r="FG228" s="50">
        <f t="shared" ca="1" si="28"/>
        <v>9.6428926174496651E-2</v>
      </c>
      <c r="FH228" s="50">
        <f t="shared" ca="1" si="29"/>
        <v>9.7569865771812092E-2</v>
      </c>
      <c r="FI228" s="50"/>
      <c r="FJ228" s="50"/>
      <c r="FK228" s="50">
        <f t="shared" ca="1" si="25"/>
        <v>9.5276866388977879E-2</v>
      </c>
      <c r="FL228" s="50"/>
      <c r="FM228" s="50"/>
      <c r="FN228" s="50"/>
    </row>
    <row r="229" spans="49:170" hidden="1">
      <c r="AW229" s="112">
        <v>0.32400000000000001</v>
      </c>
      <c r="AX229" s="7">
        <v>0.21299999999999999</v>
      </c>
      <c r="AY229" s="7">
        <v>0.21149999999999999</v>
      </c>
      <c r="AZ229" s="7">
        <v>0.21</v>
      </c>
      <c r="BA229" s="7">
        <v>0.20860000000000001</v>
      </c>
      <c r="BB229" s="7">
        <v>0.2072</v>
      </c>
      <c r="BC229" s="7">
        <v>0.20580000000000001</v>
      </c>
      <c r="BD229" s="7">
        <v>0.2044</v>
      </c>
      <c r="BE229" s="7">
        <v>0.2031</v>
      </c>
      <c r="BF229" s="7">
        <v>0.20180000000000001</v>
      </c>
      <c r="BG229" s="7">
        <v>0.20050000000000001</v>
      </c>
      <c r="BH229" s="7">
        <v>0.1993</v>
      </c>
      <c r="BI229" s="7">
        <v>0.19800000000000001</v>
      </c>
      <c r="BJ229" s="7">
        <v>0.1968</v>
      </c>
      <c r="BK229" s="7">
        <v>0.1956</v>
      </c>
      <c r="BL229" s="7">
        <v>0.19439999999999999</v>
      </c>
      <c r="BM229" s="7">
        <v>0.1933</v>
      </c>
      <c r="BN229" s="7">
        <v>0.19209999999999999</v>
      </c>
      <c r="BO229" s="7">
        <v>0.191</v>
      </c>
      <c r="BP229" s="7">
        <v>0.18990000000000001</v>
      </c>
      <c r="BQ229" s="7">
        <v>0.1888</v>
      </c>
      <c r="BR229" s="7">
        <v>0.18779999999999999</v>
      </c>
      <c r="BS229" s="7">
        <v>0.1867</v>
      </c>
      <c r="BT229" s="7">
        <v>0.1857</v>
      </c>
      <c r="BU229" s="7">
        <v>0.18459999999999999</v>
      </c>
      <c r="BV229" s="7">
        <v>0.18360000000000001</v>
      </c>
      <c r="BW229" s="7">
        <v>0.18260000000000001</v>
      </c>
      <c r="BX229" s="7">
        <v>0.1807</v>
      </c>
      <c r="BY229" s="7">
        <v>0.1789</v>
      </c>
      <c r="BZ229" s="7">
        <v>0.17699999999999999</v>
      </c>
      <c r="CA229" s="7">
        <v>0.17519999999999999</v>
      </c>
      <c r="CB229" s="7">
        <v>0.17330000000000001</v>
      </c>
      <c r="CC229" s="7">
        <v>0.1716</v>
      </c>
      <c r="CD229" s="7">
        <v>0.16980000000000001</v>
      </c>
      <c r="CE229" s="7">
        <v>0.16800000000000001</v>
      </c>
      <c r="CF229" s="7">
        <v>0.1663</v>
      </c>
      <c r="CG229" s="7">
        <v>0.1646</v>
      </c>
      <c r="CH229" s="7">
        <v>0.16289999999999999</v>
      </c>
      <c r="CI229" s="7">
        <v>0.16120000000000001</v>
      </c>
      <c r="CJ229" s="7">
        <v>0.1595</v>
      </c>
      <c r="CK229" s="7">
        <v>0.1578</v>
      </c>
      <c r="CL229" s="7">
        <v>0.15620000000000001</v>
      </c>
      <c r="CM229" s="7">
        <v>0.1545</v>
      </c>
      <c r="CN229" s="7">
        <v>0.15290000000000001</v>
      </c>
      <c r="CO229" s="7">
        <v>0.1512</v>
      </c>
      <c r="CP229" s="7">
        <v>0.14960000000000001</v>
      </c>
      <c r="CQ229" s="7">
        <v>0.14799999999999999</v>
      </c>
      <c r="CR229" s="7">
        <v>0.1464</v>
      </c>
      <c r="CS229" s="7">
        <v>0.14480000000000001</v>
      </c>
      <c r="CT229" s="7">
        <v>0.14319999999999999</v>
      </c>
      <c r="CU229" s="7">
        <v>0.1416</v>
      </c>
      <c r="CV229" s="7">
        <v>0.14000000000000001</v>
      </c>
      <c r="CW229" s="7">
        <v>0.1384</v>
      </c>
      <c r="CX229" s="7">
        <v>0.13689999999999999</v>
      </c>
      <c r="CY229" s="7">
        <v>0.1353</v>
      </c>
      <c r="CZ229" s="7">
        <v>0.13370000000000001</v>
      </c>
      <c r="DA229" s="7">
        <v>0.1321</v>
      </c>
      <c r="DB229" s="7">
        <v>0.1305</v>
      </c>
      <c r="DC229" s="7">
        <v>0.12889999999999999</v>
      </c>
      <c r="DD229" s="7">
        <v>0.1273</v>
      </c>
      <c r="DE229" s="7">
        <v>0.12570000000000001</v>
      </c>
      <c r="DF229" s="7">
        <v>0.1241</v>
      </c>
      <c r="DG229" s="7">
        <v>0.1225</v>
      </c>
      <c r="DH229" s="7">
        <v>0.12089999999999999</v>
      </c>
      <c r="DI229" s="7">
        <v>0.1192</v>
      </c>
      <c r="DJ229" s="7">
        <v>0.1176</v>
      </c>
      <c r="DK229" s="7">
        <v>0.11600000000000001</v>
      </c>
      <c r="DL229" s="7">
        <v>0.1143</v>
      </c>
      <c r="DM229" s="7">
        <v>0.11260000000000001</v>
      </c>
      <c r="DN229" s="7">
        <v>0.111</v>
      </c>
      <c r="DO229" s="7">
        <v>0.10929999999999999</v>
      </c>
      <c r="DP229" s="7">
        <v>0.1076</v>
      </c>
      <c r="DQ229" s="7">
        <v>0.10589999999999999</v>
      </c>
      <c r="DR229" s="7">
        <v>0.1042</v>
      </c>
      <c r="DS229" s="7">
        <v>0.1024</v>
      </c>
      <c r="DT229" s="7">
        <v>0.1007</v>
      </c>
      <c r="DU229" s="7">
        <v>9.8900000000000002E-2</v>
      </c>
      <c r="DV229" s="7">
        <v>9.7199999999999995E-2</v>
      </c>
      <c r="DW229" s="7">
        <v>9.5399999999999999E-2</v>
      </c>
      <c r="DX229" s="7">
        <v>9.3600000000000003E-2</v>
      </c>
      <c r="DY229" s="7">
        <v>9.1800000000000007E-2</v>
      </c>
      <c r="DZ229" s="7">
        <v>9.06E-2</v>
      </c>
      <c r="EA229" s="7">
        <v>8.9399999999999993E-2</v>
      </c>
      <c r="EB229" s="7">
        <v>8.8099999999999998E-2</v>
      </c>
      <c r="EC229" s="7">
        <v>8.6800000000000002E-2</v>
      </c>
      <c r="ED229" s="7">
        <v>8.5500000000000007E-2</v>
      </c>
      <c r="EE229" s="7">
        <v>8.4199999999999997E-2</v>
      </c>
      <c r="EF229" s="7">
        <v>8.2900000000000001E-2</v>
      </c>
      <c r="EG229" s="7">
        <v>8.1600000000000006E-2</v>
      </c>
      <c r="EH229" s="7">
        <v>8.0199999999999994E-2</v>
      </c>
      <c r="EI229" s="7">
        <v>7.8899999999999998E-2</v>
      </c>
      <c r="EJ229" s="7">
        <v>7.7499999999999999E-2</v>
      </c>
      <c r="EK229" s="7">
        <v>7.6100000000000001E-2</v>
      </c>
      <c r="EL229" s="7">
        <v>7.4700000000000003E-2</v>
      </c>
      <c r="EM229" s="7">
        <v>7.3400000000000007E-2</v>
      </c>
      <c r="EN229" s="7">
        <v>7.1999999999999995E-2</v>
      </c>
      <c r="EO229" s="7">
        <v>7.0599999999999996E-2</v>
      </c>
      <c r="EP229" s="7">
        <v>6.9199999999999998E-2</v>
      </c>
      <c r="EQ229" s="7">
        <v>6.7799999999999999E-2</v>
      </c>
      <c r="ER229" s="7">
        <v>6.6400000000000001E-2</v>
      </c>
      <c r="ES229" s="7">
        <v>6.5000000000000002E-2</v>
      </c>
      <c r="ET229" s="7">
        <v>6.3600000000000004E-2</v>
      </c>
      <c r="EU229" s="7">
        <v>6.2199999999999998E-2</v>
      </c>
      <c r="EV229" s="7">
        <v>6.08E-2</v>
      </c>
      <c r="EW229" s="7">
        <v>5.9499999999999997E-2</v>
      </c>
      <c r="EX229" s="7">
        <v>5.8099999999999999E-2</v>
      </c>
      <c r="EY229" s="7">
        <v>5.6800000000000003E-2</v>
      </c>
      <c r="EZ229" s="7">
        <v>5.5399999999999998E-2</v>
      </c>
      <c r="FA229" s="7">
        <v>5.4100000000000002E-2</v>
      </c>
      <c r="FB229" s="7">
        <v>5.28E-2</v>
      </c>
      <c r="FC229" s="7">
        <v>5.1499999999999997E-2</v>
      </c>
      <c r="FE229" s="50">
        <f t="shared" ca="1" si="26"/>
        <v>9.5040440501682477E-2</v>
      </c>
      <c r="FF229" s="50">
        <f t="shared" ca="1" si="27"/>
        <v>9.6176866388977891E-2</v>
      </c>
      <c r="FG229" s="50">
        <f t="shared" ca="1" si="28"/>
        <v>9.7328926174496636E-2</v>
      </c>
      <c r="FH229" s="50">
        <f t="shared" ca="1" si="29"/>
        <v>9.8469865771812076E-2</v>
      </c>
      <c r="FI229" s="50"/>
      <c r="FJ229" s="50"/>
      <c r="FK229" s="50">
        <f t="shared" ca="1" si="25"/>
        <v>9.6176866388977891E-2</v>
      </c>
      <c r="FL229" s="50"/>
      <c r="FM229" s="50"/>
      <c r="FN229" s="50"/>
    </row>
    <row r="230" spans="49:170" hidden="1">
      <c r="AW230" s="112">
        <v>0.34699999999999998</v>
      </c>
      <c r="AX230" s="7">
        <v>0.21299999999999999</v>
      </c>
      <c r="AY230" s="7">
        <v>0.21149999999999999</v>
      </c>
      <c r="AZ230" s="7">
        <v>0.21</v>
      </c>
      <c r="BA230" s="7">
        <v>0.20860000000000001</v>
      </c>
      <c r="BB230" s="7">
        <v>0.2072</v>
      </c>
      <c r="BC230" s="7">
        <v>0.20580000000000001</v>
      </c>
      <c r="BD230" s="7">
        <v>0.2044</v>
      </c>
      <c r="BE230" s="7">
        <v>0.2031</v>
      </c>
      <c r="BF230" s="7">
        <v>0.20180000000000001</v>
      </c>
      <c r="BG230" s="7">
        <v>0.20050000000000001</v>
      </c>
      <c r="BH230" s="7">
        <v>0.1993</v>
      </c>
      <c r="BI230" s="7">
        <v>0.19800000000000001</v>
      </c>
      <c r="BJ230" s="7">
        <v>0.1968</v>
      </c>
      <c r="BK230" s="7">
        <v>0.1956</v>
      </c>
      <c r="BL230" s="7">
        <v>0.19439999999999999</v>
      </c>
      <c r="BM230" s="7">
        <v>0.1933</v>
      </c>
      <c r="BN230" s="7">
        <v>0.19209999999999999</v>
      </c>
      <c r="BO230" s="7">
        <v>0.191</v>
      </c>
      <c r="BP230" s="7">
        <v>0.18990000000000001</v>
      </c>
      <c r="BQ230" s="7">
        <v>0.1888</v>
      </c>
      <c r="BR230" s="7">
        <v>0.18779999999999999</v>
      </c>
      <c r="BS230" s="7">
        <v>0.1867</v>
      </c>
      <c r="BT230" s="7">
        <v>0.1857</v>
      </c>
      <c r="BU230" s="7">
        <v>0.18459999999999999</v>
      </c>
      <c r="BV230" s="7">
        <v>0.18360000000000001</v>
      </c>
      <c r="BW230" s="7">
        <v>0.18260000000000001</v>
      </c>
      <c r="BX230" s="7">
        <v>0.18160000000000001</v>
      </c>
      <c r="BY230" s="7">
        <v>0.1799</v>
      </c>
      <c r="BZ230" s="7">
        <v>0.17810000000000001</v>
      </c>
      <c r="CA230" s="7">
        <v>0.1762</v>
      </c>
      <c r="CB230" s="7">
        <v>0.1744</v>
      </c>
      <c r="CC230" s="7">
        <v>0.1726</v>
      </c>
      <c r="CD230" s="7">
        <v>0.17080000000000001</v>
      </c>
      <c r="CE230" s="7">
        <v>0.1691</v>
      </c>
      <c r="CF230" s="7">
        <v>0.1673</v>
      </c>
      <c r="CG230" s="7">
        <v>0.1656</v>
      </c>
      <c r="CH230" s="7">
        <v>0.16389999999999999</v>
      </c>
      <c r="CI230" s="7">
        <v>0.16220000000000001</v>
      </c>
      <c r="CJ230" s="7">
        <v>0.1605</v>
      </c>
      <c r="CK230" s="7">
        <v>0.1588</v>
      </c>
      <c r="CL230" s="7">
        <v>0.15720000000000001</v>
      </c>
      <c r="CM230" s="7">
        <v>0.1555</v>
      </c>
      <c r="CN230" s="7">
        <v>0.15390000000000001</v>
      </c>
      <c r="CO230" s="7">
        <v>0.15229999999999999</v>
      </c>
      <c r="CP230" s="7">
        <v>0.15060000000000001</v>
      </c>
      <c r="CQ230" s="7">
        <v>0.14899999999999999</v>
      </c>
      <c r="CR230" s="7">
        <v>0.1474</v>
      </c>
      <c r="CS230" s="7">
        <v>0.14580000000000001</v>
      </c>
      <c r="CT230" s="7">
        <v>0.14419999999999999</v>
      </c>
      <c r="CU230" s="7">
        <v>0.1426</v>
      </c>
      <c r="CV230" s="7">
        <v>0.14099999999999999</v>
      </c>
      <c r="CW230" s="7">
        <v>0.1394</v>
      </c>
      <c r="CX230" s="7">
        <v>0.13780000000000001</v>
      </c>
      <c r="CY230" s="7">
        <v>0.1363</v>
      </c>
      <c r="CZ230" s="7">
        <v>0.13469999999999999</v>
      </c>
      <c r="DA230" s="7">
        <v>0.1331</v>
      </c>
      <c r="DB230" s="7">
        <v>0.13150000000000001</v>
      </c>
      <c r="DC230" s="7">
        <v>0.12989999999999999</v>
      </c>
      <c r="DD230" s="7">
        <v>0.1283</v>
      </c>
      <c r="DE230" s="7">
        <v>0.12670000000000001</v>
      </c>
      <c r="DF230" s="7">
        <v>0.12509999999999999</v>
      </c>
      <c r="DG230" s="7">
        <v>0.1235</v>
      </c>
      <c r="DH230" s="7">
        <v>0.12180000000000001</v>
      </c>
      <c r="DI230" s="7">
        <v>0.1202</v>
      </c>
      <c r="DJ230" s="7">
        <v>0.1186</v>
      </c>
      <c r="DK230" s="7">
        <v>0.1169</v>
      </c>
      <c r="DL230" s="7">
        <v>0.1153</v>
      </c>
      <c r="DM230" s="7">
        <v>0.11360000000000001</v>
      </c>
      <c r="DN230" s="7">
        <v>0.1119</v>
      </c>
      <c r="DO230" s="7">
        <v>0.11020000000000001</v>
      </c>
      <c r="DP230" s="7">
        <v>0.1085</v>
      </c>
      <c r="DQ230" s="7">
        <v>0.10680000000000001</v>
      </c>
      <c r="DR230" s="7">
        <v>0.1051</v>
      </c>
      <c r="DS230" s="7">
        <v>0.10340000000000001</v>
      </c>
      <c r="DT230" s="7">
        <v>0.1016</v>
      </c>
      <c r="DU230" s="7">
        <v>9.9900000000000003E-2</v>
      </c>
      <c r="DV230" s="7">
        <v>9.8100000000000007E-2</v>
      </c>
      <c r="DW230" s="7">
        <v>9.6299999999999997E-2</v>
      </c>
      <c r="DX230" s="7">
        <v>9.4500000000000001E-2</v>
      </c>
      <c r="DY230" s="7">
        <v>9.2700000000000005E-2</v>
      </c>
      <c r="DZ230" s="7">
        <v>9.0899999999999995E-2</v>
      </c>
      <c r="EA230" s="7">
        <v>8.9399999999999993E-2</v>
      </c>
      <c r="EB230" s="7">
        <v>8.8099999999999998E-2</v>
      </c>
      <c r="EC230" s="7">
        <v>8.6800000000000002E-2</v>
      </c>
      <c r="ED230" s="7">
        <v>8.5500000000000007E-2</v>
      </c>
      <c r="EE230" s="7">
        <v>8.4199999999999997E-2</v>
      </c>
      <c r="EF230" s="7">
        <v>8.2900000000000001E-2</v>
      </c>
      <c r="EG230" s="7">
        <v>8.1600000000000006E-2</v>
      </c>
      <c r="EH230" s="7">
        <v>8.0199999999999994E-2</v>
      </c>
      <c r="EI230" s="7">
        <v>7.8899999999999998E-2</v>
      </c>
      <c r="EJ230" s="7">
        <v>7.7499999999999999E-2</v>
      </c>
      <c r="EK230" s="7">
        <v>7.6100000000000001E-2</v>
      </c>
      <c r="EL230" s="7">
        <v>7.4700000000000003E-2</v>
      </c>
      <c r="EM230" s="7">
        <v>7.3400000000000007E-2</v>
      </c>
      <c r="EN230" s="7">
        <v>7.1999999999999995E-2</v>
      </c>
      <c r="EO230" s="7">
        <v>7.0599999999999996E-2</v>
      </c>
      <c r="EP230" s="7">
        <v>6.9199999999999998E-2</v>
      </c>
      <c r="EQ230" s="7">
        <v>6.7799999999999999E-2</v>
      </c>
      <c r="ER230" s="7">
        <v>6.6400000000000001E-2</v>
      </c>
      <c r="ES230" s="7">
        <v>6.5000000000000002E-2</v>
      </c>
      <c r="ET230" s="7">
        <v>6.3600000000000004E-2</v>
      </c>
      <c r="EU230" s="7">
        <v>6.2199999999999998E-2</v>
      </c>
      <c r="EV230" s="7">
        <v>6.08E-2</v>
      </c>
      <c r="EW230" s="7">
        <v>5.9499999999999997E-2</v>
      </c>
      <c r="EX230" s="7">
        <v>5.8099999999999999E-2</v>
      </c>
      <c r="EY230" s="7">
        <v>5.6800000000000003E-2</v>
      </c>
      <c r="EZ230" s="7">
        <v>5.5399999999999998E-2</v>
      </c>
      <c r="FA230" s="7">
        <v>5.4100000000000002E-2</v>
      </c>
      <c r="FB230" s="7">
        <v>5.28E-2</v>
      </c>
      <c r="FC230" s="7">
        <v>5.1499999999999997E-2</v>
      </c>
      <c r="FE230" s="50">
        <f t="shared" ca="1" si="26"/>
        <v>9.5940440501682461E-2</v>
      </c>
      <c r="FF230" s="50">
        <f t="shared" ca="1" si="27"/>
        <v>9.7076866388977903E-2</v>
      </c>
      <c r="FG230" s="50">
        <f t="shared" ca="1" si="28"/>
        <v>9.8236510067114091E-2</v>
      </c>
      <c r="FH230" s="50">
        <f t="shared" ca="1" si="29"/>
        <v>9.9444563758389268E-2</v>
      </c>
      <c r="FI230" s="50"/>
      <c r="FJ230" s="50"/>
      <c r="FK230" s="50">
        <f t="shared" ca="1" si="25"/>
        <v>9.7076866388977903E-2</v>
      </c>
      <c r="FL230" s="50"/>
      <c r="FM230" s="50"/>
      <c r="FN230" s="50"/>
    </row>
    <row r="231" spans="49:170" hidden="1">
      <c r="AW231" s="112">
        <v>0.372</v>
      </c>
      <c r="AX231" s="7">
        <v>0.21299999999999999</v>
      </c>
      <c r="AY231" s="7">
        <v>0.21149999999999999</v>
      </c>
      <c r="AZ231" s="7">
        <v>0.21</v>
      </c>
      <c r="BA231" s="7">
        <v>0.20860000000000001</v>
      </c>
      <c r="BB231" s="7">
        <v>0.2072</v>
      </c>
      <c r="BC231" s="7">
        <v>0.20580000000000001</v>
      </c>
      <c r="BD231" s="7">
        <v>0.2044</v>
      </c>
      <c r="BE231" s="7">
        <v>0.2031</v>
      </c>
      <c r="BF231" s="7">
        <v>0.20180000000000001</v>
      </c>
      <c r="BG231" s="7">
        <v>0.20050000000000001</v>
      </c>
      <c r="BH231" s="7">
        <v>0.1993</v>
      </c>
      <c r="BI231" s="7">
        <v>0.19800000000000001</v>
      </c>
      <c r="BJ231" s="7">
        <v>0.1968</v>
      </c>
      <c r="BK231" s="7">
        <v>0.1956</v>
      </c>
      <c r="BL231" s="7">
        <v>0.19439999999999999</v>
      </c>
      <c r="BM231" s="7">
        <v>0.1933</v>
      </c>
      <c r="BN231" s="7">
        <v>0.19209999999999999</v>
      </c>
      <c r="BO231" s="7">
        <v>0.191</v>
      </c>
      <c r="BP231" s="7">
        <v>0.18990000000000001</v>
      </c>
      <c r="BQ231" s="7">
        <v>0.1888</v>
      </c>
      <c r="BR231" s="7">
        <v>0.18779999999999999</v>
      </c>
      <c r="BS231" s="7">
        <v>0.1867</v>
      </c>
      <c r="BT231" s="7">
        <v>0.1857</v>
      </c>
      <c r="BU231" s="7">
        <v>0.18459999999999999</v>
      </c>
      <c r="BV231" s="7">
        <v>0.18360000000000001</v>
      </c>
      <c r="BW231" s="7">
        <v>0.18260000000000001</v>
      </c>
      <c r="BX231" s="7">
        <v>0.18160000000000001</v>
      </c>
      <c r="BY231" s="7">
        <v>0.1807</v>
      </c>
      <c r="BZ231" s="7">
        <v>0.1792</v>
      </c>
      <c r="CA231" s="7">
        <v>0.17730000000000001</v>
      </c>
      <c r="CB231" s="7">
        <v>0.17549999999999999</v>
      </c>
      <c r="CC231" s="7">
        <v>0.17369999999999999</v>
      </c>
      <c r="CD231" s="7">
        <v>0.1719</v>
      </c>
      <c r="CE231" s="7">
        <v>0.1701</v>
      </c>
      <c r="CF231" s="7">
        <v>0.16839999999999999</v>
      </c>
      <c r="CG231" s="7">
        <v>0.16669999999999999</v>
      </c>
      <c r="CH231" s="7">
        <v>0.16489999999999999</v>
      </c>
      <c r="CI231" s="7">
        <v>0.16320000000000001</v>
      </c>
      <c r="CJ231" s="7">
        <v>0.16159999999999999</v>
      </c>
      <c r="CK231" s="7">
        <v>0.15989999999999999</v>
      </c>
      <c r="CL231" s="7">
        <v>0.15820000000000001</v>
      </c>
      <c r="CM231" s="7">
        <v>0.15659999999999999</v>
      </c>
      <c r="CN231" s="7">
        <v>0.15490000000000001</v>
      </c>
      <c r="CO231" s="7">
        <v>0.15329999999999999</v>
      </c>
      <c r="CP231" s="7">
        <v>0.1517</v>
      </c>
      <c r="CQ231" s="7">
        <v>0.15</v>
      </c>
      <c r="CR231" s="7">
        <v>0.1484</v>
      </c>
      <c r="CS231" s="7">
        <v>0.14680000000000001</v>
      </c>
      <c r="CT231" s="7">
        <v>0.1452</v>
      </c>
      <c r="CU231" s="7">
        <v>0.14360000000000001</v>
      </c>
      <c r="CV231" s="7">
        <v>0.14199999999999999</v>
      </c>
      <c r="CW231" s="7">
        <v>0.1404</v>
      </c>
      <c r="CX231" s="7">
        <v>0.13880000000000001</v>
      </c>
      <c r="CY231" s="7">
        <v>0.13719999999999999</v>
      </c>
      <c r="CZ231" s="7">
        <v>0.1356</v>
      </c>
      <c r="DA231" s="7">
        <v>0.1341</v>
      </c>
      <c r="DB231" s="7">
        <v>0.13250000000000001</v>
      </c>
      <c r="DC231" s="7">
        <v>0.13089999999999999</v>
      </c>
      <c r="DD231" s="7">
        <v>0.12920000000000001</v>
      </c>
      <c r="DE231" s="7">
        <v>0.12759999999999999</v>
      </c>
      <c r="DF231" s="7">
        <v>0.126</v>
      </c>
      <c r="DG231" s="7">
        <v>0.1244</v>
      </c>
      <c r="DH231" s="7">
        <v>0.12280000000000001</v>
      </c>
      <c r="DI231" s="7">
        <v>0.1211</v>
      </c>
      <c r="DJ231" s="7">
        <v>0.1195</v>
      </c>
      <c r="DK231" s="7">
        <v>0.1179</v>
      </c>
      <c r="DL231" s="7">
        <v>0.1162</v>
      </c>
      <c r="DM231" s="7">
        <v>0.1145</v>
      </c>
      <c r="DN231" s="7">
        <v>0.1128</v>
      </c>
      <c r="DO231" s="7">
        <v>0.11119999999999999</v>
      </c>
      <c r="DP231" s="7">
        <v>0.1094</v>
      </c>
      <c r="DQ231" s="7">
        <v>0.1077</v>
      </c>
      <c r="DR231" s="7">
        <v>0.106</v>
      </c>
      <c r="DS231" s="7">
        <v>0.1043</v>
      </c>
      <c r="DT231" s="7">
        <v>0.10249999999999999</v>
      </c>
      <c r="DU231" s="7">
        <v>0.1008</v>
      </c>
      <c r="DV231" s="7">
        <v>9.9000000000000005E-2</v>
      </c>
      <c r="DW231" s="7">
        <v>9.7199999999999995E-2</v>
      </c>
      <c r="DX231" s="7">
        <v>9.5399999999999999E-2</v>
      </c>
      <c r="DY231" s="7">
        <v>9.3600000000000003E-2</v>
      </c>
      <c r="DZ231" s="7">
        <v>9.1800000000000007E-2</v>
      </c>
      <c r="EA231" s="7">
        <v>0.09</v>
      </c>
      <c r="EB231" s="7">
        <v>8.8099999999999998E-2</v>
      </c>
      <c r="EC231" s="7">
        <v>8.6800000000000002E-2</v>
      </c>
      <c r="ED231" s="7">
        <v>8.5500000000000007E-2</v>
      </c>
      <c r="EE231" s="7">
        <v>8.4199999999999997E-2</v>
      </c>
      <c r="EF231" s="7">
        <v>8.2900000000000001E-2</v>
      </c>
      <c r="EG231" s="7">
        <v>8.1600000000000006E-2</v>
      </c>
      <c r="EH231" s="7">
        <v>8.0199999999999994E-2</v>
      </c>
      <c r="EI231" s="7">
        <v>7.8899999999999998E-2</v>
      </c>
      <c r="EJ231" s="7">
        <v>7.7499999999999999E-2</v>
      </c>
      <c r="EK231" s="7">
        <v>7.6100000000000001E-2</v>
      </c>
      <c r="EL231" s="7">
        <v>7.4700000000000003E-2</v>
      </c>
      <c r="EM231" s="7">
        <v>7.3400000000000007E-2</v>
      </c>
      <c r="EN231" s="7">
        <v>7.1999999999999995E-2</v>
      </c>
      <c r="EO231" s="7">
        <v>7.0599999999999996E-2</v>
      </c>
      <c r="EP231" s="7">
        <v>6.9199999999999998E-2</v>
      </c>
      <c r="EQ231" s="7">
        <v>6.7799999999999999E-2</v>
      </c>
      <c r="ER231" s="7">
        <v>6.6400000000000001E-2</v>
      </c>
      <c r="ES231" s="7">
        <v>6.5000000000000002E-2</v>
      </c>
      <c r="ET231" s="7">
        <v>6.3600000000000004E-2</v>
      </c>
      <c r="EU231" s="7">
        <v>6.2199999999999998E-2</v>
      </c>
      <c r="EV231" s="7">
        <v>6.08E-2</v>
      </c>
      <c r="EW231" s="7">
        <v>5.9499999999999997E-2</v>
      </c>
      <c r="EX231" s="7">
        <v>5.8099999999999999E-2</v>
      </c>
      <c r="EY231" s="7">
        <v>5.6800000000000003E-2</v>
      </c>
      <c r="EZ231" s="7">
        <v>5.5399999999999998E-2</v>
      </c>
      <c r="FA231" s="7">
        <v>5.4100000000000002E-2</v>
      </c>
      <c r="FB231" s="7">
        <v>5.28E-2</v>
      </c>
      <c r="FC231" s="7">
        <v>5.1499999999999997E-2</v>
      </c>
      <c r="FE231" s="50">
        <f t="shared" ca="1" si="26"/>
        <v>9.6840440501682473E-2</v>
      </c>
      <c r="FF231" s="50">
        <f t="shared" ca="1" si="27"/>
        <v>9.7976866388977887E-2</v>
      </c>
      <c r="FG231" s="50">
        <f t="shared" ca="1" si="28"/>
        <v>9.9136510067114103E-2</v>
      </c>
      <c r="FH231" s="50">
        <f t="shared" ca="1" si="29"/>
        <v>0.10034456375838928</v>
      </c>
      <c r="FI231" s="50"/>
      <c r="FJ231" s="50"/>
      <c r="FK231" s="50">
        <f t="shared" ca="1" si="25"/>
        <v>9.7976866388977887E-2</v>
      </c>
      <c r="FL231" s="50"/>
      <c r="FM231" s="50"/>
      <c r="FN231" s="50"/>
    </row>
    <row r="232" spans="49:170" hidden="1">
      <c r="AW232" s="112">
        <v>0.39800000000000002</v>
      </c>
      <c r="AX232" s="7">
        <v>0.21299999999999999</v>
      </c>
      <c r="AY232" s="7">
        <v>0.21149999999999999</v>
      </c>
      <c r="AZ232" s="7">
        <v>0.21</v>
      </c>
      <c r="BA232" s="7">
        <v>0.20860000000000001</v>
      </c>
      <c r="BB232" s="7">
        <v>0.2072</v>
      </c>
      <c r="BC232" s="7">
        <v>0.20580000000000001</v>
      </c>
      <c r="BD232" s="7">
        <v>0.2044</v>
      </c>
      <c r="BE232" s="7">
        <v>0.2031</v>
      </c>
      <c r="BF232" s="7">
        <v>0.20180000000000001</v>
      </c>
      <c r="BG232" s="7">
        <v>0.20050000000000001</v>
      </c>
      <c r="BH232" s="7">
        <v>0.1993</v>
      </c>
      <c r="BI232" s="7">
        <v>0.19800000000000001</v>
      </c>
      <c r="BJ232" s="7">
        <v>0.1968</v>
      </c>
      <c r="BK232" s="7">
        <v>0.1956</v>
      </c>
      <c r="BL232" s="7">
        <v>0.19439999999999999</v>
      </c>
      <c r="BM232" s="7">
        <v>0.1933</v>
      </c>
      <c r="BN232" s="7">
        <v>0.19209999999999999</v>
      </c>
      <c r="BO232" s="7">
        <v>0.191</v>
      </c>
      <c r="BP232" s="7">
        <v>0.18990000000000001</v>
      </c>
      <c r="BQ232" s="7">
        <v>0.1888</v>
      </c>
      <c r="BR232" s="7">
        <v>0.18779999999999999</v>
      </c>
      <c r="BS232" s="7">
        <v>0.1867</v>
      </c>
      <c r="BT232" s="7">
        <v>0.1857</v>
      </c>
      <c r="BU232" s="7">
        <v>0.18459999999999999</v>
      </c>
      <c r="BV232" s="7">
        <v>0.18360000000000001</v>
      </c>
      <c r="BW232" s="7">
        <v>0.18260000000000001</v>
      </c>
      <c r="BX232" s="7">
        <v>0.18160000000000001</v>
      </c>
      <c r="BY232" s="7">
        <v>0.1807</v>
      </c>
      <c r="BZ232" s="7">
        <v>0.1797</v>
      </c>
      <c r="CA232" s="7">
        <v>0.1784</v>
      </c>
      <c r="CB232" s="7">
        <v>0.17649999999999999</v>
      </c>
      <c r="CC232" s="7">
        <v>0.17469999999999999</v>
      </c>
      <c r="CD232" s="7">
        <v>0.1729</v>
      </c>
      <c r="CE232" s="7">
        <v>0.17119999999999999</v>
      </c>
      <c r="CF232" s="7">
        <v>0.1694</v>
      </c>
      <c r="CG232" s="7">
        <v>0.16769999999999999</v>
      </c>
      <c r="CH232" s="7">
        <v>0.16600000000000001</v>
      </c>
      <c r="CI232" s="7">
        <v>0.1643</v>
      </c>
      <c r="CJ232" s="7">
        <v>0.16259999999999999</v>
      </c>
      <c r="CK232" s="7">
        <v>0.16089999999999999</v>
      </c>
      <c r="CL232" s="7">
        <v>0.15920000000000001</v>
      </c>
      <c r="CM232" s="7">
        <v>0.15759999999999999</v>
      </c>
      <c r="CN232" s="7">
        <v>0.15590000000000001</v>
      </c>
      <c r="CO232" s="7">
        <v>0.15429999999999999</v>
      </c>
      <c r="CP232" s="7">
        <v>0.1527</v>
      </c>
      <c r="CQ232" s="7">
        <v>0.151</v>
      </c>
      <c r="CR232" s="7">
        <v>0.14940000000000001</v>
      </c>
      <c r="CS232" s="7">
        <v>0.14779999999999999</v>
      </c>
      <c r="CT232" s="7">
        <v>0.1462</v>
      </c>
      <c r="CU232" s="7">
        <v>0.14460000000000001</v>
      </c>
      <c r="CV232" s="7">
        <v>0.14299999999999999</v>
      </c>
      <c r="CW232" s="7">
        <v>0.1414</v>
      </c>
      <c r="CX232" s="7">
        <v>0.13980000000000001</v>
      </c>
      <c r="CY232" s="7">
        <v>0.13819999999999999</v>
      </c>
      <c r="CZ232" s="7">
        <v>0.1366</v>
      </c>
      <c r="DA232" s="7">
        <v>0.13500000000000001</v>
      </c>
      <c r="DB232" s="7">
        <v>0.13339999999999999</v>
      </c>
      <c r="DC232" s="7">
        <v>0.1318</v>
      </c>
      <c r="DD232" s="7">
        <v>0.13020000000000001</v>
      </c>
      <c r="DE232" s="7">
        <v>0.12859999999999999</v>
      </c>
      <c r="DF232" s="7">
        <v>0.127</v>
      </c>
      <c r="DG232" s="7">
        <v>0.12540000000000001</v>
      </c>
      <c r="DH232" s="7">
        <v>0.1237</v>
      </c>
      <c r="DI232" s="7">
        <v>0.1221</v>
      </c>
      <c r="DJ232" s="7">
        <v>0.12039999999999999</v>
      </c>
      <c r="DK232" s="7">
        <v>0.1188</v>
      </c>
      <c r="DL232" s="7">
        <v>0.1171</v>
      </c>
      <c r="DM232" s="7">
        <v>0.1154</v>
      </c>
      <c r="DN232" s="7">
        <v>0.1138</v>
      </c>
      <c r="DO232" s="7">
        <v>0.11210000000000001</v>
      </c>
      <c r="DP232" s="7">
        <v>0.1104</v>
      </c>
      <c r="DQ232" s="7">
        <v>0.1086</v>
      </c>
      <c r="DR232" s="7">
        <v>0.1069</v>
      </c>
      <c r="DS232" s="7">
        <v>0.1052</v>
      </c>
      <c r="DT232" s="7">
        <v>0.10340000000000001</v>
      </c>
      <c r="DU232" s="7">
        <v>0.1017</v>
      </c>
      <c r="DV232" s="7">
        <v>9.9900000000000003E-2</v>
      </c>
      <c r="DW232" s="7">
        <v>9.8100000000000007E-2</v>
      </c>
      <c r="DX232" s="7">
        <v>9.6299999999999997E-2</v>
      </c>
      <c r="DY232" s="7">
        <v>9.4500000000000001E-2</v>
      </c>
      <c r="DZ232" s="7">
        <v>9.2700000000000005E-2</v>
      </c>
      <c r="EA232" s="7">
        <v>9.0899999999999995E-2</v>
      </c>
      <c r="EB232" s="7">
        <v>8.8999999999999996E-2</v>
      </c>
      <c r="EC232" s="7">
        <v>8.72E-2</v>
      </c>
      <c r="ED232" s="7">
        <v>8.5500000000000007E-2</v>
      </c>
      <c r="EE232" s="7">
        <v>8.4199999999999997E-2</v>
      </c>
      <c r="EF232" s="7">
        <v>8.2900000000000001E-2</v>
      </c>
      <c r="EG232" s="7">
        <v>8.1600000000000006E-2</v>
      </c>
      <c r="EH232" s="7">
        <v>8.0199999999999994E-2</v>
      </c>
      <c r="EI232" s="7">
        <v>7.8899999999999998E-2</v>
      </c>
      <c r="EJ232" s="7">
        <v>7.7499999999999999E-2</v>
      </c>
      <c r="EK232" s="7">
        <v>7.6100000000000001E-2</v>
      </c>
      <c r="EL232" s="7">
        <v>7.4700000000000003E-2</v>
      </c>
      <c r="EM232" s="7">
        <v>7.3400000000000007E-2</v>
      </c>
      <c r="EN232" s="7">
        <v>7.1999999999999995E-2</v>
      </c>
      <c r="EO232" s="7">
        <v>7.0599999999999996E-2</v>
      </c>
      <c r="EP232" s="7">
        <v>6.9199999999999998E-2</v>
      </c>
      <c r="EQ232" s="7">
        <v>6.7799999999999999E-2</v>
      </c>
      <c r="ER232" s="7">
        <v>6.6400000000000001E-2</v>
      </c>
      <c r="ES232" s="7">
        <v>6.5000000000000002E-2</v>
      </c>
      <c r="ET232" s="7">
        <v>6.3600000000000004E-2</v>
      </c>
      <c r="EU232" s="7">
        <v>6.2199999999999998E-2</v>
      </c>
      <c r="EV232" s="7">
        <v>6.08E-2</v>
      </c>
      <c r="EW232" s="7">
        <v>5.9499999999999997E-2</v>
      </c>
      <c r="EX232" s="7">
        <v>5.8099999999999999E-2</v>
      </c>
      <c r="EY232" s="7">
        <v>5.6800000000000003E-2</v>
      </c>
      <c r="EZ232" s="7">
        <v>5.5399999999999998E-2</v>
      </c>
      <c r="FA232" s="7">
        <v>5.4100000000000002E-2</v>
      </c>
      <c r="FB232" s="7">
        <v>5.28E-2</v>
      </c>
      <c r="FC232" s="7">
        <v>5.1499999999999997E-2</v>
      </c>
      <c r="FE232" s="50">
        <f t="shared" ca="1" si="26"/>
        <v>9.7740440501682485E-2</v>
      </c>
      <c r="FF232" s="50">
        <f t="shared" ca="1" si="27"/>
        <v>9.8876866388977899E-2</v>
      </c>
      <c r="FG232" s="50">
        <f t="shared" ca="1" si="28"/>
        <v>0.10003651006711409</v>
      </c>
      <c r="FH232" s="50">
        <f t="shared" ca="1" si="29"/>
        <v>0.10124456375838926</v>
      </c>
      <c r="FI232" s="50"/>
      <c r="FJ232" s="50"/>
      <c r="FK232" s="50">
        <f t="shared" ca="1" si="25"/>
        <v>9.8876866388977899E-2</v>
      </c>
      <c r="FL232" s="50"/>
      <c r="FM232" s="50"/>
      <c r="FN232" s="50"/>
    </row>
    <row r="233" spans="49:170" hidden="1">
      <c r="AW233" s="112">
        <v>0.42699999999999999</v>
      </c>
      <c r="AX233" s="7">
        <v>0.21299999999999999</v>
      </c>
      <c r="AY233" s="7">
        <v>0.21149999999999999</v>
      </c>
      <c r="AZ233" s="7">
        <v>0.21</v>
      </c>
      <c r="BA233" s="7">
        <v>0.20860000000000001</v>
      </c>
      <c r="BB233" s="7">
        <v>0.2072</v>
      </c>
      <c r="BC233" s="7">
        <v>0.20580000000000001</v>
      </c>
      <c r="BD233" s="7">
        <v>0.2044</v>
      </c>
      <c r="BE233" s="7">
        <v>0.2031</v>
      </c>
      <c r="BF233" s="7">
        <v>0.20180000000000001</v>
      </c>
      <c r="BG233" s="7">
        <v>0.20050000000000001</v>
      </c>
      <c r="BH233" s="7">
        <v>0.1993</v>
      </c>
      <c r="BI233" s="7">
        <v>0.19800000000000001</v>
      </c>
      <c r="BJ233" s="7">
        <v>0.1968</v>
      </c>
      <c r="BK233" s="7">
        <v>0.1956</v>
      </c>
      <c r="BL233" s="7">
        <v>0.19439999999999999</v>
      </c>
      <c r="BM233" s="7">
        <v>0.1933</v>
      </c>
      <c r="BN233" s="7">
        <v>0.19209999999999999</v>
      </c>
      <c r="BO233" s="7">
        <v>0.191</v>
      </c>
      <c r="BP233" s="7">
        <v>0.18990000000000001</v>
      </c>
      <c r="BQ233" s="7">
        <v>0.1888</v>
      </c>
      <c r="BR233" s="7">
        <v>0.18779999999999999</v>
      </c>
      <c r="BS233" s="7">
        <v>0.1867</v>
      </c>
      <c r="BT233" s="7">
        <v>0.1857</v>
      </c>
      <c r="BU233" s="7">
        <v>0.18459999999999999</v>
      </c>
      <c r="BV233" s="7">
        <v>0.18360000000000001</v>
      </c>
      <c r="BW233" s="7">
        <v>0.18260000000000001</v>
      </c>
      <c r="BX233" s="7">
        <v>0.18160000000000001</v>
      </c>
      <c r="BY233" s="7">
        <v>0.1807</v>
      </c>
      <c r="BZ233" s="7">
        <v>0.1797</v>
      </c>
      <c r="CA233" s="7">
        <v>0.1787</v>
      </c>
      <c r="CB233" s="7">
        <v>0.17760000000000001</v>
      </c>
      <c r="CC233" s="7">
        <v>0.17580000000000001</v>
      </c>
      <c r="CD233" s="7">
        <v>0.17399999999999999</v>
      </c>
      <c r="CE233" s="7">
        <v>0.17219999999999999</v>
      </c>
      <c r="CF233" s="7">
        <v>0.17050000000000001</v>
      </c>
      <c r="CG233" s="7">
        <v>0.16869999999999999</v>
      </c>
      <c r="CH233" s="7">
        <v>0.16700000000000001</v>
      </c>
      <c r="CI233" s="7">
        <v>0.1653</v>
      </c>
      <c r="CJ233" s="7">
        <v>0.1636</v>
      </c>
      <c r="CK233" s="7">
        <v>0.16189999999999999</v>
      </c>
      <c r="CL233" s="7">
        <v>0.16020000000000001</v>
      </c>
      <c r="CM233" s="7">
        <v>0.15859999999999999</v>
      </c>
      <c r="CN233" s="7">
        <v>0.15690000000000001</v>
      </c>
      <c r="CO233" s="7">
        <v>0.15529999999999999</v>
      </c>
      <c r="CP233" s="7">
        <v>0.1537</v>
      </c>
      <c r="CQ233" s="7">
        <v>0.152</v>
      </c>
      <c r="CR233" s="7">
        <v>0.15040000000000001</v>
      </c>
      <c r="CS233" s="7">
        <v>0.14879999999999999</v>
      </c>
      <c r="CT233" s="7">
        <v>0.1472</v>
      </c>
      <c r="CU233" s="7">
        <v>0.14560000000000001</v>
      </c>
      <c r="CV233" s="7">
        <v>0.14399999999999999</v>
      </c>
      <c r="CW233" s="7">
        <v>0.1424</v>
      </c>
      <c r="CX233" s="7">
        <v>0.14080000000000001</v>
      </c>
      <c r="CY233" s="7">
        <v>0.13919999999999999</v>
      </c>
      <c r="CZ233" s="7">
        <v>0.1376</v>
      </c>
      <c r="DA233" s="7">
        <v>0.13600000000000001</v>
      </c>
      <c r="DB233" s="7">
        <v>0.13439999999999999</v>
      </c>
      <c r="DC233" s="7">
        <v>0.1328</v>
      </c>
      <c r="DD233" s="7">
        <v>0.13120000000000001</v>
      </c>
      <c r="DE233" s="7">
        <v>0.1295</v>
      </c>
      <c r="DF233" s="7">
        <v>0.12790000000000001</v>
      </c>
      <c r="DG233" s="7">
        <v>0.1263</v>
      </c>
      <c r="DH233" s="7">
        <v>0.12470000000000001</v>
      </c>
      <c r="DI233" s="7">
        <v>0.123</v>
      </c>
      <c r="DJ233" s="7">
        <v>0.12139999999999999</v>
      </c>
      <c r="DK233" s="7">
        <v>0.1197</v>
      </c>
      <c r="DL233" s="7">
        <v>0.11799999999999999</v>
      </c>
      <c r="DM233" s="7">
        <v>0.1164</v>
      </c>
      <c r="DN233" s="7">
        <v>0.1147</v>
      </c>
      <c r="DO233" s="7">
        <v>0.113</v>
      </c>
      <c r="DP233" s="7">
        <v>0.1113</v>
      </c>
      <c r="DQ233" s="7">
        <v>0.1095</v>
      </c>
      <c r="DR233" s="7">
        <v>0.10780000000000001</v>
      </c>
      <c r="DS233" s="7">
        <v>0.1061</v>
      </c>
      <c r="DT233" s="7">
        <v>0.1043</v>
      </c>
      <c r="DU233" s="7">
        <v>0.1026</v>
      </c>
      <c r="DV233" s="7">
        <v>0.1008</v>
      </c>
      <c r="DW233" s="7">
        <v>9.9000000000000005E-2</v>
      </c>
      <c r="DX233" s="7">
        <v>9.7199999999999995E-2</v>
      </c>
      <c r="DY233" s="7">
        <v>9.5399999999999999E-2</v>
      </c>
      <c r="DZ233" s="7">
        <v>9.3600000000000003E-2</v>
      </c>
      <c r="EA233" s="7">
        <v>9.1700000000000004E-2</v>
      </c>
      <c r="EB233" s="7">
        <v>8.9899999999999994E-2</v>
      </c>
      <c r="EC233" s="7">
        <v>8.7999999999999995E-2</v>
      </c>
      <c r="ED233" s="7">
        <v>8.6199999999999999E-2</v>
      </c>
      <c r="EE233" s="7">
        <v>8.43E-2</v>
      </c>
      <c r="EF233" s="7">
        <v>8.2900000000000001E-2</v>
      </c>
      <c r="EG233" s="7">
        <v>8.1600000000000006E-2</v>
      </c>
      <c r="EH233" s="7">
        <v>8.0199999999999994E-2</v>
      </c>
      <c r="EI233" s="7">
        <v>7.8899999999999998E-2</v>
      </c>
      <c r="EJ233" s="7">
        <v>7.7499999999999999E-2</v>
      </c>
      <c r="EK233" s="7">
        <v>7.6100000000000001E-2</v>
      </c>
      <c r="EL233" s="7">
        <v>7.4700000000000003E-2</v>
      </c>
      <c r="EM233" s="7">
        <v>7.3400000000000007E-2</v>
      </c>
      <c r="EN233" s="7">
        <v>7.1999999999999995E-2</v>
      </c>
      <c r="EO233" s="7">
        <v>7.0599999999999996E-2</v>
      </c>
      <c r="EP233" s="7">
        <v>6.9199999999999998E-2</v>
      </c>
      <c r="EQ233" s="7">
        <v>6.7799999999999999E-2</v>
      </c>
      <c r="ER233" s="7">
        <v>6.6400000000000001E-2</v>
      </c>
      <c r="ES233" s="7">
        <v>6.5000000000000002E-2</v>
      </c>
      <c r="ET233" s="7">
        <v>6.3600000000000004E-2</v>
      </c>
      <c r="EU233" s="7">
        <v>6.2199999999999998E-2</v>
      </c>
      <c r="EV233" s="7">
        <v>6.08E-2</v>
      </c>
      <c r="EW233" s="7">
        <v>5.9499999999999997E-2</v>
      </c>
      <c r="EX233" s="7">
        <v>5.8099999999999999E-2</v>
      </c>
      <c r="EY233" s="7">
        <v>5.6800000000000003E-2</v>
      </c>
      <c r="EZ233" s="7">
        <v>5.5399999999999998E-2</v>
      </c>
      <c r="FA233" s="7">
        <v>5.4100000000000002E-2</v>
      </c>
      <c r="FB233" s="7">
        <v>5.28E-2</v>
      </c>
      <c r="FC233" s="7">
        <v>5.1499999999999997E-2</v>
      </c>
      <c r="FE233" s="50">
        <f t="shared" ca="1" si="26"/>
        <v>9.8640440501682469E-2</v>
      </c>
      <c r="FF233" s="50">
        <f t="shared" ca="1" si="27"/>
        <v>9.9776866388977883E-2</v>
      </c>
      <c r="FG233" s="50">
        <f t="shared" ca="1" si="28"/>
        <v>0.10093651006711407</v>
      </c>
      <c r="FH233" s="50">
        <f t="shared" ca="1" si="29"/>
        <v>0.10214456375838925</v>
      </c>
      <c r="FI233" s="50"/>
      <c r="FJ233" s="50"/>
      <c r="FK233" s="50">
        <f t="shared" ca="1" si="25"/>
        <v>9.9776866388977883E-2</v>
      </c>
      <c r="FL233" s="50"/>
      <c r="FM233" s="50"/>
      <c r="FN233" s="50"/>
    </row>
    <row r="234" spans="49:170" hidden="1">
      <c r="AW234" s="112">
        <v>0.45700000000000002</v>
      </c>
      <c r="AX234" s="7">
        <v>0.21299999999999999</v>
      </c>
      <c r="AY234" s="7">
        <v>0.21149999999999999</v>
      </c>
      <c r="AZ234" s="7">
        <v>0.21</v>
      </c>
      <c r="BA234" s="7">
        <v>0.20860000000000001</v>
      </c>
      <c r="BB234" s="7">
        <v>0.2072</v>
      </c>
      <c r="BC234" s="7">
        <v>0.20580000000000001</v>
      </c>
      <c r="BD234" s="7">
        <v>0.2044</v>
      </c>
      <c r="BE234" s="7">
        <v>0.2031</v>
      </c>
      <c r="BF234" s="7">
        <v>0.20180000000000001</v>
      </c>
      <c r="BG234" s="7">
        <v>0.20050000000000001</v>
      </c>
      <c r="BH234" s="7">
        <v>0.1993</v>
      </c>
      <c r="BI234" s="7">
        <v>0.19800000000000001</v>
      </c>
      <c r="BJ234" s="7">
        <v>0.1968</v>
      </c>
      <c r="BK234" s="7">
        <v>0.1956</v>
      </c>
      <c r="BL234" s="7">
        <v>0.19439999999999999</v>
      </c>
      <c r="BM234" s="7">
        <v>0.1933</v>
      </c>
      <c r="BN234" s="7">
        <v>0.19209999999999999</v>
      </c>
      <c r="BO234" s="7">
        <v>0.191</v>
      </c>
      <c r="BP234" s="7">
        <v>0.18990000000000001</v>
      </c>
      <c r="BQ234" s="7">
        <v>0.1888</v>
      </c>
      <c r="BR234" s="7">
        <v>0.18779999999999999</v>
      </c>
      <c r="BS234" s="7">
        <v>0.1867</v>
      </c>
      <c r="BT234" s="7">
        <v>0.1857</v>
      </c>
      <c r="BU234" s="7">
        <v>0.18459999999999999</v>
      </c>
      <c r="BV234" s="7">
        <v>0.18360000000000001</v>
      </c>
      <c r="BW234" s="7">
        <v>0.18260000000000001</v>
      </c>
      <c r="BX234" s="7">
        <v>0.18160000000000001</v>
      </c>
      <c r="BY234" s="7">
        <v>0.1807</v>
      </c>
      <c r="BZ234" s="7">
        <v>0.1797</v>
      </c>
      <c r="CA234" s="7">
        <v>0.1787</v>
      </c>
      <c r="CB234" s="7">
        <v>0.17780000000000001</v>
      </c>
      <c r="CC234" s="7">
        <v>0.17680000000000001</v>
      </c>
      <c r="CD234" s="7">
        <v>0.17499999999999999</v>
      </c>
      <c r="CE234" s="7">
        <v>0.17319999999999999</v>
      </c>
      <c r="CF234" s="7">
        <v>0.17150000000000001</v>
      </c>
      <c r="CG234" s="7">
        <v>0.16969999999999999</v>
      </c>
      <c r="CH234" s="7">
        <v>0.16800000000000001</v>
      </c>
      <c r="CI234" s="7">
        <v>0.1663</v>
      </c>
      <c r="CJ234" s="7">
        <v>0.1646</v>
      </c>
      <c r="CK234" s="7">
        <v>0.16289999999999999</v>
      </c>
      <c r="CL234" s="7">
        <v>0.16120000000000001</v>
      </c>
      <c r="CM234" s="7">
        <v>0.15959999999999999</v>
      </c>
      <c r="CN234" s="7">
        <v>0.15790000000000001</v>
      </c>
      <c r="CO234" s="7">
        <v>0.15629999999999999</v>
      </c>
      <c r="CP234" s="7">
        <v>0.15459999999999999</v>
      </c>
      <c r="CQ234" s="7">
        <v>0.153</v>
      </c>
      <c r="CR234" s="7">
        <v>0.15140000000000001</v>
      </c>
      <c r="CS234" s="7">
        <v>0.14979999999999999</v>
      </c>
      <c r="CT234" s="7">
        <v>0.1482</v>
      </c>
      <c r="CU234" s="7">
        <v>0.14649999999999999</v>
      </c>
      <c r="CV234" s="7">
        <v>0.1449</v>
      </c>
      <c r="CW234" s="7">
        <v>0.14330000000000001</v>
      </c>
      <c r="CX234" s="7">
        <v>0.14169999999999999</v>
      </c>
      <c r="CY234" s="7">
        <v>0.1401</v>
      </c>
      <c r="CZ234" s="7">
        <v>0.13850000000000001</v>
      </c>
      <c r="DA234" s="7">
        <v>0.13689999999999999</v>
      </c>
      <c r="DB234" s="7">
        <v>0.1353</v>
      </c>
      <c r="DC234" s="7">
        <v>0.13370000000000001</v>
      </c>
      <c r="DD234" s="7">
        <v>0.1321</v>
      </c>
      <c r="DE234" s="7">
        <v>0.1305</v>
      </c>
      <c r="DF234" s="7">
        <v>0.1288</v>
      </c>
      <c r="DG234" s="7">
        <v>0.12720000000000001</v>
      </c>
      <c r="DH234" s="7">
        <v>0.12559999999999999</v>
      </c>
      <c r="DI234" s="7">
        <v>0.1239</v>
      </c>
      <c r="DJ234" s="7">
        <v>0.12230000000000001</v>
      </c>
      <c r="DK234" s="7">
        <v>0.1206</v>
      </c>
      <c r="DL234" s="7">
        <v>0.11890000000000001</v>
      </c>
      <c r="DM234" s="7">
        <v>0.1173</v>
      </c>
      <c r="DN234" s="7">
        <v>0.11559999999999999</v>
      </c>
      <c r="DO234" s="7">
        <v>0.1139</v>
      </c>
      <c r="DP234" s="7">
        <v>0.11219999999999999</v>
      </c>
      <c r="DQ234" s="7">
        <v>0.1104</v>
      </c>
      <c r="DR234" s="7">
        <v>0.1087</v>
      </c>
      <c r="DS234" s="7">
        <v>0.107</v>
      </c>
      <c r="DT234" s="7">
        <v>0.1052</v>
      </c>
      <c r="DU234" s="7">
        <v>0.10340000000000001</v>
      </c>
      <c r="DV234" s="7">
        <v>0.1016</v>
      </c>
      <c r="DW234" s="7">
        <v>9.9900000000000003E-2</v>
      </c>
      <c r="DX234" s="7">
        <v>9.8100000000000007E-2</v>
      </c>
      <c r="DY234" s="7">
        <v>9.6199999999999994E-2</v>
      </c>
      <c r="DZ234" s="7">
        <v>9.4399999999999998E-2</v>
      </c>
      <c r="EA234" s="7">
        <v>9.2600000000000002E-2</v>
      </c>
      <c r="EB234" s="7">
        <v>9.0700000000000003E-2</v>
      </c>
      <c r="EC234" s="7">
        <v>8.8900000000000007E-2</v>
      </c>
      <c r="ED234" s="7">
        <v>8.6999999999999994E-2</v>
      </c>
      <c r="EE234" s="7">
        <v>8.5099999999999995E-2</v>
      </c>
      <c r="EF234" s="7">
        <v>8.3299999999999999E-2</v>
      </c>
      <c r="EG234" s="7">
        <v>8.1600000000000006E-2</v>
      </c>
      <c r="EH234" s="7">
        <v>8.0199999999999994E-2</v>
      </c>
      <c r="EI234" s="7">
        <v>7.8899999999999998E-2</v>
      </c>
      <c r="EJ234" s="7">
        <v>7.7499999999999999E-2</v>
      </c>
      <c r="EK234" s="7">
        <v>7.6100000000000001E-2</v>
      </c>
      <c r="EL234" s="7">
        <v>7.4700000000000003E-2</v>
      </c>
      <c r="EM234" s="7">
        <v>7.3400000000000007E-2</v>
      </c>
      <c r="EN234" s="7">
        <v>7.1999999999999995E-2</v>
      </c>
      <c r="EO234" s="7">
        <v>7.0599999999999996E-2</v>
      </c>
      <c r="EP234" s="7">
        <v>6.9199999999999998E-2</v>
      </c>
      <c r="EQ234" s="7">
        <v>6.7799999999999999E-2</v>
      </c>
      <c r="ER234" s="7">
        <v>6.6400000000000001E-2</v>
      </c>
      <c r="ES234" s="7">
        <v>6.5000000000000002E-2</v>
      </c>
      <c r="ET234" s="7">
        <v>6.3600000000000004E-2</v>
      </c>
      <c r="EU234" s="7">
        <v>6.2199999999999998E-2</v>
      </c>
      <c r="EV234" s="7">
        <v>6.08E-2</v>
      </c>
      <c r="EW234" s="7">
        <v>5.9499999999999997E-2</v>
      </c>
      <c r="EX234" s="7">
        <v>5.8099999999999999E-2</v>
      </c>
      <c r="EY234" s="7">
        <v>5.6800000000000003E-2</v>
      </c>
      <c r="EZ234" s="7">
        <v>5.5399999999999998E-2</v>
      </c>
      <c r="FA234" s="7">
        <v>5.4100000000000002E-2</v>
      </c>
      <c r="FB234" s="7">
        <v>5.28E-2</v>
      </c>
      <c r="FC234" s="7">
        <v>5.1499999999999997E-2</v>
      </c>
      <c r="FE234" s="50">
        <f t="shared" ca="1" si="26"/>
        <v>9.9540440501682481E-2</v>
      </c>
      <c r="FF234" s="50">
        <f t="shared" ca="1" si="27"/>
        <v>0.10063370714514577</v>
      </c>
      <c r="FG234" s="50">
        <f t="shared" ca="1" si="28"/>
        <v>0.10173651006711409</v>
      </c>
      <c r="FH234" s="50">
        <f t="shared" ca="1" si="29"/>
        <v>0.10294456375838928</v>
      </c>
      <c r="FI234" s="50"/>
      <c r="FJ234" s="50"/>
      <c r="FK234" s="50">
        <f t="shared" ca="1" si="25"/>
        <v>0.10063370714514577</v>
      </c>
      <c r="FL234" s="50"/>
      <c r="FM234" s="50"/>
      <c r="FN234" s="50"/>
    </row>
    <row r="235" spans="49:170" hidden="1">
      <c r="AW235" s="112">
        <v>0.49</v>
      </c>
      <c r="AX235" s="7">
        <v>0.21299999999999999</v>
      </c>
      <c r="AY235" s="7">
        <v>0.21149999999999999</v>
      </c>
      <c r="AZ235" s="7">
        <v>0.21</v>
      </c>
      <c r="BA235" s="7">
        <v>0.20860000000000001</v>
      </c>
      <c r="BB235" s="7">
        <v>0.2072</v>
      </c>
      <c r="BC235" s="7">
        <v>0.20580000000000001</v>
      </c>
      <c r="BD235" s="7">
        <v>0.2044</v>
      </c>
      <c r="BE235" s="7">
        <v>0.2031</v>
      </c>
      <c r="BF235" s="7">
        <v>0.20180000000000001</v>
      </c>
      <c r="BG235" s="7">
        <v>0.20050000000000001</v>
      </c>
      <c r="BH235" s="7">
        <v>0.1993</v>
      </c>
      <c r="BI235" s="7">
        <v>0.19800000000000001</v>
      </c>
      <c r="BJ235" s="7">
        <v>0.1968</v>
      </c>
      <c r="BK235" s="7">
        <v>0.1956</v>
      </c>
      <c r="BL235" s="7">
        <v>0.19439999999999999</v>
      </c>
      <c r="BM235" s="7">
        <v>0.1933</v>
      </c>
      <c r="BN235" s="7">
        <v>0.19209999999999999</v>
      </c>
      <c r="BO235" s="7">
        <v>0.191</v>
      </c>
      <c r="BP235" s="7">
        <v>0.18990000000000001</v>
      </c>
      <c r="BQ235" s="7">
        <v>0.1888</v>
      </c>
      <c r="BR235" s="7">
        <v>0.18779999999999999</v>
      </c>
      <c r="BS235" s="7">
        <v>0.1867</v>
      </c>
      <c r="BT235" s="7">
        <v>0.1857</v>
      </c>
      <c r="BU235" s="7">
        <v>0.18459999999999999</v>
      </c>
      <c r="BV235" s="7">
        <v>0.18360000000000001</v>
      </c>
      <c r="BW235" s="7">
        <v>0.18260000000000001</v>
      </c>
      <c r="BX235" s="7">
        <v>0.18160000000000001</v>
      </c>
      <c r="BY235" s="7">
        <v>0.1807</v>
      </c>
      <c r="BZ235" s="7">
        <v>0.1797</v>
      </c>
      <c r="CA235" s="7">
        <v>0.1787</v>
      </c>
      <c r="CB235" s="7">
        <v>0.17780000000000001</v>
      </c>
      <c r="CC235" s="7">
        <v>0.17680000000000001</v>
      </c>
      <c r="CD235" s="7">
        <v>0.1759</v>
      </c>
      <c r="CE235" s="7">
        <v>0.17419999999999999</v>
      </c>
      <c r="CF235" s="7">
        <v>0.17249999999999999</v>
      </c>
      <c r="CG235" s="7">
        <v>0.17069999999999999</v>
      </c>
      <c r="CH235" s="7">
        <v>0.16900000000000001</v>
      </c>
      <c r="CI235" s="7">
        <v>0.1673</v>
      </c>
      <c r="CJ235" s="7">
        <v>0.1656</v>
      </c>
      <c r="CK235" s="7">
        <v>0.16389999999999999</v>
      </c>
      <c r="CL235" s="7">
        <v>0.16220000000000001</v>
      </c>
      <c r="CM235" s="7">
        <v>0.1605</v>
      </c>
      <c r="CN235" s="7">
        <v>0.15890000000000001</v>
      </c>
      <c r="CO235" s="7">
        <v>0.15720000000000001</v>
      </c>
      <c r="CP235" s="7">
        <v>0.15559999999999999</v>
      </c>
      <c r="CQ235" s="7">
        <v>0.154</v>
      </c>
      <c r="CR235" s="7">
        <v>0.15229999999999999</v>
      </c>
      <c r="CS235" s="7">
        <v>0.1507</v>
      </c>
      <c r="CT235" s="7">
        <v>0.14910000000000001</v>
      </c>
      <c r="CU235" s="7">
        <v>0.14749999999999999</v>
      </c>
      <c r="CV235" s="7">
        <v>0.1459</v>
      </c>
      <c r="CW235" s="7">
        <v>0.14430000000000001</v>
      </c>
      <c r="CX235" s="7">
        <v>0.14269999999999999</v>
      </c>
      <c r="CY235" s="7">
        <v>0.1411</v>
      </c>
      <c r="CZ235" s="7">
        <v>0.13950000000000001</v>
      </c>
      <c r="DA235" s="7">
        <v>0.13789999999999999</v>
      </c>
      <c r="DB235" s="7">
        <v>0.13619999999999999</v>
      </c>
      <c r="DC235" s="7">
        <v>0.1346</v>
      </c>
      <c r="DD235" s="7">
        <v>0.13300000000000001</v>
      </c>
      <c r="DE235" s="7">
        <v>0.13139999999999999</v>
      </c>
      <c r="DF235" s="7">
        <v>0.1298</v>
      </c>
      <c r="DG235" s="7">
        <v>0.12809999999999999</v>
      </c>
      <c r="DH235" s="7">
        <v>0.1265</v>
      </c>
      <c r="DI235" s="7">
        <v>0.12479999999999999</v>
      </c>
      <c r="DJ235" s="7">
        <v>0.1232</v>
      </c>
      <c r="DK235" s="7">
        <v>0.1215</v>
      </c>
      <c r="DL235" s="7">
        <v>0.1198</v>
      </c>
      <c r="DM235" s="7">
        <v>0.1182</v>
      </c>
      <c r="DN235" s="7">
        <v>0.11650000000000001</v>
      </c>
      <c r="DO235" s="7">
        <v>0.1148</v>
      </c>
      <c r="DP235" s="7">
        <v>0.113</v>
      </c>
      <c r="DQ235" s="7">
        <v>0.1113</v>
      </c>
      <c r="DR235" s="7">
        <v>0.1096</v>
      </c>
      <c r="DS235" s="7">
        <v>0.10780000000000001</v>
      </c>
      <c r="DT235" s="7">
        <v>0.1061</v>
      </c>
      <c r="DU235" s="7">
        <v>0.1043</v>
      </c>
      <c r="DV235" s="7">
        <v>0.10249999999999999</v>
      </c>
      <c r="DW235" s="7">
        <v>0.1007</v>
      </c>
      <c r="DX235" s="7">
        <v>9.8900000000000002E-2</v>
      </c>
      <c r="DY235" s="7">
        <v>9.7100000000000006E-2</v>
      </c>
      <c r="DZ235" s="7">
        <v>9.5299999999999996E-2</v>
      </c>
      <c r="EA235" s="7">
        <v>9.3399999999999997E-2</v>
      </c>
      <c r="EB235" s="7">
        <v>9.1600000000000001E-2</v>
      </c>
      <c r="EC235" s="7">
        <v>8.9700000000000002E-2</v>
      </c>
      <c r="ED235" s="7">
        <v>8.7800000000000003E-2</v>
      </c>
      <c r="EE235" s="7">
        <v>8.5999999999999993E-2</v>
      </c>
      <c r="EF235" s="7">
        <v>8.4099999999999994E-2</v>
      </c>
      <c r="EG235" s="7">
        <v>8.2199999999999995E-2</v>
      </c>
      <c r="EH235" s="7">
        <v>8.0299999999999996E-2</v>
      </c>
      <c r="EI235" s="7">
        <v>7.8899999999999998E-2</v>
      </c>
      <c r="EJ235" s="7">
        <v>7.7499999999999999E-2</v>
      </c>
      <c r="EK235" s="7">
        <v>7.6100000000000001E-2</v>
      </c>
      <c r="EL235" s="7">
        <v>7.4700000000000003E-2</v>
      </c>
      <c r="EM235" s="7">
        <v>7.3400000000000007E-2</v>
      </c>
      <c r="EN235" s="7">
        <v>7.1999999999999995E-2</v>
      </c>
      <c r="EO235" s="7">
        <v>7.0599999999999996E-2</v>
      </c>
      <c r="EP235" s="7">
        <v>6.9199999999999998E-2</v>
      </c>
      <c r="EQ235" s="7">
        <v>6.7799999999999999E-2</v>
      </c>
      <c r="ER235" s="7">
        <v>6.6400000000000001E-2</v>
      </c>
      <c r="ES235" s="7">
        <v>6.5000000000000002E-2</v>
      </c>
      <c r="ET235" s="7">
        <v>6.3600000000000004E-2</v>
      </c>
      <c r="EU235" s="7">
        <v>6.2199999999999998E-2</v>
      </c>
      <c r="EV235" s="7">
        <v>6.08E-2</v>
      </c>
      <c r="EW235" s="7">
        <v>5.9499999999999997E-2</v>
      </c>
      <c r="EX235" s="7">
        <v>5.8099999999999999E-2</v>
      </c>
      <c r="EY235" s="7">
        <v>5.6800000000000003E-2</v>
      </c>
      <c r="EZ235" s="7">
        <v>5.5399999999999998E-2</v>
      </c>
      <c r="FA235" s="7">
        <v>5.4100000000000002E-2</v>
      </c>
      <c r="FB235" s="7">
        <v>5.28E-2</v>
      </c>
      <c r="FC235" s="7">
        <v>5.1499999999999997E-2</v>
      </c>
      <c r="FE235" s="50">
        <f t="shared" ca="1" si="26"/>
        <v>0.10034044050168248</v>
      </c>
      <c r="FF235" s="50">
        <f t="shared" ca="1" si="27"/>
        <v>0.10147686638897789</v>
      </c>
      <c r="FG235" s="50">
        <f t="shared" ca="1" si="28"/>
        <v>0.10263651006711409</v>
      </c>
      <c r="FH235" s="50">
        <f t="shared" ca="1" si="29"/>
        <v>0.10384456375838927</v>
      </c>
      <c r="FI235" s="50"/>
      <c r="FJ235" s="50"/>
      <c r="FK235" s="50">
        <f t="shared" ca="1" si="25"/>
        <v>0.10147686638897789</v>
      </c>
      <c r="FL235" s="50"/>
      <c r="FM235" s="50"/>
      <c r="FN235" s="50"/>
    </row>
    <row r="236" spans="49:170" hidden="1">
      <c r="AW236" s="112">
        <v>0.52500000000000002</v>
      </c>
      <c r="AX236" s="7">
        <v>0.21299999999999999</v>
      </c>
      <c r="AY236" s="7">
        <v>0.21149999999999999</v>
      </c>
      <c r="AZ236" s="7">
        <v>0.21</v>
      </c>
      <c r="BA236" s="7">
        <v>0.20860000000000001</v>
      </c>
      <c r="BB236" s="7">
        <v>0.2072</v>
      </c>
      <c r="BC236" s="7">
        <v>0.20580000000000001</v>
      </c>
      <c r="BD236" s="7">
        <v>0.2044</v>
      </c>
      <c r="BE236" s="7">
        <v>0.2031</v>
      </c>
      <c r="BF236" s="7">
        <v>0.20180000000000001</v>
      </c>
      <c r="BG236" s="7">
        <v>0.20050000000000001</v>
      </c>
      <c r="BH236" s="7">
        <v>0.1993</v>
      </c>
      <c r="BI236" s="7">
        <v>0.19800000000000001</v>
      </c>
      <c r="BJ236" s="7">
        <v>0.1968</v>
      </c>
      <c r="BK236" s="7">
        <v>0.1956</v>
      </c>
      <c r="BL236" s="7">
        <v>0.19439999999999999</v>
      </c>
      <c r="BM236" s="7">
        <v>0.1933</v>
      </c>
      <c r="BN236" s="7">
        <v>0.19209999999999999</v>
      </c>
      <c r="BO236" s="7">
        <v>0.191</v>
      </c>
      <c r="BP236" s="7">
        <v>0.18990000000000001</v>
      </c>
      <c r="BQ236" s="7">
        <v>0.1888</v>
      </c>
      <c r="BR236" s="7">
        <v>0.18779999999999999</v>
      </c>
      <c r="BS236" s="7">
        <v>0.1867</v>
      </c>
      <c r="BT236" s="7">
        <v>0.1857</v>
      </c>
      <c r="BU236" s="7">
        <v>0.18459999999999999</v>
      </c>
      <c r="BV236" s="7">
        <v>0.18360000000000001</v>
      </c>
      <c r="BW236" s="7">
        <v>0.18260000000000001</v>
      </c>
      <c r="BX236" s="7">
        <v>0.18160000000000001</v>
      </c>
      <c r="BY236" s="7">
        <v>0.1807</v>
      </c>
      <c r="BZ236" s="7">
        <v>0.1797</v>
      </c>
      <c r="CA236" s="7">
        <v>0.1787</v>
      </c>
      <c r="CB236" s="7">
        <v>0.17780000000000001</v>
      </c>
      <c r="CC236" s="7">
        <v>0.17680000000000001</v>
      </c>
      <c r="CD236" s="7">
        <v>0.1759</v>
      </c>
      <c r="CE236" s="7">
        <v>0.17499999999999999</v>
      </c>
      <c r="CF236" s="7">
        <v>0.17349999999999999</v>
      </c>
      <c r="CG236" s="7">
        <v>0.17169999999999999</v>
      </c>
      <c r="CH236" s="7">
        <v>0.17</v>
      </c>
      <c r="CI236" s="7">
        <v>0.16830000000000001</v>
      </c>
      <c r="CJ236" s="7">
        <v>0.1666</v>
      </c>
      <c r="CK236" s="7">
        <v>0.16489999999999999</v>
      </c>
      <c r="CL236" s="7">
        <v>0.16320000000000001</v>
      </c>
      <c r="CM236" s="7">
        <v>0.1615</v>
      </c>
      <c r="CN236" s="7">
        <v>0.15989999999999999</v>
      </c>
      <c r="CO236" s="7">
        <v>0.15820000000000001</v>
      </c>
      <c r="CP236" s="7">
        <v>0.15659999999999999</v>
      </c>
      <c r="CQ236" s="7">
        <v>0.15490000000000001</v>
      </c>
      <c r="CR236" s="7">
        <v>0.15329999999999999</v>
      </c>
      <c r="CS236" s="7">
        <v>0.1517</v>
      </c>
      <c r="CT236" s="7">
        <v>0.15010000000000001</v>
      </c>
      <c r="CU236" s="7">
        <v>0.1484</v>
      </c>
      <c r="CV236" s="7">
        <v>0.14680000000000001</v>
      </c>
      <c r="CW236" s="7">
        <v>0.1452</v>
      </c>
      <c r="CX236" s="7">
        <v>0.14360000000000001</v>
      </c>
      <c r="CY236" s="7">
        <v>0.14199999999999999</v>
      </c>
      <c r="CZ236" s="7">
        <v>0.1404</v>
      </c>
      <c r="DA236" s="7">
        <v>0.13880000000000001</v>
      </c>
      <c r="DB236" s="7">
        <v>0.13719999999999999</v>
      </c>
      <c r="DC236" s="7">
        <v>0.13550000000000001</v>
      </c>
      <c r="DD236" s="7">
        <v>0.13389999999999999</v>
      </c>
      <c r="DE236" s="7">
        <v>0.1323</v>
      </c>
      <c r="DF236" s="7">
        <v>0.13070000000000001</v>
      </c>
      <c r="DG236" s="7">
        <v>0.129</v>
      </c>
      <c r="DH236" s="7">
        <v>0.12740000000000001</v>
      </c>
      <c r="DI236" s="7">
        <v>0.12570000000000001</v>
      </c>
      <c r="DJ236" s="7">
        <v>0.1241</v>
      </c>
      <c r="DK236" s="7">
        <v>0.12239999999999999</v>
      </c>
      <c r="DL236" s="7">
        <v>0.1207</v>
      </c>
      <c r="DM236" s="7">
        <v>0.11899999999999999</v>
      </c>
      <c r="DN236" s="7">
        <v>0.1173</v>
      </c>
      <c r="DO236" s="7">
        <v>0.11559999999999999</v>
      </c>
      <c r="DP236" s="7">
        <v>0.1139</v>
      </c>
      <c r="DQ236" s="7">
        <v>0.11219999999999999</v>
      </c>
      <c r="DR236" s="7">
        <v>0.1105</v>
      </c>
      <c r="DS236" s="7">
        <v>0.1087</v>
      </c>
      <c r="DT236" s="7">
        <v>0.1069</v>
      </c>
      <c r="DU236" s="7">
        <v>0.1052</v>
      </c>
      <c r="DV236" s="7">
        <v>0.10340000000000001</v>
      </c>
      <c r="DW236" s="7">
        <v>0.1016</v>
      </c>
      <c r="DX236" s="7">
        <v>9.98E-2</v>
      </c>
      <c r="DY236" s="7">
        <v>9.7900000000000001E-2</v>
      </c>
      <c r="DZ236" s="7">
        <v>9.6100000000000005E-2</v>
      </c>
      <c r="EA236" s="7">
        <v>9.4299999999999995E-2</v>
      </c>
      <c r="EB236" s="7">
        <v>9.2399999999999996E-2</v>
      </c>
      <c r="EC236" s="7">
        <v>9.0499999999999997E-2</v>
      </c>
      <c r="ED236" s="7">
        <v>8.8700000000000001E-2</v>
      </c>
      <c r="EE236" s="7">
        <v>8.6800000000000002E-2</v>
      </c>
      <c r="EF236" s="7">
        <v>8.4900000000000003E-2</v>
      </c>
      <c r="EG236" s="7">
        <v>8.3000000000000004E-2</v>
      </c>
      <c r="EH236" s="7">
        <v>8.1100000000000005E-2</v>
      </c>
      <c r="EI236" s="7">
        <v>7.9200000000000007E-2</v>
      </c>
      <c r="EJ236" s="7">
        <v>7.7499999999999999E-2</v>
      </c>
      <c r="EK236" s="7">
        <v>7.6100000000000001E-2</v>
      </c>
      <c r="EL236" s="7">
        <v>7.4700000000000003E-2</v>
      </c>
      <c r="EM236" s="7">
        <v>7.3400000000000007E-2</v>
      </c>
      <c r="EN236" s="7">
        <v>7.1999999999999995E-2</v>
      </c>
      <c r="EO236" s="7">
        <v>7.0599999999999996E-2</v>
      </c>
      <c r="EP236" s="7">
        <v>6.9199999999999998E-2</v>
      </c>
      <c r="EQ236" s="7">
        <v>6.7799999999999999E-2</v>
      </c>
      <c r="ER236" s="7">
        <v>6.6400000000000001E-2</v>
      </c>
      <c r="ES236" s="7">
        <v>6.5000000000000002E-2</v>
      </c>
      <c r="ET236" s="7">
        <v>6.3600000000000004E-2</v>
      </c>
      <c r="EU236" s="7">
        <v>6.2199999999999998E-2</v>
      </c>
      <c r="EV236" s="7">
        <v>6.08E-2</v>
      </c>
      <c r="EW236" s="7">
        <v>5.9499999999999997E-2</v>
      </c>
      <c r="EX236" s="7">
        <v>5.8099999999999999E-2</v>
      </c>
      <c r="EY236" s="7">
        <v>5.6800000000000003E-2</v>
      </c>
      <c r="EZ236" s="7">
        <v>5.5399999999999998E-2</v>
      </c>
      <c r="FA236" s="7">
        <v>5.4100000000000002E-2</v>
      </c>
      <c r="FB236" s="7">
        <v>5.28E-2</v>
      </c>
      <c r="FC236" s="7">
        <v>5.1499999999999997E-2</v>
      </c>
      <c r="FE236" s="50">
        <f t="shared" ca="1" si="26"/>
        <v>0.10124044050168246</v>
      </c>
      <c r="FF236" s="50">
        <f t="shared" ca="1" si="27"/>
        <v>0.1023768663889779</v>
      </c>
      <c r="FG236" s="50">
        <f t="shared" ca="1" si="28"/>
        <v>0.10353651006711409</v>
      </c>
      <c r="FH236" s="50">
        <f t="shared" ca="1" si="29"/>
        <v>0.10474456375838927</v>
      </c>
      <c r="FI236" s="50"/>
      <c r="FJ236" s="50"/>
      <c r="FK236" s="50">
        <f t="shared" ca="1" si="25"/>
        <v>0.1023768663889779</v>
      </c>
      <c r="FL236" s="50"/>
      <c r="FM236" s="50"/>
      <c r="FN236" s="50"/>
    </row>
    <row r="237" spans="49:170" hidden="1">
      <c r="AW237" s="112">
        <v>0.56200000000000006</v>
      </c>
      <c r="AX237" s="7">
        <v>0.21299999999999999</v>
      </c>
      <c r="AY237" s="7">
        <v>0.21149999999999999</v>
      </c>
      <c r="AZ237" s="7">
        <v>0.21</v>
      </c>
      <c r="BA237" s="7">
        <v>0.20860000000000001</v>
      </c>
      <c r="BB237" s="7">
        <v>0.2072</v>
      </c>
      <c r="BC237" s="7">
        <v>0.20580000000000001</v>
      </c>
      <c r="BD237" s="7">
        <v>0.2044</v>
      </c>
      <c r="BE237" s="7">
        <v>0.2031</v>
      </c>
      <c r="BF237" s="7">
        <v>0.20180000000000001</v>
      </c>
      <c r="BG237" s="7">
        <v>0.20050000000000001</v>
      </c>
      <c r="BH237" s="7">
        <v>0.1993</v>
      </c>
      <c r="BI237" s="7">
        <v>0.19800000000000001</v>
      </c>
      <c r="BJ237" s="7">
        <v>0.1968</v>
      </c>
      <c r="BK237" s="7">
        <v>0.1956</v>
      </c>
      <c r="BL237" s="7">
        <v>0.19439999999999999</v>
      </c>
      <c r="BM237" s="7">
        <v>0.1933</v>
      </c>
      <c r="BN237" s="7">
        <v>0.19209999999999999</v>
      </c>
      <c r="BO237" s="7">
        <v>0.191</v>
      </c>
      <c r="BP237" s="7">
        <v>0.18990000000000001</v>
      </c>
      <c r="BQ237" s="7">
        <v>0.1888</v>
      </c>
      <c r="BR237" s="7">
        <v>0.18779999999999999</v>
      </c>
      <c r="BS237" s="7">
        <v>0.1867</v>
      </c>
      <c r="BT237" s="7">
        <v>0.1857</v>
      </c>
      <c r="BU237" s="7">
        <v>0.18459999999999999</v>
      </c>
      <c r="BV237" s="7">
        <v>0.18360000000000001</v>
      </c>
      <c r="BW237" s="7">
        <v>0.18260000000000001</v>
      </c>
      <c r="BX237" s="7">
        <v>0.18160000000000001</v>
      </c>
      <c r="BY237" s="7">
        <v>0.1807</v>
      </c>
      <c r="BZ237" s="7">
        <v>0.1797</v>
      </c>
      <c r="CA237" s="7">
        <v>0.1787</v>
      </c>
      <c r="CB237" s="7">
        <v>0.17780000000000001</v>
      </c>
      <c r="CC237" s="7">
        <v>0.17680000000000001</v>
      </c>
      <c r="CD237" s="7">
        <v>0.1759</v>
      </c>
      <c r="CE237" s="7">
        <v>0.17499999999999999</v>
      </c>
      <c r="CF237" s="7">
        <v>0.17399999999999999</v>
      </c>
      <c r="CG237" s="7">
        <v>0.17269999999999999</v>
      </c>
      <c r="CH237" s="7">
        <v>0.17100000000000001</v>
      </c>
      <c r="CI237" s="7">
        <v>0.16919999999999999</v>
      </c>
      <c r="CJ237" s="7">
        <v>0.16750000000000001</v>
      </c>
      <c r="CK237" s="7">
        <v>0.1658</v>
      </c>
      <c r="CL237" s="7">
        <v>0.1641</v>
      </c>
      <c r="CM237" s="7">
        <v>0.16250000000000001</v>
      </c>
      <c r="CN237" s="7">
        <v>0.1608</v>
      </c>
      <c r="CO237" s="7">
        <v>0.15920000000000001</v>
      </c>
      <c r="CP237" s="7">
        <v>0.1575</v>
      </c>
      <c r="CQ237" s="7">
        <v>0.15590000000000001</v>
      </c>
      <c r="CR237" s="7">
        <v>0.1542</v>
      </c>
      <c r="CS237" s="7">
        <v>0.15260000000000001</v>
      </c>
      <c r="CT237" s="7">
        <v>0.151</v>
      </c>
      <c r="CU237" s="7">
        <v>0.14940000000000001</v>
      </c>
      <c r="CV237" s="7">
        <v>0.14779999999999999</v>
      </c>
      <c r="CW237" s="7">
        <v>0.14610000000000001</v>
      </c>
      <c r="CX237" s="7">
        <v>0.14449999999999999</v>
      </c>
      <c r="CY237" s="7">
        <v>0.1429</v>
      </c>
      <c r="CZ237" s="7">
        <v>0.14130000000000001</v>
      </c>
      <c r="DA237" s="7">
        <v>0.13969999999999999</v>
      </c>
      <c r="DB237" s="7">
        <v>0.1381</v>
      </c>
      <c r="DC237" s="7">
        <v>0.13650000000000001</v>
      </c>
      <c r="DD237" s="7">
        <v>0.1348</v>
      </c>
      <c r="DE237" s="7">
        <v>0.13320000000000001</v>
      </c>
      <c r="DF237" s="7">
        <v>0.13159999999999999</v>
      </c>
      <c r="DG237" s="7">
        <v>0.12989999999999999</v>
      </c>
      <c r="DH237" s="7">
        <v>0.1283</v>
      </c>
      <c r="DI237" s="7">
        <v>0.12659999999999999</v>
      </c>
      <c r="DJ237" s="7">
        <v>0.125</v>
      </c>
      <c r="DK237" s="7">
        <v>0.12330000000000001</v>
      </c>
      <c r="DL237" s="7">
        <v>0.1216</v>
      </c>
      <c r="DM237" s="7">
        <v>0.11990000000000001</v>
      </c>
      <c r="DN237" s="7">
        <v>0.1182</v>
      </c>
      <c r="DO237" s="7">
        <v>0.11650000000000001</v>
      </c>
      <c r="DP237" s="7">
        <v>0.1148</v>
      </c>
      <c r="DQ237" s="7">
        <v>0.11310000000000001</v>
      </c>
      <c r="DR237" s="7">
        <v>0.1113</v>
      </c>
      <c r="DS237" s="7">
        <v>0.1096</v>
      </c>
      <c r="DT237" s="7">
        <v>0.10780000000000001</v>
      </c>
      <c r="DU237" s="7">
        <v>0.106</v>
      </c>
      <c r="DV237" s="7">
        <v>0.1042</v>
      </c>
      <c r="DW237" s="7">
        <v>0.1024</v>
      </c>
      <c r="DX237" s="7">
        <v>0.10059999999999999</v>
      </c>
      <c r="DY237" s="7">
        <v>9.8799999999999999E-2</v>
      </c>
      <c r="DZ237" s="7">
        <v>9.69E-2</v>
      </c>
      <c r="EA237" s="7">
        <v>9.5100000000000004E-2</v>
      </c>
      <c r="EB237" s="7">
        <v>9.3200000000000005E-2</v>
      </c>
      <c r="EC237" s="7">
        <v>9.1399999999999995E-2</v>
      </c>
      <c r="ED237" s="7">
        <v>8.9499999999999996E-2</v>
      </c>
      <c r="EE237" s="7">
        <v>8.7599999999999997E-2</v>
      </c>
      <c r="EF237" s="7">
        <v>8.5699999999999998E-2</v>
      </c>
      <c r="EG237" s="7">
        <v>8.3799999999999999E-2</v>
      </c>
      <c r="EH237" s="7">
        <v>8.1900000000000001E-2</v>
      </c>
      <c r="EI237" s="7">
        <v>0.08</v>
      </c>
      <c r="EJ237" s="7">
        <v>7.8100000000000003E-2</v>
      </c>
      <c r="EK237" s="7">
        <v>7.6200000000000004E-2</v>
      </c>
      <c r="EL237" s="7">
        <v>7.4700000000000003E-2</v>
      </c>
      <c r="EM237" s="7">
        <v>7.3400000000000007E-2</v>
      </c>
      <c r="EN237" s="7">
        <v>7.1999999999999995E-2</v>
      </c>
      <c r="EO237" s="7">
        <v>7.0599999999999996E-2</v>
      </c>
      <c r="EP237" s="7">
        <v>6.9199999999999998E-2</v>
      </c>
      <c r="EQ237" s="7">
        <v>6.7799999999999999E-2</v>
      </c>
      <c r="ER237" s="7">
        <v>6.6400000000000001E-2</v>
      </c>
      <c r="ES237" s="7">
        <v>6.5000000000000002E-2</v>
      </c>
      <c r="ET237" s="7">
        <v>6.3600000000000004E-2</v>
      </c>
      <c r="EU237" s="7">
        <v>6.2199999999999998E-2</v>
      </c>
      <c r="EV237" s="7">
        <v>6.08E-2</v>
      </c>
      <c r="EW237" s="7">
        <v>5.9499999999999997E-2</v>
      </c>
      <c r="EX237" s="7">
        <v>5.8099999999999999E-2</v>
      </c>
      <c r="EY237" s="7">
        <v>5.6800000000000003E-2</v>
      </c>
      <c r="EZ237" s="7">
        <v>5.5399999999999998E-2</v>
      </c>
      <c r="FA237" s="7">
        <v>5.4100000000000002E-2</v>
      </c>
      <c r="FB237" s="7">
        <v>5.28E-2</v>
      </c>
      <c r="FC237" s="7">
        <v>5.1499999999999997E-2</v>
      </c>
      <c r="FE237" s="50">
        <f t="shared" ca="1" si="26"/>
        <v>0.10204044050168248</v>
      </c>
      <c r="FF237" s="50">
        <f t="shared" ca="1" si="27"/>
        <v>0.1031768663889779</v>
      </c>
      <c r="FG237" s="50">
        <f t="shared" ca="1" si="28"/>
        <v>0.10433651006711409</v>
      </c>
      <c r="FH237" s="50">
        <f t="shared" ca="1" si="29"/>
        <v>0.10554456375838926</v>
      </c>
      <c r="FI237" s="50"/>
      <c r="FJ237" s="50"/>
      <c r="FK237" s="50">
        <f t="shared" ca="1" si="25"/>
        <v>0.1031768663889779</v>
      </c>
      <c r="FL237" s="50"/>
      <c r="FM237" s="50"/>
      <c r="FN237" s="50"/>
    </row>
    <row r="238" spans="49:170" hidden="1">
      <c r="AW238" s="112">
        <v>0.60299999999999998</v>
      </c>
      <c r="AX238" s="7">
        <v>0.21299999999999999</v>
      </c>
      <c r="AY238" s="7">
        <v>0.21149999999999999</v>
      </c>
      <c r="AZ238" s="7">
        <v>0.21</v>
      </c>
      <c r="BA238" s="7">
        <v>0.20860000000000001</v>
      </c>
      <c r="BB238" s="7">
        <v>0.2072</v>
      </c>
      <c r="BC238" s="7">
        <v>0.20580000000000001</v>
      </c>
      <c r="BD238" s="7">
        <v>0.2044</v>
      </c>
      <c r="BE238" s="7">
        <v>0.2031</v>
      </c>
      <c r="BF238" s="7">
        <v>0.20180000000000001</v>
      </c>
      <c r="BG238" s="7">
        <v>0.20050000000000001</v>
      </c>
      <c r="BH238" s="7">
        <v>0.1993</v>
      </c>
      <c r="BI238" s="7">
        <v>0.19800000000000001</v>
      </c>
      <c r="BJ238" s="7">
        <v>0.1968</v>
      </c>
      <c r="BK238" s="7">
        <v>0.1956</v>
      </c>
      <c r="BL238" s="7">
        <v>0.19439999999999999</v>
      </c>
      <c r="BM238" s="7">
        <v>0.1933</v>
      </c>
      <c r="BN238" s="7">
        <v>0.19209999999999999</v>
      </c>
      <c r="BO238" s="7">
        <v>0.191</v>
      </c>
      <c r="BP238" s="7">
        <v>0.18990000000000001</v>
      </c>
      <c r="BQ238" s="7">
        <v>0.1888</v>
      </c>
      <c r="BR238" s="7">
        <v>0.18779999999999999</v>
      </c>
      <c r="BS238" s="7">
        <v>0.1867</v>
      </c>
      <c r="BT238" s="7">
        <v>0.1857</v>
      </c>
      <c r="BU238" s="7">
        <v>0.18459999999999999</v>
      </c>
      <c r="BV238" s="7">
        <v>0.18360000000000001</v>
      </c>
      <c r="BW238" s="7">
        <v>0.18260000000000001</v>
      </c>
      <c r="BX238" s="7">
        <v>0.18160000000000001</v>
      </c>
      <c r="BY238" s="7">
        <v>0.1807</v>
      </c>
      <c r="BZ238" s="7">
        <v>0.1797</v>
      </c>
      <c r="CA238" s="7">
        <v>0.1787</v>
      </c>
      <c r="CB238" s="7">
        <v>0.17780000000000001</v>
      </c>
      <c r="CC238" s="7">
        <v>0.17680000000000001</v>
      </c>
      <c r="CD238" s="7">
        <v>0.1759</v>
      </c>
      <c r="CE238" s="7">
        <v>0.17499999999999999</v>
      </c>
      <c r="CF238" s="7">
        <v>0.17399999999999999</v>
      </c>
      <c r="CG238" s="7">
        <v>0.1731</v>
      </c>
      <c r="CH238" s="7">
        <v>0.1719</v>
      </c>
      <c r="CI238" s="7">
        <v>0.17019999999999999</v>
      </c>
      <c r="CJ238" s="7">
        <v>0.16850000000000001</v>
      </c>
      <c r="CK238" s="7">
        <v>0.1668</v>
      </c>
      <c r="CL238" s="7">
        <v>0.1651</v>
      </c>
      <c r="CM238" s="7">
        <v>0.16339999999999999</v>
      </c>
      <c r="CN238" s="7">
        <v>0.1618</v>
      </c>
      <c r="CO238" s="7">
        <v>0.16009999999999999</v>
      </c>
      <c r="CP238" s="7">
        <v>0.15840000000000001</v>
      </c>
      <c r="CQ238" s="7">
        <v>0.15679999999999999</v>
      </c>
      <c r="CR238" s="7">
        <v>0.1552</v>
      </c>
      <c r="CS238" s="7">
        <v>0.1535</v>
      </c>
      <c r="CT238" s="7">
        <v>0.15190000000000001</v>
      </c>
      <c r="CU238" s="7">
        <v>0.15029999999999999</v>
      </c>
      <c r="CV238" s="7">
        <v>0.1487</v>
      </c>
      <c r="CW238" s="7">
        <v>0.14710000000000001</v>
      </c>
      <c r="CX238" s="7">
        <v>0.1454</v>
      </c>
      <c r="CY238" s="7">
        <v>0.14380000000000001</v>
      </c>
      <c r="CZ238" s="7">
        <v>0.14219999999999999</v>
      </c>
      <c r="DA238" s="7">
        <v>0.1406</v>
      </c>
      <c r="DB238" s="7">
        <v>0.13900000000000001</v>
      </c>
      <c r="DC238" s="7">
        <v>0.13739999999999999</v>
      </c>
      <c r="DD238" s="7">
        <v>0.13569999999999999</v>
      </c>
      <c r="DE238" s="7">
        <v>0.1341</v>
      </c>
      <c r="DF238" s="7">
        <v>0.13250000000000001</v>
      </c>
      <c r="DG238" s="7">
        <v>0.1308</v>
      </c>
      <c r="DH238" s="7">
        <v>0.12920000000000001</v>
      </c>
      <c r="DI238" s="7">
        <v>0.1275</v>
      </c>
      <c r="DJ238" s="7">
        <v>0.1258</v>
      </c>
      <c r="DK238" s="7">
        <v>0.1242</v>
      </c>
      <c r="DL238" s="7">
        <v>0.1225</v>
      </c>
      <c r="DM238" s="7">
        <v>0.1208</v>
      </c>
      <c r="DN238" s="7">
        <v>0.1191</v>
      </c>
      <c r="DO238" s="7">
        <v>0.1174</v>
      </c>
      <c r="DP238" s="7">
        <v>0.11559999999999999</v>
      </c>
      <c r="DQ238" s="7">
        <v>0.1139</v>
      </c>
      <c r="DR238" s="7">
        <v>0.11219999999999999</v>
      </c>
      <c r="DS238" s="7">
        <v>0.1104</v>
      </c>
      <c r="DT238" s="7">
        <v>0.1086</v>
      </c>
      <c r="DU238" s="7">
        <v>0.10680000000000001</v>
      </c>
      <c r="DV238" s="7">
        <v>0.1051</v>
      </c>
      <c r="DW238" s="7">
        <v>0.1032</v>
      </c>
      <c r="DX238" s="7">
        <v>0.1014</v>
      </c>
      <c r="DY238" s="7">
        <v>9.9599999999999994E-2</v>
      </c>
      <c r="DZ238" s="7">
        <v>9.7799999999999998E-2</v>
      </c>
      <c r="EA238" s="7">
        <v>9.5899999999999999E-2</v>
      </c>
      <c r="EB238" s="7">
        <v>9.4E-2</v>
      </c>
      <c r="EC238" s="7">
        <v>9.2200000000000004E-2</v>
      </c>
      <c r="ED238" s="7">
        <v>9.0300000000000005E-2</v>
      </c>
      <c r="EE238" s="7">
        <v>8.8400000000000006E-2</v>
      </c>
      <c r="EF238" s="7">
        <v>8.6499999999999994E-2</v>
      </c>
      <c r="EG238" s="7">
        <v>8.4599999999999995E-2</v>
      </c>
      <c r="EH238" s="7">
        <v>8.2699999999999996E-2</v>
      </c>
      <c r="EI238" s="7">
        <v>8.0799999999999997E-2</v>
      </c>
      <c r="EJ238" s="7">
        <v>7.8899999999999998E-2</v>
      </c>
      <c r="EK238" s="7">
        <v>7.6999999999999999E-2</v>
      </c>
      <c r="EL238" s="7">
        <v>7.51E-2</v>
      </c>
      <c r="EM238" s="7">
        <v>7.3400000000000007E-2</v>
      </c>
      <c r="EN238" s="7">
        <v>7.1999999999999995E-2</v>
      </c>
      <c r="EO238" s="7">
        <v>7.0599999999999996E-2</v>
      </c>
      <c r="EP238" s="7">
        <v>6.9199999999999998E-2</v>
      </c>
      <c r="EQ238" s="7">
        <v>6.7799999999999999E-2</v>
      </c>
      <c r="ER238" s="7">
        <v>6.6400000000000001E-2</v>
      </c>
      <c r="ES238" s="7">
        <v>6.5000000000000002E-2</v>
      </c>
      <c r="ET238" s="7">
        <v>6.3600000000000004E-2</v>
      </c>
      <c r="EU238" s="7">
        <v>6.2199999999999998E-2</v>
      </c>
      <c r="EV238" s="7">
        <v>6.08E-2</v>
      </c>
      <c r="EW238" s="7">
        <v>5.9499999999999997E-2</v>
      </c>
      <c r="EX238" s="7">
        <v>5.8099999999999999E-2</v>
      </c>
      <c r="EY238" s="7">
        <v>5.6800000000000003E-2</v>
      </c>
      <c r="EZ238" s="7">
        <v>5.5399999999999998E-2</v>
      </c>
      <c r="FA238" s="7">
        <v>5.4100000000000002E-2</v>
      </c>
      <c r="FB238" s="7">
        <v>5.28E-2</v>
      </c>
      <c r="FC238" s="7">
        <v>5.1499999999999997E-2</v>
      </c>
      <c r="FE238" s="50">
        <f t="shared" ca="1" si="26"/>
        <v>0.10284044050168248</v>
      </c>
      <c r="FF238" s="50">
        <f t="shared" ca="1" si="27"/>
        <v>0.10402002563280996</v>
      </c>
      <c r="FG238" s="50">
        <f t="shared" ca="1" si="28"/>
        <v>0.10522892617449665</v>
      </c>
      <c r="FH238" s="50">
        <f t="shared" ca="1" si="29"/>
        <v>0.10636986577181209</v>
      </c>
      <c r="FI238" s="50"/>
      <c r="FJ238" s="50"/>
      <c r="FK238" s="50">
        <f t="shared" ca="1" si="25"/>
        <v>0.10402002563280996</v>
      </c>
      <c r="FL238" s="50"/>
      <c r="FM238" s="50"/>
      <c r="FN238" s="50"/>
    </row>
    <row r="239" spans="49:170" hidden="1">
      <c r="AW239" s="112">
        <v>0.64600000000000002</v>
      </c>
      <c r="AX239" s="7">
        <v>0.21299999999999999</v>
      </c>
      <c r="AY239" s="7">
        <v>0.21149999999999999</v>
      </c>
      <c r="AZ239" s="7">
        <v>0.21</v>
      </c>
      <c r="BA239" s="7">
        <v>0.20860000000000001</v>
      </c>
      <c r="BB239" s="7">
        <v>0.2072</v>
      </c>
      <c r="BC239" s="7">
        <v>0.20580000000000001</v>
      </c>
      <c r="BD239" s="7">
        <v>0.2044</v>
      </c>
      <c r="BE239" s="7">
        <v>0.2031</v>
      </c>
      <c r="BF239" s="7">
        <v>0.20180000000000001</v>
      </c>
      <c r="BG239" s="7">
        <v>0.20050000000000001</v>
      </c>
      <c r="BH239" s="7">
        <v>0.1993</v>
      </c>
      <c r="BI239" s="7">
        <v>0.19800000000000001</v>
      </c>
      <c r="BJ239" s="7">
        <v>0.1968</v>
      </c>
      <c r="BK239" s="7">
        <v>0.1956</v>
      </c>
      <c r="BL239" s="7">
        <v>0.19439999999999999</v>
      </c>
      <c r="BM239" s="7">
        <v>0.1933</v>
      </c>
      <c r="BN239" s="7">
        <v>0.19209999999999999</v>
      </c>
      <c r="BO239" s="7">
        <v>0.191</v>
      </c>
      <c r="BP239" s="7">
        <v>0.18990000000000001</v>
      </c>
      <c r="BQ239" s="7">
        <v>0.1888</v>
      </c>
      <c r="BR239" s="7">
        <v>0.18779999999999999</v>
      </c>
      <c r="BS239" s="7">
        <v>0.1867</v>
      </c>
      <c r="BT239" s="7">
        <v>0.1857</v>
      </c>
      <c r="BU239" s="7">
        <v>0.18459999999999999</v>
      </c>
      <c r="BV239" s="7">
        <v>0.18360000000000001</v>
      </c>
      <c r="BW239" s="7">
        <v>0.18260000000000001</v>
      </c>
      <c r="BX239" s="7">
        <v>0.18160000000000001</v>
      </c>
      <c r="BY239" s="7">
        <v>0.1807</v>
      </c>
      <c r="BZ239" s="7">
        <v>0.1797</v>
      </c>
      <c r="CA239" s="7">
        <v>0.1787</v>
      </c>
      <c r="CB239" s="7">
        <v>0.17780000000000001</v>
      </c>
      <c r="CC239" s="7">
        <v>0.17680000000000001</v>
      </c>
      <c r="CD239" s="7">
        <v>0.1759</v>
      </c>
      <c r="CE239" s="7">
        <v>0.17499999999999999</v>
      </c>
      <c r="CF239" s="7">
        <v>0.17399999999999999</v>
      </c>
      <c r="CG239" s="7">
        <v>0.1731</v>
      </c>
      <c r="CH239" s="7">
        <v>0.17219999999999999</v>
      </c>
      <c r="CI239" s="7">
        <v>0.1711</v>
      </c>
      <c r="CJ239" s="7">
        <v>0.1694</v>
      </c>
      <c r="CK239" s="7">
        <v>0.16769999999999999</v>
      </c>
      <c r="CL239" s="7">
        <v>0.16600000000000001</v>
      </c>
      <c r="CM239" s="7">
        <v>0.16439999999999999</v>
      </c>
      <c r="CN239" s="7">
        <v>0.16270000000000001</v>
      </c>
      <c r="CO239" s="7">
        <v>0.161</v>
      </c>
      <c r="CP239" s="7">
        <v>0.15939999999999999</v>
      </c>
      <c r="CQ239" s="7">
        <v>0.15770000000000001</v>
      </c>
      <c r="CR239" s="7">
        <v>0.15609999999999999</v>
      </c>
      <c r="CS239" s="7">
        <v>0.1545</v>
      </c>
      <c r="CT239" s="7">
        <v>0.15279999999999999</v>
      </c>
      <c r="CU239" s="7">
        <v>0.1512</v>
      </c>
      <c r="CV239" s="7">
        <v>0.14960000000000001</v>
      </c>
      <c r="CW239" s="7">
        <v>0.14799999999999999</v>
      </c>
      <c r="CX239" s="7">
        <v>0.14630000000000001</v>
      </c>
      <c r="CY239" s="7">
        <v>0.1447</v>
      </c>
      <c r="CZ239" s="7">
        <v>0.1431</v>
      </c>
      <c r="DA239" s="7">
        <v>0.14149999999999999</v>
      </c>
      <c r="DB239" s="7">
        <v>0.1399</v>
      </c>
      <c r="DC239" s="7">
        <v>0.13819999999999999</v>
      </c>
      <c r="DD239" s="7">
        <v>0.1366</v>
      </c>
      <c r="DE239" s="7">
        <v>0.13500000000000001</v>
      </c>
      <c r="DF239" s="7">
        <v>0.1333</v>
      </c>
      <c r="DG239" s="7">
        <v>0.13170000000000001</v>
      </c>
      <c r="DH239" s="7">
        <v>0.13</v>
      </c>
      <c r="DI239" s="7">
        <v>0.12839999999999999</v>
      </c>
      <c r="DJ239" s="7">
        <v>0.12670000000000001</v>
      </c>
      <c r="DK239" s="7">
        <v>0.125</v>
      </c>
      <c r="DL239" s="7">
        <v>0.12330000000000001</v>
      </c>
      <c r="DM239" s="7">
        <v>0.1216</v>
      </c>
      <c r="DN239" s="7">
        <v>0.11990000000000001</v>
      </c>
      <c r="DO239" s="7">
        <v>0.1182</v>
      </c>
      <c r="DP239" s="7">
        <v>0.11650000000000001</v>
      </c>
      <c r="DQ239" s="7">
        <v>0.1148</v>
      </c>
      <c r="DR239" s="7">
        <v>0.113</v>
      </c>
      <c r="DS239" s="7">
        <v>0.11119999999999999</v>
      </c>
      <c r="DT239" s="7">
        <v>0.1095</v>
      </c>
      <c r="DU239" s="7">
        <v>0.1077</v>
      </c>
      <c r="DV239" s="7">
        <v>0.10589999999999999</v>
      </c>
      <c r="DW239" s="7">
        <v>0.1041</v>
      </c>
      <c r="DX239" s="7">
        <v>0.1022</v>
      </c>
      <c r="DY239" s="7">
        <v>0.1004</v>
      </c>
      <c r="DZ239" s="7">
        <v>9.8599999999999993E-2</v>
      </c>
      <c r="EA239" s="7">
        <v>9.6699999999999994E-2</v>
      </c>
      <c r="EB239" s="7">
        <v>9.4799999999999995E-2</v>
      </c>
      <c r="EC239" s="7">
        <v>9.2999999999999999E-2</v>
      </c>
      <c r="ED239" s="7">
        <v>9.11E-2</v>
      </c>
      <c r="EE239" s="7">
        <v>8.9200000000000002E-2</v>
      </c>
      <c r="EF239" s="7">
        <v>8.7300000000000003E-2</v>
      </c>
      <c r="EG239" s="7">
        <v>8.5400000000000004E-2</v>
      </c>
      <c r="EH239" s="7">
        <v>8.3500000000000005E-2</v>
      </c>
      <c r="EI239" s="7">
        <v>8.1600000000000006E-2</v>
      </c>
      <c r="EJ239" s="7">
        <v>7.9699999999999993E-2</v>
      </c>
      <c r="EK239" s="7">
        <v>7.7799999999999994E-2</v>
      </c>
      <c r="EL239" s="7">
        <v>7.5899999999999995E-2</v>
      </c>
      <c r="EM239" s="7">
        <v>7.3999999999999996E-2</v>
      </c>
      <c r="EN239" s="7">
        <v>7.1999999999999995E-2</v>
      </c>
      <c r="EO239" s="7">
        <v>7.0599999999999996E-2</v>
      </c>
      <c r="EP239" s="7">
        <v>6.9199999999999998E-2</v>
      </c>
      <c r="EQ239" s="7">
        <v>6.7799999999999999E-2</v>
      </c>
      <c r="ER239" s="7">
        <v>6.6400000000000001E-2</v>
      </c>
      <c r="ES239" s="7">
        <v>6.5000000000000002E-2</v>
      </c>
      <c r="ET239" s="7">
        <v>6.3600000000000004E-2</v>
      </c>
      <c r="EU239" s="7">
        <v>6.2199999999999998E-2</v>
      </c>
      <c r="EV239" s="7">
        <v>6.08E-2</v>
      </c>
      <c r="EW239" s="7">
        <v>5.9499999999999997E-2</v>
      </c>
      <c r="EX239" s="7">
        <v>5.8099999999999999E-2</v>
      </c>
      <c r="EY239" s="7">
        <v>5.6800000000000003E-2</v>
      </c>
      <c r="EZ239" s="7">
        <v>5.5399999999999998E-2</v>
      </c>
      <c r="FA239" s="7">
        <v>5.4100000000000002E-2</v>
      </c>
      <c r="FB239" s="7">
        <v>5.28E-2</v>
      </c>
      <c r="FC239" s="7">
        <v>5.1499999999999997E-2</v>
      </c>
      <c r="FE239" s="50">
        <f t="shared" ca="1" si="26"/>
        <v>0.10372046497399816</v>
      </c>
      <c r="FF239" s="50">
        <f t="shared" ca="1" si="27"/>
        <v>0.10487686638897788</v>
      </c>
      <c r="FG239" s="50">
        <f t="shared" ca="1" si="28"/>
        <v>0.10603651006711409</v>
      </c>
      <c r="FH239" s="50">
        <f t="shared" ca="1" si="29"/>
        <v>0.10724456375838928</v>
      </c>
      <c r="FI239" s="50"/>
      <c r="FJ239" s="50"/>
      <c r="FK239" s="50">
        <f t="shared" ca="1" si="25"/>
        <v>0.10487686638897788</v>
      </c>
      <c r="FL239" s="50"/>
      <c r="FM239" s="50"/>
      <c r="FN239" s="50"/>
    </row>
    <row r="240" spans="49:170" hidden="1">
      <c r="AW240" s="112">
        <v>0.69199999999999995</v>
      </c>
      <c r="AX240" s="7">
        <v>0.21299999999999999</v>
      </c>
      <c r="AY240" s="7">
        <v>0.21149999999999999</v>
      </c>
      <c r="AZ240" s="7">
        <v>0.21</v>
      </c>
      <c r="BA240" s="7">
        <v>0.20860000000000001</v>
      </c>
      <c r="BB240" s="7">
        <v>0.2072</v>
      </c>
      <c r="BC240" s="7">
        <v>0.20580000000000001</v>
      </c>
      <c r="BD240" s="7">
        <v>0.2044</v>
      </c>
      <c r="BE240" s="7">
        <v>0.2031</v>
      </c>
      <c r="BF240" s="7">
        <v>0.20180000000000001</v>
      </c>
      <c r="BG240" s="7">
        <v>0.20050000000000001</v>
      </c>
      <c r="BH240" s="7">
        <v>0.1993</v>
      </c>
      <c r="BI240" s="7">
        <v>0.19800000000000001</v>
      </c>
      <c r="BJ240" s="7">
        <v>0.1968</v>
      </c>
      <c r="BK240" s="7">
        <v>0.1956</v>
      </c>
      <c r="BL240" s="7">
        <v>0.19439999999999999</v>
      </c>
      <c r="BM240" s="7">
        <v>0.1933</v>
      </c>
      <c r="BN240" s="7">
        <v>0.19209999999999999</v>
      </c>
      <c r="BO240" s="7">
        <v>0.191</v>
      </c>
      <c r="BP240" s="7">
        <v>0.18990000000000001</v>
      </c>
      <c r="BQ240" s="7">
        <v>0.1888</v>
      </c>
      <c r="BR240" s="7">
        <v>0.18779999999999999</v>
      </c>
      <c r="BS240" s="7">
        <v>0.1867</v>
      </c>
      <c r="BT240" s="7">
        <v>0.1857</v>
      </c>
      <c r="BU240" s="7">
        <v>0.18459999999999999</v>
      </c>
      <c r="BV240" s="7">
        <v>0.18360000000000001</v>
      </c>
      <c r="BW240" s="7">
        <v>0.18260000000000001</v>
      </c>
      <c r="BX240" s="7">
        <v>0.18160000000000001</v>
      </c>
      <c r="BY240" s="7">
        <v>0.1807</v>
      </c>
      <c r="BZ240" s="7">
        <v>0.1797</v>
      </c>
      <c r="CA240" s="7">
        <v>0.1787</v>
      </c>
      <c r="CB240" s="7">
        <v>0.17780000000000001</v>
      </c>
      <c r="CC240" s="7">
        <v>0.17680000000000001</v>
      </c>
      <c r="CD240" s="7">
        <v>0.1759</v>
      </c>
      <c r="CE240" s="7">
        <v>0.17499999999999999</v>
      </c>
      <c r="CF240" s="7">
        <v>0.17399999999999999</v>
      </c>
      <c r="CG240" s="7">
        <v>0.1731</v>
      </c>
      <c r="CH240" s="7">
        <v>0.17219999999999999</v>
      </c>
      <c r="CI240" s="7">
        <v>0.17130000000000001</v>
      </c>
      <c r="CJ240" s="7">
        <v>0.1704</v>
      </c>
      <c r="CK240" s="7">
        <v>0.16869999999999999</v>
      </c>
      <c r="CL240" s="7">
        <v>0.16700000000000001</v>
      </c>
      <c r="CM240" s="7">
        <v>0.1653</v>
      </c>
      <c r="CN240" s="7">
        <v>0.1636</v>
      </c>
      <c r="CO240" s="7">
        <v>0.16189999999999999</v>
      </c>
      <c r="CP240" s="7">
        <v>0.1603</v>
      </c>
      <c r="CQ240" s="7">
        <v>0.15859999999999999</v>
      </c>
      <c r="CR240" s="7">
        <v>0.157</v>
      </c>
      <c r="CS240" s="7">
        <v>0.15540000000000001</v>
      </c>
      <c r="CT240" s="7">
        <v>0.1537</v>
      </c>
      <c r="CU240" s="7">
        <v>0.15210000000000001</v>
      </c>
      <c r="CV240" s="7">
        <v>0.15049999999999999</v>
      </c>
      <c r="CW240" s="7">
        <v>0.1489</v>
      </c>
      <c r="CX240" s="7">
        <v>0.1472</v>
      </c>
      <c r="CY240" s="7">
        <v>0.14560000000000001</v>
      </c>
      <c r="CZ240" s="7">
        <v>0.14399999999999999</v>
      </c>
      <c r="DA240" s="7">
        <v>0.1424</v>
      </c>
      <c r="DB240" s="7">
        <v>0.14069999999999999</v>
      </c>
      <c r="DC240" s="7">
        <v>0.1391</v>
      </c>
      <c r="DD240" s="7">
        <v>0.13750000000000001</v>
      </c>
      <c r="DE240" s="7">
        <v>0.1358</v>
      </c>
      <c r="DF240" s="7">
        <v>0.13420000000000001</v>
      </c>
      <c r="DG240" s="7">
        <v>0.1326</v>
      </c>
      <c r="DH240" s="7">
        <v>0.13089999999999999</v>
      </c>
      <c r="DI240" s="7">
        <v>0.12920000000000001</v>
      </c>
      <c r="DJ240" s="7">
        <v>0.12759999999999999</v>
      </c>
      <c r="DK240" s="7">
        <v>0.12590000000000001</v>
      </c>
      <c r="DL240" s="7">
        <v>0.1242</v>
      </c>
      <c r="DM240" s="7">
        <v>0.1225</v>
      </c>
      <c r="DN240" s="7">
        <v>0.1208</v>
      </c>
      <c r="DO240" s="7">
        <v>0.1191</v>
      </c>
      <c r="DP240" s="7">
        <v>0.1173</v>
      </c>
      <c r="DQ240" s="7">
        <v>0.11559999999999999</v>
      </c>
      <c r="DR240" s="7">
        <v>0.1138</v>
      </c>
      <c r="DS240" s="7">
        <v>0.11210000000000001</v>
      </c>
      <c r="DT240" s="7">
        <v>0.1103</v>
      </c>
      <c r="DU240" s="7">
        <v>0.1085</v>
      </c>
      <c r="DV240" s="7">
        <v>0.1067</v>
      </c>
      <c r="DW240" s="7">
        <v>0.10489999999999999</v>
      </c>
      <c r="DX240" s="7">
        <v>0.1031</v>
      </c>
      <c r="DY240" s="7">
        <v>0.1012</v>
      </c>
      <c r="DZ240" s="7">
        <v>9.9400000000000002E-2</v>
      </c>
      <c r="EA240" s="7">
        <v>9.7500000000000003E-2</v>
      </c>
      <c r="EB240" s="7">
        <v>9.5600000000000004E-2</v>
      </c>
      <c r="EC240" s="7">
        <v>9.3799999999999994E-2</v>
      </c>
      <c r="ED240" s="7">
        <v>9.1899999999999996E-2</v>
      </c>
      <c r="EE240" s="7">
        <v>0.09</v>
      </c>
      <c r="EF240" s="7">
        <v>8.8099999999999998E-2</v>
      </c>
      <c r="EG240" s="7">
        <v>8.6199999999999999E-2</v>
      </c>
      <c r="EH240" s="7">
        <v>8.43E-2</v>
      </c>
      <c r="EI240" s="7">
        <v>8.2400000000000001E-2</v>
      </c>
      <c r="EJ240" s="7">
        <v>8.0500000000000002E-2</v>
      </c>
      <c r="EK240" s="7">
        <v>7.85E-2</v>
      </c>
      <c r="EL240" s="7">
        <v>7.6600000000000001E-2</v>
      </c>
      <c r="EM240" s="7">
        <v>7.4700000000000003E-2</v>
      </c>
      <c r="EN240" s="7">
        <v>7.2800000000000004E-2</v>
      </c>
      <c r="EO240" s="7">
        <v>7.0900000000000005E-2</v>
      </c>
      <c r="EP240" s="7">
        <v>6.9199999999999998E-2</v>
      </c>
      <c r="EQ240" s="7">
        <v>6.7799999999999999E-2</v>
      </c>
      <c r="ER240" s="7">
        <v>6.6400000000000001E-2</v>
      </c>
      <c r="ES240" s="7">
        <v>6.5000000000000002E-2</v>
      </c>
      <c r="ET240" s="7">
        <v>6.3600000000000004E-2</v>
      </c>
      <c r="EU240" s="7">
        <v>6.2199999999999998E-2</v>
      </c>
      <c r="EV240" s="7">
        <v>6.08E-2</v>
      </c>
      <c r="EW240" s="7">
        <v>5.9499999999999997E-2</v>
      </c>
      <c r="EX240" s="7">
        <v>5.8099999999999999E-2</v>
      </c>
      <c r="EY240" s="7">
        <v>5.6800000000000003E-2</v>
      </c>
      <c r="EZ240" s="7">
        <v>5.5399999999999998E-2</v>
      </c>
      <c r="FA240" s="7">
        <v>5.4100000000000002E-2</v>
      </c>
      <c r="FB240" s="7">
        <v>5.28E-2</v>
      </c>
      <c r="FC240" s="7">
        <v>5.1499999999999997E-2</v>
      </c>
      <c r="FE240" s="50">
        <f t="shared" ca="1" si="26"/>
        <v>0.10454044050168246</v>
      </c>
      <c r="FF240" s="50">
        <f t="shared" ca="1" si="27"/>
        <v>0.1056768663889779</v>
      </c>
      <c r="FG240" s="50">
        <f t="shared" ca="1" si="28"/>
        <v>0.10683651006711409</v>
      </c>
      <c r="FH240" s="50">
        <f t="shared" ca="1" si="29"/>
        <v>0.10804456375838926</v>
      </c>
      <c r="FI240" s="50"/>
      <c r="FJ240" s="50"/>
      <c r="FK240" s="50">
        <f t="shared" ca="1" si="25"/>
        <v>0.1056768663889779</v>
      </c>
      <c r="FL240" s="50"/>
      <c r="FM240" s="50"/>
      <c r="FN240" s="50"/>
    </row>
    <row r="241" spans="49:170" hidden="1">
      <c r="AW241" s="112">
        <v>0.74099999999999999</v>
      </c>
      <c r="AX241" s="7">
        <v>0.21299999999999999</v>
      </c>
      <c r="AY241" s="7">
        <v>0.21149999999999999</v>
      </c>
      <c r="AZ241" s="7">
        <v>0.21</v>
      </c>
      <c r="BA241" s="7">
        <v>0.20860000000000001</v>
      </c>
      <c r="BB241" s="7">
        <v>0.2072</v>
      </c>
      <c r="BC241" s="7">
        <v>0.20580000000000001</v>
      </c>
      <c r="BD241" s="7">
        <v>0.2044</v>
      </c>
      <c r="BE241" s="7">
        <v>0.2031</v>
      </c>
      <c r="BF241" s="7">
        <v>0.20180000000000001</v>
      </c>
      <c r="BG241" s="7">
        <v>0.20050000000000001</v>
      </c>
      <c r="BH241" s="7">
        <v>0.1993</v>
      </c>
      <c r="BI241" s="7">
        <v>0.19800000000000001</v>
      </c>
      <c r="BJ241" s="7">
        <v>0.1968</v>
      </c>
      <c r="BK241" s="7">
        <v>0.1956</v>
      </c>
      <c r="BL241" s="7">
        <v>0.19439999999999999</v>
      </c>
      <c r="BM241" s="7">
        <v>0.1933</v>
      </c>
      <c r="BN241" s="7">
        <v>0.19209999999999999</v>
      </c>
      <c r="BO241" s="7">
        <v>0.191</v>
      </c>
      <c r="BP241" s="7">
        <v>0.18990000000000001</v>
      </c>
      <c r="BQ241" s="7">
        <v>0.1888</v>
      </c>
      <c r="BR241" s="7">
        <v>0.18779999999999999</v>
      </c>
      <c r="BS241" s="7">
        <v>0.1867</v>
      </c>
      <c r="BT241" s="7">
        <v>0.1857</v>
      </c>
      <c r="BU241" s="7">
        <v>0.18459999999999999</v>
      </c>
      <c r="BV241" s="7">
        <v>0.18360000000000001</v>
      </c>
      <c r="BW241" s="7">
        <v>0.18260000000000001</v>
      </c>
      <c r="BX241" s="7">
        <v>0.18160000000000001</v>
      </c>
      <c r="BY241" s="7">
        <v>0.1807</v>
      </c>
      <c r="BZ241" s="7">
        <v>0.1797</v>
      </c>
      <c r="CA241" s="7">
        <v>0.1787</v>
      </c>
      <c r="CB241" s="7">
        <v>0.17780000000000001</v>
      </c>
      <c r="CC241" s="7">
        <v>0.17680000000000001</v>
      </c>
      <c r="CD241" s="7">
        <v>0.1759</v>
      </c>
      <c r="CE241" s="7">
        <v>0.17499999999999999</v>
      </c>
      <c r="CF241" s="7">
        <v>0.17399999999999999</v>
      </c>
      <c r="CG241" s="7">
        <v>0.1731</v>
      </c>
      <c r="CH241" s="7">
        <v>0.17219999999999999</v>
      </c>
      <c r="CI241" s="7">
        <v>0.17130000000000001</v>
      </c>
      <c r="CJ241" s="7">
        <v>0.1704</v>
      </c>
      <c r="CK241" s="7">
        <v>0.16950000000000001</v>
      </c>
      <c r="CL241" s="7">
        <v>0.16789999999999999</v>
      </c>
      <c r="CM241" s="7">
        <v>0.16619999999999999</v>
      </c>
      <c r="CN241" s="7">
        <v>0.16450000000000001</v>
      </c>
      <c r="CO241" s="7">
        <v>0.16289999999999999</v>
      </c>
      <c r="CP241" s="7">
        <v>0.16120000000000001</v>
      </c>
      <c r="CQ241" s="7">
        <v>0.15959999999999999</v>
      </c>
      <c r="CR241" s="7">
        <v>0.15790000000000001</v>
      </c>
      <c r="CS241" s="7">
        <v>0.15629999999999999</v>
      </c>
      <c r="CT241" s="7">
        <v>0.15459999999999999</v>
      </c>
      <c r="CU241" s="7">
        <v>0.153</v>
      </c>
      <c r="CV241" s="7">
        <v>0.15140000000000001</v>
      </c>
      <c r="CW241" s="7">
        <v>0.14979999999999999</v>
      </c>
      <c r="CX241" s="7">
        <v>0.14810000000000001</v>
      </c>
      <c r="CY241" s="7">
        <v>0.14649999999999999</v>
      </c>
      <c r="CZ241" s="7">
        <v>0.1449</v>
      </c>
      <c r="DA241" s="7">
        <v>0.14319999999999999</v>
      </c>
      <c r="DB241" s="7">
        <v>0.1416</v>
      </c>
      <c r="DC241" s="7">
        <v>0.14000000000000001</v>
      </c>
      <c r="DD241" s="7">
        <v>0.1384</v>
      </c>
      <c r="DE241" s="7">
        <v>0.13669999999999999</v>
      </c>
      <c r="DF241" s="7">
        <v>0.1351</v>
      </c>
      <c r="DG241" s="7">
        <v>0.13339999999999999</v>
      </c>
      <c r="DH241" s="7">
        <v>0.1318</v>
      </c>
      <c r="DI241" s="7">
        <v>0.13009999999999999</v>
      </c>
      <c r="DJ241" s="7">
        <v>0.12839999999999999</v>
      </c>
      <c r="DK241" s="7">
        <v>0.12670000000000001</v>
      </c>
      <c r="DL241" s="7">
        <v>0.125</v>
      </c>
      <c r="DM241" s="7">
        <v>0.12330000000000001</v>
      </c>
      <c r="DN241" s="7">
        <v>0.1216</v>
      </c>
      <c r="DO241" s="7">
        <v>0.11990000000000001</v>
      </c>
      <c r="DP241" s="7">
        <v>0.1182</v>
      </c>
      <c r="DQ241" s="7">
        <v>0.1164</v>
      </c>
      <c r="DR241" s="7">
        <v>0.1147</v>
      </c>
      <c r="DS241" s="7">
        <v>0.1129</v>
      </c>
      <c r="DT241" s="7">
        <v>0.1111</v>
      </c>
      <c r="DU241" s="7">
        <v>0.10929999999999999</v>
      </c>
      <c r="DV241" s="7">
        <v>0.1075</v>
      </c>
      <c r="DW241" s="7">
        <v>0.1057</v>
      </c>
      <c r="DX241" s="7">
        <v>0.10390000000000001</v>
      </c>
      <c r="DY241" s="7">
        <v>0.10199999999999999</v>
      </c>
      <c r="DZ241" s="7">
        <v>0.1002</v>
      </c>
      <c r="EA241" s="7">
        <v>9.8299999999999998E-2</v>
      </c>
      <c r="EB241" s="7">
        <v>9.64E-2</v>
      </c>
      <c r="EC241" s="7">
        <v>9.4600000000000004E-2</v>
      </c>
      <c r="ED241" s="7">
        <v>9.2700000000000005E-2</v>
      </c>
      <c r="EE241" s="7">
        <v>9.0800000000000006E-2</v>
      </c>
      <c r="EF241" s="7">
        <v>8.8900000000000007E-2</v>
      </c>
      <c r="EG241" s="7">
        <v>8.6999999999999994E-2</v>
      </c>
      <c r="EH241" s="7">
        <v>8.5000000000000006E-2</v>
      </c>
      <c r="EI241" s="7">
        <v>8.3099999999999993E-2</v>
      </c>
      <c r="EJ241" s="7">
        <v>8.1199999999999994E-2</v>
      </c>
      <c r="EK241" s="7">
        <v>7.9299999999999995E-2</v>
      </c>
      <c r="EL241" s="7">
        <v>7.7399999999999997E-2</v>
      </c>
      <c r="EM241" s="7">
        <v>7.5499999999999998E-2</v>
      </c>
      <c r="EN241" s="7">
        <v>7.3599999999999999E-2</v>
      </c>
      <c r="EO241" s="7">
        <v>7.1599999999999997E-2</v>
      </c>
      <c r="EP241" s="7">
        <v>6.9699999999999998E-2</v>
      </c>
      <c r="EQ241" s="7">
        <v>6.7799999999999999E-2</v>
      </c>
      <c r="ER241" s="7">
        <v>6.6400000000000001E-2</v>
      </c>
      <c r="ES241" s="7">
        <v>6.5000000000000002E-2</v>
      </c>
      <c r="ET241" s="7">
        <v>6.3600000000000004E-2</v>
      </c>
      <c r="EU241" s="7">
        <v>6.2199999999999998E-2</v>
      </c>
      <c r="EV241" s="7">
        <v>6.08E-2</v>
      </c>
      <c r="EW241" s="7">
        <v>5.9499999999999997E-2</v>
      </c>
      <c r="EX241" s="7">
        <v>5.8099999999999999E-2</v>
      </c>
      <c r="EY241" s="7">
        <v>5.6800000000000003E-2</v>
      </c>
      <c r="EZ241" s="7">
        <v>5.5399999999999998E-2</v>
      </c>
      <c r="FA241" s="7">
        <v>5.4100000000000002E-2</v>
      </c>
      <c r="FB241" s="7">
        <v>5.28E-2</v>
      </c>
      <c r="FC241" s="7">
        <v>5.1499999999999997E-2</v>
      </c>
      <c r="FE241" s="50">
        <f t="shared" ca="1" si="26"/>
        <v>0.10534044050168248</v>
      </c>
      <c r="FF241" s="50">
        <f t="shared" ca="1" si="27"/>
        <v>0.10647686638897789</v>
      </c>
      <c r="FG241" s="50">
        <f t="shared" ca="1" si="28"/>
        <v>0.10763651006711408</v>
      </c>
      <c r="FH241" s="50">
        <f t="shared" ca="1" si="29"/>
        <v>0.10884456375838926</v>
      </c>
      <c r="FI241" s="50"/>
      <c r="FJ241" s="50"/>
      <c r="FK241" s="50">
        <f t="shared" ca="1" si="25"/>
        <v>0.10647686638897789</v>
      </c>
      <c r="FL241" s="50"/>
      <c r="FM241" s="50"/>
      <c r="FN241" s="50"/>
    </row>
    <row r="242" spans="49:170" hidden="1">
      <c r="AW242" s="112">
        <v>0.79400000000000004</v>
      </c>
      <c r="AX242" s="7">
        <v>0.21299999999999999</v>
      </c>
      <c r="AY242" s="7">
        <v>0.21149999999999999</v>
      </c>
      <c r="AZ242" s="7">
        <v>0.21</v>
      </c>
      <c r="BA242" s="7">
        <v>0.20860000000000001</v>
      </c>
      <c r="BB242" s="7">
        <v>0.2072</v>
      </c>
      <c r="BC242" s="7">
        <v>0.20580000000000001</v>
      </c>
      <c r="BD242" s="7">
        <v>0.2044</v>
      </c>
      <c r="BE242" s="7">
        <v>0.2031</v>
      </c>
      <c r="BF242" s="7">
        <v>0.20180000000000001</v>
      </c>
      <c r="BG242" s="7">
        <v>0.20050000000000001</v>
      </c>
      <c r="BH242" s="7">
        <v>0.1993</v>
      </c>
      <c r="BI242" s="7">
        <v>0.19800000000000001</v>
      </c>
      <c r="BJ242" s="7">
        <v>0.1968</v>
      </c>
      <c r="BK242" s="7">
        <v>0.1956</v>
      </c>
      <c r="BL242" s="7">
        <v>0.19439999999999999</v>
      </c>
      <c r="BM242" s="7">
        <v>0.1933</v>
      </c>
      <c r="BN242" s="7">
        <v>0.19209999999999999</v>
      </c>
      <c r="BO242" s="7">
        <v>0.191</v>
      </c>
      <c r="BP242" s="7">
        <v>0.18990000000000001</v>
      </c>
      <c r="BQ242" s="7">
        <v>0.1888</v>
      </c>
      <c r="BR242" s="7">
        <v>0.18779999999999999</v>
      </c>
      <c r="BS242" s="7">
        <v>0.1867</v>
      </c>
      <c r="BT242" s="7">
        <v>0.1857</v>
      </c>
      <c r="BU242" s="7">
        <v>0.18459999999999999</v>
      </c>
      <c r="BV242" s="7">
        <v>0.18360000000000001</v>
      </c>
      <c r="BW242" s="7">
        <v>0.18260000000000001</v>
      </c>
      <c r="BX242" s="7">
        <v>0.18160000000000001</v>
      </c>
      <c r="BY242" s="7">
        <v>0.1807</v>
      </c>
      <c r="BZ242" s="7">
        <v>0.1797</v>
      </c>
      <c r="CA242" s="7">
        <v>0.1787</v>
      </c>
      <c r="CB242" s="7">
        <v>0.17780000000000001</v>
      </c>
      <c r="CC242" s="7">
        <v>0.17680000000000001</v>
      </c>
      <c r="CD242" s="7">
        <v>0.1759</v>
      </c>
      <c r="CE242" s="7">
        <v>0.17499999999999999</v>
      </c>
      <c r="CF242" s="7">
        <v>0.17399999999999999</v>
      </c>
      <c r="CG242" s="7">
        <v>0.1731</v>
      </c>
      <c r="CH242" s="7">
        <v>0.17219999999999999</v>
      </c>
      <c r="CI242" s="7">
        <v>0.17130000000000001</v>
      </c>
      <c r="CJ242" s="7">
        <v>0.1704</v>
      </c>
      <c r="CK242" s="7">
        <v>0.16950000000000001</v>
      </c>
      <c r="CL242" s="7">
        <v>0.1686</v>
      </c>
      <c r="CM242" s="7">
        <v>0.1671</v>
      </c>
      <c r="CN242" s="7">
        <v>0.16539999999999999</v>
      </c>
      <c r="CO242" s="7">
        <v>0.1638</v>
      </c>
      <c r="CP242" s="7">
        <v>0.16209999999999999</v>
      </c>
      <c r="CQ242" s="7">
        <v>0.16039999999999999</v>
      </c>
      <c r="CR242" s="7">
        <v>0.1588</v>
      </c>
      <c r="CS242" s="7">
        <v>0.15720000000000001</v>
      </c>
      <c r="CT242" s="7">
        <v>0.1555</v>
      </c>
      <c r="CU242" s="7">
        <v>0.15390000000000001</v>
      </c>
      <c r="CV242" s="7">
        <v>0.15229999999999999</v>
      </c>
      <c r="CW242" s="7">
        <v>0.15060000000000001</v>
      </c>
      <c r="CX242" s="7">
        <v>0.14899999999999999</v>
      </c>
      <c r="CY242" s="7">
        <v>0.1474</v>
      </c>
      <c r="CZ242" s="7">
        <v>0.1457</v>
      </c>
      <c r="DA242" s="7">
        <v>0.14410000000000001</v>
      </c>
      <c r="DB242" s="7">
        <v>0.14249999999999999</v>
      </c>
      <c r="DC242" s="7">
        <v>0.14080000000000001</v>
      </c>
      <c r="DD242" s="7">
        <v>0.13919999999999999</v>
      </c>
      <c r="DE242" s="7">
        <v>0.1376</v>
      </c>
      <c r="DF242" s="7">
        <v>0.13589999999999999</v>
      </c>
      <c r="DG242" s="7">
        <v>0.1343</v>
      </c>
      <c r="DH242" s="7">
        <v>0.1326</v>
      </c>
      <c r="DI242" s="7">
        <v>0.13089999999999999</v>
      </c>
      <c r="DJ242" s="7">
        <v>0.1293</v>
      </c>
      <c r="DK242" s="7">
        <v>0.12759999999999999</v>
      </c>
      <c r="DL242" s="7">
        <v>0.12590000000000001</v>
      </c>
      <c r="DM242" s="7">
        <v>0.1242</v>
      </c>
      <c r="DN242" s="7">
        <v>0.12239999999999999</v>
      </c>
      <c r="DO242" s="7">
        <v>0.1207</v>
      </c>
      <c r="DP242" s="7">
        <v>0.11899999999999999</v>
      </c>
      <c r="DQ242" s="7">
        <v>0.1172</v>
      </c>
      <c r="DR242" s="7">
        <v>0.11550000000000001</v>
      </c>
      <c r="DS242" s="7">
        <v>0.1137</v>
      </c>
      <c r="DT242" s="7">
        <v>0.1119</v>
      </c>
      <c r="DU242" s="7">
        <v>0.1101</v>
      </c>
      <c r="DV242" s="7">
        <v>0.10829999999999999</v>
      </c>
      <c r="DW242" s="7">
        <v>0.1065</v>
      </c>
      <c r="DX242" s="7">
        <v>0.1047</v>
      </c>
      <c r="DY242" s="7">
        <v>0.1028</v>
      </c>
      <c r="DZ242" s="7">
        <v>0.10100000000000001</v>
      </c>
      <c r="EA242" s="7">
        <v>9.9099999999999994E-2</v>
      </c>
      <c r="EB242" s="7">
        <v>9.7199999999999995E-2</v>
      </c>
      <c r="EC242" s="7">
        <v>9.5299999999999996E-2</v>
      </c>
      <c r="ED242" s="7">
        <v>9.3399999999999997E-2</v>
      </c>
      <c r="EE242" s="7">
        <v>9.1499999999999998E-2</v>
      </c>
      <c r="EF242" s="7">
        <v>8.9599999999999999E-2</v>
      </c>
      <c r="EG242" s="7">
        <v>8.77E-2</v>
      </c>
      <c r="EH242" s="7">
        <v>8.5800000000000001E-2</v>
      </c>
      <c r="EI242" s="7">
        <v>8.3900000000000002E-2</v>
      </c>
      <c r="EJ242" s="7">
        <v>8.2000000000000003E-2</v>
      </c>
      <c r="EK242" s="7">
        <v>0.08</v>
      </c>
      <c r="EL242" s="7">
        <v>7.8100000000000003E-2</v>
      </c>
      <c r="EM242" s="7">
        <v>7.6200000000000004E-2</v>
      </c>
      <c r="EN242" s="7">
        <v>7.4300000000000005E-2</v>
      </c>
      <c r="EO242" s="7">
        <v>7.2400000000000006E-2</v>
      </c>
      <c r="EP242" s="7">
        <v>7.0499999999999993E-2</v>
      </c>
      <c r="EQ242" s="7">
        <v>6.8599999999999994E-2</v>
      </c>
      <c r="ER242" s="7">
        <v>6.6699999999999995E-2</v>
      </c>
      <c r="ES242" s="7">
        <v>6.5000000000000002E-2</v>
      </c>
      <c r="ET242" s="7">
        <v>6.3600000000000004E-2</v>
      </c>
      <c r="EU242" s="7">
        <v>6.2199999999999998E-2</v>
      </c>
      <c r="EV242" s="7">
        <v>6.08E-2</v>
      </c>
      <c r="EW242" s="7">
        <v>5.9499999999999997E-2</v>
      </c>
      <c r="EX242" s="7">
        <v>5.8099999999999999E-2</v>
      </c>
      <c r="EY242" s="7">
        <v>5.6800000000000003E-2</v>
      </c>
      <c r="EZ242" s="7">
        <v>5.5399999999999998E-2</v>
      </c>
      <c r="FA242" s="7">
        <v>5.4100000000000002E-2</v>
      </c>
      <c r="FB242" s="7">
        <v>5.28E-2</v>
      </c>
      <c r="FC242" s="7">
        <v>5.1499999999999997E-2</v>
      </c>
      <c r="FE242" s="50">
        <f t="shared" ca="1" si="26"/>
        <v>0.10614044050168248</v>
      </c>
      <c r="FF242" s="50">
        <f t="shared" ca="1" si="27"/>
        <v>0.10727686638897789</v>
      </c>
      <c r="FG242" s="50">
        <f t="shared" ca="1" si="28"/>
        <v>0.10843651006711409</v>
      </c>
      <c r="FH242" s="50">
        <f t="shared" ca="1" si="29"/>
        <v>0.10964456375838927</v>
      </c>
      <c r="FI242" s="50"/>
      <c r="FJ242" s="50"/>
      <c r="FK242" s="50">
        <f t="shared" ca="1" si="25"/>
        <v>0.10727686638897789</v>
      </c>
      <c r="FL242" s="50"/>
      <c r="FM242" s="50"/>
      <c r="FN242" s="50"/>
    </row>
    <row r="243" spans="49:170" hidden="1">
      <c r="AW243" s="112">
        <v>0.85099999999999998</v>
      </c>
      <c r="AX243" s="7">
        <v>0.21299999999999999</v>
      </c>
      <c r="AY243" s="7">
        <v>0.21149999999999999</v>
      </c>
      <c r="AZ243" s="7">
        <v>0.21</v>
      </c>
      <c r="BA243" s="7">
        <v>0.20860000000000001</v>
      </c>
      <c r="BB243" s="7">
        <v>0.2072</v>
      </c>
      <c r="BC243" s="7">
        <v>0.20580000000000001</v>
      </c>
      <c r="BD243" s="7">
        <v>0.2044</v>
      </c>
      <c r="BE243" s="7">
        <v>0.2031</v>
      </c>
      <c r="BF243" s="7">
        <v>0.20180000000000001</v>
      </c>
      <c r="BG243" s="7">
        <v>0.20050000000000001</v>
      </c>
      <c r="BH243" s="7">
        <v>0.1993</v>
      </c>
      <c r="BI243" s="7">
        <v>0.19800000000000001</v>
      </c>
      <c r="BJ243" s="7">
        <v>0.1968</v>
      </c>
      <c r="BK243" s="7">
        <v>0.1956</v>
      </c>
      <c r="BL243" s="7">
        <v>0.19439999999999999</v>
      </c>
      <c r="BM243" s="7">
        <v>0.1933</v>
      </c>
      <c r="BN243" s="7">
        <v>0.19209999999999999</v>
      </c>
      <c r="BO243" s="7">
        <v>0.191</v>
      </c>
      <c r="BP243" s="7">
        <v>0.18990000000000001</v>
      </c>
      <c r="BQ243" s="7">
        <v>0.1888</v>
      </c>
      <c r="BR243" s="7">
        <v>0.18779999999999999</v>
      </c>
      <c r="BS243" s="7">
        <v>0.1867</v>
      </c>
      <c r="BT243" s="7">
        <v>0.1857</v>
      </c>
      <c r="BU243" s="7">
        <v>0.18459999999999999</v>
      </c>
      <c r="BV243" s="7">
        <v>0.18360000000000001</v>
      </c>
      <c r="BW243" s="7">
        <v>0.18260000000000001</v>
      </c>
      <c r="BX243" s="7">
        <v>0.18160000000000001</v>
      </c>
      <c r="BY243" s="7">
        <v>0.1807</v>
      </c>
      <c r="BZ243" s="7">
        <v>0.1797</v>
      </c>
      <c r="CA243" s="7">
        <v>0.1787</v>
      </c>
      <c r="CB243" s="7">
        <v>0.17780000000000001</v>
      </c>
      <c r="CC243" s="7">
        <v>0.17680000000000001</v>
      </c>
      <c r="CD243" s="7">
        <v>0.1759</v>
      </c>
      <c r="CE243" s="7">
        <v>0.17499999999999999</v>
      </c>
      <c r="CF243" s="7">
        <v>0.17399999999999999</v>
      </c>
      <c r="CG243" s="7">
        <v>0.1731</v>
      </c>
      <c r="CH243" s="7">
        <v>0.17219999999999999</v>
      </c>
      <c r="CI243" s="7">
        <v>0.17130000000000001</v>
      </c>
      <c r="CJ243" s="7">
        <v>0.1704</v>
      </c>
      <c r="CK243" s="7">
        <v>0.16950000000000001</v>
      </c>
      <c r="CL243" s="7">
        <v>0.1686</v>
      </c>
      <c r="CM243" s="7">
        <v>0.16769999999999999</v>
      </c>
      <c r="CN243" s="7">
        <v>0.1663</v>
      </c>
      <c r="CO243" s="7">
        <v>0.16470000000000001</v>
      </c>
      <c r="CP243" s="7">
        <v>0.16300000000000001</v>
      </c>
      <c r="CQ243" s="7">
        <v>0.1613</v>
      </c>
      <c r="CR243" s="7">
        <v>0.15970000000000001</v>
      </c>
      <c r="CS243" s="7">
        <v>0.158</v>
      </c>
      <c r="CT243" s="7">
        <v>0.15640000000000001</v>
      </c>
      <c r="CU243" s="7">
        <v>0.15479999999999999</v>
      </c>
      <c r="CV243" s="7">
        <v>0.15310000000000001</v>
      </c>
      <c r="CW243" s="7">
        <v>0.1515</v>
      </c>
      <c r="CX243" s="7">
        <v>0.14990000000000001</v>
      </c>
      <c r="CY243" s="7">
        <v>0.1482</v>
      </c>
      <c r="CZ243" s="7">
        <v>0.14660000000000001</v>
      </c>
      <c r="DA243" s="7">
        <v>0.14499999999999999</v>
      </c>
      <c r="DB243" s="7">
        <v>0.14330000000000001</v>
      </c>
      <c r="DC243" s="7">
        <v>0.14169999999999999</v>
      </c>
      <c r="DD243" s="7">
        <v>0.1401</v>
      </c>
      <c r="DE243" s="7">
        <v>0.1384</v>
      </c>
      <c r="DF243" s="7">
        <v>0.1368</v>
      </c>
      <c r="DG243" s="7">
        <v>0.1351</v>
      </c>
      <c r="DH243" s="7">
        <v>0.13339999999999999</v>
      </c>
      <c r="DI243" s="7">
        <v>0.1318</v>
      </c>
      <c r="DJ243" s="7">
        <v>0.13009999999999999</v>
      </c>
      <c r="DK243" s="7">
        <v>0.12839999999999999</v>
      </c>
      <c r="DL243" s="7">
        <v>0.12670000000000001</v>
      </c>
      <c r="DM243" s="7">
        <v>0.125</v>
      </c>
      <c r="DN243" s="7">
        <v>0.12330000000000001</v>
      </c>
      <c r="DO243" s="7">
        <v>0.1215</v>
      </c>
      <c r="DP243" s="7">
        <v>0.1198</v>
      </c>
      <c r="DQ243" s="7">
        <v>0.11799999999999999</v>
      </c>
      <c r="DR243" s="7">
        <v>0.1163</v>
      </c>
      <c r="DS243" s="7">
        <v>0.1145</v>
      </c>
      <c r="DT243" s="7">
        <v>0.11269999999999999</v>
      </c>
      <c r="DU243" s="7">
        <v>0.1109</v>
      </c>
      <c r="DV243" s="7">
        <v>0.1091</v>
      </c>
      <c r="DW243" s="7">
        <v>0.10730000000000001</v>
      </c>
      <c r="DX243" s="7">
        <v>0.10539999999999999</v>
      </c>
      <c r="DY243" s="7">
        <v>0.1036</v>
      </c>
      <c r="DZ243" s="7">
        <v>0.1017</v>
      </c>
      <c r="EA243" s="7">
        <v>9.9900000000000003E-2</v>
      </c>
      <c r="EB243" s="7">
        <v>9.8000000000000004E-2</v>
      </c>
      <c r="EC243" s="7">
        <v>9.6100000000000005E-2</v>
      </c>
      <c r="ED243" s="7">
        <v>9.4200000000000006E-2</v>
      </c>
      <c r="EE243" s="7">
        <v>9.2299999999999993E-2</v>
      </c>
      <c r="EF243" s="7">
        <v>9.0399999999999994E-2</v>
      </c>
      <c r="EG243" s="7">
        <v>8.8499999999999995E-2</v>
      </c>
      <c r="EH243" s="7">
        <v>8.6599999999999996E-2</v>
      </c>
      <c r="EI243" s="7">
        <v>8.4599999999999995E-2</v>
      </c>
      <c r="EJ243" s="7">
        <v>8.2699999999999996E-2</v>
      </c>
      <c r="EK243" s="7">
        <v>8.0799999999999997E-2</v>
      </c>
      <c r="EL243" s="7">
        <v>7.8899999999999998E-2</v>
      </c>
      <c r="EM243" s="7">
        <v>7.6899999999999996E-2</v>
      </c>
      <c r="EN243" s="7">
        <v>7.4999999999999997E-2</v>
      </c>
      <c r="EO243" s="7">
        <v>7.3099999999999998E-2</v>
      </c>
      <c r="EP243" s="7">
        <v>7.1199999999999999E-2</v>
      </c>
      <c r="EQ243" s="7">
        <v>6.93E-2</v>
      </c>
      <c r="ER243" s="7">
        <v>6.7400000000000002E-2</v>
      </c>
      <c r="ES243" s="7">
        <v>6.5500000000000003E-2</v>
      </c>
      <c r="ET243" s="7">
        <v>6.3700000000000007E-2</v>
      </c>
      <c r="EU243" s="7">
        <v>6.2199999999999998E-2</v>
      </c>
      <c r="EV243" s="7">
        <v>6.08E-2</v>
      </c>
      <c r="EW243" s="7">
        <v>5.9499999999999997E-2</v>
      </c>
      <c r="EX243" s="7">
        <v>5.8099999999999999E-2</v>
      </c>
      <c r="EY243" s="7">
        <v>5.6800000000000003E-2</v>
      </c>
      <c r="EZ243" s="7">
        <v>5.5399999999999998E-2</v>
      </c>
      <c r="FA243" s="7">
        <v>5.4100000000000002E-2</v>
      </c>
      <c r="FB243" s="7">
        <v>5.28E-2</v>
      </c>
      <c r="FC243" s="7">
        <v>5.1499999999999997E-2</v>
      </c>
      <c r="FE243" s="50">
        <f t="shared" ca="1" si="26"/>
        <v>0.10692046497399818</v>
      </c>
      <c r="FF243" s="50">
        <f t="shared" ca="1" si="27"/>
        <v>0.10807686638897789</v>
      </c>
      <c r="FG243" s="50">
        <f t="shared" ca="1" si="28"/>
        <v>0.1092365100671141</v>
      </c>
      <c r="FH243" s="50">
        <f t="shared" ca="1" si="29"/>
        <v>0.11044456375838928</v>
      </c>
      <c r="FI243" s="50"/>
      <c r="FJ243" s="50"/>
      <c r="FK243" s="50">
        <f t="shared" ca="1" si="25"/>
        <v>0.10807686638897789</v>
      </c>
      <c r="FL243" s="50"/>
      <c r="FM243" s="50"/>
      <c r="FN243" s="50"/>
    </row>
    <row r="244" spans="49:170" hidden="1">
      <c r="AW244" s="112">
        <v>0.91200000000000003</v>
      </c>
      <c r="AX244" s="7">
        <v>0.21299999999999999</v>
      </c>
      <c r="AY244" s="7">
        <v>0.21149999999999999</v>
      </c>
      <c r="AZ244" s="7">
        <v>0.21</v>
      </c>
      <c r="BA244" s="7">
        <v>0.20860000000000001</v>
      </c>
      <c r="BB244" s="7">
        <v>0.2072</v>
      </c>
      <c r="BC244" s="7">
        <v>0.20580000000000001</v>
      </c>
      <c r="BD244" s="7">
        <v>0.2044</v>
      </c>
      <c r="BE244" s="7">
        <v>0.2031</v>
      </c>
      <c r="BF244" s="7">
        <v>0.20180000000000001</v>
      </c>
      <c r="BG244" s="7">
        <v>0.20050000000000001</v>
      </c>
      <c r="BH244" s="7">
        <v>0.1993</v>
      </c>
      <c r="BI244" s="7">
        <v>0.19800000000000001</v>
      </c>
      <c r="BJ244" s="7">
        <v>0.1968</v>
      </c>
      <c r="BK244" s="7">
        <v>0.1956</v>
      </c>
      <c r="BL244" s="7">
        <v>0.19439999999999999</v>
      </c>
      <c r="BM244" s="7">
        <v>0.1933</v>
      </c>
      <c r="BN244" s="7">
        <v>0.19209999999999999</v>
      </c>
      <c r="BO244" s="7">
        <v>0.191</v>
      </c>
      <c r="BP244" s="7">
        <v>0.18990000000000001</v>
      </c>
      <c r="BQ244" s="7">
        <v>0.1888</v>
      </c>
      <c r="BR244" s="7">
        <v>0.18779999999999999</v>
      </c>
      <c r="BS244" s="7">
        <v>0.1867</v>
      </c>
      <c r="BT244" s="7">
        <v>0.1857</v>
      </c>
      <c r="BU244" s="7">
        <v>0.18459999999999999</v>
      </c>
      <c r="BV244" s="7">
        <v>0.18360000000000001</v>
      </c>
      <c r="BW244" s="7">
        <v>0.18260000000000001</v>
      </c>
      <c r="BX244" s="7">
        <v>0.18160000000000001</v>
      </c>
      <c r="BY244" s="7">
        <v>0.1807</v>
      </c>
      <c r="BZ244" s="7">
        <v>0.1797</v>
      </c>
      <c r="CA244" s="7">
        <v>0.1787</v>
      </c>
      <c r="CB244" s="7">
        <v>0.17780000000000001</v>
      </c>
      <c r="CC244" s="7">
        <v>0.17680000000000001</v>
      </c>
      <c r="CD244" s="7">
        <v>0.1759</v>
      </c>
      <c r="CE244" s="7">
        <v>0.17499999999999999</v>
      </c>
      <c r="CF244" s="7">
        <v>0.17399999999999999</v>
      </c>
      <c r="CG244" s="7">
        <v>0.1731</v>
      </c>
      <c r="CH244" s="7">
        <v>0.17219999999999999</v>
      </c>
      <c r="CI244" s="7">
        <v>0.17130000000000001</v>
      </c>
      <c r="CJ244" s="7">
        <v>0.1704</v>
      </c>
      <c r="CK244" s="7">
        <v>0.16950000000000001</v>
      </c>
      <c r="CL244" s="7">
        <v>0.1686</v>
      </c>
      <c r="CM244" s="7">
        <v>0.16769999999999999</v>
      </c>
      <c r="CN244" s="7">
        <v>0.16689999999999999</v>
      </c>
      <c r="CO244" s="7">
        <v>0.16550000000000001</v>
      </c>
      <c r="CP244" s="7">
        <v>0.16389999999999999</v>
      </c>
      <c r="CQ244" s="7">
        <v>0.16220000000000001</v>
      </c>
      <c r="CR244" s="7">
        <v>0.16059999999999999</v>
      </c>
      <c r="CS244" s="7">
        <v>0.15890000000000001</v>
      </c>
      <c r="CT244" s="7">
        <v>0.1573</v>
      </c>
      <c r="CU244" s="7">
        <v>0.15559999999999999</v>
      </c>
      <c r="CV244" s="7">
        <v>0.154</v>
      </c>
      <c r="CW244" s="7">
        <v>0.15240000000000001</v>
      </c>
      <c r="CX244" s="7">
        <v>0.1507</v>
      </c>
      <c r="CY244" s="7">
        <v>0.14910000000000001</v>
      </c>
      <c r="CZ244" s="7">
        <v>0.14749999999999999</v>
      </c>
      <c r="DA244" s="7">
        <v>0.14580000000000001</v>
      </c>
      <c r="DB244" s="7">
        <v>0.14419999999999999</v>
      </c>
      <c r="DC244" s="7">
        <v>0.14249999999999999</v>
      </c>
      <c r="DD244" s="7">
        <v>0.1409</v>
      </c>
      <c r="DE244" s="7">
        <v>0.13919999999999999</v>
      </c>
      <c r="DF244" s="7">
        <v>0.1376</v>
      </c>
      <c r="DG244" s="7">
        <v>0.13589999999999999</v>
      </c>
      <c r="DH244" s="7">
        <v>0.1343</v>
      </c>
      <c r="DI244" s="7">
        <v>0.1326</v>
      </c>
      <c r="DJ244" s="7">
        <v>0.13089999999999999</v>
      </c>
      <c r="DK244" s="7">
        <v>0.12920000000000001</v>
      </c>
      <c r="DL244" s="7">
        <v>0.1275</v>
      </c>
      <c r="DM244" s="7">
        <v>0.1258</v>
      </c>
      <c r="DN244" s="7">
        <v>0.1241</v>
      </c>
      <c r="DO244" s="7">
        <v>0.12230000000000001</v>
      </c>
      <c r="DP244" s="7">
        <v>0.1206</v>
      </c>
      <c r="DQ244" s="7">
        <v>0.1188</v>
      </c>
      <c r="DR244" s="7">
        <v>0.1171</v>
      </c>
      <c r="DS244" s="7">
        <v>0.1153</v>
      </c>
      <c r="DT244" s="7">
        <v>0.1135</v>
      </c>
      <c r="DU244" s="7">
        <v>0.11169999999999999</v>
      </c>
      <c r="DV244" s="7">
        <v>0.1099</v>
      </c>
      <c r="DW244" s="7">
        <v>0.1081</v>
      </c>
      <c r="DX244" s="7">
        <v>0.1062</v>
      </c>
      <c r="DY244" s="7">
        <v>0.10440000000000001</v>
      </c>
      <c r="DZ244" s="7">
        <v>0.10249999999999999</v>
      </c>
      <c r="EA244" s="7">
        <v>0.10059999999999999</v>
      </c>
      <c r="EB244" s="7">
        <v>9.8799999999999999E-2</v>
      </c>
      <c r="EC244" s="7">
        <v>9.69E-2</v>
      </c>
      <c r="ED244" s="7">
        <v>9.5000000000000001E-2</v>
      </c>
      <c r="EE244" s="7">
        <v>9.3100000000000002E-2</v>
      </c>
      <c r="EF244" s="7">
        <v>9.11E-2</v>
      </c>
      <c r="EG244" s="7">
        <v>8.9200000000000002E-2</v>
      </c>
      <c r="EH244" s="7">
        <v>8.7300000000000003E-2</v>
      </c>
      <c r="EI244" s="7">
        <v>8.5400000000000004E-2</v>
      </c>
      <c r="EJ244" s="7">
        <v>8.3500000000000005E-2</v>
      </c>
      <c r="EK244" s="7">
        <v>8.1500000000000003E-2</v>
      </c>
      <c r="EL244" s="7">
        <v>7.9600000000000004E-2</v>
      </c>
      <c r="EM244" s="7">
        <v>7.7700000000000005E-2</v>
      </c>
      <c r="EN244" s="7">
        <v>7.5700000000000003E-2</v>
      </c>
      <c r="EO244" s="7">
        <v>7.3800000000000004E-2</v>
      </c>
      <c r="EP244" s="7">
        <v>7.1900000000000006E-2</v>
      </c>
      <c r="EQ244" s="7">
        <v>7.0000000000000007E-2</v>
      </c>
      <c r="ER244" s="7">
        <v>6.8099999999999994E-2</v>
      </c>
      <c r="ES244" s="7">
        <v>6.6199999999999995E-2</v>
      </c>
      <c r="ET244" s="7">
        <v>6.4399999999999999E-2</v>
      </c>
      <c r="EU244" s="7">
        <v>6.25E-2</v>
      </c>
      <c r="EV244" s="7">
        <v>6.08E-2</v>
      </c>
      <c r="EW244" s="7">
        <v>5.9499999999999997E-2</v>
      </c>
      <c r="EX244" s="7">
        <v>5.8099999999999999E-2</v>
      </c>
      <c r="EY244" s="7">
        <v>5.6800000000000003E-2</v>
      </c>
      <c r="EZ244" s="7">
        <v>5.5399999999999998E-2</v>
      </c>
      <c r="FA244" s="7">
        <v>5.4100000000000002E-2</v>
      </c>
      <c r="FB244" s="7">
        <v>5.28E-2</v>
      </c>
      <c r="FC244" s="7">
        <v>5.1499999999999997E-2</v>
      </c>
      <c r="FE244" s="50">
        <f t="shared" ca="1" si="26"/>
        <v>0.10772046497399816</v>
      </c>
      <c r="FF244" s="50">
        <f t="shared" ca="1" si="27"/>
        <v>0.10887686638897788</v>
      </c>
      <c r="FG244" s="50">
        <f t="shared" ca="1" si="28"/>
        <v>0.11003651006711407</v>
      </c>
      <c r="FH244" s="50">
        <f t="shared" ca="1" si="29"/>
        <v>0.11124456375838924</v>
      </c>
      <c r="FI244" s="50"/>
      <c r="FJ244" s="50"/>
      <c r="FK244" s="50">
        <f t="shared" ref="FK244:FK275" ca="1" si="30">FORECAST(AN$22,OFFSET($AX244,0,MATCH(AN$22,$AX$211:$FC$211,1)-1,1,2),OFFSET($AX$211,0,MATCH(AN$22,$AX$211:$FC$211,1)-1,1,2))</f>
        <v>0.10887686638897788</v>
      </c>
      <c r="FL244" s="50"/>
      <c r="FM244" s="50"/>
      <c r="FN244" s="50"/>
    </row>
    <row r="245" spans="49:170" hidden="1">
      <c r="AW245" s="112">
        <v>0.97699999999999998</v>
      </c>
      <c r="AX245" s="7">
        <v>0.21299999999999999</v>
      </c>
      <c r="AY245" s="7">
        <v>0.21149999999999999</v>
      </c>
      <c r="AZ245" s="7">
        <v>0.21</v>
      </c>
      <c r="BA245" s="7">
        <v>0.20860000000000001</v>
      </c>
      <c r="BB245" s="7">
        <v>0.2072</v>
      </c>
      <c r="BC245" s="7">
        <v>0.20580000000000001</v>
      </c>
      <c r="BD245" s="7">
        <v>0.2044</v>
      </c>
      <c r="BE245" s="7">
        <v>0.2031</v>
      </c>
      <c r="BF245" s="7">
        <v>0.20180000000000001</v>
      </c>
      <c r="BG245" s="7">
        <v>0.20050000000000001</v>
      </c>
      <c r="BH245" s="7">
        <v>0.1993</v>
      </c>
      <c r="BI245" s="7">
        <v>0.19800000000000001</v>
      </c>
      <c r="BJ245" s="7">
        <v>0.1968</v>
      </c>
      <c r="BK245" s="7">
        <v>0.1956</v>
      </c>
      <c r="BL245" s="7">
        <v>0.19439999999999999</v>
      </c>
      <c r="BM245" s="7">
        <v>0.1933</v>
      </c>
      <c r="BN245" s="7">
        <v>0.19209999999999999</v>
      </c>
      <c r="BO245" s="7">
        <v>0.191</v>
      </c>
      <c r="BP245" s="7">
        <v>0.18990000000000001</v>
      </c>
      <c r="BQ245" s="7">
        <v>0.1888</v>
      </c>
      <c r="BR245" s="7">
        <v>0.18779999999999999</v>
      </c>
      <c r="BS245" s="7">
        <v>0.1867</v>
      </c>
      <c r="BT245" s="7">
        <v>0.1857</v>
      </c>
      <c r="BU245" s="7">
        <v>0.18459999999999999</v>
      </c>
      <c r="BV245" s="7">
        <v>0.18360000000000001</v>
      </c>
      <c r="BW245" s="7">
        <v>0.18260000000000001</v>
      </c>
      <c r="BX245" s="7">
        <v>0.18160000000000001</v>
      </c>
      <c r="BY245" s="7">
        <v>0.1807</v>
      </c>
      <c r="BZ245" s="7">
        <v>0.1797</v>
      </c>
      <c r="CA245" s="7">
        <v>0.1787</v>
      </c>
      <c r="CB245" s="7">
        <v>0.17780000000000001</v>
      </c>
      <c r="CC245" s="7">
        <v>0.17680000000000001</v>
      </c>
      <c r="CD245" s="7">
        <v>0.1759</v>
      </c>
      <c r="CE245" s="7">
        <v>0.17499999999999999</v>
      </c>
      <c r="CF245" s="7">
        <v>0.17399999999999999</v>
      </c>
      <c r="CG245" s="7">
        <v>0.1731</v>
      </c>
      <c r="CH245" s="7">
        <v>0.17219999999999999</v>
      </c>
      <c r="CI245" s="7">
        <v>0.17130000000000001</v>
      </c>
      <c r="CJ245" s="7">
        <v>0.1704</v>
      </c>
      <c r="CK245" s="7">
        <v>0.16950000000000001</v>
      </c>
      <c r="CL245" s="7">
        <v>0.1686</v>
      </c>
      <c r="CM245" s="7">
        <v>0.16769999999999999</v>
      </c>
      <c r="CN245" s="7">
        <v>0.16689999999999999</v>
      </c>
      <c r="CO245" s="7">
        <v>0.16600000000000001</v>
      </c>
      <c r="CP245" s="7">
        <v>0.16470000000000001</v>
      </c>
      <c r="CQ245" s="7">
        <v>0.16309999999999999</v>
      </c>
      <c r="CR245" s="7">
        <v>0.16139999999999999</v>
      </c>
      <c r="CS245" s="7">
        <v>0.1598</v>
      </c>
      <c r="CT245" s="7">
        <v>0.15809999999999999</v>
      </c>
      <c r="CU245" s="7">
        <v>0.1565</v>
      </c>
      <c r="CV245" s="7">
        <v>0.15479999999999999</v>
      </c>
      <c r="CW245" s="7">
        <v>0.1532</v>
      </c>
      <c r="CX245" s="7">
        <v>0.15160000000000001</v>
      </c>
      <c r="CY245" s="7">
        <v>0.14990000000000001</v>
      </c>
      <c r="CZ245" s="7">
        <v>0.14829999999999999</v>
      </c>
      <c r="DA245" s="7">
        <v>0.1467</v>
      </c>
      <c r="DB245" s="7">
        <v>0.14499999999999999</v>
      </c>
      <c r="DC245" s="7">
        <v>0.1434</v>
      </c>
      <c r="DD245" s="7">
        <v>0.14169999999999999</v>
      </c>
      <c r="DE245" s="7">
        <v>0.1401</v>
      </c>
      <c r="DF245" s="7">
        <v>0.1384</v>
      </c>
      <c r="DG245" s="7">
        <v>0.1368</v>
      </c>
      <c r="DH245" s="7">
        <v>0.1351</v>
      </c>
      <c r="DI245" s="7">
        <v>0.13339999999999999</v>
      </c>
      <c r="DJ245" s="7">
        <v>0.13170000000000001</v>
      </c>
      <c r="DK245" s="7">
        <v>0.13</v>
      </c>
      <c r="DL245" s="7">
        <v>0.1283</v>
      </c>
      <c r="DM245" s="7">
        <v>0.12659999999999999</v>
      </c>
      <c r="DN245" s="7">
        <v>0.1249</v>
      </c>
      <c r="DO245" s="7">
        <v>0.1231</v>
      </c>
      <c r="DP245" s="7">
        <v>0.12139999999999999</v>
      </c>
      <c r="DQ245" s="7">
        <v>0.1196</v>
      </c>
      <c r="DR245" s="7">
        <v>0.1179</v>
      </c>
      <c r="DS245" s="7">
        <v>0.11609999999999999</v>
      </c>
      <c r="DT245" s="7">
        <v>0.1143</v>
      </c>
      <c r="DU245" s="7">
        <v>0.1125</v>
      </c>
      <c r="DV245" s="7">
        <v>0.11070000000000001</v>
      </c>
      <c r="DW245" s="7">
        <v>0.10879999999999999</v>
      </c>
      <c r="DX245" s="7">
        <v>0.107</v>
      </c>
      <c r="DY245" s="7">
        <v>0.1051</v>
      </c>
      <c r="DZ245" s="7">
        <v>0.1033</v>
      </c>
      <c r="EA245" s="7">
        <v>0.1014</v>
      </c>
      <c r="EB245" s="7">
        <v>9.9500000000000005E-2</v>
      </c>
      <c r="EC245" s="7">
        <v>9.7600000000000006E-2</v>
      </c>
      <c r="ED245" s="7">
        <v>9.5699999999999993E-2</v>
      </c>
      <c r="EE245" s="7">
        <v>9.3799999999999994E-2</v>
      </c>
      <c r="EF245" s="7">
        <v>9.1899999999999996E-2</v>
      </c>
      <c r="EG245" s="7">
        <v>0.09</v>
      </c>
      <c r="EH245" s="7">
        <v>8.7999999999999995E-2</v>
      </c>
      <c r="EI245" s="7">
        <v>8.6099999999999996E-2</v>
      </c>
      <c r="EJ245" s="7">
        <v>8.4199999999999997E-2</v>
      </c>
      <c r="EK245" s="7">
        <v>8.2299999999999998E-2</v>
      </c>
      <c r="EL245" s="7">
        <v>8.0299999999999996E-2</v>
      </c>
      <c r="EM245" s="7">
        <v>7.8399999999999997E-2</v>
      </c>
      <c r="EN245" s="7">
        <v>7.6499999999999999E-2</v>
      </c>
      <c r="EO245" s="7">
        <v>7.4499999999999997E-2</v>
      </c>
      <c r="EP245" s="7">
        <v>7.2599999999999998E-2</v>
      </c>
      <c r="EQ245" s="7">
        <v>7.0699999999999999E-2</v>
      </c>
      <c r="ER245" s="7">
        <v>6.88E-2</v>
      </c>
      <c r="ES245" s="7">
        <v>6.6900000000000001E-2</v>
      </c>
      <c r="ET245" s="7">
        <v>6.5100000000000005E-2</v>
      </c>
      <c r="EU245" s="7">
        <v>6.3200000000000006E-2</v>
      </c>
      <c r="EV245" s="7">
        <v>6.13E-2</v>
      </c>
      <c r="EW245" s="7">
        <v>5.9499999999999997E-2</v>
      </c>
      <c r="EX245" s="7">
        <v>5.8099999999999999E-2</v>
      </c>
      <c r="EY245" s="7">
        <v>5.6800000000000003E-2</v>
      </c>
      <c r="EZ245" s="7">
        <v>5.5399999999999998E-2</v>
      </c>
      <c r="FA245" s="7">
        <v>5.4100000000000002E-2</v>
      </c>
      <c r="FB245" s="7">
        <v>5.28E-2</v>
      </c>
      <c r="FC245" s="7">
        <v>5.1499999999999997E-2</v>
      </c>
      <c r="FE245" s="50">
        <f t="shared" ca="1" si="26"/>
        <v>0.10844044050168247</v>
      </c>
      <c r="FF245" s="50">
        <f t="shared" ca="1" si="27"/>
        <v>0.10962002563280999</v>
      </c>
      <c r="FG245" s="50">
        <f t="shared" ca="1" si="28"/>
        <v>0.11083651006711409</v>
      </c>
      <c r="FH245" s="50">
        <f t="shared" ca="1" si="29"/>
        <v>0.11204456375838927</v>
      </c>
      <c r="FI245" s="50"/>
      <c r="FJ245" s="50"/>
      <c r="FK245" s="50">
        <f t="shared" ca="1" si="30"/>
        <v>0.10962002563280999</v>
      </c>
      <c r="FL245" s="50"/>
      <c r="FM245" s="50"/>
      <c r="FN245" s="50"/>
    </row>
    <row r="246" spans="49:170" hidden="1">
      <c r="AW246" s="112">
        <v>1.0469999999999999</v>
      </c>
      <c r="AX246" s="7">
        <v>0.21299999999999999</v>
      </c>
      <c r="AY246" s="7">
        <v>0.21149999999999999</v>
      </c>
      <c r="AZ246" s="7">
        <v>0.21</v>
      </c>
      <c r="BA246" s="7">
        <v>0.20860000000000001</v>
      </c>
      <c r="BB246" s="7">
        <v>0.2072</v>
      </c>
      <c r="BC246" s="7">
        <v>0.20580000000000001</v>
      </c>
      <c r="BD246" s="7">
        <v>0.2044</v>
      </c>
      <c r="BE246" s="7">
        <v>0.2031</v>
      </c>
      <c r="BF246" s="7">
        <v>0.20180000000000001</v>
      </c>
      <c r="BG246" s="7">
        <v>0.20050000000000001</v>
      </c>
      <c r="BH246" s="7">
        <v>0.1993</v>
      </c>
      <c r="BI246" s="7">
        <v>0.19800000000000001</v>
      </c>
      <c r="BJ246" s="7">
        <v>0.1968</v>
      </c>
      <c r="BK246" s="7">
        <v>0.1956</v>
      </c>
      <c r="BL246" s="7">
        <v>0.19439999999999999</v>
      </c>
      <c r="BM246" s="7">
        <v>0.1933</v>
      </c>
      <c r="BN246" s="7">
        <v>0.19209999999999999</v>
      </c>
      <c r="BO246" s="7">
        <v>0.191</v>
      </c>
      <c r="BP246" s="7">
        <v>0.18990000000000001</v>
      </c>
      <c r="BQ246" s="7">
        <v>0.1888</v>
      </c>
      <c r="BR246" s="7">
        <v>0.18779999999999999</v>
      </c>
      <c r="BS246" s="7">
        <v>0.1867</v>
      </c>
      <c r="BT246" s="7">
        <v>0.1857</v>
      </c>
      <c r="BU246" s="7">
        <v>0.18459999999999999</v>
      </c>
      <c r="BV246" s="7">
        <v>0.18360000000000001</v>
      </c>
      <c r="BW246" s="7">
        <v>0.18260000000000001</v>
      </c>
      <c r="BX246" s="7">
        <v>0.18160000000000001</v>
      </c>
      <c r="BY246" s="7">
        <v>0.1807</v>
      </c>
      <c r="BZ246" s="7">
        <v>0.1797</v>
      </c>
      <c r="CA246" s="7">
        <v>0.1787</v>
      </c>
      <c r="CB246" s="7">
        <v>0.17780000000000001</v>
      </c>
      <c r="CC246" s="7">
        <v>0.17680000000000001</v>
      </c>
      <c r="CD246" s="7">
        <v>0.1759</v>
      </c>
      <c r="CE246" s="7">
        <v>0.17499999999999999</v>
      </c>
      <c r="CF246" s="7">
        <v>0.17399999999999999</v>
      </c>
      <c r="CG246" s="7">
        <v>0.1731</v>
      </c>
      <c r="CH246" s="7">
        <v>0.17219999999999999</v>
      </c>
      <c r="CI246" s="7">
        <v>0.17130000000000001</v>
      </c>
      <c r="CJ246" s="7">
        <v>0.1704</v>
      </c>
      <c r="CK246" s="7">
        <v>0.16950000000000001</v>
      </c>
      <c r="CL246" s="7">
        <v>0.1686</v>
      </c>
      <c r="CM246" s="7">
        <v>0.16769999999999999</v>
      </c>
      <c r="CN246" s="7">
        <v>0.16689999999999999</v>
      </c>
      <c r="CO246" s="7">
        <v>0.16600000000000001</v>
      </c>
      <c r="CP246" s="7">
        <v>0.1651</v>
      </c>
      <c r="CQ246" s="7">
        <v>0.16389999999999999</v>
      </c>
      <c r="CR246" s="7">
        <v>0.1623</v>
      </c>
      <c r="CS246" s="7">
        <v>0.16059999999999999</v>
      </c>
      <c r="CT246" s="7">
        <v>0.159</v>
      </c>
      <c r="CU246" s="7">
        <v>0.1573</v>
      </c>
      <c r="CV246" s="7">
        <v>0.15570000000000001</v>
      </c>
      <c r="CW246" s="7">
        <v>0.154</v>
      </c>
      <c r="CX246" s="7">
        <v>0.15240000000000001</v>
      </c>
      <c r="CY246" s="7">
        <v>0.15079999999999999</v>
      </c>
      <c r="CZ246" s="7">
        <v>0.14910000000000001</v>
      </c>
      <c r="DA246" s="7">
        <v>0.14749999999999999</v>
      </c>
      <c r="DB246" s="7">
        <v>0.14580000000000001</v>
      </c>
      <c r="DC246" s="7">
        <v>0.14419999999999999</v>
      </c>
      <c r="DD246" s="7">
        <v>0.1426</v>
      </c>
      <c r="DE246" s="7">
        <v>0.1409</v>
      </c>
      <c r="DF246" s="7">
        <v>0.13919999999999999</v>
      </c>
      <c r="DG246" s="7">
        <v>0.1376</v>
      </c>
      <c r="DH246" s="7">
        <v>0.13589999999999999</v>
      </c>
      <c r="DI246" s="7">
        <v>0.13420000000000001</v>
      </c>
      <c r="DJ246" s="7">
        <v>0.13250000000000001</v>
      </c>
      <c r="DK246" s="7">
        <v>0.1308</v>
      </c>
      <c r="DL246" s="7">
        <v>0.12909999999999999</v>
      </c>
      <c r="DM246" s="7">
        <v>0.12740000000000001</v>
      </c>
      <c r="DN246" s="7">
        <v>0.12570000000000001</v>
      </c>
      <c r="DO246" s="7">
        <v>0.1239</v>
      </c>
      <c r="DP246" s="7">
        <v>0.1222</v>
      </c>
      <c r="DQ246" s="7">
        <v>0.12039999999999999</v>
      </c>
      <c r="DR246" s="7">
        <v>0.1186</v>
      </c>
      <c r="DS246" s="7">
        <v>0.1169</v>
      </c>
      <c r="DT246" s="7">
        <v>0.11509999999999999</v>
      </c>
      <c r="DU246" s="7">
        <v>0.1133</v>
      </c>
      <c r="DV246" s="7">
        <v>0.1114</v>
      </c>
      <c r="DW246" s="7">
        <v>0.1096</v>
      </c>
      <c r="DX246" s="7">
        <v>0.10780000000000001</v>
      </c>
      <c r="DY246" s="7">
        <v>0.10589999999999999</v>
      </c>
      <c r="DZ246" s="7">
        <v>0.104</v>
      </c>
      <c r="EA246" s="7">
        <v>0.1021</v>
      </c>
      <c r="EB246" s="7">
        <v>0.1003</v>
      </c>
      <c r="EC246" s="7">
        <v>9.8400000000000001E-2</v>
      </c>
      <c r="ED246" s="7">
        <v>9.6500000000000002E-2</v>
      </c>
      <c r="EE246" s="7">
        <v>9.4500000000000001E-2</v>
      </c>
      <c r="EF246" s="7">
        <v>9.2600000000000002E-2</v>
      </c>
      <c r="EG246" s="7">
        <v>9.0700000000000003E-2</v>
      </c>
      <c r="EH246" s="7">
        <v>8.8800000000000004E-2</v>
      </c>
      <c r="EI246" s="7">
        <v>8.6800000000000002E-2</v>
      </c>
      <c r="EJ246" s="7">
        <v>8.4900000000000003E-2</v>
      </c>
      <c r="EK246" s="7">
        <v>8.3000000000000004E-2</v>
      </c>
      <c r="EL246" s="7">
        <v>8.1000000000000003E-2</v>
      </c>
      <c r="EM246" s="7">
        <v>7.9100000000000004E-2</v>
      </c>
      <c r="EN246" s="7">
        <v>7.7200000000000005E-2</v>
      </c>
      <c r="EO246" s="7">
        <v>7.5200000000000003E-2</v>
      </c>
      <c r="EP246" s="7">
        <v>7.3300000000000004E-2</v>
      </c>
      <c r="EQ246" s="7">
        <v>7.1400000000000005E-2</v>
      </c>
      <c r="ER246" s="7">
        <v>6.9500000000000006E-2</v>
      </c>
      <c r="ES246" s="7">
        <v>6.7599999999999993E-2</v>
      </c>
      <c r="ET246" s="7">
        <v>6.5699999999999995E-2</v>
      </c>
      <c r="EU246" s="7">
        <v>6.3899999999999998E-2</v>
      </c>
      <c r="EV246" s="7">
        <v>6.2E-2</v>
      </c>
      <c r="EW246" s="7">
        <v>6.0199999999999997E-2</v>
      </c>
      <c r="EX246" s="7">
        <v>5.8400000000000001E-2</v>
      </c>
      <c r="EY246" s="7">
        <v>5.6800000000000003E-2</v>
      </c>
      <c r="EZ246" s="7">
        <v>5.5399999999999998E-2</v>
      </c>
      <c r="FA246" s="7">
        <v>5.4100000000000002E-2</v>
      </c>
      <c r="FB246" s="7">
        <v>5.28E-2</v>
      </c>
      <c r="FC246" s="7">
        <v>5.1499999999999997E-2</v>
      </c>
      <c r="FE246" s="50">
        <f t="shared" ca="1" si="26"/>
        <v>0.10924044050168247</v>
      </c>
      <c r="FF246" s="50">
        <f t="shared" ca="1" si="27"/>
        <v>0.11037686638897788</v>
      </c>
      <c r="FG246" s="50">
        <f t="shared" ca="1" si="28"/>
        <v>0.11154409395973156</v>
      </c>
      <c r="FH246" s="50">
        <f t="shared" ca="1" si="29"/>
        <v>0.11281926174496645</v>
      </c>
      <c r="FI246" s="50"/>
      <c r="FJ246" s="50"/>
      <c r="FK246" s="50">
        <f t="shared" ca="1" si="30"/>
        <v>0.11037686638897788</v>
      </c>
      <c r="FL246" s="50"/>
      <c r="FM246" s="50"/>
      <c r="FN246" s="50"/>
    </row>
    <row r="247" spans="49:170" hidden="1">
      <c r="AW247" s="112">
        <v>1.1220000000000001</v>
      </c>
      <c r="AX247" s="7">
        <v>0.21299999999999999</v>
      </c>
      <c r="AY247" s="7">
        <v>0.21149999999999999</v>
      </c>
      <c r="AZ247" s="7">
        <v>0.21</v>
      </c>
      <c r="BA247" s="7">
        <v>0.20860000000000001</v>
      </c>
      <c r="BB247" s="7">
        <v>0.2072</v>
      </c>
      <c r="BC247" s="7">
        <v>0.20580000000000001</v>
      </c>
      <c r="BD247" s="7">
        <v>0.2044</v>
      </c>
      <c r="BE247" s="7">
        <v>0.2031</v>
      </c>
      <c r="BF247" s="7">
        <v>0.20180000000000001</v>
      </c>
      <c r="BG247" s="7">
        <v>0.20050000000000001</v>
      </c>
      <c r="BH247" s="7">
        <v>0.1993</v>
      </c>
      <c r="BI247" s="7">
        <v>0.19800000000000001</v>
      </c>
      <c r="BJ247" s="7">
        <v>0.1968</v>
      </c>
      <c r="BK247" s="7">
        <v>0.1956</v>
      </c>
      <c r="BL247" s="7">
        <v>0.19439999999999999</v>
      </c>
      <c r="BM247" s="7">
        <v>0.1933</v>
      </c>
      <c r="BN247" s="7">
        <v>0.19209999999999999</v>
      </c>
      <c r="BO247" s="7">
        <v>0.191</v>
      </c>
      <c r="BP247" s="7">
        <v>0.18990000000000001</v>
      </c>
      <c r="BQ247" s="7">
        <v>0.1888</v>
      </c>
      <c r="BR247" s="7">
        <v>0.18779999999999999</v>
      </c>
      <c r="BS247" s="7">
        <v>0.1867</v>
      </c>
      <c r="BT247" s="7">
        <v>0.1857</v>
      </c>
      <c r="BU247" s="7">
        <v>0.18459999999999999</v>
      </c>
      <c r="BV247" s="7">
        <v>0.18360000000000001</v>
      </c>
      <c r="BW247" s="7">
        <v>0.18260000000000001</v>
      </c>
      <c r="BX247" s="7">
        <v>0.18160000000000001</v>
      </c>
      <c r="BY247" s="7">
        <v>0.1807</v>
      </c>
      <c r="BZ247" s="7">
        <v>0.1797</v>
      </c>
      <c r="CA247" s="7">
        <v>0.1787</v>
      </c>
      <c r="CB247" s="7">
        <v>0.17780000000000001</v>
      </c>
      <c r="CC247" s="7">
        <v>0.17680000000000001</v>
      </c>
      <c r="CD247" s="7">
        <v>0.1759</v>
      </c>
      <c r="CE247" s="7">
        <v>0.17499999999999999</v>
      </c>
      <c r="CF247" s="7">
        <v>0.17399999999999999</v>
      </c>
      <c r="CG247" s="7">
        <v>0.1731</v>
      </c>
      <c r="CH247" s="7">
        <v>0.17219999999999999</v>
      </c>
      <c r="CI247" s="7">
        <v>0.17130000000000001</v>
      </c>
      <c r="CJ247" s="7">
        <v>0.1704</v>
      </c>
      <c r="CK247" s="7">
        <v>0.16950000000000001</v>
      </c>
      <c r="CL247" s="7">
        <v>0.1686</v>
      </c>
      <c r="CM247" s="7">
        <v>0.16769999999999999</v>
      </c>
      <c r="CN247" s="7">
        <v>0.16689999999999999</v>
      </c>
      <c r="CO247" s="7">
        <v>0.16600000000000001</v>
      </c>
      <c r="CP247" s="7">
        <v>0.1651</v>
      </c>
      <c r="CQ247" s="7">
        <v>0.16420000000000001</v>
      </c>
      <c r="CR247" s="7">
        <v>0.16309999999999999</v>
      </c>
      <c r="CS247" s="7">
        <v>0.1615</v>
      </c>
      <c r="CT247" s="7">
        <v>0.1598</v>
      </c>
      <c r="CU247" s="7">
        <v>0.15820000000000001</v>
      </c>
      <c r="CV247" s="7">
        <v>0.1565</v>
      </c>
      <c r="CW247" s="7">
        <v>0.15490000000000001</v>
      </c>
      <c r="CX247" s="7">
        <v>0.1532</v>
      </c>
      <c r="CY247" s="7">
        <v>0.15160000000000001</v>
      </c>
      <c r="CZ247" s="7">
        <v>0.15</v>
      </c>
      <c r="DA247" s="7">
        <v>0.14829999999999999</v>
      </c>
      <c r="DB247" s="7">
        <v>0.1467</v>
      </c>
      <c r="DC247" s="7">
        <v>0.14499999999999999</v>
      </c>
      <c r="DD247" s="7">
        <v>0.1434</v>
      </c>
      <c r="DE247" s="7">
        <v>0.14169999999999999</v>
      </c>
      <c r="DF247" s="7">
        <v>0.14000000000000001</v>
      </c>
      <c r="DG247" s="7">
        <v>0.1384</v>
      </c>
      <c r="DH247" s="7">
        <v>0.13669999999999999</v>
      </c>
      <c r="DI247" s="7">
        <v>0.13500000000000001</v>
      </c>
      <c r="DJ247" s="7">
        <v>0.1333</v>
      </c>
      <c r="DK247" s="7">
        <v>0.13159999999999999</v>
      </c>
      <c r="DL247" s="7">
        <v>0.12989999999999999</v>
      </c>
      <c r="DM247" s="7">
        <v>0.12820000000000001</v>
      </c>
      <c r="DN247" s="7">
        <v>0.1265</v>
      </c>
      <c r="DO247" s="7">
        <v>0.12470000000000001</v>
      </c>
      <c r="DP247" s="7">
        <v>0.123</v>
      </c>
      <c r="DQ247" s="7">
        <v>0.1212</v>
      </c>
      <c r="DR247" s="7">
        <v>0.11940000000000001</v>
      </c>
      <c r="DS247" s="7">
        <v>0.1176</v>
      </c>
      <c r="DT247" s="7">
        <v>0.1158</v>
      </c>
      <c r="DU247" s="7">
        <v>0.114</v>
      </c>
      <c r="DV247" s="7">
        <v>0.11219999999999999</v>
      </c>
      <c r="DW247" s="7">
        <v>0.1104</v>
      </c>
      <c r="DX247" s="7">
        <v>0.1085</v>
      </c>
      <c r="DY247" s="7">
        <v>0.1066</v>
      </c>
      <c r="DZ247" s="7">
        <v>0.1048</v>
      </c>
      <c r="EA247" s="7">
        <v>0.10290000000000001</v>
      </c>
      <c r="EB247" s="7">
        <v>0.10100000000000001</v>
      </c>
      <c r="EC247" s="7">
        <v>9.9099999999999994E-2</v>
      </c>
      <c r="ED247" s="7">
        <v>9.7199999999999995E-2</v>
      </c>
      <c r="EE247" s="7">
        <v>9.5299999999999996E-2</v>
      </c>
      <c r="EF247" s="7">
        <v>9.3399999999999997E-2</v>
      </c>
      <c r="EG247" s="7">
        <v>9.1399999999999995E-2</v>
      </c>
      <c r="EH247" s="7">
        <v>8.9499999999999996E-2</v>
      </c>
      <c r="EI247" s="7">
        <v>8.7599999999999997E-2</v>
      </c>
      <c r="EJ247" s="7">
        <v>8.5599999999999996E-2</v>
      </c>
      <c r="EK247" s="7">
        <v>8.3699999999999997E-2</v>
      </c>
      <c r="EL247" s="7">
        <v>8.1699999999999995E-2</v>
      </c>
      <c r="EM247" s="7">
        <v>7.9799999999999996E-2</v>
      </c>
      <c r="EN247" s="7">
        <v>7.7899999999999997E-2</v>
      </c>
      <c r="EO247" s="7">
        <v>7.5899999999999995E-2</v>
      </c>
      <c r="EP247" s="7">
        <v>7.3999999999999996E-2</v>
      </c>
      <c r="EQ247" s="7">
        <v>7.2099999999999997E-2</v>
      </c>
      <c r="ER247" s="7">
        <v>7.0199999999999999E-2</v>
      </c>
      <c r="ES247" s="7">
        <v>6.83E-2</v>
      </c>
      <c r="ET247" s="7">
        <v>6.6400000000000001E-2</v>
      </c>
      <c r="EU247" s="7">
        <v>6.4600000000000005E-2</v>
      </c>
      <c r="EV247" s="7">
        <v>6.2700000000000006E-2</v>
      </c>
      <c r="EW247" s="7">
        <v>6.08E-2</v>
      </c>
      <c r="EX247" s="7">
        <v>5.8999999999999997E-2</v>
      </c>
      <c r="EY247" s="7">
        <v>5.7200000000000001E-2</v>
      </c>
      <c r="EZ247" s="7">
        <v>5.5399999999999998E-2</v>
      </c>
      <c r="FA247" s="7">
        <v>5.4100000000000002E-2</v>
      </c>
      <c r="FB247" s="7">
        <v>5.28E-2</v>
      </c>
      <c r="FC247" s="7">
        <v>5.1499999999999997E-2</v>
      </c>
      <c r="FE247" s="50">
        <f t="shared" ca="1" si="26"/>
        <v>0.11002046497399816</v>
      </c>
      <c r="FF247" s="50">
        <f t="shared" ca="1" si="27"/>
        <v>0.11117686638897788</v>
      </c>
      <c r="FG247" s="50">
        <f t="shared" ca="1" si="28"/>
        <v>0.11233651006711409</v>
      </c>
      <c r="FH247" s="50">
        <f t="shared" ca="1" si="29"/>
        <v>0.11354456375838928</v>
      </c>
      <c r="FI247" s="50"/>
      <c r="FJ247" s="50"/>
      <c r="FK247" s="50">
        <f t="shared" ca="1" si="30"/>
        <v>0.11117686638897788</v>
      </c>
      <c r="FL247" s="50"/>
      <c r="FM247" s="50"/>
      <c r="FN247" s="50"/>
    </row>
    <row r="248" spans="49:170" hidden="1">
      <c r="AW248" s="112">
        <v>1.202</v>
      </c>
      <c r="AX248" s="7">
        <v>0.21299999999999999</v>
      </c>
      <c r="AY248" s="7">
        <v>0.21149999999999999</v>
      </c>
      <c r="AZ248" s="7">
        <v>0.21</v>
      </c>
      <c r="BA248" s="7">
        <v>0.20860000000000001</v>
      </c>
      <c r="BB248" s="7">
        <v>0.2072</v>
      </c>
      <c r="BC248" s="7">
        <v>0.20580000000000001</v>
      </c>
      <c r="BD248" s="7">
        <v>0.2044</v>
      </c>
      <c r="BE248" s="7">
        <v>0.2031</v>
      </c>
      <c r="BF248" s="7">
        <v>0.20180000000000001</v>
      </c>
      <c r="BG248" s="7">
        <v>0.20050000000000001</v>
      </c>
      <c r="BH248" s="7">
        <v>0.1993</v>
      </c>
      <c r="BI248" s="7">
        <v>0.19800000000000001</v>
      </c>
      <c r="BJ248" s="7">
        <v>0.1968</v>
      </c>
      <c r="BK248" s="7">
        <v>0.1956</v>
      </c>
      <c r="BL248" s="7">
        <v>0.19439999999999999</v>
      </c>
      <c r="BM248" s="7">
        <v>0.1933</v>
      </c>
      <c r="BN248" s="7">
        <v>0.19209999999999999</v>
      </c>
      <c r="BO248" s="7">
        <v>0.191</v>
      </c>
      <c r="BP248" s="7">
        <v>0.18990000000000001</v>
      </c>
      <c r="BQ248" s="7">
        <v>0.1888</v>
      </c>
      <c r="BR248" s="7">
        <v>0.18779999999999999</v>
      </c>
      <c r="BS248" s="7">
        <v>0.1867</v>
      </c>
      <c r="BT248" s="7">
        <v>0.1857</v>
      </c>
      <c r="BU248" s="7">
        <v>0.18459999999999999</v>
      </c>
      <c r="BV248" s="7">
        <v>0.18360000000000001</v>
      </c>
      <c r="BW248" s="7">
        <v>0.18260000000000001</v>
      </c>
      <c r="BX248" s="7">
        <v>0.18160000000000001</v>
      </c>
      <c r="BY248" s="7">
        <v>0.1807</v>
      </c>
      <c r="BZ248" s="7">
        <v>0.1797</v>
      </c>
      <c r="CA248" s="7">
        <v>0.1787</v>
      </c>
      <c r="CB248" s="7">
        <v>0.17780000000000001</v>
      </c>
      <c r="CC248" s="7">
        <v>0.17680000000000001</v>
      </c>
      <c r="CD248" s="7">
        <v>0.1759</v>
      </c>
      <c r="CE248" s="7">
        <v>0.17499999999999999</v>
      </c>
      <c r="CF248" s="7">
        <v>0.17399999999999999</v>
      </c>
      <c r="CG248" s="7">
        <v>0.1731</v>
      </c>
      <c r="CH248" s="7">
        <v>0.17219999999999999</v>
      </c>
      <c r="CI248" s="7">
        <v>0.17130000000000001</v>
      </c>
      <c r="CJ248" s="7">
        <v>0.1704</v>
      </c>
      <c r="CK248" s="7">
        <v>0.16950000000000001</v>
      </c>
      <c r="CL248" s="7">
        <v>0.1686</v>
      </c>
      <c r="CM248" s="7">
        <v>0.16769999999999999</v>
      </c>
      <c r="CN248" s="7">
        <v>0.16689999999999999</v>
      </c>
      <c r="CO248" s="7">
        <v>0.16600000000000001</v>
      </c>
      <c r="CP248" s="7">
        <v>0.1651</v>
      </c>
      <c r="CQ248" s="7">
        <v>0.16420000000000001</v>
      </c>
      <c r="CR248" s="7">
        <v>0.1633</v>
      </c>
      <c r="CS248" s="7">
        <v>0.1623</v>
      </c>
      <c r="CT248" s="7">
        <v>0.16070000000000001</v>
      </c>
      <c r="CU248" s="7">
        <v>0.159</v>
      </c>
      <c r="CV248" s="7">
        <v>0.15740000000000001</v>
      </c>
      <c r="CW248" s="7">
        <v>0.15570000000000001</v>
      </c>
      <c r="CX248" s="7">
        <v>0.15409999999999999</v>
      </c>
      <c r="CY248" s="7">
        <v>0.15240000000000001</v>
      </c>
      <c r="CZ248" s="7">
        <v>0.15079999999999999</v>
      </c>
      <c r="DA248" s="7">
        <v>0.14910000000000001</v>
      </c>
      <c r="DB248" s="7">
        <v>0.14749999999999999</v>
      </c>
      <c r="DC248" s="7">
        <v>0.14580000000000001</v>
      </c>
      <c r="DD248" s="7">
        <v>0.14419999999999999</v>
      </c>
      <c r="DE248" s="7">
        <v>0.14249999999999999</v>
      </c>
      <c r="DF248" s="7">
        <v>0.14080000000000001</v>
      </c>
      <c r="DG248" s="7">
        <v>0.13919999999999999</v>
      </c>
      <c r="DH248" s="7">
        <v>0.13750000000000001</v>
      </c>
      <c r="DI248" s="7">
        <v>0.1358</v>
      </c>
      <c r="DJ248" s="7">
        <v>0.1341</v>
      </c>
      <c r="DK248" s="7">
        <v>0.13239999999999999</v>
      </c>
      <c r="DL248" s="7">
        <v>0.13070000000000001</v>
      </c>
      <c r="DM248" s="7">
        <v>0.129</v>
      </c>
      <c r="DN248" s="7">
        <v>0.12720000000000001</v>
      </c>
      <c r="DO248" s="7">
        <v>0.1255</v>
      </c>
      <c r="DP248" s="7">
        <v>0.1237</v>
      </c>
      <c r="DQ248" s="7">
        <v>0.122</v>
      </c>
      <c r="DR248" s="7">
        <v>0.1202</v>
      </c>
      <c r="DS248" s="7">
        <v>0.11840000000000001</v>
      </c>
      <c r="DT248" s="7">
        <v>0.1166</v>
      </c>
      <c r="DU248" s="7">
        <v>0.1148</v>
      </c>
      <c r="DV248" s="7">
        <v>0.1129</v>
      </c>
      <c r="DW248" s="7">
        <v>0.1111</v>
      </c>
      <c r="DX248" s="7">
        <v>0.10929999999999999</v>
      </c>
      <c r="DY248" s="7">
        <v>0.1074</v>
      </c>
      <c r="DZ248" s="7">
        <v>0.1055</v>
      </c>
      <c r="EA248" s="7">
        <v>0.1036</v>
      </c>
      <c r="EB248" s="7">
        <v>0.1017</v>
      </c>
      <c r="EC248" s="7">
        <v>9.98E-2</v>
      </c>
      <c r="ED248" s="7">
        <v>9.7900000000000001E-2</v>
      </c>
      <c r="EE248" s="7">
        <v>9.6000000000000002E-2</v>
      </c>
      <c r="EF248" s="7">
        <v>9.4100000000000003E-2</v>
      </c>
      <c r="EG248" s="7">
        <v>9.2100000000000001E-2</v>
      </c>
      <c r="EH248" s="7">
        <v>9.0200000000000002E-2</v>
      </c>
      <c r="EI248" s="7">
        <v>8.8300000000000003E-2</v>
      </c>
      <c r="EJ248" s="7">
        <v>8.6300000000000002E-2</v>
      </c>
      <c r="EK248" s="7">
        <v>8.4400000000000003E-2</v>
      </c>
      <c r="EL248" s="7">
        <v>8.2400000000000001E-2</v>
      </c>
      <c r="EM248" s="7">
        <v>8.0500000000000002E-2</v>
      </c>
      <c r="EN248" s="7">
        <v>7.8600000000000003E-2</v>
      </c>
      <c r="EO248" s="7">
        <v>7.6600000000000001E-2</v>
      </c>
      <c r="EP248" s="7">
        <v>7.4700000000000003E-2</v>
      </c>
      <c r="EQ248" s="7">
        <v>7.2800000000000004E-2</v>
      </c>
      <c r="ER248" s="7">
        <v>7.0900000000000005E-2</v>
      </c>
      <c r="ES248" s="7">
        <v>6.9000000000000006E-2</v>
      </c>
      <c r="ET248" s="7">
        <v>6.7100000000000007E-2</v>
      </c>
      <c r="EU248" s="7">
        <v>6.5199999999999994E-2</v>
      </c>
      <c r="EV248" s="7">
        <v>6.3399999999999998E-2</v>
      </c>
      <c r="EW248" s="7">
        <v>6.1499999999999999E-2</v>
      </c>
      <c r="EX248" s="7">
        <v>5.9700000000000003E-2</v>
      </c>
      <c r="EY248" s="7">
        <v>5.79E-2</v>
      </c>
      <c r="EZ248" s="7">
        <v>5.6099999999999997E-2</v>
      </c>
      <c r="FA248" s="7">
        <v>5.4300000000000001E-2</v>
      </c>
      <c r="FB248" s="7">
        <v>5.28E-2</v>
      </c>
      <c r="FC248" s="7">
        <v>5.1499999999999997E-2</v>
      </c>
      <c r="FE248" s="50">
        <f t="shared" ca="1" si="26"/>
        <v>0.11074044050168247</v>
      </c>
      <c r="FF248" s="50">
        <f t="shared" ca="1" si="27"/>
        <v>0.11187686638897788</v>
      </c>
      <c r="FG248" s="50">
        <f t="shared" ca="1" si="28"/>
        <v>0.11304409395973156</v>
      </c>
      <c r="FH248" s="50">
        <f t="shared" ca="1" si="29"/>
        <v>0.11431926174496645</v>
      </c>
      <c r="FI248" s="50"/>
      <c r="FJ248" s="50"/>
      <c r="FK248" s="50">
        <f t="shared" ca="1" si="30"/>
        <v>0.11187686638897788</v>
      </c>
      <c r="FL248" s="50"/>
      <c r="FM248" s="50"/>
      <c r="FN248" s="50"/>
    </row>
    <row r="249" spans="49:170" hidden="1">
      <c r="AW249" s="112">
        <v>1.288</v>
      </c>
      <c r="AX249" s="7">
        <v>0.21299999999999999</v>
      </c>
      <c r="AY249" s="7">
        <v>0.21149999999999999</v>
      </c>
      <c r="AZ249" s="7">
        <v>0.21</v>
      </c>
      <c r="BA249" s="7">
        <v>0.20860000000000001</v>
      </c>
      <c r="BB249" s="7">
        <v>0.2072</v>
      </c>
      <c r="BC249" s="7">
        <v>0.20580000000000001</v>
      </c>
      <c r="BD249" s="7">
        <v>0.2044</v>
      </c>
      <c r="BE249" s="7">
        <v>0.2031</v>
      </c>
      <c r="BF249" s="7">
        <v>0.20180000000000001</v>
      </c>
      <c r="BG249" s="7">
        <v>0.20050000000000001</v>
      </c>
      <c r="BH249" s="7">
        <v>0.1993</v>
      </c>
      <c r="BI249" s="7">
        <v>0.19800000000000001</v>
      </c>
      <c r="BJ249" s="7">
        <v>0.1968</v>
      </c>
      <c r="BK249" s="7">
        <v>0.1956</v>
      </c>
      <c r="BL249" s="7">
        <v>0.19439999999999999</v>
      </c>
      <c r="BM249" s="7">
        <v>0.1933</v>
      </c>
      <c r="BN249" s="7">
        <v>0.19209999999999999</v>
      </c>
      <c r="BO249" s="7">
        <v>0.191</v>
      </c>
      <c r="BP249" s="7">
        <v>0.18990000000000001</v>
      </c>
      <c r="BQ249" s="7">
        <v>0.1888</v>
      </c>
      <c r="BR249" s="7">
        <v>0.18779999999999999</v>
      </c>
      <c r="BS249" s="7">
        <v>0.1867</v>
      </c>
      <c r="BT249" s="7">
        <v>0.1857</v>
      </c>
      <c r="BU249" s="7">
        <v>0.18459999999999999</v>
      </c>
      <c r="BV249" s="7">
        <v>0.18360000000000001</v>
      </c>
      <c r="BW249" s="7">
        <v>0.18260000000000001</v>
      </c>
      <c r="BX249" s="7">
        <v>0.18160000000000001</v>
      </c>
      <c r="BY249" s="7">
        <v>0.1807</v>
      </c>
      <c r="BZ249" s="7">
        <v>0.1797</v>
      </c>
      <c r="CA249" s="7">
        <v>0.1787</v>
      </c>
      <c r="CB249" s="7">
        <v>0.17780000000000001</v>
      </c>
      <c r="CC249" s="7">
        <v>0.17680000000000001</v>
      </c>
      <c r="CD249" s="7">
        <v>0.1759</v>
      </c>
      <c r="CE249" s="7">
        <v>0.17499999999999999</v>
      </c>
      <c r="CF249" s="7">
        <v>0.17399999999999999</v>
      </c>
      <c r="CG249" s="7">
        <v>0.1731</v>
      </c>
      <c r="CH249" s="7">
        <v>0.17219999999999999</v>
      </c>
      <c r="CI249" s="7">
        <v>0.17130000000000001</v>
      </c>
      <c r="CJ249" s="7">
        <v>0.1704</v>
      </c>
      <c r="CK249" s="7">
        <v>0.16950000000000001</v>
      </c>
      <c r="CL249" s="7">
        <v>0.1686</v>
      </c>
      <c r="CM249" s="7">
        <v>0.16769999999999999</v>
      </c>
      <c r="CN249" s="7">
        <v>0.16689999999999999</v>
      </c>
      <c r="CO249" s="7">
        <v>0.16600000000000001</v>
      </c>
      <c r="CP249" s="7">
        <v>0.1651</v>
      </c>
      <c r="CQ249" s="7">
        <v>0.16420000000000001</v>
      </c>
      <c r="CR249" s="7">
        <v>0.1633</v>
      </c>
      <c r="CS249" s="7">
        <v>0.16239999999999999</v>
      </c>
      <c r="CT249" s="7">
        <v>0.1615</v>
      </c>
      <c r="CU249" s="7">
        <v>0.1598</v>
      </c>
      <c r="CV249" s="7">
        <v>0.15820000000000001</v>
      </c>
      <c r="CW249" s="7">
        <v>0.1565</v>
      </c>
      <c r="CX249" s="7">
        <v>0.15490000000000001</v>
      </c>
      <c r="CY249" s="7">
        <v>0.1532</v>
      </c>
      <c r="CZ249" s="7">
        <v>0.15160000000000001</v>
      </c>
      <c r="DA249" s="7">
        <v>0.14990000000000001</v>
      </c>
      <c r="DB249" s="7">
        <v>0.14829999999999999</v>
      </c>
      <c r="DC249" s="7">
        <v>0.14660000000000001</v>
      </c>
      <c r="DD249" s="7">
        <v>0.14499999999999999</v>
      </c>
      <c r="DE249" s="7">
        <v>0.14330000000000001</v>
      </c>
      <c r="DF249" s="7">
        <v>0.1416</v>
      </c>
      <c r="DG249" s="7">
        <v>0.14000000000000001</v>
      </c>
      <c r="DH249" s="7">
        <v>0.13830000000000001</v>
      </c>
      <c r="DI249" s="7">
        <v>0.1366</v>
      </c>
      <c r="DJ249" s="7">
        <v>0.13489999999999999</v>
      </c>
      <c r="DK249" s="7">
        <v>0.13320000000000001</v>
      </c>
      <c r="DL249" s="7">
        <v>0.13150000000000001</v>
      </c>
      <c r="DM249" s="7">
        <v>0.12970000000000001</v>
      </c>
      <c r="DN249" s="7">
        <v>0.128</v>
      </c>
      <c r="DO249" s="7">
        <v>0.1263</v>
      </c>
      <c r="DP249" s="7">
        <v>0.1245</v>
      </c>
      <c r="DQ249" s="7">
        <v>0.1227</v>
      </c>
      <c r="DR249" s="7">
        <v>0.12089999999999999</v>
      </c>
      <c r="DS249" s="7">
        <v>0.1191</v>
      </c>
      <c r="DT249" s="7">
        <v>0.1173</v>
      </c>
      <c r="DU249" s="7">
        <v>0.11550000000000001</v>
      </c>
      <c r="DV249" s="7">
        <v>0.1137</v>
      </c>
      <c r="DW249" s="7">
        <v>0.1118</v>
      </c>
      <c r="DX249" s="7">
        <v>0.11</v>
      </c>
      <c r="DY249" s="7">
        <v>0.1081</v>
      </c>
      <c r="DZ249" s="7">
        <v>0.1062</v>
      </c>
      <c r="EA249" s="7">
        <v>0.10440000000000001</v>
      </c>
      <c r="EB249" s="7">
        <v>0.10249999999999999</v>
      </c>
      <c r="EC249" s="7">
        <v>0.10059999999999999</v>
      </c>
      <c r="ED249" s="7">
        <v>9.8599999999999993E-2</v>
      </c>
      <c r="EE249" s="7">
        <v>9.6699999999999994E-2</v>
      </c>
      <c r="EF249" s="7">
        <v>9.4799999999999995E-2</v>
      </c>
      <c r="EG249" s="7">
        <v>9.2899999999999996E-2</v>
      </c>
      <c r="EH249" s="7">
        <v>9.0899999999999995E-2</v>
      </c>
      <c r="EI249" s="7">
        <v>8.8999999999999996E-2</v>
      </c>
      <c r="EJ249" s="7">
        <v>8.6999999999999994E-2</v>
      </c>
      <c r="EK249" s="7">
        <v>8.5099999999999995E-2</v>
      </c>
      <c r="EL249" s="7">
        <v>8.3099999999999993E-2</v>
      </c>
      <c r="EM249" s="7">
        <v>8.1199999999999994E-2</v>
      </c>
      <c r="EN249" s="7">
        <v>7.9299999999999995E-2</v>
      </c>
      <c r="EO249" s="7">
        <v>7.7299999999999994E-2</v>
      </c>
      <c r="EP249" s="7">
        <v>7.5399999999999995E-2</v>
      </c>
      <c r="EQ249" s="7">
        <v>7.3499999999999996E-2</v>
      </c>
      <c r="ER249" s="7">
        <v>7.1599999999999997E-2</v>
      </c>
      <c r="ES249" s="7">
        <v>6.9699999999999998E-2</v>
      </c>
      <c r="ET249" s="7">
        <v>6.7799999999999999E-2</v>
      </c>
      <c r="EU249" s="7">
        <v>6.59E-2</v>
      </c>
      <c r="EV249" s="7">
        <v>6.4000000000000001E-2</v>
      </c>
      <c r="EW249" s="7">
        <v>6.2199999999999998E-2</v>
      </c>
      <c r="EX249" s="7">
        <v>6.0299999999999999E-2</v>
      </c>
      <c r="EY249" s="7">
        <v>5.8500000000000003E-2</v>
      </c>
      <c r="EZ249" s="7">
        <v>5.67E-2</v>
      </c>
      <c r="FA249" s="7">
        <v>5.4899999999999997E-2</v>
      </c>
      <c r="FB249" s="7">
        <v>5.3199999999999997E-2</v>
      </c>
      <c r="FC249" s="7">
        <v>5.1499999999999997E-2</v>
      </c>
      <c r="FE249" s="50">
        <f t="shared" ca="1" si="26"/>
        <v>0.11144044050168248</v>
      </c>
      <c r="FF249" s="50">
        <f t="shared" ca="1" si="27"/>
        <v>0.11262002563280996</v>
      </c>
      <c r="FG249" s="50">
        <f t="shared" ca="1" si="28"/>
        <v>0.11383651006711409</v>
      </c>
      <c r="FH249" s="50">
        <f t="shared" ca="1" si="29"/>
        <v>0.11504456375838928</v>
      </c>
      <c r="FI249" s="50"/>
      <c r="FJ249" s="50"/>
      <c r="FK249" s="50">
        <f t="shared" ca="1" si="30"/>
        <v>0.11262002563280996</v>
      </c>
      <c r="FL249" s="50"/>
      <c r="FM249" s="50"/>
      <c r="FN249" s="50"/>
    </row>
    <row r="250" spans="49:170" hidden="1">
      <c r="AW250" s="112">
        <v>1.38</v>
      </c>
      <c r="AX250" s="7">
        <v>0.21299999999999999</v>
      </c>
      <c r="AY250" s="7">
        <v>0.21149999999999999</v>
      </c>
      <c r="AZ250" s="7">
        <v>0.21</v>
      </c>
      <c r="BA250" s="7">
        <v>0.20860000000000001</v>
      </c>
      <c r="BB250" s="7">
        <v>0.2072</v>
      </c>
      <c r="BC250" s="7">
        <v>0.20580000000000001</v>
      </c>
      <c r="BD250" s="7">
        <v>0.2044</v>
      </c>
      <c r="BE250" s="7">
        <v>0.2031</v>
      </c>
      <c r="BF250" s="7">
        <v>0.20180000000000001</v>
      </c>
      <c r="BG250" s="7">
        <v>0.20050000000000001</v>
      </c>
      <c r="BH250" s="7">
        <v>0.1993</v>
      </c>
      <c r="BI250" s="7">
        <v>0.19800000000000001</v>
      </c>
      <c r="BJ250" s="7">
        <v>0.1968</v>
      </c>
      <c r="BK250" s="7">
        <v>0.1956</v>
      </c>
      <c r="BL250" s="7">
        <v>0.19439999999999999</v>
      </c>
      <c r="BM250" s="7">
        <v>0.1933</v>
      </c>
      <c r="BN250" s="7">
        <v>0.19209999999999999</v>
      </c>
      <c r="BO250" s="7">
        <v>0.191</v>
      </c>
      <c r="BP250" s="7">
        <v>0.18990000000000001</v>
      </c>
      <c r="BQ250" s="7">
        <v>0.1888</v>
      </c>
      <c r="BR250" s="7">
        <v>0.18779999999999999</v>
      </c>
      <c r="BS250" s="7">
        <v>0.1867</v>
      </c>
      <c r="BT250" s="7">
        <v>0.1857</v>
      </c>
      <c r="BU250" s="7">
        <v>0.18459999999999999</v>
      </c>
      <c r="BV250" s="7">
        <v>0.18360000000000001</v>
      </c>
      <c r="BW250" s="7">
        <v>0.18260000000000001</v>
      </c>
      <c r="BX250" s="7">
        <v>0.18160000000000001</v>
      </c>
      <c r="BY250" s="7">
        <v>0.1807</v>
      </c>
      <c r="BZ250" s="7">
        <v>0.1797</v>
      </c>
      <c r="CA250" s="7">
        <v>0.1787</v>
      </c>
      <c r="CB250" s="7">
        <v>0.17780000000000001</v>
      </c>
      <c r="CC250" s="7">
        <v>0.17680000000000001</v>
      </c>
      <c r="CD250" s="7">
        <v>0.1759</v>
      </c>
      <c r="CE250" s="7">
        <v>0.17499999999999999</v>
      </c>
      <c r="CF250" s="7">
        <v>0.17399999999999999</v>
      </c>
      <c r="CG250" s="7">
        <v>0.1731</v>
      </c>
      <c r="CH250" s="7">
        <v>0.17219999999999999</v>
      </c>
      <c r="CI250" s="7">
        <v>0.17130000000000001</v>
      </c>
      <c r="CJ250" s="7">
        <v>0.1704</v>
      </c>
      <c r="CK250" s="7">
        <v>0.16950000000000001</v>
      </c>
      <c r="CL250" s="7">
        <v>0.1686</v>
      </c>
      <c r="CM250" s="7">
        <v>0.16769999999999999</v>
      </c>
      <c r="CN250" s="7">
        <v>0.16689999999999999</v>
      </c>
      <c r="CO250" s="7">
        <v>0.16600000000000001</v>
      </c>
      <c r="CP250" s="7">
        <v>0.1651</v>
      </c>
      <c r="CQ250" s="7">
        <v>0.16420000000000001</v>
      </c>
      <c r="CR250" s="7">
        <v>0.1633</v>
      </c>
      <c r="CS250" s="7">
        <v>0.16239999999999999</v>
      </c>
      <c r="CT250" s="7">
        <v>0.1615</v>
      </c>
      <c r="CU250" s="7">
        <v>0.16059999999999999</v>
      </c>
      <c r="CV250" s="7">
        <v>0.159</v>
      </c>
      <c r="CW250" s="7">
        <v>0.1573</v>
      </c>
      <c r="CX250" s="7">
        <v>0.15570000000000001</v>
      </c>
      <c r="CY250" s="7">
        <v>0.154</v>
      </c>
      <c r="CZ250" s="7">
        <v>0.15240000000000001</v>
      </c>
      <c r="DA250" s="7">
        <v>0.1507</v>
      </c>
      <c r="DB250" s="7">
        <v>0.14910000000000001</v>
      </c>
      <c r="DC250" s="7">
        <v>0.1474</v>
      </c>
      <c r="DD250" s="7">
        <v>0.14580000000000001</v>
      </c>
      <c r="DE250" s="7">
        <v>0.14410000000000001</v>
      </c>
      <c r="DF250" s="7">
        <v>0.1424</v>
      </c>
      <c r="DG250" s="7">
        <v>0.14069999999999999</v>
      </c>
      <c r="DH250" s="7">
        <v>0.1391</v>
      </c>
      <c r="DI250" s="7">
        <v>0.13739999999999999</v>
      </c>
      <c r="DJ250" s="7">
        <v>0.13569999999999999</v>
      </c>
      <c r="DK250" s="7">
        <v>0.13389999999999999</v>
      </c>
      <c r="DL250" s="7">
        <v>0.13220000000000001</v>
      </c>
      <c r="DM250" s="7">
        <v>0.1305</v>
      </c>
      <c r="DN250" s="7">
        <v>0.1288</v>
      </c>
      <c r="DO250" s="7">
        <v>0.127</v>
      </c>
      <c r="DP250" s="7">
        <v>0.12520000000000001</v>
      </c>
      <c r="DQ250" s="7">
        <v>0.1235</v>
      </c>
      <c r="DR250" s="7">
        <v>0.1217</v>
      </c>
      <c r="DS250" s="7">
        <v>0.11990000000000001</v>
      </c>
      <c r="DT250" s="7">
        <v>0.1181</v>
      </c>
      <c r="DU250" s="7">
        <v>0.1163</v>
      </c>
      <c r="DV250" s="7">
        <v>0.1144</v>
      </c>
      <c r="DW250" s="7">
        <v>0.11260000000000001</v>
      </c>
      <c r="DX250" s="7">
        <v>0.11070000000000001</v>
      </c>
      <c r="DY250" s="7">
        <v>0.1089</v>
      </c>
      <c r="DZ250" s="7">
        <v>0.107</v>
      </c>
      <c r="EA250" s="7">
        <v>0.1051</v>
      </c>
      <c r="EB250" s="7">
        <v>0.1032</v>
      </c>
      <c r="EC250" s="7">
        <v>0.1013</v>
      </c>
      <c r="ED250" s="7">
        <v>9.9400000000000002E-2</v>
      </c>
      <c r="EE250" s="7">
        <v>9.74E-2</v>
      </c>
      <c r="EF250" s="7">
        <v>9.5500000000000002E-2</v>
      </c>
      <c r="EG250" s="7">
        <v>9.3600000000000003E-2</v>
      </c>
      <c r="EH250" s="7">
        <v>9.1600000000000001E-2</v>
      </c>
      <c r="EI250" s="7">
        <v>8.9700000000000002E-2</v>
      </c>
      <c r="EJ250" s="7">
        <v>8.77E-2</v>
      </c>
      <c r="EK250" s="7">
        <v>8.5800000000000001E-2</v>
      </c>
      <c r="EL250" s="7">
        <v>8.3799999999999999E-2</v>
      </c>
      <c r="EM250" s="7">
        <v>8.1900000000000001E-2</v>
      </c>
      <c r="EN250" s="7">
        <v>7.9899999999999999E-2</v>
      </c>
      <c r="EO250" s="7">
        <v>7.8E-2</v>
      </c>
      <c r="EP250" s="7">
        <v>7.6100000000000001E-2</v>
      </c>
      <c r="EQ250" s="7">
        <v>7.4099999999999999E-2</v>
      </c>
      <c r="ER250" s="7">
        <v>7.22E-2</v>
      </c>
      <c r="ES250" s="7">
        <v>7.0300000000000001E-2</v>
      </c>
      <c r="ET250" s="7">
        <v>6.8400000000000002E-2</v>
      </c>
      <c r="EU250" s="7">
        <v>6.6500000000000004E-2</v>
      </c>
      <c r="EV250" s="7">
        <v>6.4699999999999994E-2</v>
      </c>
      <c r="EW250" s="7">
        <v>6.2799999999999995E-2</v>
      </c>
      <c r="EX250" s="7">
        <v>6.0999999999999999E-2</v>
      </c>
      <c r="EY250" s="7">
        <v>5.9200000000000003E-2</v>
      </c>
      <c r="EZ250" s="7">
        <v>5.74E-2</v>
      </c>
      <c r="FA250" s="7">
        <v>5.5599999999999997E-2</v>
      </c>
      <c r="FB250" s="7">
        <v>5.3800000000000001E-2</v>
      </c>
      <c r="FC250" s="7">
        <v>5.1999999999999998E-2</v>
      </c>
      <c r="FE250" s="50">
        <f t="shared" ca="1" si="26"/>
        <v>0.11222046497399817</v>
      </c>
      <c r="FF250" s="50">
        <f t="shared" ca="1" si="27"/>
        <v>0.11337686638897788</v>
      </c>
      <c r="FG250" s="50">
        <f t="shared" ca="1" si="28"/>
        <v>0.11454409395973156</v>
      </c>
      <c r="FH250" s="50">
        <f t="shared" ca="1" si="29"/>
        <v>0.11581926174496646</v>
      </c>
      <c r="FI250" s="50"/>
      <c r="FJ250" s="50"/>
      <c r="FK250" s="50">
        <f t="shared" ca="1" si="30"/>
        <v>0.11337686638897788</v>
      </c>
      <c r="FL250" s="50"/>
      <c r="FM250" s="50"/>
      <c r="FN250" s="50"/>
    </row>
    <row r="251" spans="49:170" hidden="1">
      <c r="AW251" s="112">
        <v>1.4790000000000001</v>
      </c>
      <c r="AX251" s="7">
        <v>0.21299999999999999</v>
      </c>
      <c r="AY251" s="7">
        <v>0.21149999999999999</v>
      </c>
      <c r="AZ251" s="7">
        <v>0.21</v>
      </c>
      <c r="BA251" s="7">
        <v>0.20860000000000001</v>
      </c>
      <c r="BB251" s="7">
        <v>0.2072</v>
      </c>
      <c r="BC251" s="7">
        <v>0.20580000000000001</v>
      </c>
      <c r="BD251" s="7">
        <v>0.2044</v>
      </c>
      <c r="BE251" s="7">
        <v>0.2031</v>
      </c>
      <c r="BF251" s="7">
        <v>0.20180000000000001</v>
      </c>
      <c r="BG251" s="7">
        <v>0.20050000000000001</v>
      </c>
      <c r="BH251" s="7">
        <v>0.1993</v>
      </c>
      <c r="BI251" s="7">
        <v>0.19800000000000001</v>
      </c>
      <c r="BJ251" s="7">
        <v>0.1968</v>
      </c>
      <c r="BK251" s="7">
        <v>0.1956</v>
      </c>
      <c r="BL251" s="7">
        <v>0.19439999999999999</v>
      </c>
      <c r="BM251" s="7">
        <v>0.1933</v>
      </c>
      <c r="BN251" s="7">
        <v>0.19209999999999999</v>
      </c>
      <c r="BO251" s="7">
        <v>0.191</v>
      </c>
      <c r="BP251" s="7">
        <v>0.18990000000000001</v>
      </c>
      <c r="BQ251" s="7">
        <v>0.1888</v>
      </c>
      <c r="BR251" s="7">
        <v>0.18779999999999999</v>
      </c>
      <c r="BS251" s="7">
        <v>0.1867</v>
      </c>
      <c r="BT251" s="7">
        <v>0.1857</v>
      </c>
      <c r="BU251" s="7">
        <v>0.18459999999999999</v>
      </c>
      <c r="BV251" s="7">
        <v>0.18360000000000001</v>
      </c>
      <c r="BW251" s="7">
        <v>0.18260000000000001</v>
      </c>
      <c r="BX251" s="7">
        <v>0.18160000000000001</v>
      </c>
      <c r="BY251" s="7">
        <v>0.1807</v>
      </c>
      <c r="BZ251" s="7">
        <v>0.1797</v>
      </c>
      <c r="CA251" s="7">
        <v>0.1787</v>
      </c>
      <c r="CB251" s="7">
        <v>0.17780000000000001</v>
      </c>
      <c r="CC251" s="7">
        <v>0.17680000000000001</v>
      </c>
      <c r="CD251" s="7">
        <v>0.1759</v>
      </c>
      <c r="CE251" s="7">
        <v>0.17499999999999999</v>
      </c>
      <c r="CF251" s="7">
        <v>0.17399999999999999</v>
      </c>
      <c r="CG251" s="7">
        <v>0.1731</v>
      </c>
      <c r="CH251" s="7">
        <v>0.17219999999999999</v>
      </c>
      <c r="CI251" s="7">
        <v>0.17130000000000001</v>
      </c>
      <c r="CJ251" s="7">
        <v>0.1704</v>
      </c>
      <c r="CK251" s="7">
        <v>0.16950000000000001</v>
      </c>
      <c r="CL251" s="7">
        <v>0.1686</v>
      </c>
      <c r="CM251" s="7">
        <v>0.16769999999999999</v>
      </c>
      <c r="CN251" s="7">
        <v>0.16689999999999999</v>
      </c>
      <c r="CO251" s="7">
        <v>0.16600000000000001</v>
      </c>
      <c r="CP251" s="7">
        <v>0.1651</v>
      </c>
      <c r="CQ251" s="7">
        <v>0.16420000000000001</v>
      </c>
      <c r="CR251" s="7">
        <v>0.1633</v>
      </c>
      <c r="CS251" s="7">
        <v>0.16239999999999999</v>
      </c>
      <c r="CT251" s="7">
        <v>0.1615</v>
      </c>
      <c r="CU251" s="7">
        <v>0.16059999999999999</v>
      </c>
      <c r="CV251" s="7">
        <v>0.15970000000000001</v>
      </c>
      <c r="CW251" s="7">
        <v>0.15809999999999999</v>
      </c>
      <c r="CX251" s="7">
        <v>0.1565</v>
      </c>
      <c r="CY251" s="7">
        <v>0.15479999999999999</v>
      </c>
      <c r="CZ251" s="7">
        <v>0.1532</v>
      </c>
      <c r="DA251" s="7">
        <v>0.1515</v>
      </c>
      <c r="DB251" s="7">
        <v>0.14990000000000001</v>
      </c>
      <c r="DC251" s="7">
        <v>0.1482</v>
      </c>
      <c r="DD251" s="7">
        <v>0.14649999999999999</v>
      </c>
      <c r="DE251" s="7">
        <v>0.1449</v>
      </c>
      <c r="DF251" s="7">
        <v>0.14319999999999999</v>
      </c>
      <c r="DG251" s="7">
        <v>0.14149999999999999</v>
      </c>
      <c r="DH251" s="7">
        <v>0.13980000000000001</v>
      </c>
      <c r="DI251" s="7">
        <v>0.1381</v>
      </c>
      <c r="DJ251" s="7">
        <v>0.13639999999999999</v>
      </c>
      <c r="DK251" s="7">
        <v>0.13469999999999999</v>
      </c>
      <c r="DL251" s="7">
        <v>0.13300000000000001</v>
      </c>
      <c r="DM251" s="7">
        <v>0.1313</v>
      </c>
      <c r="DN251" s="7">
        <v>0.1295</v>
      </c>
      <c r="DO251" s="7">
        <v>0.1278</v>
      </c>
      <c r="DP251" s="7">
        <v>0.126</v>
      </c>
      <c r="DQ251" s="7">
        <v>0.1242</v>
      </c>
      <c r="DR251" s="7">
        <v>0.12239999999999999</v>
      </c>
      <c r="DS251" s="7">
        <v>0.1206</v>
      </c>
      <c r="DT251" s="7">
        <v>0.1188</v>
      </c>
      <c r="DU251" s="7">
        <v>0.11700000000000001</v>
      </c>
      <c r="DV251" s="7">
        <v>0.1152</v>
      </c>
      <c r="DW251" s="7">
        <v>0.1133</v>
      </c>
      <c r="DX251" s="7">
        <v>0.1114</v>
      </c>
      <c r="DY251" s="7">
        <v>0.1096</v>
      </c>
      <c r="DZ251" s="7">
        <v>0.1077</v>
      </c>
      <c r="EA251" s="7">
        <v>0.10580000000000001</v>
      </c>
      <c r="EB251" s="7">
        <v>0.10390000000000001</v>
      </c>
      <c r="EC251" s="7">
        <v>0.10199999999999999</v>
      </c>
      <c r="ED251" s="7">
        <v>0.10009999999999999</v>
      </c>
      <c r="EE251" s="7">
        <v>9.8100000000000007E-2</v>
      </c>
      <c r="EF251" s="7">
        <v>9.6199999999999994E-2</v>
      </c>
      <c r="EG251" s="7">
        <v>9.4299999999999995E-2</v>
      </c>
      <c r="EH251" s="7">
        <v>9.2299999999999993E-2</v>
      </c>
      <c r="EI251" s="7">
        <v>9.0399999999999994E-2</v>
      </c>
      <c r="EJ251" s="7">
        <v>8.8400000000000006E-2</v>
      </c>
      <c r="EK251" s="7">
        <v>8.6499999999999994E-2</v>
      </c>
      <c r="EL251" s="7">
        <v>8.4500000000000006E-2</v>
      </c>
      <c r="EM251" s="7">
        <v>8.2600000000000007E-2</v>
      </c>
      <c r="EN251" s="7">
        <v>8.0600000000000005E-2</v>
      </c>
      <c r="EO251" s="7">
        <v>7.8700000000000006E-2</v>
      </c>
      <c r="EP251" s="7">
        <v>7.6700000000000004E-2</v>
      </c>
      <c r="EQ251" s="7">
        <v>7.4800000000000005E-2</v>
      </c>
      <c r="ER251" s="7">
        <v>7.2900000000000006E-2</v>
      </c>
      <c r="ES251" s="7">
        <v>7.0999999999999994E-2</v>
      </c>
      <c r="ET251" s="7">
        <v>6.9099999999999995E-2</v>
      </c>
      <c r="EU251" s="7">
        <v>6.7199999999999996E-2</v>
      </c>
      <c r="EV251" s="7">
        <v>6.5299999999999997E-2</v>
      </c>
      <c r="EW251" s="7">
        <v>6.3500000000000001E-2</v>
      </c>
      <c r="EX251" s="7">
        <v>6.1600000000000002E-2</v>
      </c>
      <c r="EY251" s="7">
        <v>5.9799999999999999E-2</v>
      </c>
      <c r="EZ251" s="7">
        <v>5.8000000000000003E-2</v>
      </c>
      <c r="FA251" s="7">
        <v>5.62E-2</v>
      </c>
      <c r="FB251" s="7">
        <v>5.4399999999999997E-2</v>
      </c>
      <c r="FC251" s="7">
        <v>5.2699999999999997E-2</v>
      </c>
      <c r="FE251" s="50">
        <f t="shared" ca="1" si="26"/>
        <v>0.11292046497399817</v>
      </c>
      <c r="FF251" s="50">
        <f t="shared" ca="1" si="27"/>
        <v>0.11412002563280996</v>
      </c>
      <c r="FG251" s="50">
        <f t="shared" ca="1" si="28"/>
        <v>0.1153365100671141</v>
      </c>
      <c r="FH251" s="50">
        <f t="shared" ca="1" si="29"/>
        <v>0.11654456375838929</v>
      </c>
      <c r="FI251" s="50"/>
      <c r="FJ251" s="50"/>
      <c r="FK251" s="50">
        <f t="shared" ca="1" si="30"/>
        <v>0.11412002563280996</v>
      </c>
      <c r="FL251" s="50"/>
      <c r="FM251" s="50"/>
      <c r="FN251" s="50"/>
    </row>
    <row r="252" spans="49:170" hidden="1">
      <c r="AW252" s="112">
        <v>1.585</v>
      </c>
      <c r="AX252" s="7">
        <v>0.21299999999999999</v>
      </c>
      <c r="AY252" s="7">
        <v>0.21149999999999999</v>
      </c>
      <c r="AZ252" s="7">
        <v>0.21</v>
      </c>
      <c r="BA252" s="7">
        <v>0.20860000000000001</v>
      </c>
      <c r="BB252" s="7">
        <v>0.2072</v>
      </c>
      <c r="BC252" s="7">
        <v>0.20580000000000001</v>
      </c>
      <c r="BD252" s="7">
        <v>0.2044</v>
      </c>
      <c r="BE252" s="7">
        <v>0.2031</v>
      </c>
      <c r="BF252" s="7">
        <v>0.20180000000000001</v>
      </c>
      <c r="BG252" s="7">
        <v>0.20050000000000001</v>
      </c>
      <c r="BH252" s="7">
        <v>0.1993</v>
      </c>
      <c r="BI252" s="7">
        <v>0.19800000000000001</v>
      </c>
      <c r="BJ252" s="7">
        <v>0.1968</v>
      </c>
      <c r="BK252" s="7">
        <v>0.1956</v>
      </c>
      <c r="BL252" s="7">
        <v>0.19439999999999999</v>
      </c>
      <c r="BM252" s="7">
        <v>0.1933</v>
      </c>
      <c r="BN252" s="7">
        <v>0.19209999999999999</v>
      </c>
      <c r="BO252" s="7">
        <v>0.191</v>
      </c>
      <c r="BP252" s="7">
        <v>0.18990000000000001</v>
      </c>
      <c r="BQ252" s="7">
        <v>0.1888</v>
      </c>
      <c r="BR252" s="7">
        <v>0.18779999999999999</v>
      </c>
      <c r="BS252" s="7">
        <v>0.1867</v>
      </c>
      <c r="BT252" s="7">
        <v>0.1857</v>
      </c>
      <c r="BU252" s="7">
        <v>0.18459999999999999</v>
      </c>
      <c r="BV252" s="7">
        <v>0.18360000000000001</v>
      </c>
      <c r="BW252" s="7">
        <v>0.18260000000000001</v>
      </c>
      <c r="BX252" s="7">
        <v>0.18160000000000001</v>
      </c>
      <c r="BY252" s="7">
        <v>0.1807</v>
      </c>
      <c r="BZ252" s="7">
        <v>0.1797</v>
      </c>
      <c r="CA252" s="7">
        <v>0.1787</v>
      </c>
      <c r="CB252" s="7">
        <v>0.17780000000000001</v>
      </c>
      <c r="CC252" s="7">
        <v>0.17680000000000001</v>
      </c>
      <c r="CD252" s="7">
        <v>0.1759</v>
      </c>
      <c r="CE252" s="7">
        <v>0.17499999999999999</v>
      </c>
      <c r="CF252" s="7">
        <v>0.17399999999999999</v>
      </c>
      <c r="CG252" s="7">
        <v>0.1731</v>
      </c>
      <c r="CH252" s="7">
        <v>0.17219999999999999</v>
      </c>
      <c r="CI252" s="7">
        <v>0.17130000000000001</v>
      </c>
      <c r="CJ252" s="7">
        <v>0.1704</v>
      </c>
      <c r="CK252" s="7">
        <v>0.16950000000000001</v>
      </c>
      <c r="CL252" s="7">
        <v>0.1686</v>
      </c>
      <c r="CM252" s="7">
        <v>0.16769999999999999</v>
      </c>
      <c r="CN252" s="7">
        <v>0.16689999999999999</v>
      </c>
      <c r="CO252" s="7">
        <v>0.16600000000000001</v>
      </c>
      <c r="CP252" s="7">
        <v>0.1651</v>
      </c>
      <c r="CQ252" s="7">
        <v>0.16420000000000001</v>
      </c>
      <c r="CR252" s="7">
        <v>0.1633</v>
      </c>
      <c r="CS252" s="7">
        <v>0.16239999999999999</v>
      </c>
      <c r="CT252" s="7">
        <v>0.1615</v>
      </c>
      <c r="CU252" s="7">
        <v>0.16059999999999999</v>
      </c>
      <c r="CV252" s="7">
        <v>0.15970000000000001</v>
      </c>
      <c r="CW252" s="7">
        <v>0.1588</v>
      </c>
      <c r="CX252" s="7">
        <v>0.1573</v>
      </c>
      <c r="CY252" s="7">
        <v>0.15559999999999999</v>
      </c>
      <c r="CZ252" s="7">
        <v>0.154</v>
      </c>
      <c r="DA252" s="7">
        <v>0.15229999999999999</v>
      </c>
      <c r="DB252" s="7">
        <v>0.15060000000000001</v>
      </c>
      <c r="DC252" s="7">
        <v>0.14899999999999999</v>
      </c>
      <c r="DD252" s="7">
        <v>0.14729999999999999</v>
      </c>
      <c r="DE252" s="7">
        <v>0.14560000000000001</v>
      </c>
      <c r="DF252" s="7">
        <v>0.14399999999999999</v>
      </c>
      <c r="DG252" s="7">
        <v>0.14230000000000001</v>
      </c>
      <c r="DH252" s="7">
        <v>0.1406</v>
      </c>
      <c r="DI252" s="7">
        <v>0.1389</v>
      </c>
      <c r="DJ252" s="7">
        <v>0.13719999999999999</v>
      </c>
      <c r="DK252" s="7">
        <v>0.13550000000000001</v>
      </c>
      <c r="DL252" s="7">
        <v>0.13370000000000001</v>
      </c>
      <c r="DM252" s="7">
        <v>0.13200000000000001</v>
      </c>
      <c r="DN252" s="7">
        <v>0.1303</v>
      </c>
      <c r="DO252" s="7">
        <v>0.1285</v>
      </c>
      <c r="DP252" s="7">
        <v>0.12670000000000001</v>
      </c>
      <c r="DQ252" s="7">
        <v>0.125</v>
      </c>
      <c r="DR252" s="7">
        <v>0.1232</v>
      </c>
      <c r="DS252" s="7">
        <v>0.12139999999999999</v>
      </c>
      <c r="DT252" s="7">
        <v>0.1195</v>
      </c>
      <c r="DU252" s="7">
        <v>0.1177</v>
      </c>
      <c r="DV252" s="7">
        <v>0.1159</v>
      </c>
      <c r="DW252" s="7">
        <v>0.114</v>
      </c>
      <c r="DX252" s="7">
        <v>0.11219999999999999</v>
      </c>
      <c r="DY252" s="7">
        <v>0.1103</v>
      </c>
      <c r="DZ252" s="7">
        <v>0.1084</v>
      </c>
      <c r="EA252" s="7">
        <v>0.1065</v>
      </c>
      <c r="EB252" s="7">
        <v>0.1046</v>
      </c>
      <c r="EC252" s="7">
        <v>0.1027</v>
      </c>
      <c r="ED252" s="7">
        <v>0.1008</v>
      </c>
      <c r="EE252" s="7">
        <v>9.8799999999999999E-2</v>
      </c>
      <c r="EF252" s="7">
        <v>9.69E-2</v>
      </c>
      <c r="EG252" s="7">
        <v>9.4899999999999998E-2</v>
      </c>
      <c r="EH252" s="7">
        <v>9.2999999999999999E-2</v>
      </c>
      <c r="EI252" s="7">
        <v>9.0999999999999998E-2</v>
      </c>
      <c r="EJ252" s="7">
        <v>8.9099999999999999E-2</v>
      </c>
      <c r="EK252" s="7">
        <v>8.7099999999999997E-2</v>
      </c>
      <c r="EL252" s="7">
        <v>8.5199999999999998E-2</v>
      </c>
      <c r="EM252" s="7">
        <v>8.3199999999999996E-2</v>
      </c>
      <c r="EN252" s="7">
        <v>8.1299999999999997E-2</v>
      </c>
      <c r="EO252" s="7">
        <v>7.9299999999999995E-2</v>
      </c>
      <c r="EP252" s="7">
        <v>7.7399999999999997E-2</v>
      </c>
      <c r="EQ252" s="7">
        <v>7.5499999999999998E-2</v>
      </c>
      <c r="ER252" s="7">
        <v>7.3499999999999996E-2</v>
      </c>
      <c r="ES252" s="7">
        <v>7.1599999999999997E-2</v>
      </c>
      <c r="ET252" s="7">
        <v>6.9699999999999998E-2</v>
      </c>
      <c r="EU252" s="7">
        <v>6.7799999999999999E-2</v>
      </c>
      <c r="EV252" s="7">
        <v>6.6000000000000003E-2</v>
      </c>
      <c r="EW252" s="7">
        <v>6.4100000000000004E-2</v>
      </c>
      <c r="EX252" s="7">
        <v>6.2300000000000001E-2</v>
      </c>
      <c r="EY252" s="7">
        <v>6.0400000000000002E-2</v>
      </c>
      <c r="EZ252" s="7">
        <v>5.8599999999999999E-2</v>
      </c>
      <c r="FA252" s="7">
        <v>5.6800000000000003E-2</v>
      </c>
      <c r="FB252" s="7">
        <v>5.5E-2</v>
      </c>
      <c r="FC252" s="7">
        <v>5.33E-2</v>
      </c>
      <c r="FE252" s="50">
        <f t="shared" ca="1" si="26"/>
        <v>0.11364044050168248</v>
      </c>
      <c r="FF252" s="50">
        <f t="shared" ca="1" si="27"/>
        <v>0.11482002563280999</v>
      </c>
      <c r="FG252" s="50">
        <f t="shared" ca="1" si="28"/>
        <v>0.11603651006711407</v>
      </c>
      <c r="FH252" s="50">
        <f t="shared" ca="1" si="29"/>
        <v>0.11724456375838925</v>
      </c>
      <c r="FI252" s="50"/>
      <c r="FJ252" s="50"/>
      <c r="FK252" s="50">
        <f t="shared" ca="1" si="30"/>
        <v>0.11482002563280999</v>
      </c>
      <c r="FL252" s="50"/>
      <c r="FM252" s="50"/>
      <c r="FN252" s="50"/>
    </row>
    <row r="253" spans="49:170" hidden="1">
      <c r="AW253" s="112">
        <v>1.698</v>
      </c>
      <c r="AX253" s="7">
        <v>0.21299999999999999</v>
      </c>
      <c r="AY253" s="7">
        <v>0.21149999999999999</v>
      </c>
      <c r="AZ253" s="7">
        <v>0.21</v>
      </c>
      <c r="BA253" s="7">
        <v>0.20860000000000001</v>
      </c>
      <c r="BB253" s="7">
        <v>0.2072</v>
      </c>
      <c r="BC253" s="7">
        <v>0.20580000000000001</v>
      </c>
      <c r="BD253" s="7">
        <v>0.2044</v>
      </c>
      <c r="BE253" s="7">
        <v>0.2031</v>
      </c>
      <c r="BF253" s="7">
        <v>0.20180000000000001</v>
      </c>
      <c r="BG253" s="7">
        <v>0.20050000000000001</v>
      </c>
      <c r="BH253" s="7">
        <v>0.1993</v>
      </c>
      <c r="BI253" s="7">
        <v>0.19800000000000001</v>
      </c>
      <c r="BJ253" s="7">
        <v>0.1968</v>
      </c>
      <c r="BK253" s="7">
        <v>0.1956</v>
      </c>
      <c r="BL253" s="7">
        <v>0.19439999999999999</v>
      </c>
      <c r="BM253" s="7">
        <v>0.1933</v>
      </c>
      <c r="BN253" s="7">
        <v>0.19209999999999999</v>
      </c>
      <c r="BO253" s="7">
        <v>0.191</v>
      </c>
      <c r="BP253" s="7">
        <v>0.18990000000000001</v>
      </c>
      <c r="BQ253" s="7">
        <v>0.1888</v>
      </c>
      <c r="BR253" s="7">
        <v>0.18779999999999999</v>
      </c>
      <c r="BS253" s="7">
        <v>0.1867</v>
      </c>
      <c r="BT253" s="7">
        <v>0.1857</v>
      </c>
      <c r="BU253" s="7">
        <v>0.18459999999999999</v>
      </c>
      <c r="BV253" s="7">
        <v>0.18360000000000001</v>
      </c>
      <c r="BW253" s="7">
        <v>0.18260000000000001</v>
      </c>
      <c r="BX253" s="7">
        <v>0.18160000000000001</v>
      </c>
      <c r="BY253" s="7">
        <v>0.1807</v>
      </c>
      <c r="BZ253" s="7">
        <v>0.1797</v>
      </c>
      <c r="CA253" s="7">
        <v>0.1787</v>
      </c>
      <c r="CB253" s="7">
        <v>0.17780000000000001</v>
      </c>
      <c r="CC253" s="7">
        <v>0.17680000000000001</v>
      </c>
      <c r="CD253" s="7">
        <v>0.1759</v>
      </c>
      <c r="CE253" s="7">
        <v>0.17499999999999999</v>
      </c>
      <c r="CF253" s="7">
        <v>0.17399999999999999</v>
      </c>
      <c r="CG253" s="7">
        <v>0.1731</v>
      </c>
      <c r="CH253" s="7">
        <v>0.17219999999999999</v>
      </c>
      <c r="CI253" s="7">
        <v>0.17130000000000001</v>
      </c>
      <c r="CJ253" s="7">
        <v>0.1704</v>
      </c>
      <c r="CK253" s="7">
        <v>0.16950000000000001</v>
      </c>
      <c r="CL253" s="7">
        <v>0.1686</v>
      </c>
      <c r="CM253" s="7">
        <v>0.16769999999999999</v>
      </c>
      <c r="CN253" s="7">
        <v>0.16689999999999999</v>
      </c>
      <c r="CO253" s="7">
        <v>0.16600000000000001</v>
      </c>
      <c r="CP253" s="7">
        <v>0.1651</v>
      </c>
      <c r="CQ253" s="7">
        <v>0.16420000000000001</v>
      </c>
      <c r="CR253" s="7">
        <v>0.1633</v>
      </c>
      <c r="CS253" s="7">
        <v>0.16239999999999999</v>
      </c>
      <c r="CT253" s="7">
        <v>0.1615</v>
      </c>
      <c r="CU253" s="7">
        <v>0.16059999999999999</v>
      </c>
      <c r="CV253" s="7">
        <v>0.15970000000000001</v>
      </c>
      <c r="CW253" s="7">
        <v>0.1588</v>
      </c>
      <c r="CX253" s="7">
        <v>0.15790000000000001</v>
      </c>
      <c r="CY253" s="7">
        <v>0.15640000000000001</v>
      </c>
      <c r="CZ253" s="7">
        <v>0.1547</v>
      </c>
      <c r="DA253" s="7">
        <v>0.15310000000000001</v>
      </c>
      <c r="DB253" s="7">
        <v>0.15140000000000001</v>
      </c>
      <c r="DC253" s="7">
        <v>0.1497</v>
      </c>
      <c r="DD253" s="7">
        <v>0.14810000000000001</v>
      </c>
      <c r="DE253" s="7">
        <v>0.1464</v>
      </c>
      <c r="DF253" s="7">
        <v>0.1447</v>
      </c>
      <c r="DG253" s="7">
        <v>0.14299999999999999</v>
      </c>
      <c r="DH253" s="7">
        <v>0.14130000000000001</v>
      </c>
      <c r="DI253" s="7">
        <v>0.1396</v>
      </c>
      <c r="DJ253" s="7">
        <v>0.13789999999999999</v>
      </c>
      <c r="DK253" s="7">
        <v>0.13619999999999999</v>
      </c>
      <c r="DL253" s="7">
        <v>0.13450000000000001</v>
      </c>
      <c r="DM253" s="7">
        <v>0.13270000000000001</v>
      </c>
      <c r="DN253" s="7">
        <v>0.13100000000000001</v>
      </c>
      <c r="DO253" s="7">
        <v>0.12920000000000001</v>
      </c>
      <c r="DP253" s="7">
        <v>0.1275</v>
      </c>
      <c r="DQ253" s="7">
        <v>0.12570000000000001</v>
      </c>
      <c r="DR253" s="7">
        <v>0.1239</v>
      </c>
      <c r="DS253" s="7">
        <v>0.1221</v>
      </c>
      <c r="DT253" s="7">
        <v>0.1203</v>
      </c>
      <c r="DU253" s="7">
        <v>0.11840000000000001</v>
      </c>
      <c r="DV253" s="7">
        <v>0.1166</v>
      </c>
      <c r="DW253" s="7">
        <v>0.1147</v>
      </c>
      <c r="DX253" s="7">
        <v>0.1129</v>
      </c>
      <c r="DY253" s="7">
        <v>0.111</v>
      </c>
      <c r="DZ253" s="7">
        <v>0.1091</v>
      </c>
      <c r="EA253" s="7">
        <v>0.1072</v>
      </c>
      <c r="EB253" s="7">
        <v>0.1053</v>
      </c>
      <c r="EC253" s="7">
        <v>0.10340000000000001</v>
      </c>
      <c r="ED253" s="7">
        <v>0.1014</v>
      </c>
      <c r="EE253" s="7">
        <v>9.9500000000000005E-2</v>
      </c>
      <c r="EF253" s="7">
        <v>9.7600000000000006E-2</v>
      </c>
      <c r="EG253" s="7">
        <v>9.5600000000000004E-2</v>
      </c>
      <c r="EH253" s="7">
        <v>9.3700000000000006E-2</v>
      </c>
      <c r="EI253" s="7">
        <v>9.1700000000000004E-2</v>
      </c>
      <c r="EJ253" s="7">
        <v>8.9800000000000005E-2</v>
      </c>
      <c r="EK253" s="7">
        <v>8.7800000000000003E-2</v>
      </c>
      <c r="EL253" s="7">
        <v>8.5800000000000001E-2</v>
      </c>
      <c r="EM253" s="7">
        <v>8.3900000000000002E-2</v>
      </c>
      <c r="EN253" s="7">
        <v>8.1900000000000001E-2</v>
      </c>
      <c r="EO253" s="7">
        <v>0.08</v>
      </c>
      <c r="EP253" s="7">
        <v>7.8E-2</v>
      </c>
      <c r="EQ253" s="7">
        <v>7.6100000000000001E-2</v>
      </c>
      <c r="ER253" s="7">
        <v>7.4200000000000002E-2</v>
      </c>
      <c r="ES253" s="7">
        <v>7.2300000000000003E-2</v>
      </c>
      <c r="ET253" s="7">
        <v>7.0400000000000004E-2</v>
      </c>
      <c r="EU253" s="7">
        <v>6.8500000000000005E-2</v>
      </c>
      <c r="EV253" s="7">
        <v>6.6600000000000006E-2</v>
      </c>
      <c r="EW253" s="7">
        <v>6.4699999999999994E-2</v>
      </c>
      <c r="EX253" s="7">
        <v>6.2899999999999998E-2</v>
      </c>
      <c r="EY253" s="7">
        <v>6.1100000000000002E-2</v>
      </c>
      <c r="EZ253" s="7">
        <v>5.9200000000000003E-2</v>
      </c>
      <c r="FA253" s="7">
        <v>5.74E-2</v>
      </c>
      <c r="FB253" s="7">
        <v>5.57E-2</v>
      </c>
      <c r="FC253" s="7">
        <v>5.3900000000000003E-2</v>
      </c>
      <c r="FE253" s="50">
        <f t="shared" ca="1" si="26"/>
        <v>0.11434044050168246</v>
      </c>
      <c r="FF253" s="50">
        <f t="shared" ca="1" si="27"/>
        <v>0.11552002563280997</v>
      </c>
      <c r="FG253" s="50">
        <f t="shared" ca="1" si="28"/>
        <v>0.11673651006711409</v>
      </c>
      <c r="FH253" s="50">
        <f t="shared" ca="1" si="29"/>
        <v>0.11794456375838927</v>
      </c>
      <c r="FI253" s="50"/>
      <c r="FJ253" s="50"/>
      <c r="FK253" s="50">
        <f t="shared" ca="1" si="30"/>
        <v>0.11552002563280997</v>
      </c>
      <c r="FL253" s="50"/>
      <c r="FM253" s="50"/>
      <c r="FN253" s="50"/>
    </row>
    <row r="254" spans="49:170" hidden="1">
      <c r="AW254" s="112">
        <v>1.82</v>
      </c>
      <c r="AX254" s="7">
        <v>0.21299999999999999</v>
      </c>
      <c r="AY254" s="7">
        <v>0.21149999999999999</v>
      </c>
      <c r="AZ254" s="7">
        <v>0.21</v>
      </c>
      <c r="BA254" s="7">
        <v>0.20860000000000001</v>
      </c>
      <c r="BB254" s="7">
        <v>0.2072</v>
      </c>
      <c r="BC254" s="7">
        <v>0.20580000000000001</v>
      </c>
      <c r="BD254" s="7">
        <v>0.2044</v>
      </c>
      <c r="BE254" s="7">
        <v>0.2031</v>
      </c>
      <c r="BF254" s="7">
        <v>0.20180000000000001</v>
      </c>
      <c r="BG254" s="7">
        <v>0.20050000000000001</v>
      </c>
      <c r="BH254" s="7">
        <v>0.1993</v>
      </c>
      <c r="BI254" s="7">
        <v>0.19800000000000001</v>
      </c>
      <c r="BJ254" s="7">
        <v>0.1968</v>
      </c>
      <c r="BK254" s="7">
        <v>0.1956</v>
      </c>
      <c r="BL254" s="7">
        <v>0.19439999999999999</v>
      </c>
      <c r="BM254" s="7">
        <v>0.1933</v>
      </c>
      <c r="BN254" s="7">
        <v>0.19209999999999999</v>
      </c>
      <c r="BO254" s="7">
        <v>0.191</v>
      </c>
      <c r="BP254" s="7">
        <v>0.18990000000000001</v>
      </c>
      <c r="BQ254" s="7">
        <v>0.1888</v>
      </c>
      <c r="BR254" s="7">
        <v>0.18779999999999999</v>
      </c>
      <c r="BS254" s="7">
        <v>0.1867</v>
      </c>
      <c r="BT254" s="7">
        <v>0.1857</v>
      </c>
      <c r="BU254" s="7">
        <v>0.18459999999999999</v>
      </c>
      <c r="BV254" s="7">
        <v>0.18360000000000001</v>
      </c>
      <c r="BW254" s="7">
        <v>0.18260000000000001</v>
      </c>
      <c r="BX254" s="7">
        <v>0.18160000000000001</v>
      </c>
      <c r="BY254" s="7">
        <v>0.1807</v>
      </c>
      <c r="BZ254" s="7">
        <v>0.1797</v>
      </c>
      <c r="CA254" s="7">
        <v>0.1787</v>
      </c>
      <c r="CB254" s="7">
        <v>0.17780000000000001</v>
      </c>
      <c r="CC254" s="7">
        <v>0.17680000000000001</v>
      </c>
      <c r="CD254" s="7">
        <v>0.1759</v>
      </c>
      <c r="CE254" s="7">
        <v>0.17499999999999999</v>
      </c>
      <c r="CF254" s="7">
        <v>0.17399999999999999</v>
      </c>
      <c r="CG254" s="7">
        <v>0.1731</v>
      </c>
      <c r="CH254" s="7">
        <v>0.17219999999999999</v>
      </c>
      <c r="CI254" s="7">
        <v>0.17130000000000001</v>
      </c>
      <c r="CJ254" s="7">
        <v>0.1704</v>
      </c>
      <c r="CK254" s="7">
        <v>0.16950000000000001</v>
      </c>
      <c r="CL254" s="7">
        <v>0.1686</v>
      </c>
      <c r="CM254" s="7">
        <v>0.16769999999999999</v>
      </c>
      <c r="CN254" s="7">
        <v>0.16689999999999999</v>
      </c>
      <c r="CO254" s="7">
        <v>0.16600000000000001</v>
      </c>
      <c r="CP254" s="7">
        <v>0.1651</v>
      </c>
      <c r="CQ254" s="7">
        <v>0.16420000000000001</v>
      </c>
      <c r="CR254" s="7">
        <v>0.1633</v>
      </c>
      <c r="CS254" s="7">
        <v>0.16239999999999999</v>
      </c>
      <c r="CT254" s="7">
        <v>0.1615</v>
      </c>
      <c r="CU254" s="7">
        <v>0.16059999999999999</v>
      </c>
      <c r="CV254" s="7">
        <v>0.15970000000000001</v>
      </c>
      <c r="CW254" s="7">
        <v>0.1588</v>
      </c>
      <c r="CX254" s="7">
        <v>0.15790000000000001</v>
      </c>
      <c r="CY254" s="7">
        <v>0.157</v>
      </c>
      <c r="CZ254" s="7">
        <v>0.1555</v>
      </c>
      <c r="DA254" s="7">
        <v>0.15379999999999999</v>
      </c>
      <c r="DB254" s="7">
        <v>0.1522</v>
      </c>
      <c r="DC254" s="7">
        <v>0.15049999999999999</v>
      </c>
      <c r="DD254" s="7">
        <v>0.14879999999999999</v>
      </c>
      <c r="DE254" s="7">
        <v>0.14710000000000001</v>
      </c>
      <c r="DF254" s="7">
        <v>0.14549999999999999</v>
      </c>
      <c r="DG254" s="7">
        <v>0.14380000000000001</v>
      </c>
      <c r="DH254" s="7">
        <v>0.1421</v>
      </c>
      <c r="DI254" s="7">
        <v>0.1404</v>
      </c>
      <c r="DJ254" s="7">
        <v>0.13869999999999999</v>
      </c>
      <c r="DK254" s="7">
        <v>0.13689999999999999</v>
      </c>
      <c r="DL254" s="7">
        <v>0.13519999999999999</v>
      </c>
      <c r="DM254" s="7">
        <v>0.13350000000000001</v>
      </c>
      <c r="DN254" s="7">
        <v>0.13170000000000001</v>
      </c>
      <c r="DO254" s="7">
        <v>0.13</v>
      </c>
      <c r="DP254" s="7">
        <v>0.12820000000000001</v>
      </c>
      <c r="DQ254" s="7">
        <v>0.12640000000000001</v>
      </c>
      <c r="DR254" s="7">
        <v>0.1246</v>
      </c>
      <c r="DS254" s="7">
        <v>0.12280000000000001</v>
      </c>
      <c r="DT254" s="7">
        <v>0.121</v>
      </c>
      <c r="DU254" s="7">
        <v>0.1191</v>
      </c>
      <c r="DV254" s="7">
        <v>0.1173</v>
      </c>
      <c r="DW254" s="7">
        <v>0.1154</v>
      </c>
      <c r="DX254" s="7">
        <v>0.11360000000000001</v>
      </c>
      <c r="DY254" s="7">
        <v>0.11169999999999999</v>
      </c>
      <c r="DZ254" s="7">
        <v>0.10979999999999999</v>
      </c>
      <c r="EA254" s="7">
        <v>0.1079</v>
      </c>
      <c r="EB254" s="7">
        <v>0.106</v>
      </c>
      <c r="EC254" s="7">
        <v>0.1041</v>
      </c>
      <c r="ED254" s="7">
        <v>0.1021</v>
      </c>
      <c r="EE254" s="7">
        <v>0.1002</v>
      </c>
      <c r="EF254" s="7">
        <v>9.8199999999999996E-2</v>
      </c>
      <c r="EG254" s="7">
        <v>9.6299999999999997E-2</v>
      </c>
      <c r="EH254" s="7">
        <v>9.4299999999999995E-2</v>
      </c>
      <c r="EI254" s="7">
        <v>9.2399999999999996E-2</v>
      </c>
      <c r="EJ254" s="7">
        <v>9.0399999999999994E-2</v>
      </c>
      <c r="EK254" s="7">
        <v>8.8499999999999995E-2</v>
      </c>
      <c r="EL254" s="7">
        <v>8.6499999999999994E-2</v>
      </c>
      <c r="EM254" s="7">
        <v>8.4500000000000006E-2</v>
      </c>
      <c r="EN254" s="7">
        <v>8.2600000000000007E-2</v>
      </c>
      <c r="EO254" s="7">
        <v>8.0600000000000005E-2</v>
      </c>
      <c r="EP254" s="7">
        <v>7.8700000000000006E-2</v>
      </c>
      <c r="EQ254" s="7">
        <v>7.6799999999999993E-2</v>
      </c>
      <c r="ER254" s="7">
        <v>7.4800000000000005E-2</v>
      </c>
      <c r="ES254" s="7">
        <v>7.2900000000000006E-2</v>
      </c>
      <c r="ET254" s="7">
        <v>7.0999999999999994E-2</v>
      </c>
      <c r="EU254" s="7">
        <v>6.9099999999999995E-2</v>
      </c>
      <c r="EV254" s="7">
        <v>6.7199999999999996E-2</v>
      </c>
      <c r="EW254" s="7">
        <v>6.54E-2</v>
      </c>
      <c r="EX254" s="7">
        <v>6.3500000000000001E-2</v>
      </c>
      <c r="EY254" s="7">
        <v>6.1699999999999998E-2</v>
      </c>
      <c r="EZ254" s="7">
        <v>5.9900000000000002E-2</v>
      </c>
      <c r="FA254" s="7">
        <v>5.8099999999999999E-2</v>
      </c>
      <c r="FB254" s="7">
        <v>5.6300000000000003E-2</v>
      </c>
      <c r="FC254" s="7">
        <v>5.45E-2</v>
      </c>
      <c r="FE254" s="50">
        <f t="shared" ca="1" si="26"/>
        <v>0.11504044050168247</v>
      </c>
      <c r="FF254" s="50">
        <f t="shared" ca="1" si="27"/>
        <v>0.11622002563281</v>
      </c>
      <c r="FG254" s="50">
        <f t="shared" ca="1" si="28"/>
        <v>0.11743651006711409</v>
      </c>
      <c r="FH254" s="50">
        <f t="shared" ca="1" si="29"/>
        <v>0.11864456375838926</v>
      </c>
      <c r="FI254" s="50"/>
      <c r="FJ254" s="50"/>
      <c r="FK254" s="50">
        <f t="shared" ca="1" si="30"/>
        <v>0.11622002563281</v>
      </c>
      <c r="FL254" s="50"/>
      <c r="FM254" s="50"/>
      <c r="FN254" s="50"/>
    </row>
    <row r="255" spans="49:170" hidden="1">
      <c r="AW255" s="112">
        <v>1.95</v>
      </c>
      <c r="AX255" s="7">
        <v>0.21299999999999999</v>
      </c>
      <c r="AY255" s="7">
        <v>0.21149999999999999</v>
      </c>
      <c r="AZ255" s="7">
        <v>0.21</v>
      </c>
      <c r="BA255" s="7">
        <v>0.20860000000000001</v>
      </c>
      <c r="BB255" s="7">
        <v>0.2072</v>
      </c>
      <c r="BC255" s="7">
        <v>0.20580000000000001</v>
      </c>
      <c r="BD255" s="7">
        <v>0.2044</v>
      </c>
      <c r="BE255" s="7">
        <v>0.2031</v>
      </c>
      <c r="BF255" s="7">
        <v>0.20180000000000001</v>
      </c>
      <c r="BG255" s="7">
        <v>0.20050000000000001</v>
      </c>
      <c r="BH255" s="7">
        <v>0.1993</v>
      </c>
      <c r="BI255" s="7">
        <v>0.19800000000000001</v>
      </c>
      <c r="BJ255" s="7">
        <v>0.1968</v>
      </c>
      <c r="BK255" s="7">
        <v>0.1956</v>
      </c>
      <c r="BL255" s="7">
        <v>0.19439999999999999</v>
      </c>
      <c r="BM255" s="7">
        <v>0.1933</v>
      </c>
      <c r="BN255" s="7">
        <v>0.19209999999999999</v>
      </c>
      <c r="BO255" s="7">
        <v>0.191</v>
      </c>
      <c r="BP255" s="7">
        <v>0.18990000000000001</v>
      </c>
      <c r="BQ255" s="7">
        <v>0.1888</v>
      </c>
      <c r="BR255" s="7">
        <v>0.18779999999999999</v>
      </c>
      <c r="BS255" s="7">
        <v>0.1867</v>
      </c>
      <c r="BT255" s="7">
        <v>0.1857</v>
      </c>
      <c r="BU255" s="7">
        <v>0.18459999999999999</v>
      </c>
      <c r="BV255" s="7">
        <v>0.18360000000000001</v>
      </c>
      <c r="BW255" s="7">
        <v>0.18260000000000001</v>
      </c>
      <c r="BX255" s="7">
        <v>0.18160000000000001</v>
      </c>
      <c r="BY255" s="7">
        <v>0.1807</v>
      </c>
      <c r="BZ255" s="7">
        <v>0.1797</v>
      </c>
      <c r="CA255" s="7">
        <v>0.1787</v>
      </c>
      <c r="CB255" s="7">
        <v>0.17780000000000001</v>
      </c>
      <c r="CC255" s="7">
        <v>0.17680000000000001</v>
      </c>
      <c r="CD255" s="7">
        <v>0.1759</v>
      </c>
      <c r="CE255" s="7">
        <v>0.17499999999999999</v>
      </c>
      <c r="CF255" s="7">
        <v>0.17399999999999999</v>
      </c>
      <c r="CG255" s="7">
        <v>0.1731</v>
      </c>
      <c r="CH255" s="7">
        <v>0.17219999999999999</v>
      </c>
      <c r="CI255" s="7">
        <v>0.17130000000000001</v>
      </c>
      <c r="CJ255" s="7">
        <v>0.1704</v>
      </c>
      <c r="CK255" s="7">
        <v>0.16950000000000001</v>
      </c>
      <c r="CL255" s="7">
        <v>0.1686</v>
      </c>
      <c r="CM255" s="7">
        <v>0.16769999999999999</v>
      </c>
      <c r="CN255" s="7">
        <v>0.16689999999999999</v>
      </c>
      <c r="CO255" s="7">
        <v>0.16600000000000001</v>
      </c>
      <c r="CP255" s="7">
        <v>0.1651</v>
      </c>
      <c r="CQ255" s="7">
        <v>0.16420000000000001</v>
      </c>
      <c r="CR255" s="7">
        <v>0.1633</v>
      </c>
      <c r="CS255" s="7">
        <v>0.16239999999999999</v>
      </c>
      <c r="CT255" s="7">
        <v>0.1615</v>
      </c>
      <c r="CU255" s="7">
        <v>0.16059999999999999</v>
      </c>
      <c r="CV255" s="7">
        <v>0.15970000000000001</v>
      </c>
      <c r="CW255" s="7">
        <v>0.1588</v>
      </c>
      <c r="CX255" s="7">
        <v>0.15790000000000001</v>
      </c>
      <c r="CY255" s="7">
        <v>0.157</v>
      </c>
      <c r="CZ255" s="7">
        <v>0.15609999999999999</v>
      </c>
      <c r="DA255" s="7">
        <v>0.15459999999999999</v>
      </c>
      <c r="DB255" s="7">
        <v>0.15290000000000001</v>
      </c>
      <c r="DC255" s="7">
        <v>0.1512</v>
      </c>
      <c r="DD255" s="7">
        <v>0.14960000000000001</v>
      </c>
      <c r="DE255" s="7">
        <v>0.1479</v>
      </c>
      <c r="DF255" s="7">
        <v>0.1462</v>
      </c>
      <c r="DG255" s="7">
        <v>0.14449999999999999</v>
      </c>
      <c r="DH255" s="7">
        <v>0.14280000000000001</v>
      </c>
      <c r="DI255" s="7">
        <v>0.1411</v>
      </c>
      <c r="DJ255" s="7">
        <v>0.1394</v>
      </c>
      <c r="DK255" s="7">
        <v>0.13769999999999999</v>
      </c>
      <c r="DL255" s="7">
        <v>0.13589999999999999</v>
      </c>
      <c r="DM255" s="7">
        <v>0.13420000000000001</v>
      </c>
      <c r="DN255" s="7">
        <v>0.13239999999999999</v>
      </c>
      <c r="DO255" s="7">
        <v>0.13070000000000001</v>
      </c>
      <c r="DP255" s="7">
        <v>0.12889999999999999</v>
      </c>
      <c r="DQ255" s="7">
        <v>0.12709999999999999</v>
      </c>
      <c r="DR255" s="7">
        <v>0.12529999999999999</v>
      </c>
      <c r="DS255" s="7">
        <v>0.1235</v>
      </c>
      <c r="DT255" s="7">
        <v>0.1217</v>
      </c>
      <c r="DU255" s="7">
        <v>0.1198</v>
      </c>
      <c r="DV255" s="7">
        <v>0.11799999999999999</v>
      </c>
      <c r="DW255" s="7">
        <v>0.11609999999999999</v>
      </c>
      <c r="DX255" s="7">
        <v>0.1143</v>
      </c>
      <c r="DY255" s="7">
        <v>0.1124</v>
      </c>
      <c r="DZ255" s="7">
        <v>0.1105</v>
      </c>
      <c r="EA255" s="7">
        <v>0.1086</v>
      </c>
      <c r="EB255" s="7">
        <v>0.1067</v>
      </c>
      <c r="EC255" s="7">
        <v>0.1047</v>
      </c>
      <c r="ED255" s="7">
        <v>0.1028</v>
      </c>
      <c r="EE255" s="7">
        <v>0.1009</v>
      </c>
      <c r="EF255" s="7">
        <v>9.8900000000000002E-2</v>
      </c>
      <c r="EG255" s="7">
        <v>9.7000000000000003E-2</v>
      </c>
      <c r="EH255" s="7">
        <v>9.5000000000000001E-2</v>
      </c>
      <c r="EI255" s="7">
        <v>9.2999999999999999E-2</v>
      </c>
      <c r="EJ255" s="7">
        <v>9.11E-2</v>
      </c>
      <c r="EK255" s="7">
        <v>8.9099999999999999E-2</v>
      </c>
      <c r="EL255" s="7">
        <v>8.72E-2</v>
      </c>
      <c r="EM255" s="7">
        <v>8.5199999999999998E-2</v>
      </c>
      <c r="EN255" s="7">
        <v>8.3199999999999996E-2</v>
      </c>
      <c r="EO255" s="7">
        <v>8.1299999999999997E-2</v>
      </c>
      <c r="EP255" s="7">
        <v>7.9299999999999995E-2</v>
      </c>
      <c r="EQ255" s="7">
        <v>7.7399999999999997E-2</v>
      </c>
      <c r="ER255" s="7">
        <v>7.5499999999999998E-2</v>
      </c>
      <c r="ES255" s="7">
        <v>7.3499999999999996E-2</v>
      </c>
      <c r="ET255" s="7">
        <v>7.1599999999999997E-2</v>
      </c>
      <c r="EU255" s="7">
        <v>6.9699999999999998E-2</v>
      </c>
      <c r="EV255" s="7">
        <v>6.7900000000000002E-2</v>
      </c>
      <c r="EW255" s="7">
        <v>6.6000000000000003E-2</v>
      </c>
      <c r="EX255" s="7">
        <v>6.4100000000000004E-2</v>
      </c>
      <c r="EY255" s="7">
        <v>6.2300000000000001E-2</v>
      </c>
      <c r="EZ255" s="7">
        <v>6.0499999999999998E-2</v>
      </c>
      <c r="FA255" s="7">
        <v>5.8700000000000002E-2</v>
      </c>
      <c r="FB255" s="7">
        <v>5.6899999999999999E-2</v>
      </c>
      <c r="FC255" s="7">
        <v>5.5100000000000003E-2</v>
      </c>
      <c r="FE255" s="50">
        <f t="shared" ca="1" si="26"/>
        <v>0.11574044050168247</v>
      </c>
      <c r="FF255" s="50">
        <f t="shared" ca="1" si="27"/>
        <v>0.11692002563280998</v>
      </c>
      <c r="FG255" s="50">
        <f t="shared" ca="1" si="28"/>
        <v>0.11813651006711409</v>
      </c>
      <c r="FH255" s="50">
        <f t="shared" ca="1" si="29"/>
        <v>0.11934456375838928</v>
      </c>
      <c r="FI255" s="50"/>
      <c r="FJ255" s="50"/>
      <c r="FK255" s="50">
        <f t="shared" ca="1" si="30"/>
        <v>0.11692002563280998</v>
      </c>
      <c r="FL255" s="50"/>
      <c r="FM255" s="50"/>
      <c r="FN255" s="50"/>
    </row>
    <row r="256" spans="49:170" hidden="1">
      <c r="AW256" s="112">
        <v>2.089</v>
      </c>
      <c r="AX256" s="7">
        <v>0.21299999999999999</v>
      </c>
      <c r="AY256" s="7">
        <v>0.21149999999999999</v>
      </c>
      <c r="AZ256" s="7">
        <v>0.21</v>
      </c>
      <c r="BA256" s="7">
        <v>0.20860000000000001</v>
      </c>
      <c r="BB256" s="7">
        <v>0.2072</v>
      </c>
      <c r="BC256" s="7">
        <v>0.20580000000000001</v>
      </c>
      <c r="BD256" s="7">
        <v>0.2044</v>
      </c>
      <c r="BE256" s="7">
        <v>0.2031</v>
      </c>
      <c r="BF256" s="7">
        <v>0.20180000000000001</v>
      </c>
      <c r="BG256" s="7">
        <v>0.20050000000000001</v>
      </c>
      <c r="BH256" s="7">
        <v>0.1993</v>
      </c>
      <c r="BI256" s="7">
        <v>0.19800000000000001</v>
      </c>
      <c r="BJ256" s="7">
        <v>0.1968</v>
      </c>
      <c r="BK256" s="7">
        <v>0.1956</v>
      </c>
      <c r="BL256" s="7">
        <v>0.19439999999999999</v>
      </c>
      <c r="BM256" s="7">
        <v>0.1933</v>
      </c>
      <c r="BN256" s="7">
        <v>0.19209999999999999</v>
      </c>
      <c r="BO256" s="7">
        <v>0.191</v>
      </c>
      <c r="BP256" s="7">
        <v>0.18990000000000001</v>
      </c>
      <c r="BQ256" s="7">
        <v>0.1888</v>
      </c>
      <c r="BR256" s="7">
        <v>0.18779999999999999</v>
      </c>
      <c r="BS256" s="7">
        <v>0.1867</v>
      </c>
      <c r="BT256" s="7">
        <v>0.1857</v>
      </c>
      <c r="BU256" s="7">
        <v>0.18459999999999999</v>
      </c>
      <c r="BV256" s="7">
        <v>0.18360000000000001</v>
      </c>
      <c r="BW256" s="7">
        <v>0.18260000000000001</v>
      </c>
      <c r="BX256" s="7">
        <v>0.18160000000000001</v>
      </c>
      <c r="BY256" s="7">
        <v>0.1807</v>
      </c>
      <c r="BZ256" s="7">
        <v>0.1797</v>
      </c>
      <c r="CA256" s="7">
        <v>0.1787</v>
      </c>
      <c r="CB256" s="7">
        <v>0.17780000000000001</v>
      </c>
      <c r="CC256" s="7">
        <v>0.17680000000000001</v>
      </c>
      <c r="CD256" s="7">
        <v>0.1759</v>
      </c>
      <c r="CE256" s="7">
        <v>0.17499999999999999</v>
      </c>
      <c r="CF256" s="7">
        <v>0.17399999999999999</v>
      </c>
      <c r="CG256" s="7">
        <v>0.1731</v>
      </c>
      <c r="CH256" s="7">
        <v>0.17219999999999999</v>
      </c>
      <c r="CI256" s="7">
        <v>0.17130000000000001</v>
      </c>
      <c r="CJ256" s="7">
        <v>0.1704</v>
      </c>
      <c r="CK256" s="7">
        <v>0.16950000000000001</v>
      </c>
      <c r="CL256" s="7">
        <v>0.1686</v>
      </c>
      <c r="CM256" s="7">
        <v>0.16769999999999999</v>
      </c>
      <c r="CN256" s="7">
        <v>0.16689999999999999</v>
      </c>
      <c r="CO256" s="7">
        <v>0.16600000000000001</v>
      </c>
      <c r="CP256" s="7">
        <v>0.1651</v>
      </c>
      <c r="CQ256" s="7">
        <v>0.16420000000000001</v>
      </c>
      <c r="CR256" s="7">
        <v>0.1633</v>
      </c>
      <c r="CS256" s="7">
        <v>0.16239999999999999</v>
      </c>
      <c r="CT256" s="7">
        <v>0.1615</v>
      </c>
      <c r="CU256" s="7">
        <v>0.16059999999999999</v>
      </c>
      <c r="CV256" s="7">
        <v>0.15970000000000001</v>
      </c>
      <c r="CW256" s="7">
        <v>0.1588</v>
      </c>
      <c r="CX256" s="7">
        <v>0.15790000000000001</v>
      </c>
      <c r="CY256" s="7">
        <v>0.157</v>
      </c>
      <c r="CZ256" s="7">
        <v>0.15609999999999999</v>
      </c>
      <c r="DA256" s="7">
        <v>0.15509999999999999</v>
      </c>
      <c r="DB256" s="7">
        <v>0.1537</v>
      </c>
      <c r="DC256" s="7">
        <v>0.152</v>
      </c>
      <c r="DD256" s="7">
        <v>0.15029999999999999</v>
      </c>
      <c r="DE256" s="7">
        <v>0.14860000000000001</v>
      </c>
      <c r="DF256" s="7">
        <v>0.1469</v>
      </c>
      <c r="DG256" s="7">
        <v>0.14530000000000001</v>
      </c>
      <c r="DH256" s="7">
        <v>0.14349999999999999</v>
      </c>
      <c r="DI256" s="7">
        <v>0.14180000000000001</v>
      </c>
      <c r="DJ256" s="7">
        <v>0.1401</v>
      </c>
      <c r="DK256" s="7">
        <v>0.1384</v>
      </c>
      <c r="DL256" s="7">
        <v>0.13669999999999999</v>
      </c>
      <c r="DM256" s="7">
        <v>0.13489999999999999</v>
      </c>
      <c r="DN256" s="7">
        <v>0.13320000000000001</v>
      </c>
      <c r="DO256" s="7">
        <v>0.13139999999999999</v>
      </c>
      <c r="DP256" s="7">
        <v>0.12959999999999999</v>
      </c>
      <c r="DQ256" s="7">
        <v>0.1278</v>
      </c>
      <c r="DR256" s="7">
        <v>0.126</v>
      </c>
      <c r="DS256" s="7">
        <v>0.1242</v>
      </c>
      <c r="DT256" s="7">
        <v>0.12239999999999999</v>
      </c>
      <c r="DU256" s="7">
        <v>0.1205</v>
      </c>
      <c r="DV256" s="7">
        <v>0.1187</v>
      </c>
      <c r="DW256" s="7">
        <v>0.1168</v>
      </c>
      <c r="DX256" s="7">
        <v>0.1149</v>
      </c>
      <c r="DY256" s="7">
        <v>0.11310000000000001</v>
      </c>
      <c r="DZ256" s="7">
        <v>0.11119999999999999</v>
      </c>
      <c r="EA256" s="7">
        <v>0.10929999999999999</v>
      </c>
      <c r="EB256" s="7">
        <v>0.10730000000000001</v>
      </c>
      <c r="EC256" s="7">
        <v>0.10539999999999999</v>
      </c>
      <c r="ED256" s="7">
        <v>0.10349999999999999</v>
      </c>
      <c r="EE256" s="7">
        <v>0.10150000000000001</v>
      </c>
      <c r="EF256" s="7">
        <v>9.9599999999999994E-2</v>
      </c>
      <c r="EG256" s="7">
        <v>9.7600000000000006E-2</v>
      </c>
      <c r="EH256" s="7">
        <v>9.5699999999999993E-2</v>
      </c>
      <c r="EI256" s="7">
        <v>9.3700000000000006E-2</v>
      </c>
      <c r="EJ256" s="7">
        <v>9.1700000000000004E-2</v>
      </c>
      <c r="EK256" s="7">
        <v>8.9800000000000005E-2</v>
      </c>
      <c r="EL256" s="7">
        <v>8.7800000000000003E-2</v>
      </c>
      <c r="EM256" s="7">
        <v>8.5800000000000001E-2</v>
      </c>
      <c r="EN256" s="7">
        <v>8.3900000000000002E-2</v>
      </c>
      <c r="EO256" s="7">
        <v>8.1900000000000001E-2</v>
      </c>
      <c r="EP256" s="7">
        <v>0.08</v>
      </c>
      <c r="EQ256" s="7">
        <v>7.8E-2</v>
      </c>
      <c r="ER256" s="7">
        <v>7.6100000000000001E-2</v>
      </c>
      <c r="ES256" s="7">
        <v>7.4200000000000002E-2</v>
      </c>
      <c r="ET256" s="7">
        <v>7.2300000000000003E-2</v>
      </c>
      <c r="EU256" s="7">
        <v>7.0400000000000004E-2</v>
      </c>
      <c r="EV256" s="7">
        <v>6.8500000000000005E-2</v>
      </c>
      <c r="EW256" s="7">
        <v>6.6600000000000006E-2</v>
      </c>
      <c r="EX256" s="7">
        <v>6.4699999999999994E-2</v>
      </c>
      <c r="EY256" s="7">
        <v>6.2899999999999998E-2</v>
      </c>
      <c r="EZ256" s="7">
        <v>6.1100000000000002E-2</v>
      </c>
      <c r="FA256" s="7">
        <v>5.9299999999999999E-2</v>
      </c>
      <c r="FB256" s="7">
        <v>5.7500000000000002E-2</v>
      </c>
      <c r="FC256" s="7">
        <v>5.57E-2</v>
      </c>
      <c r="FE256" s="50">
        <f t="shared" ca="1" si="26"/>
        <v>0.11642046497399818</v>
      </c>
      <c r="FF256" s="50">
        <f t="shared" ca="1" si="27"/>
        <v>0.11762002563280996</v>
      </c>
      <c r="FG256" s="50">
        <f t="shared" ca="1" si="28"/>
        <v>0.1188365100671141</v>
      </c>
      <c r="FH256" s="50">
        <f t="shared" ca="1" si="29"/>
        <v>0.12004456375838927</v>
      </c>
      <c r="FI256" s="50"/>
      <c r="FJ256" s="50"/>
      <c r="FK256" s="50">
        <f t="shared" ca="1" si="30"/>
        <v>0.11762002563280996</v>
      </c>
      <c r="FL256" s="50"/>
      <c r="FM256" s="50"/>
      <c r="FN256" s="50"/>
    </row>
    <row r="257" spans="49:170" hidden="1">
      <c r="AW257" s="112">
        <v>2.2389999999999999</v>
      </c>
      <c r="AX257" s="7">
        <v>0.21299999999999999</v>
      </c>
      <c r="AY257" s="7">
        <v>0.21149999999999999</v>
      </c>
      <c r="AZ257" s="7">
        <v>0.21</v>
      </c>
      <c r="BA257" s="7">
        <v>0.20860000000000001</v>
      </c>
      <c r="BB257" s="7">
        <v>0.2072</v>
      </c>
      <c r="BC257" s="7">
        <v>0.20580000000000001</v>
      </c>
      <c r="BD257" s="7">
        <v>0.2044</v>
      </c>
      <c r="BE257" s="7">
        <v>0.2031</v>
      </c>
      <c r="BF257" s="7">
        <v>0.20180000000000001</v>
      </c>
      <c r="BG257" s="7">
        <v>0.20050000000000001</v>
      </c>
      <c r="BH257" s="7">
        <v>0.1993</v>
      </c>
      <c r="BI257" s="7">
        <v>0.19800000000000001</v>
      </c>
      <c r="BJ257" s="7">
        <v>0.1968</v>
      </c>
      <c r="BK257" s="7">
        <v>0.1956</v>
      </c>
      <c r="BL257" s="7">
        <v>0.19439999999999999</v>
      </c>
      <c r="BM257" s="7">
        <v>0.1933</v>
      </c>
      <c r="BN257" s="7">
        <v>0.19209999999999999</v>
      </c>
      <c r="BO257" s="7">
        <v>0.191</v>
      </c>
      <c r="BP257" s="7">
        <v>0.18990000000000001</v>
      </c>
      <c r="BQ257" s="7">
        <v>0.1888</v>
      </c>
      <c r="BR257" s="7">
        <v>0.18779999999999999</v>
      </c>
      <c r="BS257" s="7">
        <v>0.1867</v>
      </c>
      <c r="BT257" s="7">
        <v>0.1857</v>
      </c>
      <c r="BU257" s="7">
        <v>0.18459999999999999</v>
      </c>
      <c r="BV257" s="7">
        <v>0.18360000000000001</v>
      </c>
      <c r="BW257" s="7">
        <v>0.18260000000000001</v>
      </c>
      <c r="BX257" s="7">
        <v>0.18160000000000001</v>
      </c>
      <c r="BY257" s="7">
        <v>0.1807</v>
      </c>
      <c r="BZ257" s="7">
        <v>0.1797</v>
      </c>
      <c r="CA257" s="7">
        <v>0.1787</v>
      </c>
      <c r="CB257" s="7">
        <v>0.17780000000000001</v>
      </c>
      <c r="CC257" s="7">
        <v>0.17680000000000001</v>
      </c>
      <c r="CD257" s="7">
        <v>0.1759</v>
      </c>
      <c r="CE257" s="7">
        <v>0.17499999999999999</v>
      </c>
      <c r="CF257" s="7">
        <v>0.17399999999999999</v>
      </c>
      <c r="CG257" s="7">
        <v>0.1731</v>
      </c>
      <c r="CH257" s="7">
        <v>0.17219999999999999</v>
      </c>
      <c r="CI257" s="7">
        <v>0.17130000000000001</v>
      </c>
      <c r="CJ257" s="7">
        <v>0.1704</v>
      </c>
      <c r="CK257" s="7">
        <v>0.16950000000000001</v>
      </c>
      <c r="CL257" s="7">
        <v>0.1686</v>
      </c>
      <c r="CM257" s="7">
        <v>0.16769999999999999</v>
      </c>
      <c r="CN257" s="7">
        <v>0.16689999999999999</v>
      </c>
      <c r="CO257" s="7">
        <v>0.16600000000000001</v>
      </c>
      <c r="CP257" s="7">
        <v>0.1651</v>
      </c>
      <c r="CQ257" s="7">
        <v>0.16420000000000001</v>
      </c>
      <c r="CR257" s="7">
        <v>0.1633</v>
      </c>
      <c r="CS257" s="7">
        <v>0.16239999999999999</v>
      </c>
      <c r="CT257" s="7">
        <v>0.1615</v>
      </c>
      <c r="CU257" s="7">
        <v>0.16059999999999999</v>
      </c>
      <c r="CV257" s="7">
        <v>0.15970000000000001</v>
      </c>
      <c r="CW257" s="7">
        <v>0.1588</v>
      </c>
      <c r="CX257" s="7">
        <v>0.15790000000000001</v>
      </c>
      <c r="CY257" s="7">
        <v>0.157</v>
      </c>
      <c r="CZ257" s="7">
        <v>0.15609999999999999</v>
      </c>
      <c r="DA257" s="7">
        <v>0.15509999999999999</v>
      </c>
      <c r="DB257" s="7">
        <v>0.1542</v>
      </c>
      <c r="DC257" s="7">
        <v>0.1527</v>
      </c>
      <c r="DD257" s="7">
        <v>0.151</v>
      </c>
      <c r="DE257" s="7">
        <v>0.14940000000000001</v>
      </c>
      <c r="DF257" s="7">
        <v>0.1477</v>
      </c>
      <c r="DG257" s="7">
        <v>0.14599999999999999</v>
      </c>
      <c r="DH257" s="7">
        <v>0.14430000000000001</v>
      </c>
      <c r="DI257" s="7">
        <v>0.1426</v>
      </c>
      <c r="DJ257" s="7">
        <v>0.14080000000000001</v>
      </c>
      <c r="DK257" s="7">
        <v>0.1391</v>
      </c>
      <c r="DL257" s="7">
        <v>0.13739999999999999</v>
      </c>
      <c r="DM257" s="7">
        <v>0.1356</v>
      </c>
      <c r="DN257" s="7">
        <v>0.13389999999999999</v>
      </c>
      <c r="DO257" s="7">
        <v>0.1321</v>
      </c>
      <c r="DP257" s="7">
        <v>0.1303</v>
      </c>
      <c r="DQ257" s="7">
        <v>0.1285</v>
      </c>
      <c r="DR257" s="7">
        <v>0.12670000000000001</v>
      </c>
      <c r="DS257" s="7">
        <v>0.1249</v>
      </c>
      <c r="DT257" s="7">
        <v>0.1231</v>
      </c>
      <c r="DU257" s="7">
        <v>0.1212</v>
      </c>
      <c r="DV257" s="7">
        <v>0.11940000000000001</v>
      </c>
      <c r="DW257" s="7">
        <v>0.11749999999999999</v>
      </c>
      <c r="DX257" s="7">
        <v>0.11559999999999999</v>
      </c>
      <c r="DY257" s="7">
        <v>0.1137</v>
      </c>
      <c r="DZ257" s="7">
        <v>0.1118</v>
      </c>
      <c r="EA257" s="7">
        <v>0.1099</v>
      </c>
      <c r="EB257" s="7">
        <v>0.108</v>
      </c>
      <c r="EC257" s="7">
        <v>0.1061</v>
      </c>
      <c r="ED257" s="7">
        <v>0.1041</v>
      </c>
      <c r="EE257" s="7">
        <v>0.1022</v>
      </c>
      <c r="EF257" s="7">
        <v>0.1002</v>
      </c>
      <c r="EG257" s="7">
        <v>9.8299999999999998E-2</v>
      </c>
      <c r="EH257" s="7">
        <v>9.6299999999999997E-2</v>
      </c>
      <c r="EI257" s="7">
        <v>9.4299999999999995E-2</v>
      </c>
      <c r="EJ257" s="7">
        <v>9.2399999999999996E-2</v>
      </c>
      <c r="EK257" s="7">
        <v>9.0399999999999994E-2</v>
      </c>
      <c r="EL257" s="7">
        <v>8.8400000000000006E-2</v>
      </c>
      <c r="EM257" s="7">
        <v>8.6499999999999994E-2</v>
      </c>
      <c r="EN257" s="7">
        <v>8.4500000000000006E-2</v>
      </c>
      <c r="EO257" s="7">
        <v>8.2500000000000004E-2</v>
      </c>
      <c r="EP257" s="7">
        <v>8.0600000000000005E-2</v>
      </c>
      <c r="EQ257" s="7">
        <v>7.8600000000000003E-2</v>
      </c>
      <c r="ER257" s="7">
        <v>7.6700000000000004E-2</v>
      </c>
      <c r="ES257" s="7">
        <v>7.4800000000000005E-2</v>
      </c>
      <c r="ET257" s="7">
        <v>7.2900000000000006E-2</v>
      </c>
      <c r="EU257" s="7">
        <v>7.0999999999999994E-2</v>
      </c>
      <c r="EV257" s="7">
        <v>6.9099999999999995E-2</v>
      </c>
      <c r="EW257" s="7">
        <v>6.7199999999999996E-2</v>
      </c>
      <c r="EX257" s="7">
        <v>6.5299999999999997E-2</v>
      </c>
      <c r="EY257" s="7">
        <v>6.3500000000000001E-2</v>
      </c>
      <c r="EZ257" s="7">
        <v>6.1699999999999998E-2</v>
      </c>
      <c r="FA257" s="7">
        <v>5.9900000000000002E-2</v>
      </c>
      <c r="FB257" s="7">
        <v>5.8099999999999999E-2</v>
      </c>
      <c r="FC257" s="7">
        <v>5.6300000000000003E-2</v>
      </c>
      <c r="FE257" s="50">
        <f t="shared" ca="1" si="26"/>
        <v>0.11712046497399815</v>
      </c>
      <c r="FF257" s="50">
        <f t="shared" ca="1" si="27"/>
        <v>0.11832002563280998</v>
      </c>
      <c r="FG257" s="50">
        <f t="shared" ca="1" si="28"/>
        <v>0.11953651006711408</v>
      </c>
      <c r="FH257" s="50">
        <f t="shared" ca="1" si="29"/>
        <v>0.12074456375838925</v>
      </c>
      <c r="FI257" s="50"/>
      <c r="FJ257" s="50"/>
      <c r="FK257" s="50">
        <f t="shared" ca="1" si="30"/>
        <v>0.11832002563280998</v>
      </c>
      <c r="FL257" s="50"/>
      <c r="FM257" s="50"/>
      <c r="FN257" s="50"/>
    </row>
    <row r="258" spans="49:170" hidden="1">
      <c r="AW258" s="112">
        <v>2.399</v>
      </c>
      <c r="AX258" s="7">
        <v>0.21299999999999999</v>
      </c>
      <c r="AY258" s="7">
        <v>0.21149999999999999</v>
      </c>
      <c r="AZ258" s="7">
        <v>0.21</v>
      </c>
      <c r="BA258" s="7">
        <v>0.20860000000000001</v>
      </c>
      <c r="BB258" s="7">
        <v>0.2072</v>
      </c>
      <c r="BC258" s="7">
        <v>0.20580000000000001</v>
      </c>
      <c r="BD258" s="7">
        <v>0.2044</v>
      </c>
      <c r="BE258" s="7">
        <v>0.2031</v>
      </c>
      <c r="BF258" s="7">
        <v>0.20180000000000001</v>
      </c>
      <c r="BG258" s="7">
        <v>0.20050000000000001</v>
      </c>
      <c r="BH258" s="7">
        <v>0.1993</v>
      </c>
      <c r="BI258" s="7">
        <v>0.19800000000000001</v>
      </c>
      <c r="BJ258" s="7">
        <v>0.1968</v>
      </c>
      <c r="BK258" s="7">
        <v>0.1956</v>
      </c>
      <c r="BL258" s="7">
        <v>0.19439999999999999</v>
      </c>
      <c r="BM258" s="7">
        <v>0.1933</v>
      </c>
      <c r="BN258" s="7">
        <v>0.19209999999999999</v>
      </c>
      <c r="BO258" s="7">
        <v>0.191</v>
      </c>
      <c r="BP258" s="7">
        <v>0.18990000000000001</v>
      </c>
      <c r="BQ258" s="7">
        <v>0.1888</v>
      </c>
      <c r="BR258" s="7">
        <v>0.18779999999999999</v>
      </c>
      <c r="BS258" s="7">
        <v>0.1867</v>
      </c>
      <c r="BT258" s="7">
        <v>0.1857</v>
      </c>
      <c r="BU258" s="7">
        <v>0.18459999999999999</v>
      </c>
      <c r="BV258" s="7">
        <v>0.18360000000000001</v>
      </c>
      <c r="BW258" s="7">
        <v>0.18260000000000001</v>
      </c>
      <c r="BX258" s="7">
        <v>0.18160000000000001</v>
      </c>
      <c r="BY258" s="7">
        <v>0.1807</v>
      </c>
      <c r="BZ258" s="7">
        <v>0.1797</v>
      </c>
      <c r="CA258" s="7">
        <v>0.1787</v>
      </c>
      <c r="CB258" s="7">
        <v>0.17780000000000001</v>
      </c>
      <c r="CC258" s="7">
        <v>0.17680000000000001</v>
      </c>
      <c r="CD258" s="7">
        <v>0.1759</v>
      </c>
      <c r="CE258" s="7">
        <v>0.17499999999999999</v>
      </c>
      <c r="CF258" s="7">
        <v>0.17399999999999999</v>
      </c>
      <c r="CG258" s="7">
        <v>0.1731</v>
      </c>
      <c r="CH258" s="7">
        <v>0.17219999999999999</v>
      </c>
      <c r="CI258" s="7">
        <v>0.17130000000000001</v>
      </c>
      <c r="CJ258" s="7">
        <v>0.1704</v>
      </c>
      <c r="CK258" s="7">
        <v>0.16950000000000001</v>
      </c>
      <c r="CL258" s="7">
        <v>0.1686</v>
      </c>
      <c r="CM258" s="7">
        <v>0.16769999999999999</v>
      </c>
      <c r="CN258" s="7">
        <v>0.16689999999999999</v>
      </c>
      <c r="CO258" s="7">
        <v>0.16600000000000001</v>
      </c>
      <c r="CP258" s="7">
        <v>0.1651</v>
      </c>
      <c r="CQ258" s="7">
        <v>0.16420000000000001</v>
      </c>
      <c r="CR258" s="7">
        <v>0.1633</v>
      </c>
      <c r="CS258" s="7">
        <v>0.16239999999999999</v>
      </c>
      <c r="CT258" s="7">
        <v>0.1615</v>
      </c>
      <c r="CU258" s="7">
        <v>0.16059999999999999</v>
      </c>
      <c r="CV258" s="7">
        <v>0.15970000000000001</v>
      </c>
      <c r="CW258" s="7">
        <v>0.1588</v>
      </c>
      <c r="CX258" s="7">
        <v>0.15790000000000001</v>
      </c>
      <c r="CY258" s="7">
        <v>0.157</v>
      </c>
      <c r="CZ258" s="7">
        <v>0.15609999999999999</v>
      </c>
      <c r="DA258" s="7">
        <v>0.15509999999999999</v>
      </c>
      <c r="DB258" s="7">
        <v>0.1542</v>
      </c>
      <c r="DC258" s="7">
        <v>0.1532</v>
      </c>
      <c r="DD258" s="7">
        <v>0.15179999999999999</v>
      </c>
      <c r="DE258" s="7">
        <v>0.15010000000000001</v>
      </c>
      <c r="DF258" s="7">
        <v>0.1484</v>
      </c>
      <c r="DG258" s="7">
        <v>0.1467</v>
      </c>
      <c r="DH258" s="7">
        <v>0.14499999999999999</v>
      </c>
      <c r="DI258" s="7">
        <v>0.14330000000000001</v>
      </c>
      <c r="DJ258" s="7">
        <v>0.1416</v>
      </c>
      <c r="DK258" s="7">
        <v>0.13980000000000001</v>
      </c>
      <c r="DL258" s="7">
        <v>0.1381</v>
      </c>
      <c r="DM258" s="7">
        <v>0.1363</v>
      </c>
      <c r="DN258" s="7">
        <v>0.1346</v>
      </c>
      <c r="DO258" s="7">
        <v>0.1328</v>
      </c>
      <c r="DP258" s="7">
        <v>0.13100000000000001</v>
      </c>
      <c r="DQ258" s="7">
        <v>0.12920000000000001</v>
      </c>
      <c r="DR258" s="7">
        <v>0.12740000000000001</v>
      </c>
      <c r="DS258" s="7">
        <v>0.12559999999999999</v>
      </c>
      <c r="DT258" s="7">
        <v>0.12379999999999999</v>
      </c>
      <c r="DU258" s="7">
        <v>0.12189999999999999</v>
      </c>
      <c r="DV258" s="7">
        <v>0.1201</v>
      </c>
      <c r="DW258" s="7">
        <v>0.1182</v>
      </c>
      <c r="DX258" s="7">
        <v>0.1163</v>
      </c>
      <c r="DY258" s="7">
        <v>0.1144</v>
      </c>
      <c r="DZ258" s="7">
        <v>0.1125</v>
      </c>
      <c r="EA258" s="7">
        <v>0.1106</v>
      </c>
      <c r="EB258" s="7">
        <v>0.1087</v>
      </c>
      <c r="EC258" s="7">
        <v>0.1067</v>
      </c>
      <c r="ED258" s="7">
        <v>0.1048</v>
      </c>
      <c r="EE258" s="7">
        <v>0.1028</v>
      </c>
      <c r="EF258" s="7">
        <v>0.1009</v>
      </c>
      <c r="EG258" s="7">
        <v>9.8900000000000002E-2</v>
      </c>
      <c r="EH258" s="7">
        <v>9.7000000000000003E-2</v>
      </c>
      <c r="EI258" s="7">
        <v>9.5000000000000001E-2</v>
      </c>
      <c r="EJ258" s="7">
        <v>9.2999999999999999E-2</v>
      </c>
      <c r="EK258" s="7">
        <v>9.0999999999999998E-2</v>
      </c>
      <c r="EL258" s="7">
        <v>8.9099999999999999E-2</v>
      </c>
      <c r="EM258" s="7">
        <v>8.7099999999999997E-2</v>
      </c>
      <c r="EN258" s="7">
        <v>8.5099999999999995E-2</v>
      </c>
      <c r="EO258" s="7">
        <v>8.3199999999999996E-2</v>
      </c>
      <c r="EP258" s="7">
        <v>8.1199999999999994E-2</v>
      </c>
      <c r="EQ258" s="7">
        <v>7.9299999999999995E-2</v>
      </c>
      <c r="ER258" s="7">
        <v>7.7299999999999994E-2</v>
      </c>
      <c r="ES258" s="7">
        <v>7.5399999999999995E-2</v>
      </c>
      <c r="ET258" s="7">
        <v>7.3499999999999996E-2</v>
      </c>
      <c r="EU258" s="7">
        <v>7.1599999999999997E-2</v>
      </c>
      <c r="EV258" s="7">
        <v>6.9699999999999998E-2</v>
      </c>
      <c r="EW258" s="7">
        <v>6.7799999999999999E-2</v>
      </c>
      <c r="EX258" s="7">
        <v>6.59E-2</v>
      </c>
      <c r="EY258" s="7">
        <v>6.4100000000000004E-2</v>
      </c>
      <c r="EZ258" s="7">
        <v>6.2300000000000001E-2</v>
      </c>
      <c r="FA258" s="7">
        <v>6.0499999999999998E-2</v>
      </c>
      <c r="FB258" s="7">
        <v>5.8700000000000002E-2</v>
      </c>
      <c r="FC258" s="7">
        <v>5.6899999999999999E-2</v>
      </c>
      <c r="FE258" s="50">
        <f t="shared" ca="1" si="26"/>
        <v>0.11782046497399816</v>
      </c>
      <c r="FF258" s="50">
        <f t="shared" ca="1" si="27"/>
        <v>0.11902002563280997</v>
      </c>
      <c r="FG258" s="50">
        <f t="shared" ca="1" si="28"/>
        <v>0.12023651006711408</v>
      </c>
      <c r="FH258" s="50">
        <f t="shared" ca="1" si="29"/>
        <v>0.12144456375838926</v>
      </c>
      <c r="FI258" s="50"/>
      <c r="FJ258" s="50"/>
      <c r="FK258" s="50">
        <f t="shared" ca="1" si="30"/>
        <v>0.11902002563280997</v>
      </c>
      <c r="FL258" s="50"/>
      <c r="FM258" s="50"/>
      <c r="FN258" s="50"/>
    </row>
    <row r="259" spans="49:170" hidden="1">
      <c r="AW259" s="112">
        <v>2.57</v>
      </c>
      <c r="AX259" s="7">
        <v>0.21299999999999999</v>
      </c>
      <c r="AY259" s="7">
        <v>0.21149999999999999</v>
      </c>
      <c r="AZ259" s="7">
        <v>0.21</v>
      </c>
      <c r="BA259" s="7">
        <v>0.20860000000000001</v>
      </c>
      <c r="BB259" s="7">
        <v>0.2072</v>
      </c>
      <c r="BC259" s="7">
        <v>0.20580000000000001</v>
      </c>
      <c r="BD259" s="7">
        <v>0.2044</v>
      </c>
      <c r="BE259" s="7">
        <v>0.2031</v>
      </c>
      <c r="BF259" s="7">
        <v>0.20180000000000001</v>
      </c>
      <c r="BG259" s="7">
        <v>0.20050000000000001</v>
      </c>
      <c r="BH259" s="7">
        <v>0.1993</v>
      </c>
      <c r="BI259" s="7">
        <v>0.19800000000000001</v>
      </c>
      <c r="BJ259" s="7">
        <v>0.1968</v>
      </c>
      <c r="BK259" s="7">
        <v>0.1956</v>
      </c>
      <c r="BL259" s="7">
        <v>0.19439999999999999</v>
      </c>
      <c r="BM259" s="7">
        <v>0.1933</v>
      </c>
      <c r="BN259" s="7">
        <v>0.19209999999999999</v>
      </c>
      <c r="BO259" s="7">
        <v>0.191</v>
      </c>
      <c r="BP259" s="7">
        <v>0.18990000000000001</v>
      </c>
      <c r="BQ259" s="7">
        <v>0.1888</v>
      </c>
      <c r="BR259" s="7">
        <v>0.18779999999999999</v>
      </c>
      <c r="BS259" s="7">
        <v>0.1867</v>
      </c>
      <c r="BT259" s="7">
        <v>0.1857</v>
      </c>
      <c r="BU259" s="7">
        <v>0.18459999999999999</v>
      </c>
      <c r="BV259" s="7">
        <v>0.18360000000000001</v>
      </c>
      <c r="BW259" s="7">
        <v>0.18260000000000001</v>
      </c>
      <c r="BX259" s="7">
        <v>0.18160000000000001</v>
      </c>
      <c r="BY259" s="7">
        <v>0.1807</v>
      </c>
      <c r="BZ259" s="7">
        <v>0.1797</v>
      </c>
      <c r="CA259" s="7">
        <v>0.1787</v>
      </c>
      <c r="CB259" s="7">
        <v>0.17780000000000001</v>
      </c>
      <c r="CC259" s="7">
        <v>0.17680000000000001</v>
      </c>
      <c r="CD259" s="7">
        <v>0.1759</v>
      </c>
      <c r="CE259" s="7">
        <v>0.17499999999999999</v>
      </c>
      <c r="CF259" s="7">
        <v>0.17399999999999999</v>
      </c>
      <c r="CG259" s="7">
        <v>0.1731</v>
      </c>
      <c r="CH259" s="7">
        <v>0.17219999999999999</v>
      </c>
      <c r="CI259" s="7">
        <v>0.17130000000000001</v>
      </c>
      <c r="CJ259" s="7">
        <v>0.1704</v>
      </c>
      <c r="CK259" s="7">
        <v>0.16950000000000001</v>
      </c>
      <c r="CL259" s="7">
        <v>0.1686</v>
      </c>
      <c r="CM259" s="7">
        <v>0.16769999999999999</v>
      </c>
      <c r="CN259" s="7">
        <v>0.16689999999999999</v>
      </c>
      <c r="CO259" s="7">
        <v>0.16600000000000001</v>
      </c>
      <c r="CP259" s="7">
        <v>0.1651</v>
      </c>
      <c r="CQ259" s="7">
        <v>0.16420000000000001</v>
      </c>
      <c r="CR259" s="7">
        <v>0.1633</v>
      </c>
      <c r="CS259" s="7">
        <v>0.16239999999999999</v>
      </c>
      <c r="CT259" s="7">
        <v>0.1615</v>
      </c>
      <c r="CU259" s="7">
        <v>0.16059999999999999</v>
      </c>
      <c r="CV259" s="7">
        <v>0.15970000000000001</v>
      </c>
      <c r="CW259" s="7">
        <v>0.1588</v>
      </c>
      <c r="CX259" s="7">
        <v>0.15790000000000001</v>
      </c>
      <c r="CY259" s="7">
        <v>0.157</v>
      </c>
      <c r="CZ259" s="7">
        <v>0.15609999999999999</v>
      </c>
      <c r="DA259" s="7">
        <v>0.15509999999999999</v>
      </c>
      <c r="DB259" s="7">
        <v>0.1542</v>
      </c>
      <c r="DC259" s="7">
        <v>0.1532</v>
      </c>
      <c r="DD259" s="7">
        <v>0.15229999999999999</v>
      </c>
      <c r="DE259" s="7">
        <v>0.15079999999999999</v>
      </c>
      <c r="DF259" s="7">
        <v>0.14910000000000001</v>
      </c>
      <c r="DG259" s="7">
        <v>0.1474</v>
      </c>
      <c r="DH259" s="7">
        <v>0.1457</v>
      </c>
      <c r="DI259" s="7">
        <v>0.14399999999999999</v>
      </c>
      <c r="DJ259" s="7">
        <v>0.14230000000000001</v>
      </c>
      <c r="DK259" s="7">
        <v>0.14050000000000001</v>
      </c>
      <c r="DL259" s="7">
        <v>0.13880000000000001</v>
      </c>
      <c r="DM259" s="7">
        <v>0.13700000000000001</v>
      </c>
      <c r="DN259" s="7">
        <v>0.1353</v>
      </c>
      <c r="DO259" s="7">
        <v>0.13350000000000001</v>
      </c>
      <c r="DP259" s="7">
        <v>0.13170000000000001</v>
      </c>
      <c r="DQ259" s="7">
        <v>0.12989999999999999</v>
      </c>
      <c r="DR259" s="7">
        <v>0.12809999999999999</v>
      </c>
      <c r="DS259" s="7">
        <v>0.1263</v>
      </c>
      <c r="DT259" s="7">
        <v>0.1244</v>
      </c>
      <c r="DU259" s="7">
        <v>0.1226</v>
      </c>
      <c r="DV259" s="7">
        <v>0.1207</v>
      </c>
      <c r="DW259" s="7">
        <v>0.11890000000000001</v>
      </c>
      <c r="DX259" s="7">
        <v>0.11700000000000001</v>
      </c>
      <c r="DY259" s="7">
        <v>0.11509999999999999</v>
      </c>
      <c r="DZ259" s="7">
        <v>0.1132</v>
      </c>
      <c r="EA259" s="7">
        <v>0.11119999999999999</v>
      </c>
      <c r="EB259" s="7">
        <v>0.10929999999999999</v>
      </c>
      <c r="EC259" s="7">
        <v>0.1074</v>
      </c>
      <c r="ED259" s="7">
        <v>0.10539999999999999</v>
      </c>
      <c r="EE259" s="7">
        <v>0.10349999999999999</v>
      </c>
      <c r="EF259" s="7">
        <v>0.10150000000000001</v>
      </c>
      <c r="EG259" s="7">
        <v>9.9599999999999994E-2</v>
      </c>
      <c r="EH259" s="7">
        <v>9.7600000000000006E-2</v>
      </c>
      <c r="EI259" s="7">
        <v>9.5600000000000004E-2</v>
      </c>
      <c r="EJ259" s="7">
        <v>9.3600000000000003E-2</v>
      </c>
      <c r="EK259" s="7">
        <v>9.1700000000000004E-2</v>
      </c>
      <c r="EL259" s="7">
        <v>8.9700000000000002E-2</v>
      </c>
      <c r="EM259" s="7">
        <v>8.77E-2</v>
      </c>
      <c r="EN259" s="7">
        <v>8.5699999999999998E-2</v>
      </c>
      <c r="EO259" s="7">
        <v>8.3799999999999999E-2</v>
      </c>
      <c r="EP259" s="7">
        <v>8.1799999999999998E-2</v>
      </c>
      <c r="EQ259" s="7">
        <v>7.9899999999999999E-2</v>
      </c>
      <c r="ER259" s="7">
        <v>7.7899999999999997E-2</v>
      </c>
      <c r="ES259" s="7">
        <v>7.5999999999999998E-2</v>
      </c>
      <c r="ET259" s="7">
        <v>7.4099999999999999E-2</v>
      </c>
      <c r="EU259" s="7">
        <v>7.22E-2</v>
      </c>
      <c r="EV259" s="7">
        <v>7.0300000000000001E-2</v>
      </c>
      <c r="EW259" s="7">
        <v>6.8400000000000002E-2</v>
      </c>
      <c r="EX259" s="7">
        <v>6.6500000000000004E-2</v>
      </c>
      <c r="EY259" s="7">
        <v>6.4699999999999994E-2</v>
      </c>
      <c r="EZ259" s="7">
        <v>6.2899999999999998E-2</v>
      </c>
      <c r="FA259" s="7">
        <v>6.0999999999999999E-2</v>
      </c>
      <c r="FB259" s="7">
        <v>5.9200000000000003E-2</v>
      </c>
      <c r="FC259" s="7">
        <v>5.7500000000000002E-2</v>
      </c>
      <c r="FE259" s="50">
        <f t="shared" ca="1" si="26"/>
        <v>0.11852046497399817</v>
      </c>
      <c r="FF259" s="50">
        <f t="shared" ca="1" si="27"/>
        <v>0.11967686638897788</v>
      </c>
      <c r="FG259" s="50">
        <f t="shared" ca="1" si="28"/>
        <v>0.12084409395973156</v>
      </c>
      <c r="FH259" s="50">
        <f t="shared" ca="1" si="29"/>
        <v>0.12211926174496646</v>
      </c>
      <c r="FI259" s="50"/>
      <c r="FJ259" s="50"/>
      <c r="FK259" s="50">
        <f t="shared" ca="1" si="30"/>
        <v>0.11967686638897788</v>
      </c>
      <c r="FL259" s="50"/>
      <c r="FM259" s="50"/>
      <c r="FN259" s="50"/>
    </row>
    <row r="260" spans="49:170" hidden="1">
      <c r="AW260" s="112">
        <v>2.754</v>
      </c>
      <c r="AX260" s="7">
        <v>0.21299999999999999</v>
      </c>
      <c r="AY260" s="7">
        <v>0.21149999999999999</v>
      </c>
      <c r="AZ260" s="7">
        <v>0.21</v>
      </c>
      <c r="BA260" s="7">
        <v>0.20860000000000001</v>
      </c>
      <c r="BB260" s="7">
        <v>0.2072</v>
      </c>
      <c r="BC260" s="7">
        <v>0.20580000000000001</v>
      </c>
      <c r="BD260" s="7">
        <v>0.2044</v>
      </c>
      <c r="BE260" s="7">
        <v>0.2031</v>
      </c>
      <c r="BF260" s="7">
        <v>0.20180000000000001</v>
      </c>
      <c r="BG260" s="7">
        <v>0.20050000000000001</v>
      </c>
      <c r="BH260" s="7">
        <v>0.1993</v>
      </c>
      <c r="BI260" s="7">
        <v>0.19800000000000001</v>
      </c>
      <c r="BJ260" s="7">
        <v>0.1968</v>
      </c>
      <c r="BK260" s="7">
        <v>0.1956</v>
      </c>
      <c r="BL260" s="7">
        <v>0.19439999999999999</v>
      </c>
      <c r="BM260" s="7">
        <v>0.1933</v>
      </c>
      <c r="BN260" s="7">
        <v>0.19209999999999999</v>
      </c>
      <c r="BO260" s="7">
        <v>0.191</v>
      </c>
      <c r="BP260" s="7">
        <v>0.18990000000000001</v>
      </c>
      <c r="BQ260" s="7">
        <v>0.1888</v>
      </c>
      <c r="BR260" s="7">
        <v>0.18779999999999999</v>
      </c>
      <c r="BS260" s="7">
        <v>0.1867</v>
      </c>
      <c r="BT260" s="7">
        <v>0.1857</v>
      </c>
      <c r="BU260" s="7">
        <v>0.18459999999999999</v>
      </c>
      <c r="BV260" s="7">
        <v>0.18360000000000001</v>
      </c>
      <c r="BW260" s="7">
        <v>0.18260000000000001</v>
      </c>
      <c r="BX260" s="7">
        <v>0.18160000000000001</v>
      </c>
      <c r="BY260" s="7">
        <v>0.1807</v>
      </c>
      <c r="BZ260" s="7">
        <v>0.1797</v>
      </c>
      <c r="CA260" s="7">
        <v>0.1787</v>
      </c>
      <c r="CB260" s="7">
        <v>0.17780000000000001</v>
      </c>
      <c r="CC260" s="7">
        <v>0.17680000000000001</v>
      </c>
      <c r="CD260" s="7">
        <v>0.1759</v>
      </c>
      <c r="CE260" s="7">
        <v>0.17499999999999999</v>
      </c>
      <c r="CF260" s="7">
        <v>0.17399999999999999</v>
      </c>
      <c r="CG260" s="7">
        <v>0.1731</v>
      </c>
      <c r="CH260" s="7">
        <v>0.17219999999999999</v>
      </c>
      <c r="CI260" s="7">
        <v>0.17130000000000001</v>
      </c>
      <c r="CJ260" s="7">
        <v>0.1704</v>
      </c>
      <c r="CK260" s="7">
        <v>0.16950000000000001</v>
      </c>
      <c r="CL260" s="7">
        <v>0.1686</v>
      </c>
      <c r="CM260" s="7">
        <v>0.16769999999999999</v>
      </c>
      <c r="CN260" s="7">
        <v>0.16689999999999999</v>
      </c>
      <c r="CO260" s="7">
        <v>0.16600000000000001</v>
      </c>
      <c r="CP260" s="7">
        <v>0.1651</v>
      </c>
      <c r="CQ260" s="7">
        <v>0.16420000000000001</v>
      </c>
      <c r="CR260" s="7">
        <v>0.1633</v>
      </c>
      <c r="CS260" s="7">
        <v>0.16239999999999999</v>
      </c>
      <c r="CT260" s="7">
        <v>0.1615</v>
      </c>
      <c r="CU260" s="7">
        <v>0.16059999999999999</v>
      </c>
      <c r="CV260" s="7">
        <v>0.15970000000000001</v>
      </c>
      <c r="CW260" s="7">
        <v>0.1588</v>
      </c>
      <c r="CX260" s="7">
        <v>0.15790000000000001</v>
      </c>
      <c r="CY260" s="7">
        <v>0.157</v>
      </c>
      <c r="CZ260" s="7">
        <v>0.15609999999999999</v>
      </c>
      <c r="DA260" s="7">
        <v>0.15509999999999999</v>
      </c>
      <c r="DB260" s="7">
        <v>0.1542</v>
      </c>
      <c r="DC260" s="7">
        <v>0.1532</v>
      </c>
      <c r="DD260" s="7">
        <v>0.15229999999999999</v>
      </c>
      <c r="DE260" s="7">
        <v>0.15129999999999999</v>
      </c>
      <c r="DF260" s="7">
        <v>0.14979999999999999</v>
      </c>
      <c r="DG260" s="7">
        <v>0.14810000000000001</v>
      </c>
      <c r="DH260" s="7">
        <v>0.1464</v>
      </c>
      <c r="DI260" s="7">
        <v>0.1447</v>
      </c>
      <c r="DJ260" s="7">
        <v>0.14299999999999999</v>
      </c>
      <c r="DK260" s="7">
        <v>0.14119999999999999</v>
      </c>
      <c r="DL260" s="7">
        <v>0.13950000000000001</v>
      </c>
      <c r="DM260" s="7">
        <v>0.13769999999999999</v>
      </c>
      <c r="DN260" s="7">
        <v>0.13589999999999999</v>
      </c>
      <c r="DO260" s="7">
        <v>0.13420000000000001</v>
      </c>
      <c r="DP260" s="7">
        <v>0.13239999999999999</v>
      </c>
      <c r="DQ260" s="7">
        <v>0.13059999999999999</v>
      </c>
      <c r="DR260" s="7">
        <v>0.1288</v>
      </c>
      <c r="DS260" s="7">
        <v>0.12690000000000001</v>
      </c>
      <c r="DT260" s="7">
        <v>0.12509999999999999</v>
      </c>
      <c r="DU260" s="7">
        <v>0.12330000000000001</v>
      </c>
      <c r="DV260" s="7">
        <v>0.12139999999999999</v>
      </c>
      <c r="DW260" s="7">
        <v>0.1195</v>
      </c>
      <c r="DX260" s="7">
        <v>0.1176</v>
      </c>
      <c r="DY260" s="7">
        <v>0.1157</v>
      </c>
      <c r="DZ260" s="7">
        <v>0.1138</v>
      </c>
      <c r="EA260" s="7">
        <v>0.1119</v>
      </c>
      <c r="EB260" s="7">
        <v>0.11</v>
      </c>
      <c r="EC260" s="7">
        <v>0.108</v>
      </c>
      <c r="ED260" s="7">
        <v>0.1061</v>
      </c>
      <c r="EE260" s="7">
        <v>0.1041</v>
      </c>
      <c r="EF260" s="7">
        <v>0.1022</v>
      </c>
      <c r="EG260" s="7">
        <v>0.1002</v>
      </c>
      <c r="EH260" s="7">
        <v>9.8199999999999996E-2</v>
      </c>
      <c r="EI260" s="7">
        <v>9.6199999999999994E-2</v>
      </c>
      <c r="EJ260" s="7">
        <v>9.4299999999999995E-2</v>
      </c>
      <c r="EK260" s="7">
        <v>9.2299999999999993E-2</v>
      </c>
      <c r="EL260" s="7">
        <v>9.0300000000000005E-2</v>
      </c>
      <c r="EM260" s="7">
        <v>8.8300000000000003E-2</v>
      </c>
      <c r="EN260" s="7">
        <v>8.6400000000000005E-2</v>
      </c>
      <c r="EO260" s="7">
        <v>8.4400000000000003E-2</v>
      </c>
      <c r="EP260" s="7">
        <v>8.2400000000000001E-2</v>
      </c>
      <c r="EQ260" s="7">
        <v>8.0500000000000002E-2</v>
      </c>
      <c r="ER260" s="7">
        <v>7.85E-2</v>
      </c>
      <c r="ES260" s="7">
        <v>7.6600000000000001E-2</v>
      </c>
      <c r="ET260" s="7">
        <v>7.4700000000000003E-2</v>
      </c>
      <c r="EU260" s="7">
        <v>7.2800000000000004E-2</v>
      </c>
      <c r="EV260" s="7">
        <v>7.0900000000000005E-2</v>
      </c>
      <c r="EW260" s="7">
        <v>6.9000000000000006E-2</v>
      </c>
      <c r="EX260" s="7">
        <v>6.7100000000000007E-2</v>
      </c>
      <c r="EY260" s="7">
        <v>6.5299999999999997E-2</v>
      </c>
      <c r="EZ260" s="7">
        <v>6.3399999999999998E-2</v>
      </c>
      <c r="FA260" s="7">
        <v>6.1600000000000002E-2</v>
      </c>
      <c r="FB260" s="7">
        <v>5.9799999999999999E-2</v>
      </c>
      <c r="FC260" s="7">
        <v>5.8000000000000003E-2</v>
      </c>
      <c r="FE260" s="50">
        <f t="shared" ca="1" si="26"/>
        <v>0.11912046497399816</v>
      </c>
      <c r="FF260" s="50">
        <f t="shared" ca="1" si="27"/>
        <v>0.12032002563281</v>
      </c>
      <c r="FG260" s="50">
        <f t="shared" ca="1" si="28"/>
        <v>0.12154409395973154</v>
      </c>
      <c r="FH260" s="50">
        <f t="shared" ca="1" si="29"/>
        <v>0.12281926174496646</v>
      </c>
      <c r="FI260" s="50"/>
      <c r="FJ260" s="50"/>
      <c r="FK260" s="50">
        <f t="shared" ca="1" si="30"/>
        <v>0.12032002563281</v>
      </c>
      <c r="FL260" s="50"/>
      <c r="FM260" s="50"/>
      <c r="FN260" s="50"/>
    </row>
    <row r="261" spans="49:170" hidden="1">
      <c r="AW261" s="112">
        <v>2.9510000000000001</v>
      </c>
      <c r="AX261" s="7">
        <v>0.21299999999999999</v>
      </c>
      <c r="AY261" s="7">
        <v>0.21149999999999999</v>
      </c>
      <c r="AZ261" s="7">
        <v>0.21</v>
      </c>
      <c r="BA261" s="7">
        <v>0.20860000000000001</v>
      </c>
      <c r="BB261" s="7">
        <v>0.2072</v>
      </c>
      <c r="BC261" s="7">
        <v>0.20580000000000001</v>
      </c>
      <c r="BD261" s="7">
        <v>0.2044</v>
      </c>
      <c r="BE261" s="7">
        <v>0.2031</v>
      </c>
      <c r="BF261" s="7">
        <v>0.20180000000000001</v>
      </c>
      <c r="BG261" s="7">
        <v>0.20050000000000001</v>
      </c>
      <c r="BH261" s="7">
        <v>0.1993</v>
      </c>
      <c r="BI261" s="7">
        <v>0.19800000000000001</v>
      </c>
      <c r="BJ261" s="7">
        <v>0.1968</v>
      </c>
      <c r="BK261" s="7">
        <v>0.1956</v>
      </c>
      <c r="BL261" s="7">
        <v>0.19439999999999999</v>
      </c>
      <c r="BM261" s="7">
        <v>0.1933</v>
      </c>
      <c r="BN261" s="7">
        <v>0.19209999999999999</v>
      </c>
      <c r="BO261" s="7">
        <v>0.191</v>
      </c>
      <c r="BP261" s="7">
        <v>0.18990000000000001</v>
      </c>
      <c r="BQ261" s="7">
        <v>0.1888</v>
      </c>
      <c r="BR261" s="7">
        <v>0.18779999999999999</v>
      </c>
      <c r="BS261" s="7">
        <v>0.1867</v>
      </c>
      <c r="BT261" s="7">
        <v>0.1857</v>
      </c>
      <c r="BU261" s="7">
        <v>0.18459999999999999</v>
      </c>
      <c r="BV261" s="7">
        <v>0.18360000000000001</v>
      </c>
      <c r="BW261" s="7">
        <v>0.18260000000000001</v>
      </c>
      <c r="BX261" s="7">
        <v>0.18160000000000001</v>
      </c>
      <c r="BY261" s="7">
        <v>0.1807</v>
      </c>
      <c r="BZ261" s="7">
        <v>0.1797</v>
      </c>
      <c r="CA261" s="7">
        <v>0.1787</v>
      </c>
      <c r="CB261" s="7">
        <v>0.17780000000000001</v>
      </c>
      <c r="CC261" s="7">
        <v>0.17680000000000001</v>
      </c>
      <c r="CD261" s="7">
        <v>0.1759</v>
      </c>
      <c r="CE261" s="7">
        <v>0.17499999999999999</v>
      </c>
      <c r="CF261" s="7">
        <v>0.17399999999999999</v>
      </c>
      <c r="CG261" s="7">
        <v>0.1731</v>
      </c>
      <c r="CH261" s="7">
        <v>0.17219999999999999</v>
      </c>
      <c r="CI261" s="7">
        <v>0.17130000000000001</v>
      </c>
      <c r="CJ261" s="7">
        <v>0.1704</v>
      </c>
      <c r="CK261" s="7">
        <v>0.16950000000000001</v>
      </c>
      <c r="CL261" s="7">
        <v>0.1686</v>
      </c>
      <c r="CM261" s="7">
        <v>0.16769999999999999</v>
      </c>
      <c r="CN261" s="7">
        <v>0.16689999999999999</v>
      </c>
      <c r="CO261" s="7">
        <v>0.16600000000000001</v>
      </c>
      <c r="CP261" s="7">
        <v>0.1651</v>
      </c>
      <c r="CQ261" s="7">
        <v>0.16420000000000001</v>
      </c>
      <c r="CR261" s="7">
        <v>0.1633</v>
      </c>
      <c r="CS261" s="7">
        <v>0.16239999999999999</v>
      </c>
      <c r="CT261" s="7">
        <v>0.1615</v>
      </c>
      <c r="CU261" s="7">
        <v>0.16059999999999999</v>
      </c>
      <c r="CV261" s="7">
        <v>0.15970000000000001</v>
      </c>
      <c r="CW261" s="7">
        <v>0.1588</v>
      </c>
      <c r="CX261" s="7">
        <v>0.15790000000000001</v>
      </c>
      <c r="CY261" s="7">
        <v>0.157</v>
      </c>
      <c r="CZ261" s="7">
        <v>0.15609999999999999</v>
      </c>
      <c r="DA261" s="7">
        <v>0.15509999999999999</v>
      </c>
      <c r="DB261" s="7">
        <v>0.1542</v>
      </c>
      <c r="DC261" s="7">
        <v>0.1532</v>
      </c>
      <c r="DD261" s="7">
        <v>0.15229999999999999</v>
      </c>
      <c r="DE261" s="7">
        <v>0.15129999999999999</v>
      </c>
      <c r="DF261" s="7">
        <v>0.15029999999999999</v>
      </c>
      <c r="DG261" s="7">
        <v>0.14879999999999999</v>
      </c>
      <c r="DH261" s="7">
        <v>0.14710000000000001</v>
      </c>
      <c r="DI261" s="7">
        <v>0.1454</v>
      </c>
      <c r="DJ261" s="7">
        <v>0.14360000000000001</v>
      </c>
      <c r="DK261" s="7">
        <v>0.1419</v>
      </c>
      <c r="DL261" s="7">
        <v>0.14019999999999999</v>
      </c>
      <c r="DM261" s="7">
        <v>0.1384</v>
      </c>
      <c r="DN261" s="7">
        <v>0.1366</v>
      </c>
      <c r="DO261" s="7">
        <v>0.1348</v>
      </c>
      <c r="DP261" s="7">
        <v>0.1331</v>
      </c>
      <c r="DQ261" s="7">
        <v>0.13120000000000001</v>
      </c>
      <c r="DR261" s="7">
        <v>0.12939999999999999</v>
      </c>
      <c r="DS261" s="7">
        <v>0.12759999999999999</v>
      </c>
      <c r="DT261" s="7">
        <v>0.1258</v>
      </c>
      <c r="DU261" s="7">
        <v>0.1239</v>
      </c>
      <c r="DV261" s="7">
        <v>0.122</v>
      </c>
      <c r="DW261" s="7">
        <v>0.1202</v>
      </c>
      <c r="DX261" s="7">
        <v>0.1183</v>
      </c>
      <c r="DY261" s="7">
        <v>0.1164</v>
      </c>
      <c r="DZ261" s="7">
        <v>0.1145</v>
      </c>
      <c r="EA261" s="7">
        <v>0.1125</v>
      </c>
      <c r="EB261" s="7">
        <v>0.1106</v>
      </c>
      <c r="EC261" s="7">
        <v>0.1087</v>
      </c>
      <c r="ED261" s="7">
        <v>0.1067</v>
      </c>
      <c r="EE261" s="7">
        <v>0.1048</v>
      </c>
      <c r="EF261" s="7">
        <v>0.1028</v>
      </c>
      <c r="EG261" s="7">
        <v>0.1008</v>
      </c>
      <c r="EH261" s="7">
        <v>9.8799999999999999E-2</v>
      </c>
      <c r="EI261" s="7">
        <v>9.69E-2</v>
      </c>
      <c r="EJ261" s="7">
        <v>9.4899999999999998E-2</v>
      </c>
      <c r="EK261" s="7">
        <v>9.2899999999999996E-2</v>
      </c>
      <c r="EL261" s="7">
        <v>9.0899999999999995E-2</v>
      </c>
      <c r="EM261" s="7">
        <v>8.8900000000000007E-2</v>
      </c>
      <c r="EN261" s="7">
        <v>8.6999999999999994E-2</v>
      </c>
      <c r="EO261" s="7">
        <v>8.5000000000000006E-2</v>
      </c>
      <c r="EP261" s="7">
        <v>8.3000000000000004E-2</v>
      </c>
      <c r="EQ261" s="7">
        <v>8.1100000000000005E-2</v>
      </c>
      <c r="ER261" s="7">
        <v>7.9100000000000004E-2</v>
      </c>
      <c r="ES261" s="7">
        <v>7.7200000000000005E-2</v>
      </c>
      <c r="ET261" s="7">
        <v>7.5300000000000006E-2</v>
      </c>
      <c r="EU261" s="7">
        <v>7.3400000000000007E-2</v>
      </c>
      <c r="EV261" s="7">
        <v>7.1499999999999994E-2</v>
      </c>
      <c r="EW261" s="7">
        <v>6.9599999999999995E-2</v>
      </c>
      <c r="EX261" s="7">
        <v>6.7699999999999996E-2</v>
      </c>
      <c r="EY261" s="7">
        <v>6.5799999999999997E-2</v>
      </c>
      <c r="EZ261" s="7">
        <v>6.4000000000000001E-2</v>
      </c>
      <c r="FA261" s="7">
        <v>6.2199999999999998E-2</v>
      </c>
      <c r="FB261" s="7">
        <v>6.0400000000000002E-2</v>
      </c>
      <c r="FC261" s="7">
        <v>5.8599999999999999E-2</v>
      </c>
      <c r="FE261" s="50">
        <f t="shared" ca="1" si="26"/>
        <v>0.11982046497399816</v>
      </c>
      <c r="FF261" s="50">
        <f t="shared" ca="1" si="27"/>
        <v>0.12097686638897788</v>
      </c>
      <c r="FG261" s="50">
        <f t="shared" ca="1" si="28"/>
        <v>0.12214409395973155</v>
      </c>
      <c r="FH261" s="50">
        <f t="shared" ca="1" si="29"/>
        <v>0.12341926174496645</v>
      </c>
      <c r="FI261" s="50"/>
      <c r="FJ261" s="50"/>
      <c r="FK261" s="50">
        <f t="shared" ca="1" si="30"/>
        <v>0.12097686638897788</v>
      </c>
      <c r="FL261" s="50"/>
      <c r="FM261" s="50"/>
      <c r="FN261" s="50"/>
    </row>
    <row r="262" spans="49:170" hidden="1">
      <c r="AW262" s="112">
        <v>3.1619999999999999</v>
      </c>
      <c r="AX262" s="7">
        <v>0.21299999999999999</v>
      </c>
      <c r="AY262" s="7">
        <v>0.21149999999999999</v>
      </c>
      <c r="AZ262" s="7">
        <v>0.21</v>
      </c>
      <c r="BA262" s="7">
        <v>0.20860000000000001</v>
      </c>
      <c r="BB262" s="7">
        <v>0.2072</v>
      </c>
      <c r="BC262" s="7">
        <v>0.20580000000000001</v>
      </c>
      <c r="BD262" s="7">
        <v>0.2044</v>
      </c>
      <c r="BE262" s="7">
        <v>0.2031</v>
      </c>
      <c r="BF262" s="7">
        <v>0.20180000000000001</v>
      </c>
      <c r="BG262" s="7">
        <v>0.20050000000000001</v>
      </c>
      <c r="BH262" s="7">
        <v>0.1993</v>
      </c>
      <c r="BI262" s="7">
        <v>0.19800000000000001</v>
      </c>
      <c r="BJ262" s="7">
        <v>0.1968</v>
      </c>
      <c r="BK262" s="7">
        <v>0.1956</v>
      </c>
      <c r="BL262" s="7">
        <v>0.19439999999999999</v>
      </c>
      <c r="BM262" s="7">
        <v>0.1933</v>
      </c>
      <c r="BN262" s="7">
        <v>0.19209999999999999</v>
      </c>
      <c r="BO262" s="7">
        <v>0.191</v>
      </c>
      <c r="BP262" s="7">
        <v>0.18990000000000001</v>
      </c>
      <c r="BQ262" s="7">
        <v>0.1888</v>
      </c>
      <c r="BR262" s="7">
        <v>0.18779999999999999</v>
      </c>
      <c r="BS262" s="7">
        <v>0.1867</v>
      </c>
      <c r="BT262" s="7">
        <v>0.1857</v>
      </c>
      <c r="BU262" s="7">
        <v>0.18459999999999999</v>
      </c>
      <c r="BV262" s="7">
        <v>0.18360000000000001</v>
      </c>
      <c r="BW262" s="7">
        <v>0.18260000000000001</v>
      </c>
      <c r="BX262" s="7">
        <v>0.18160000000000001</v>
      </c>
      <c r="BY262" s="7">
        <v>0.1807</v>
      </c>
      <c r="BZ262" s="7">
        <v>0.1797</v>
      </c>
      <c r="CA262" s="7">
        <v>0.1787</v>
      </c>
      <c r="CB262" s="7">
        <v>0.17780000000000001</v>
      </c>
      <c r="CC262" s="7">
        <v>0.17680000000000001</v>
      </c>
      <c r="CD262" s="7">
        <v>0.1759</v>
      </c>
      <c r="CE262" s="7">
        <v>0.17499999999999999</v>
      </c>
      <c r="CF262" s="7">
        <v>0.17399999999999999</v>
      </c>
      <c r="CG262" s="7">
        <v>0.1731</v>
      </c>
      <c r="CH262" s="7">
        <v>0.17219999999999999</v>
      </c>
      <c r="CI262" s="7">
        <v>0.17130000000000001</v>
      </c>
      <c r="CJ262" s="7">
        <v>0.1704</v>
      </c>
      <c r="CK262" s="7">
        <v>0.16950000000000001</v>
      </c>
      <c r="CL262" s="7">
        <v>0.1686</v>
      </c>
      <c r="CM262" s="7">
        <v>0.16769999999999999</v>
      </c>
      <c r="CN262" s="7">
        <v>0.16689999999999999</v>
      </c>
      <c r="CO262" s="7">
        <v>0.16600000000000001</v>
      </c>
      <c r="CP262" s="7">
        <v>0.1651</v>
      </c>
      <c r="CQ262" s="7">
        <v>0.16420000000000001</v>
      </c>
      <c r="CR262" s="7">
        <v>0.1633</v>
      </c>
      <c r="CS262" s="7">
        <v>0.16239999999999999</v>
      </c>
      <c r="CT262" s="7">
        <v>0.1615</v>
      </c>
      <c r="CU262" s="7">
        <v>0.16059999999999999</v>
      </c>
      <c r="CV262" s="7">
        <v>0.15970000000000001</v>
      </c>
      <c r="CW262" s="7">
        <v>0.1588</v>
      </c>
      <c r="CX262" s="7">
        <v>0.15790000000000001</v>
      </c>
      <c r="CY262" s="7">
        <v>0.157</v>
      </c>
      <c r="CZ262" s="7">
        <v>0.15609999999999999</v>
      </c>
      <c r="DA262" s="7">
        <v>0.15509999999999999</v>
      </c>
      <c r="DB262" s="7">
        <v>0.1542</v>
      </c>
      <c r="DC262" s="7">
        <v>0.1532</v>
      </c>
      <c r="DD262" s="7">
        <v>0.15229999999999999</v>
      </c>
      <c r="DE262" s="7">
        <v>0.15129999999999999</v>
      </c>
      <c r="DF262" s="7">
        <v>0.15029999999999999</v>
      </c>
      <c r="DG262" s="7">
        <v>0.14929999999999999</v>
      </c>
      <c r="DH262" s="7">
        <v>0.14779999999999999</v>
      </c>
      <c r="DI262" s="7">
        <v>0.14610000000000001</v>
      </c>
      <c r="DJ262" s="7">
        <v>0.14430000000000001</v>
      </c>
      <c r="DK262" s="7">
        <v>0.1426</v>
      </c>
      <c r="DL262" s="7">
        <v>0.14080000000000001</v>
      </c>
      <c r="DM262" s="7">
        <v>0.1391</v>
      </c>
      <c r="DN262" s="7">
        <v>0.13730000000000001</v>
      </c>
      <c r="DO262" s="7">
        <v>0.13550000000000001</v>
      </c>
      <c r="DP262" s="7">
        <v>0.13370000000000001</v>
      </c>
      <c r="DQ262" s="7">
        <v>0.13189999999999999</v>
      </c>
      <c r="DR262" s="7">
        <v>0.13009999999999999</v>
      </c>
      <c r="DS262" s="7">
        <v>0.1283</v>
      </c>
      <c r="DT262" s="7">
        <v>0.12640000000000001</v>
      </c>
      <c r="DU262" s="7">
        <v>0.1246</v>
      </c>
      <c r="DV262" s="7">
        <v>0.1227</v>
      </c>
      <c r="DW262" s="7">
        <v>0.1208</v>
      </c>
      <c r="DX262" s="7">
        <v>0.11890000000000001</v>
      </c>
      <c r="DY262" s="7">
        <v>0.11700000000000001</v>
      </c>
      <c r="DZ262" s="7">
        <v>0.11509999999999999</v>
      </c>
      <c r="EA262" s="7">
        <v>0.1132</v>
      </c>
      <c r="EB262" s="7">
        <v>0.11119999999999999</v>
      </c>
      <c r="EC262" s="7">
        <v>0.10929999999999999</v>
      </c>
      <c r="ED262" s="7">
        <v>0.10730000000000001</v>
      </c>
      <c r="EE262" s="7">
        <v>0.10539999999999999</v>
      </c>
      <c r="EF262" s="7">
        <v>0.10340000000000001</v>
      </c>
      <c r="EG262" s="7">
        <v>0.1014</v>
      </c>
      <c r="EH262" s="7">
        <v>9.9500000000000005E-2</v>
      </c>
      <c r="EI262" s="7">
        <v>9.7500000000000003E-2</v>
      </c>
      <c r="EJ262" s="7">
        <v>9.5500000000000002E-2</v>
      </c>
      <c r="EK262" s="7">
        <v>9.35E-2</v>
      </c>
      <c r="EL262" s="7">
        <v>9.1499999999999998E-2</v>
      </c>
      <c r="EM262" s="7">
        <v>8.9599999999999999E-2</v>
      </c>
      <c r="EN262" s="7">
        <v>8.7599999999999997E-2</v>
      </c>
      <c r="EO262" s="7">
        <v>8.5599999999999996E-2</v>
      </c>
      <c r="EP262" s="7">
        <v>8.3599999999999994E-2</v>
      </c>
      <c r="EQ262" s="7">
        <v>8.1699999999999995E-2</v>
      </c>
      <c r="ER262" s="7">
        <v>7.9699999999999993E-2</v>
      </c>
      <c r="ES262" s="7">
        <v>7.7799999999999994E-2</v>
      </c>
      <c r="ET262" s="7">
        <v>7.5899999999999995E-2</v>
      </c>
      <c r="EU262" s="7">
        <v>7.3899999999999993E-2</v>
      </c>
      <c r="EV262" s="7">
        <v>7.1999999999999995E-2</v>
      </c>
      <c r="EW262" s="7">
        <v>7.0099999999999996E-2</v>
      </c>
      <c r="EX262" s="7">
        <v>6.83E-2</v>
      </c>
      <c r="EY262" s="7">
        <v>6.6400000000000001E-2</v>
      </c>
      <c r="EZ262" s="7">
        <v>6.4600000000000005E-2</v>
      </c>
      <c r="FA262" s="7">
        <v>6.2799999999999995E-2</v>
      </c>
      <c r="FB262" s="7">
        <v>6.0900000000000003E-2</v>
      </c>
      <c r="FC262" s="7">
        <v>5.9200000000000003E-2</v>
      </c>
      <c r="FE262" s="50">
        <f t="shared" ca="1" si="26"/>
        <v>0.12042046497399818</v>
      </c>
      <c r="FF262" s="50">
        <f t="shared" ca="1" si="27"/>
        <v>0.12162002563280996</v>
      </c>
      <c r="FG262" s="50">
        <f t="shared" ca="1" si="28"/>
        <v>0.12284409395973156</v>
      </c>
      <c r="FH262" s="50">
        <f t="shared" ca="1" si="29"/>
        <v>0.12411926174496646</v>
      </c>
      <c r="FI262" s="50"/>
      <c r="FJ262" s="50"/>
      <c r="FK262" s="50">
        <f t="shared" ca="1" si="30"/>
        <v>0.12162002563280996</v>
      </c>
      <c r="FL262" s="50"/>
      <c r="FM262" s="50"/>
      <c r="FN262" s="50"/>
    </row>
    <row r="263" spans="49:170" hidden="1">
      <c r="AW263" s="112">
        <v>3.3879999999999999</v>
      </c>
      <c r="AX263" s="7">
        <v>0.21299999999999999</v>
      </c>
      <c r="AY263" s="7">
        <v>0.21149999999999999</v>
      </c>
      <c r="AZ263" s="7">
        <v>0.21</v>
      </c>
      <c r="BA263" s="7">
        <v>0.20860000000000001</v>
      </c>
      <c r="BB263" s="7">
        <v>0.2072</v>
      </c>
      <c r="BC263" s="7">
        <v>0.20580000000000001</v>
      </c>
      <c r="BD263" s="7">
        <v>0.2044</v>
      </c>
      <c r="BE263" s="7">
        <v>0.2031</v>
      </c>
      <c r="BF263" s="7">
        <v>0.20180000000000001</v>
      </c>
      <c r="BG263" s="7">
        <v>0.20050000000000001</v>
      </c>
      <c r="BH263" s="7">
        <v>0.1993</v>
      </c>
      <c r="BI263" s="7">
        <v>0.19800000000000001</v>
      </c>
      <c r="BJ263" s="7">
        <v>0.1968</v>
      </c>
      <c r="BK263" s="7">
        <v>0.1956</v>
      </c>
      <c r="BL263" s="7">
        <v>0.19439999999999999</v>
      </c>
      <c r="BM263" s="7">
        <v>0.1933</v>
      </c>
      <c r="BN263" s="7">
        <v>0.19209999999999999</v>
      </c>
      <c r="BO263" s="7">
        <v>0.191</v>
      </c>
      <c r="BP263" s="7">
        <v>0.18990000000000001</v>
      </c>
      <c r="BQ263" s="7">
        <v>0.1888</v>
      </c>
      <c r="BR263" s="7">
        <v>0.18779999999999999</v>
      </c>
      <c r="BS263" s="7">
        <v>0.1867</v>
      </c>
      <c r="BT263" s="7">
        <v>0.1857</v>
      </c>
      <c r="BU263" s="7">
        <v>0.18459999999999999</v>
      </c>
      <c r="BV263" s="7">
        <v>0.18360000000000001</v>
      </c>
      <c r="BW263" s="7">
        <v>0.18260000000000001</v>
      </c>
      <c r="BX263" s="7">
        <v>0.18160000000000001</v>
      </c>
      <c r="BY263" s="7">
        <v>0.1807</v>
      </c>
      <c r="BZ263" s="7">
        <v>0.1797</v>
      </c>
      <c r="CA263" s="7">
        <v>0.1787</v>
      </c>
      <c r="CB263" s="7">
        <v>0.17780000000000001</v>
      </c>
      <c r="CC263" s="7">
        <v>0.17680000000000001</v>
      </c>
      <c r="CD263" s="7">
        <v>0.1759</v>
      </c>
      <c r="CE263" s="7">
        <v>0.17499999999999999</v>
      </c>
      <c r="CF263" s="7">
        <v>0.17399999999999999</v>
      </c>
      <c r="CG263" s="7">
        <v>0.1731</v>
      </c>
      <c r="CH263" s="7">
        <v>0.17219999999999999</v>
      </c>
      <c r="CI263" s="7">
        <v>0.17130000000000001</v>
      </c>
      <c r="CJ263" s="7">
        <v>0.1704</v>
      </c>
      <c r="CK263" s="7">
        <v>0.16950000000000001</v>
      </c>
      <c r="CL263" s="7">
        <v>0.1686</v>
      </c>
      <c r="CM263" s="7">
        <v>0.16769999999999999</v>
      </c>
      <c r="CN263" s="7">
        <v>0.16689999999999999</v>
      </c>
      <c r="CO263" s="7">
        <v>0.16600000000000001</v>
      </c>
      <c r="CP263" s="7">
        <v>0.1651</v>
      </c>
      <c r="CQ263" s="7">
        <v>0.16420000000000001</v>
      </c>
      <c r="CR263" s="7">
        <v>0.1633</v>
      </c>
      <c r="CS263" s="7">
        <v>0.16239999999999999</v>
      </c>
      <c r="CT263" s="7">
        <v>0.1615</v>
      </c>
      <c r="CU263" s="7">
        <v>0.16059999999999999</v>
      </c>
      <c r="CV263" s="7">
        <v>0.15970000000000001</v>
      </c>
      <c r="CW263" s="7">
        <v>0.1588</v>
      </c>
      <c r="CX263" s="7">
        <v>0.15790000000000001</v>
      </c>
      <c r="CY263" s="7">
        <v>0.157</v>
      </c>
      <c r="CZ263" s="7">
        <v>0.15609999999999999</v>
      </c>
      <c r="DA263" s="7">
        <v>0.15509999999999999</v>
      </c>
      <c r="DB263" s="7">
        <v>0.1542</v>
      </c>
      <c r="DC263" s="7">
        <v>0.1532</v>
      </c>
      <c r="DD263" s="7">
        <v>0.15229999999999999</v>
      </c>
      <c r="DE263" s="7">
        <v>0.15129999999999999</v>
      </c>
      <c r="DF263" s="7">
        <v>0.15029999999999999</v>
      </c>
      <c r="DG263" s="7">
        <v>0.14929999999999999</v>
      </c>
      <c r="DH263" s="7">
        <v>0.14829999999999999</v>
      </c>
      <c r="DI263" s="7">
        <v>0.1467</v>
      </c>
      <c r="DJ263" s="7">
        <v>0.14499999999999999</v>
      </c>
      <c r="DK263" s="7">
        <v>0.14330000000000001</v>
      </c>
      <c r="DL263" s="7">
        <v>0.14149999999999999</v>
      </c>
      <c r="DM263" s="7">
        <v>0.13969999999999999</v>
      </c>
      <c r="DN263" s="7">
        <v>0.13800000000000001</v>
      </c>
      <c r="DO263" s="7">
        <v>0.13619999999999999</v>
      </c>
      <c r="DP263" s="7">
        <v>0.13439999999999999</v>
      </c>
      <c r="DQ263" s="7">
        <v>0.1326</v>
      </c>
      <c r="DR263" s="7">
        <v>0.1308</v>
      </c>
      <c r="DS263" s="7">
        <v>0.12889999999999999</v>
      </c>
      <c r="DT263" s="7">
        <v>0.12709999999999999</v>
      </c>
      <c r="DU263" s="7">
        <v>0.12520000000000001</v>
      </c>
      <c r="DV263" s="7">
        <v>0.12330000000000001</v>
      </c>
      <c r="DW263" s="7">
        <v>0.1215</v>
      </c>
      <c r="DX263" s="7">
        <v>0.1196</v>
      </c>
      <c r="DY263" s="7">
        <v>0.1177</v>
      </c>
      <c r="DZ263" s="7">
        <v>0.1157</v>
      </c>
      <c r="EA263" s="7">
        <v>0.1138</v>
      </c>
      <c r="EB263" s="7">
        <v>0.1119</v>
      </c>
      <c r="EC263" s="7">
        <v>0.1099</v>
      </c>
      <c r="ED263" s="7">
        <v>0.108</v>
      </c>
      <c r="EE263" s="7">
        <v>0.106</v>
      </c>
      <c r="EF263" s="7">
        <v>0.104</v>
      </c>
      <c r="EG263" s="7">
        <v>0.1021</v>
      </c>
      <c r="EH263" s="7">
        <v>0.10009999999999999</v>
      </c>
      <c r="EI263" s="7">
        <v>9.8100000000000007E-2</v>
      </c>
      <c r="EJ263" s="7">
        <v>9.6100000000000005E-2</v>
      </c>
      <c r="EK263" s="7">
        <v>9.4100000000000003E-2</v>
      </c>
      <c r="EL263" s="7">
        <v>9.2100000000000001E-2</v>
      </c>
      <c r="EM263" s="7">
        <v>9.0200000000000002E-2</v>
      </c>
      <c r="EN263" s="7">
        <v>8.8200000000000001E-2</v>
      </c>
      <c r="EO263" s="7">
        <v>8.6199999999999999E-2</v>
      </c>
      <c r="EP263" s="7">
        <v>8.4199999999999997E-2</v>
      </c>
      <c r="EQ263" s="7">
        <v>8.2299999999999998E-2</v>
      </c>
      <c r="ER263" s="7">
        <v>8.0299999999999996E-2</v>
      </c>
      <c r="ES263" s="7">
        <v>7.8399999999999997E-2</v>
      </c>
      <c r="ET263" s="7">
        <v>7.6399999999999996E-2</v>
      </c>
      <c r="EU263" s="7">
        <v>7.4499999999999997E-2</v>
      </c>
      <c r="EV263" s="7">
        <v>7.2599999999999998E-2</v>
      </c>
      <c r="EW263" s="7">
        <v>7.0699999999999999E-2</v>
      </c>
      <c r="EX263" s="7">
        <v>6.88E-2</v>
      </c>
      <c r="EY263" s="7">
        <v>6.7000000000000004E-2</v>
      </c>
      <c r="EZ263" s="7">
        <v>6.5100000000000005E-2</v>
      </c>
      <c r="FA263" s="7">
        <v>6.3299999999999995E-2</v>
      </c>
      <c r="FB263" s="7">
        <v>6.1499999999999999E-2</v>
      </c>
      <c r="FC263" s="7">
        <v>5.9700000000000003E-2</v>
      </c>
      <c r="FE263" s="50">
        <f t="shared" ca="1" si="26"/>
        <v>0.12112046497399816</v>
      </c>
      <c r="FF263" s="50">
        <f t="shared" ca="1" si="27"/>
        <v>0.1222768663889779</v>
      </c>
      <c r="FG263" s="50">
        <f t="shared" ca="1" si="28"/>
        <v>0.12344409395973155</v>
      </c>
      <c r="FH263" s="50">
        <f t="shared" ca="1" si="29"/>
        <v>0.12471926174496645</v>
      </c>
      <c r="FI263" s="50"/>
      <c r="FJ263" s="50"/>
      <c r="FK263" s="50">
        <f t="shared" ca="1" si="30"/>
        <v>0.1222768663889779</v>
      </c>
      <c r="FL263" s="50"/>
      <c r="FM263" s="50"/>
      <c r="FN263" s="50"/>
    </row>
    <row r="264" spans="49:170" hidden="1">
      <c r="AW264" s="112">
        <v>3.6309999999999998</v>
      </c>
      <c r="AX264" s="7">
        <v>0.21299999999999999</v>
      </c>
      <c r="AY264" s="7">
        <v>0.21149999999999999</v>
      </c>
      <c r="AZ264" s="7">
        <v>0.21</v>
      </c>
      <c r="BA264" s="7">
        <v>0.20860000000000001</v>
      </c>
      <c r="BB264" s="7">
        <v>0.2072</v>
      </c>
      <c r="BC264" s="7">
        <v>0.20580000000000001</v>
      </c>
      <c r="BD264" s="7">
        <v>0.2044</v>
      </c>
      <c r="BE264" s="7">
        <v>0.2031</v>
      </c>
      <c r="BF264" s="7">
        <v>0.20180000000000001</v>
      </c>
      <c r="BG264" s="7">
        <v>0.20050000000000001</v>
      </c>
      <c r="BH264" s="7">
        <v>0.1993</v>
      </c>
      <c r="BI264" s="7">
        <v>0.19800000000000001</v>
      </c>
      <c r="BJ264" s="7">
        <v>0.1968</v>
      </c>
      <c r="BK264" s="7">
        <v>0.1956</v>
      </c>
      <c r="BL264" s="7">
        <v>0.19439999999999999</v>
      </c>
      <c r="BM264" s="7">
        <v>0.1933</v>
      </c>
      <c r="BN264" s="7">
        <v>0.19209999999999999</v>
      </c>
      <c r="BO264" s="7">
        <v>0.191</v>
      </c>
      <c r="BP264" s="7">
        <v>0.18990000000000001</v>
      </c>
      <c r="BQ264" s="7">
        <v>0.1888</v>
      </c>
      <c r="BR264" s="7">
        <v>0.18779999999999999</v>
      </c>
      <c r="BS264" s="7">
        <v>0.1867</v>
      </c>
      <c r="BT264" s="7">
        <v>0.1857</v>
      </c>
      <c r="BU264" s="7">
        <v>0.18459999999999999</v>
      </c>
      <c r="BV264" s="7">
        <v>0.18360000000000001</v>
      </c>
      <c r="BW264" s="7">
        <v>0.18260000000000001</v>
      </c>
      <c r="BX264" s="7">
        <v>0.18160000000000001</v>
      </c>
      <c r="BY264" s="7">
        <v>0.1807</v>
      </c>
      <c r="BZ264" s="7">
        <v>0.1797</v>
      </c>
      <c r="CA264" s="7">
        <v>0.1787</v>
      </c>
      <c r="CB264" s="7">
        <v>0.17780000000000001</v>
      </c>
      <c r="CC264" s="7">
        <v>0.17680000000000001</v>
      </c>
      <c r="CD264" s="7">
        <v>0.1759</v>
      </c>
      <c r="CE264" s="7">
        <v>0.17499999999999999</v>
      </c>
      <c r="CF264" s="7">
        <v>0.17399999999999999</v>
      </c>
      <c r="CG264" s="7">
        <v>0.1731</v>
      </c>
      <c r="CH264" s="7">
        <v>0.17219999999999999</v>
      </c>
      <c r="CI264" s="7">
        <v>0.17130000000000001</v>
      </c>
      <c r="CJ264" s="7">
        <v>0.1704</v>
      </c>
      <c r="CK264" s="7">
        <v>0.16950000000000001</v>
      </c>
      <c r="CL264" s="7">
        <v>0.1686</v>
      </c>
      <c r="CM264" s="7">
        <v>0.16769999999999999</v>
      </c>
      <c r="CN264" s="7">
        <v>0.16689999999999999</v>
      </c>
      <c r="CO264" s="7">
        <v>0.16600000000000001</v>
      </c>
      <c r="CP264" s="7">
        <v>0.1651</v>
      </c>
      <c r="CQ264" s="7">
        <v>0.16420000000000001</v>
      </c>
      <c r="CR264" s="7">
        <v>0.1633</v>
      </c>
      <c r="CS264" s="7">
        <v>0.16239999999999999</v>
      </c>
      <c r="CT264" s="7">
        <v>0.1615</v>
      </c>
      <c r="CU264" s="7">
        <v>0.16059999999999999</v>
      </c>
      <c r="CV264" s="7">
        <v>0.15970000000000001</v>
      </c>
      <c r="CW264" s="7">
        <v>0.1588</v>
      </c>
      <c r="CX264" s="7">
        <v>0.15790000000000001</v>
      </c>
      <c r="CY264" s="7">
        <v>0.157</v>
      </c>
      <c r="CZ264" s="7">
        <v>0.15609999999999999</v>
      </c>
      <c r="DA264" s="7">
        <v>0.15509999999999999</v>
      </c>
      <c r="DB264" s="7">
        <v>0.1542</v>
      </c>
      <c r="DC264" s="7">
        <v>0.1532</v>
      </c>
      <c r="DD264" s="7">
        <v>0.15229999999999999</v>
      </c>
      <c r="DE264" s="7">
        <v>0.15129999999999999</v>
      </c>
      <c r="DF264" s="7">
        <v>0.15029999999999999</v>
      </c>
      <c r="DG264" s="7">
        <v>0.14929999999999999</v>
      </c>
      <c r="DH264" s="7">
        <v>0.14829999999999999</v>
      </c>
      <c r="DI264" s="7">
        <v>0.14729999999999999</v>
      </c>
      <c r="DJ264" s="7">
        <v>0.1457</v>
      </c>
      <c r="DK264" s="7">
        <v>0.1439</v>
      </c>
      <c r="DL264" s="7">
        <v>0.14219999999999999</v>
      </c>
      <c r="DM264" s="7">
        <v>0.1404</v>
      </c>
      <c r="DN264" s="7">
        <v>0.1386</v>
      </c>
      <c r="DO264" s="7">
        <v>0.1368</v>
      </c>
      <c r="DP264" s="7">
        <v>0.13500000000000001</v>
      </c>
      <c r="DQ264" s="7">
        <v>0.13320000000000001</v>
      </c>
      <c r="DR264" s="7">
        <v>0.13139999999999999</v>
      </c>
      <c r="DS264" s="7">
        <v>0.12959999999999999</v>
      </c>
      <c r="DT264" s="7">
        <v>0.12770000000000001</v>
      </c>
      <c r="DU264" s="7">
        <v>0.12590000000000001</v>
      </c>
      <c r="DV264" s="7">
        <v>0.124</v>
      </c>
      <c r="DW264" s="7">
        <v>0.1221</v>
      </c>
      <c r="DX264" s="7">
        <v>0.1202</v>
      </c>
      <c r="DY264" s="7">
        <v>0.1183</v>
      </c>
      <c r="DZ264" s="7">
        <v>0.1164</v>
      </c>
      <c r="EA264" s="7">
        <v>0.1144</v>
      </c>
      <c r="EB264" s="7">
        <v>0.1125</v>
      </c>
      <c r="EC264" s="7">
        <v>0.1105</v>
      </c>
      <c r="ED264" s="7">
        <v>0.1086</v>
      </c>
      <c r="EE264" s="7">
        <v>0.1066</v>
      </c>
      <c r="EF264" s="7">
        <v>0.1047</v>
      </c>
      <c r="EG264" s="7">
        <v>0.1027</v>
      </c>
      <c r="EH264" s="7">
        <v>0.1007</v>
      </c>
      <c r="EI264" s="7">
        <v>9.8699999999999996E-2</v>
      </c>
      <c r="EJ264" s="7">
        <v>9.6699999999999994E-2</v>
      </c>
      <c r="EK264" s="7">
        <v>9.4700000000000006E-2</v>
      </c>
      <c r="EL264" s="7">
        <v>9.2700000000000005E-2</v>
      </c>
      <c r="EM264" s="7">
        <v>9.0700000000000003E-2</v>
      </c>
      <c r="EN264" s="7">
        <v>8.8800000000000004E-2</v>
      </c>
      <c r="EO264" s="7">
        <v>8.6800000000000002E-2</v>
      </c>
      <c r="EP264" s="7">
        <v>8.48E-2</v>
      </c>
      <c r="EQ264" s="7">
        <v>8.2799999999999999E-2</v>
      </c>
      <c r="ER264" s="7">
        <v>8.09E-2</v>
      </c>
      <c r="ES264" s="7">
        <v>7.8899999999999998E-2</v>
      </c>
      <c r="ET264" s="7">
        <v>7.6999999999999999E-2</v>
      </c>
      <c r="EU264" s="7">
        <v>7.51E-2</v>
      </c>
      <c r="EV264" s="7">
        <v>7.3200000000000001E-2</v>
      </c>
      <c r="EW264" s="7">
        <v>7.1300000000000002E-2</v>
      </c>
      <c r="EX264" s="7">
        <v>6.9400000000000003E-2</v>
      </c>
      <c r="EY264" s="7">
        <v>6.7500000000000004E-2</v>
      </c>
      <c r="EZ264" s="7">
        <v>6.5699999999999995E-2</v>
      </c>
      <c r="FA264" s="7">
        <v>6.3899999999999998E-2</v>
      </c>
      <c r="FB264" s="7">
        <v>6.2100000000000002E-2</v>
      </c>
      <c r="FC264" s="7">
        <v>6.0299999999999999E-2</v>
      </c>
      <c r="FE264" s="50">
        <f t="shared" ca="1" si="26"/>
        <v>0.12172046497399817</v>
      </c>
      <c r="FF264" s="50">
        <f t="shared" ca="1" si="27"/>
        <v>0.12292002563280999</v>
      </c>
      <c r="FG264" s="50">
        <f t="shared" ca="1" si="28"/>
        <v>0.12414409395973153</v>
      </c>
      <c r="FH264" s="50">
        <f t="shared" ca="1" si="29"/>
        <v>0.12541926174496645</v>
      </c>
      <c r="FI264" s="50"/>
      <c r="FJ264" s="50"/>
      <c r="FK264" s="50">
        <f t="shared" ca="1" si="30"/>
        <v>0.12292002563280999</v>
      </c>
      <c r="FL264" s="50"/>
      <c r="FM264" s="50"/>
      <c r="FN264" s="50"/>
    </row>
    <row r="265" spans="49:170" hidden="1">
      <c r="AW265" s="112">
        <v>3.89</v>
      </c>
      <c r="AX265" s="7">
        <v>0.21299999999999999</v>
      </c>
      <c r="AY265" s="7">
        <v>0.21149999999999999</v>
      </c>
      <c r="AZ265" s="7">
        <v>0.21</v>
      </c>
      <c r="BA265" s="7">
        <v>0.20860000000000001</v>
      </c>
      <c r="BB265" s="7">
        <v>0.2072</v>
      </c>
      <c r="BC265" s="7">
        <v>0.20580000000000001</v>
      </c>
      <c r="BD265" s="7">
        <v>0.2044</v>
      </c>
      <c r="BE265" s="7">
        <v>0.2031</v>
      </c>
      <c r="BF265" s="7">
        <v>0.20180000000000001</v>
      </c>
      <c r="BG265" s="7">
        <v>0.20050000000000001</v>
      </c>
      <c r="BH265" s="7">
        <v>0.1993</v>
      </c>
      <c r="BI265" s="7">
        <v>0.19800000000000001</v>
      </c>
      <c r="BJ265" s="7">
        <v>0.1968</v>
      </c>
      <c r="BK265" s="7">
        <v>0.1956</v>
      </c>
      <c r="BL265" s="7">
        <v>0.19439999999999999</v>
      </c>
      <c r="BM265" s="7">
        <v>0.1933</v>
      </c>
      <c r="BN265" s="7">
        <v>0.19209999999999999</v>
      </c>
      <c r="BO265" s="7">
        <v>0.191</v>
      </c>
      <c r="BP265" s="7">
        <v>0.18990000000000001</v>
      </c>
      <c r="BQ265" s="7">
        <v>0.1888</v>
      </c>
      <c r="BR265" s="7">
        <v>0.18779999999999999</v>
      </c>
      <c r="BS265" s="7">
        <v>0.1867</v>
      </c>
      <c r="BT265" s="7">
        <v>0.1857</v>
      </c>
      <c r="BU265" s="7">
        <v>0.18459999999999999</v>
      </c>
      <c r="BV265" s="7">
        <v>0.18360000000000001</v>
      </c>
      <c r="BW265" s="7">
        <v>0.18260000000000001</v>
      </c>
      <c r="BX265" s="7">
        <v>0.18160000000000001</v>
      </c>
      <c r="BY265" s="7">
        <v>0.1807</v>
      </c>
      <c r="BZ265" s="7">
        <v>0.1797</v>
      </c>
      <c r="CA265" s="7">
        <v>0.1787</v>
      </c>
      <c r="CB265" s="7">
        <v>0.17780000000000001</v>
      </c>
      <c r="CC265" s="7">
        <v>0.17680000000000001</v>
      </c>
      <c r="CD265" s="7">
        <v>0.1759</v>
      </c>
      <c r="CE265" s="7">
        <v>0.17499999999999999</v>
      </c>
      <c r="CF265" s="7">
        <v>0.17399999999999999</v>
      </c>
      <c r="CG265" s="7">
        <v>0.1731</v>
      </c>
      <c r="CH265" s="7">
        <v>0.17219999999999999</v>
      </c>
      <c r="CI265" s="7">
        <v>0.17130000000000001</v>
      </c>
      <c r="CJ265" s="7">
        <v>0.1704</v>
      </c>
      <c r="CK265" s="7">
        <v>0.16950000000000001</v>
      </c>
      <c r="CL265" s="7">
        <v>0.1686</v>
      </c>
      <c r="CM265" s="7">
        <v>0.16769999999999999</v>
      </c>
      <c r="CN265" s="7">
        <v>0.16689999999999999</v>
      </c>
      <c r="CO265" s="7">
        <v>0.16600000000000001</v>
      </c>
      <c r="CP265" s="7">
        <v>0.1651</v>
      </c>
      <c r="CQ265" s="7">
        <v>0.16420000000000001</v>
      </c>
      <c r="CR265" s="7">
        <v>0.1633</v>
      </c>
      <c r="CS265" s="7">
        <v>0.16239999999999999</v>
      </c>
      <c r="CT265" s="7">
        <v>0.1615</v>
      </c>
      <c r="CU265" s="7">
        <v>0.16059999999999999</v>
      </c>
      <c r="CV265" s="7">
        <v>0.15970000000000001</v>
      </c>
      <c r="CW265" s="7">
        <v>0.1588</v>
      </c>
      <c r="CX265" s="7">
        <v>0.15790000000000001</v>
      </c>
      <c r="CY265" s="7">
        <v>0.157</v>
      </c>
      <c r="CZ265" s="7">
        <v>0.15609999999999999</v>
      </c>
      <c r="DA265" s="7">
        <v>0.15509999999999999</v>
      </c>
      <c r="DB265" s="7">
        <v>0.1542</v>
      </c>
      <c r="DC265" s="7">
        <v>0.1532</v>
      </c>
      <c r="DD265" s="7">
        <v>0.15229999999999999</v>
      </c>
      <c r="DE265" s="7">
        <v>0.15129999999999999</v>
      </c>
      <c r="DF265" s="7">
        <v>0.15029999999999999</v>
      </c>
      <c r="DG265" s="7">
        <v>0.14929999999999999</v>
      </c>
      <c r="DH265" s="7">
        <v>0.14829999999999999</v>
      </c>
      <c r="DI265" s="7">
        <v>0.14729999999999999</v>
      </c>
      <c r="DJ265" s="7">
        <v>0.14630000000000001</v>
      </c>
      <c r="DK265" s="7">
        <v>0.14460000000000001</v>
      </c>
      <c r="DL265" s="7">
        <v>0.14280000000000001</v>
      </c>
      <c r="DM265" s="7">
        <v>0.1411</v>
      </c>
      <c r="DN265" s="7">
        <v>0.13930000000000001</v>
      </c>
      <c r="DO265" s="7">
        <v>0.13750000000000001</v>
      </c>
      <c r="DP265" s="7">
        <v>0.13569999999999999</v>
      </c>
      <c r="DQ265" s="7">
        <v>0.13389999999999999</v>
      </c>
      <c r="DR265" s="7">
        <v>0.13200000000000001</v>
      </c>
      <c r="DS265" s="7">
        <v>0.13020000000000001</v>
      </c>
      <c r="DT265" s="7">
        <v>0.12839999999999999</v>
      </c>
      <c r="DU265" s="7">
        <v>0.1265</v>
      </c>
      <c r="DV265" s="7">
        <v>0.1246</v>
      </c>
      <c r="DW265" s="7">
        <v>0.1227</v>
      </c>
      <c r="DX265" s="7">
        <v>0.1208</v>
      </c>
      <c r="DY265" s="7">
        <v>0.11890000000000001</v>
      </c>
      <c r="DZ265" s="7">
        <v>0.11700000000000001</v>
      </c>
      <c r="EA265" s="7">
        <v>0.11509999999999999</v>
      </c>
      <c r="EB265" s="7">
        <v>0.11310000000000001</v>
      </c>
      <c r="EC265" s="7">
        <v>0.11119999999999999</v>
      </c>
      <c r="ED265" s="7">
        <v>0.10920000000000001</v>
      </c>
      <c r="EE265" s="7">
        <v>0.1072</v>
      </c>
      <c r="EF265" s="7">
        <v>0.1053</v>
      </c>
      <c r="EG265" s="7">
        <v>0.1033</v>
      </c>
      <c r="EH265" s="7">
        <v>0.1013</v>
      </c>
      <c r="EI265" s="7">
        <v>9.9299999999999999E-2</v>
      </c>
      <c r="EJ265" s="7">
        <v>9.7299999999999998E-2</v>
      </c>
      <c r="EK265" s="7">
        <v>9.5299999999999996E-2</v>
      </c>
      <c r="EL265" s="7">
        <v>9.3299999999999994E-2</v>
      </c>
      <c r="EM265" s="7">
        <v>9.1300000000000006E-2</v>
      </c>
      <c r="EN265" s="7">
        <v>8.9300000000000004E-2</v>
      </c>
      <c r="EO265" s="7">
        <v>8.7400000000000005E-2</v>
      </c>
      <c r="EP265" s="7">
        <v>8.5400000000000004E-2</v>
      </c>
      <c r="EQ265" s="7">
        <v>8.3400000000000002E-2</v>
      </c>
      <c r="ER265" s="7">
        <v>8.1500000000000003E-2</v>
      </c>
      <c r="ES265" s="7">
        <v>7.9500000000000001E-2</v>
      </c>
      <c r="ET265" s="7">
        <v>7.7600000000000002E-2</v>
      </c>
      <c r="EU265" s="7">
        <v>7.5600000000000001E-2</v>
      </c>
      <c r="EV265" s="7">
        <v>7.3700000000000002E-2</v>
      </c>
      <c r="EW265" s="7">
        <v>7.1800000000000003E-2</v>
      </c>
      <c r="EX265" s="7">
        <v>7.0000000000000007E-2</v>
      </c>
      <c r="EY265" s="7">
        <v>6.8099999999999994E-2</v>
      </c>
      <c r="EZ265" s="7">
        <v>6.6299999999999998E-2</v>
      </c>
      <c r="FA265" s="7">
        <v>6.4399999999999999E-2</v>
      </c>
      <c r="FB265" s="7">
        <v>6.2600000000000003E-2</v>
      </c>
      <c r="FC265" s="7">
        <v>6.08E-2</v>
      </c>
      <c r="FE265" s="50">
        <f t="shared" ca="1" si="26"/>
        <v>0.12232046497399816</v>
      </c>
      <c r="FF265" s="50">
        <f t="shared" ca="1" si="27"/>
        <v>0.12352002563280998</v>
      </c>
      <c r="FG265" s="50">
        <f t="shared" ca="1" si="28"/>
        <v>0.12474409395973154</v>
      </c>
      <c r="FH265" s="50">
        <f t="shared" ca="1" si="29"/>
        <v>0.12601926174496644</v>
      </c>
      <c r="FI265" s="50"/>
      <c r="FJ265" s="50"/>
      <c r="FK265" s="50">
        <f t="shared" ca="1" si="30"/>
        <v>0.12352002563280998</v>
      </c>
      <c r="FL265" s="50"/>
      <c r="FM265" s="50"/>
      <c r="FN265" s="50"/>
    </row>
    <row r="266" spans="49:170" hidden="1">
      <c r="AW266" s="112">
        <v>4.1689999999999996</v>
      </c>
      <c r="AX266" s="7">
        <v>0.21299999999999999</v>
      </c>
      <c r="AY266" s="7">
        <v>0.21149999999999999</v>
      </c>
      <c r="AZ266" s="7">
        <v>0.21</v>
      </c>
      <c r="BA266" s="7">
        <v>0.20860000000000001</v>
      </c>
      <c r="BB266" s="7">
        <v>0.2072</v>
      </c>
      <c r="BC266" s="7">
        <v>0.20580000000000001</v>
      </c>
      <c r="BD266" s="7">
        <v>0.2044</v>
      </c>
      <c r="BE266" s="7">
        <v>0.2031</v>
      </c>
      <c r="BF266" s="7">
        <v>0.20180000000000001</v>
      </c>
      <c r="BG266" s="7">
        <v>0.20050000000000001</v>
      </c>
      <c r="BH266" s="7">
        <v>0.1993</v>
      </c>
      <c r="BI266" s="7">
        <v>0.19800000000000001</v>
      </c>
      <c r="BJ266" s="7">
        <v>0.1968</v>
      </c>
      <c r="BK266" s="7">
        <v>0.1956</v>
      </c>
      <c r="BL266" s="7">
        <v>0.19439999999999999</v>
      </c>
      <c r="BM266" s="7">
        <v>0.1933</v>
      </c>
      <c r="BN266" s="7">
        <v>0.19209999999999999</v>
      </c>
      <c r="BO266" s="7">
        <v>0.191</v>
      </c>
      <c r="BP266" s="7">
        <v>0.18990000000000001</v>
      </c>
      <c r="BQ266" s="7">
        <v>0.1888</v>
      </c>
      <c r="BR266" s="7">
        <v>0.18779999999999999</v>
      </c>
      <c r="BS266" s="7">
        <v>0.1867</v>
      </c>
      <c r="BT266" s="7">
        <v>0.1857</v>
      </c>
      <c r="BU266" s="7">
        <v>0.18459999999999999</v>
      </c>
      <c r="BV266" s="7">
        <v>0.18360000000000001</v>
      </c>
      <c r="BW266" s="7">
        <v>0.18260000000000001</v>
      </c>
      <c r="BX266" s="7">
        <v>0.18160000000000001</v>
      </c>
      <c r="BY266" s="7">
        <v>0.1807</v>
      </c>
      <c r="BZ266" s="7">
        <v>0.1797</v>
      </c>
      <c r="CA266" s="7">
        <v>0.1787</v>
      </c>
      <c r="CB266" s="7">
        <v>0.17780000000000001</v>
      </c>
      <c r="CC266" s="7">
        <v>0.17680000000000001</v>
      </c>
      <c r="CD266" s="7">
        <v>0.1759</v>
      </c>
      <c r="CE266" s="7">
        <v>0.17499999999999999</v>
      </c>
      <c r="CF266" s="7">
        <v>0.17399999999999999</v>
      </c>
      <c r="CG266" s="7">
        <v>0.1731</v>
      </c>
      <c r="CH266" s="7">
        <v>0.17219999999999999</v>
      </c>
      <c r="CI266" s="7">
        <v>0.17130000000000001</v>
      </c>
      <c r="CJ266" s="7">
        <v>0.1704</v>
      </c>
      <c r="CK266" s="7">
        <v>0.16950000000000001</v>
      </c>
      <c r="CL266" s="7">
        <v>0.1686</v>
      </c>
      <c r="CM266" s="7">
        <v>0.16769999999999999</v>
      </c>
      <c r="CN266" s="7">
        <v>0.16689999999999999</v>
      </c>
      <c r="CO266" s="7">
        <v>0.16600000000000001</v>
      </c>
      <c r="CP266" s="7">
        <v>0.1651</v>
      </c>
      <c r="CQ266" s="7">
        <v>0.16420000000000001</v>
      </c>
      <c r="CR266" s="7">
        <v>0.1633</v>
      </c>
      <c r="CS266" s="7">
        <v>0.16239999999999999</v>
      </c>
      <c r="CT266" s="7">
        <v>0.1615</v>
      </c>
      <c r="CU266" s="7">
        <v>0.16059999999999999</v>
      </c>
      <c r="CV266" s="7">
        <v>0.15970000000000001</v>
      </c>
      <c r="CW266" s="7">
        <v>0.1588</v>
      </c>
      <c r="CX266" s="7">
        <v>0.15790000000000001</v>
      </c>
      <c r="CY266" s="7">
        <v>0.157</v>
      </c>
      <c r="CZ266" s="7">
        <v>0.15609999999999999</v>
      </c>
      <c r="DA266" s="7">
        <v>0.15509999999999999</v>
      </c>
      <c r="DB266" s="7">
        <v>0.1542</v>
      </c>
      <c r="DC266" s="7">
        <v>0.1532</v>
      </c>
      <c r="DD266" s="7">
        <v>0.15229999999999999</v>
      </c>
      <c r="DE266" s="7">
        <v>0.15129999999999999</v>
      </c>
      <c r="DF266" s="7">
        <v>0.15029999999999999</v>
      </c>
      <c r="DG266" s="7">
        <v>0.14929999999999999</v>
      </c>
      <c r="DH266" s="7">
        <v>0.14829999999999999</v>
      </c>
      <c r="DI266" s="7">
        <v>0.14729999999999999</v>
      </c>
      <c r="DJ266" s="7">
        <v>0.14630000000000001</v>
      </c>
      <c r="DK266" s="7">
        <v>0.1452</v>
      </c>
      <c r="DL266" s="7">
        <v>0.14349999999999999</v>
      </c>
      <c r="DM266" s="7">
        <v>0.14169999999999999</v>
      </c>
      <c r="DN266" s="7">
        <v>0.1399</v>
      </c>
      <c r="DO266" s="7">
        <v>0.1381</v>
      </c>
      <c r="DP266" s="7">
        <v>0.1363</v>
      </c>
      <c r="DQ266" s="7">
        <v>0.13450000000000001</v>
      </c>
      <c r="DR266" s="7">
        <v>0.13270000000000001</v>
      </c>
      <c r="DS266" s="7">
        <v>0.1308</v>
      </c>
      <c r="DT266" s="7">
        <v>0.129</v>
      </c>
      <c r="DU266" s="7">
        <v>0.12709999999999999</v>
      </c>
      <c r="DV266" s="7">
        <v>0.12520000000000001</v>
      </c>
      <c r="DW266" s="7">
        <v>0.1234</v>
      </c>
      <c r="DX266" s="7">
        <v>0.1215</v>
      </c>
      <c r="DY266" s="7">
        <v>0.1195</v>
      </c>
      <c r="DZ266" s="7">
        <v>0.1176</v>
      </c>
      <c r="EA266" s="7">
        <v>0.1157</v>
      </c>
      <c r="EB266" s="7">
        <v>0.1137</v>
      </c>
      <c r="EC266" s="7">
        <v>0.1118</v>
      </c>
      <c r="ED266" s="7">
        <v>0.10979999999999999</v>
      </c>
      <c r="EE266" s="7">
        <v>0.10780000000000001</v>
      </c>
      <c r="EF266" s="7">
        <v>0.10589999999999999</v>
      </c>
      <c r="EG266" s="7">
        <v>0.10390000000000001</v>
      </c>
      <c r="EH266" s="7">
        <v>0.1019</v>
      </c>
      <c r="EI266" s="7">
        <v>9.9900000000000003E-2</v>
      </c>
      <c r="EJ266" s="7">
        <v>9.7900000000000001E-2</v>
      </c>
      <c r="EK266" s="7">
        <v>9.5899999999999999E-2</v>
      </c>
      <c r="EL266" s="7">
        <v>9.3899999999999997E-2</v>
      </c>
      <c r="EM266" s="7">
        <v>9.1899999999999996E-2</v>
      </c>
      <c r="EN266" s="7">
        <v>8.9899999999999994E-2</v>
      </c>
      <c r="EO266" s="7">
        <v>8.7900000000000006E-2</v>
      </c>
      <c r="EP266" s="7">
        <v>8.5999999999999993E-2</v>
      </c>
      <c r="EQ266" s="7">
        <v>8.4000000000000005E-2</v>
      </c>
      <c r="ER266" s="7">
        <v>8.2000000000000003E-2</v>
      </c>
      <c r="ES266" s="7">
        <v>8.0100000000000005E-2</v>
      </c>
      <c r="ET266" s="7">
        <v>7.8100000000000003E-2</v>
      </c>
      <c r="EU266" s="7">
        <v>7.6200000000000004E-2</v>
      </c>
      <c r="EV266" s="7">
        <v>7.4300000000000005E-2</v>
      </c>
      <c r="EW266" s="7">
        <v>7.2400000000000006E-2</v>
      </c>
      <c r="EX266" s="7">
        <v>7.0499999999999993E-2</v>
      </c>
      <c r="EY266" s="7">
        <v>6.8599999999999994E-2</v>
      </c>
      <c r="EZ266" s="7">
        <v>6.6799999999999998E-2</v>
      </c>
      <c r="FA266" s="7">
        <v>6.5000000000000002E-2</v>
      </c>
      <c r="FB266" s="7">
        <v>6.3100000000000003E-2</v>
      </c>
      <c r="FC266" s="7">
        <v>6.13E-2</v>
      </c>
      <c r="FE266" s="50">
        <f t="shared" ca="1" si="26"/>
        <v>0.12302046497399817</v>
      </c>
      <c r="FF266" s="50">
        <f t="shared" ca="1" si="27"/>
        <v>0.12417686638897789</v>
      </c>
      <c r="FG266" s="50">
        <f t="shared" ca="1" si="28"/>
        <v>0.12534409395973153</v>
      </c>
      <c r="FH266" s="50">
        <f t="shared" ca="1" si="29"/>
        <v>0.12661926174496643</v>
      </c>
      <c r="FI266" s="50"/>
      <c r="FJ266" s="50"/>
      <c r="FK266" s="50">
        <f t="shared" ca="1" si="30"/>
        <v>0.12417686638897789</v>
      </c>
      <c r="FL266" s="50"/>
      <c r="FM266" s="50"/>
      <c r="FN266" s="50"/>
    </row>
    <row r="267" spans="49:170" hidden="1">
      <c r="AW267" s="112">
        <v>4.4669999999999996</v>
      </c>
      <c r="AX267" s="7">
        <v>0.21299999999999999</v>
      </c>
      <c r="AY267" s="7">
        <v>0.21149999999999999</v>
      </c>
      <c r="AZ267" s="7">
        <v>0.21</v>
      </c>
      <c r="BA267" s="7">
        <v>0.20860000000000001</v>
      </c>
      <c r="BB267" s="7">
        <v>0.2072</v>
      </c>
      <c r="BC267" s="7">
        <v>0.20580000000000001</v>
      </c>
      <c r="BD267" s="7">
        <v>0.2044</v>
      </c>
      <c r="BE267" s="7">
        <v>0.2031</v>
      </c>
      <c r="BF267" s="7">
        <v>0.20180000000000001</v>
      </c>
      <c r="BG267" s="7">
        <v>0.20050000000000001</v>
      </c>
      <c r="BH267" s="7">
        <v>0.1993</v>
      </c>
      <c r="BI267" s="7">
        <v>0.19800000000000001</v>
      </c>
      <c r="BJ267" s="7">
        <v>0.1968</v>
      </c>
      <c r="BK267" s="7">
        <v>0.1956</v>
      </c>
      <c r="BL267" s="7">
        <v>0.19439999999999999</v>
      </c>
      <c r="BM267" s="7">
        <v>0.1933</v>
      </c>
      <c r="BN267" s="7">
        <v>0.19209999999999999</v>
      </c>
      <c r="BO267" s="7">
        <v>0.191</v>
      </c>
      <c r="BP267" s="7">
        <v>0.18990000000000001</v>
      </c>
      <c r="BQ267" s="7">
        <v>0.1888</v>
      </c>
      <c r="BR267" s="7">
        <v>0.18779999999999999</v>
      </c>
      <c r="BS267" s="7">
        <v>0.1867</v>
      </c>
      <c r="BT267" s="7">
        <v>0.1857</v>
      </c>
      <c r="BU267" s="7">
        <v>0.18459999999999999</v>
      </c>
      <c r="BV267" s="7">
        <v>0.18360000000000001</v>
      </c>
      <c r="BW267" s="7">
        <v>0.18260000000000001</v>
      </c>
      <c r="BX267" s="7">
        <v>0.18160000000000001</v>
      </c>
      <c r="BY267" s="7">
        <v>0.1807</v>
      </c>
      <c r="BZ267" s="7">
        <v>0.1797</v>
      </c>
      <c r="CA267" s="7">
        <v>0.1787</v>
      </c>
      <c r="CB267" s="7">
        <v>0.17780000000000001</v>
      </c>
      <c r="CC267" s="7">
        <v>0.17680000000000001</v>
      </c>
      <c r="CD267" s="7">
        <v>0.1759</v>
      </c>
      <c r="CE267" s="7">
        <v>0.17499999999999999</v>
      </c>
      <c r="CF267" s="7">
        <v>0.17399999999999999</v>
      </c>
      <c r="CG267" s="7">
        <v>0.1731</v>
      </c>
      <c r="CH267" s="7">
        <v>0.17219999999999999</v>
      </c>
      <c r="CI267" s="7">
        <v>0.17130000000000001</v>
      </c>
      <c r="CJ267" s="7">
        <v>0.1704</v>
      </c>
      <c r="CK267" s="7">
        <v>0.16950000000000001</v>
      </c>
      <c r="CL267" s="7">
        <v>0.1686</v>
      </c>
      <c r="CM267" s="7">
        <v>0.16769999999999999</v>
      </c>
      <c r="CN267" s="7">
        <v>0.16689999999999999</v>
      </c>
      <c r="CO267" s="7">
        <v>0.16600000000000001</v>
      </c>
      <c r="CP267" s="7">
        <v>0.1651</v>
      </c>
      <c r="CQ267" s="7">
        <v>0.16420000000000001</v>
      </c>
      <c r="CR267" s="7">
        <v>0.1633</v>
      </c>
      <c r="CS267" s="7">
        <v>0.16239999999999999</v>
      </c>
      <c r="CT267" s="7">
        <v>0.1615</v>
      </c>
      <c r="CU267" s="7">
        <v>0.16059999999999999</v>
      </c>
      <c r="CV267" s="7">
        <v>0.15970000000000001</v>
      </c>
      <c r="CW267" s="7">
        <v>0.1588</v>
      </c>
      <c r="CX267" s="7">
        <v>0.15790000000000001</v>
      </c>
      <c r="CY267" s="7">
        <v>0.157</v>
      </c>
      <c r="CZ267" s="7">
        <v>0.15609999999999999</v>
      </c>
      <c r="DA267" s="7">
        <v>0.15509999999999999</v>
      </c>
      <c r="DB267" s="7">
        <v>0.1542</v>
      </c>
      <c r="DC267" s="7">
        <v>0.1532</v>
      </c>
      <c r="DD267" s="7">
        <v>0.15229999999999999</v>
      </c>
      <c r="DE267" s="7">
        <v>0.15129999999999999</v>
      </c>
      <c r="DF267" s="7">
        <v>0.15029999999999999</v>
      </c>
      <c r="DG267" s="7">
        <v>0.14929999999999999</v>
      </c>
      <c r="DH267" s="7">
        <v>0.14829999999999999</v>
      </c>
      <c r="DI267" s="7">
        <v>0.14729999999999999</v>
      </c>
      <c r="DJ267" s="7">
        <v>0.14630000000000001</v>
      </c>
      <c r="DK267" s="7">
        <v>0.1452</v>
      </c>
      <c r="DL267" s="7">
        <v>0.14410000000000001</v>
      </c>
      <c r="DM267" s="7">
        <v>0.14230000000000001</v>
      </c>
      <c r="DN267" s="7">
        <v>0.1406</v>
      </c>
      <c r="DO267" s="7">
        <v>0.13880000000000001</v>
      </c>
      <c r="DP267" s="7">
        <v>0.13700000000000001</v>
      </c>
      <c r="DQ267" s="7">
        <v>0.1351</v>
      </c>
      <c r="DR267" s="7">
        <v>0.1333</v>
      </c>
      <c r="DS267" s="7">
        <v>0.13150000000000001</v>
      </c>
      <c r="DT267" s="7">
        <v>0.12959999999999999</v>
      </c>
      <c r="DU267" s="7">
        <v>0.12770000000000001</v>
      </c>
      <c r="DV267" s="7">
        <v>0.12590000000000001</v>
      </c>
      <c r="DW267" s="7">
        <v>0.124</v>
      </c>
      <c r="DX267" s="7">
        <v>0.1221</v>
      </c>
      <c r="DY267" s="7">
        <v>0.1201</v>
      </c>
      <c r="DZ267" s="7">
        <v>0.1182</v>
      </c>
      <c r="EA267" s="7">
        <v>0.1163</v>
      </c>
      <c r="EB267" s="7">
        <v>0.1143</v>
      </c>
      <c r="EC267" s="7">
        <v>0.1124</v>
      </c>
      <c r="ED267" s="7">
        <v>0.1104</v>
      </c>
      <c r="EE267" s="7">
        <v>0.1084</v>
      </c>
      <c r="EF267" s="7">
        <v>0.1065</v>
      </c>
      <c r="EG267" s="7">
        <v>0.1045</v>
      </c>
      <c r="EH267" s="7">
        <v>0.10249999999999999</v>
      </c>
      <c r="EI267" s="7">
        <v>0.10050000000000001</v>
      </c>
      <c r="EJ267" s="7">
        <v>9.8500000000000004E-2</v>
      </c>
      <c r="EK267" s="7">
        <v>9.6500000000000002E-2</v>
      </c>
      <c r="EL267" s="7">
        <v>9.4500000000000001E-2</v>
      </c>
      <c r="EM267" s="7">
        <v>9.2499999999999999E-2</v>
      </c>
      <c r="EN267" s="7">
        <v>9.0499999999999997E-2</v>
      </c>
      <c r="EO267" s="7">
        <v>8.8499999999999995E-2</v>
      </c>
      <c r="EP267" s="7">
        <v>8.6499999999999994E-2</v>
      </c>
      <c r="EQ267" s="7">
        <v>8.4599999999999995E-2</v>
      </c>
      <c r="ER267" s="7">
        <v>8.2600000000000007E-2</v>
      </c>
      <c r="ES267" s="7">
        <v>8.0600000000000005E-2</v>
      </c>
      <c r="ET267" s="7">
        <v>7.8700000000000006E-2</v>
      </c>
      <c r="EU267" s="7">
        <v>7.6799999999999993E-2</v>
      </c>
      <c r="EV267" s="7">
        <v>7.4800000000000005E-2</v>
      </c>
      <c r="EW267" s="7">
        <v>7.2900000000000006E-2</v>
      </c>
      <c r="EX267" s="7">
        <v>7.1099999999999997E-2</v>
      </c>
      <c r="EY267" s="7">
        <v>6.9199999999999998E-2</v>
      </c>
      <c r="EZ267" s="7">
        <v>6.7299999999999999E-2</v>
      </c>
      <c r="FA267" s="7">
        <v>6.5500000000000003E-2</v>
      </c>
      <c r="FB267" s="7">
        <v>6.3700000000000007E-2</v>
      </c>
      <c r="FC267" s="7">
        <v>6.1899999999999997E-2</v>
      </c>
      <c r="FE267" s="50">
        <f t="shared" ca="1" si="26"/>
        <v>0.12362046497399816</v>
      </c>
      <c r="FF267" s="50">
        <f t="shared" ca="1" si="27"/>
        <v>0.12482002563280999</v>
      </c>
      <c r="FG267" s="50">
        <f t="shared" ca="1" si="28"/>
        <v>0.12603651006711411</v>
      </c>
      <c r="FH267" s="50">
        <f t="shared" ca="1" si="29"/>
        <v>0.12724456375838927</v>
      </c>
      <c r="FI267" s="50"/>
      <c r="FJ267" s="50"/>
      <c r="FK267" s="50">
        <f t="shared" ca="1" si="30"/>
        <v>0.12482002563280999</v>
      </c>
      <c r="FL267" s="50"/>
      <c r="FM267" s="50"/>
      <c r="FN267" s="50"/>
    </row>
    <row r="268" spans="49:170" hidden="1">
      <c r="AW268" s="112">
        <v>4.7859999999999996</v>
      </c>
      <c r="AX268" s="7">
        <v>0.21299999999999999</v>
      </c>
      <c r="AY268" s="7">
        <v>0.21149999999999999</v>
      </c>
      <c r="AZ268" s="7">
        <v>0.21</v>
      </c>
      <c r="BA268" s="7">
        <v>0.20860000000000001</v>
      </c>
      <c r="BB268" s="7">
        <v>0.2072</v>
      </c>
      <c r="BC268" s="7">
        <v>0.20580000000000001</v>
      </c>
      <c r="BD268" s="7">
        <v>0.2044</v>
      </c>
      <c r="BE268" s="7">
        <v>0.2031</v>
      </c>
      <c r="BF268" s="7">
        <v>0.20180000000000001</v>
      </c>
      <c r="BG268" s="7">
        <v>0.20050000000000001</v>
      </c>
      <c r="BH268" s="7">
        <v>0.1993</v>
      </c>
      <c r="BI268" s="7">
        <v>0.19800000000000001</v>
      </c>
      <c r="BJ268" s="7">
        <v>0.1968</v>
      </c>
      <c r="BK268" s="7">
        <v>0.1956</v>
      </c>
      <c r="BL268" s="7">
        <v>0.19439999999999999</v>
      </c>
      <c r="BM268" s="7">
        <v>0.1933</v>
      </c>
      <c r="BN268" s="7">
        <v>0.19209999999999999</v>
      </c>
      <c r="BO268" s="7">
        <v>0.191</v>
      </c>
      <c r="BP268" s="7">
        <v>0.18990000000000001</v>
      </c>
      <c r="BQ268" s="7">
        <v>0.1888</v>
      </c>
      <c r="BR268" s="7">
        <v>0.18779999999999999</v>
      </c>
      <c r="BS268" s="7">
        <v>0.1867</v>
      </c>
      <c r="BT268" s="7">
        <v>0.1857</v>
      </c>
      <c r="BU268" s="7">
        <v>0.18459999999999999</v>
      </c>
      <c r="BV268" s="7">
        <v>0.18360000000000001</v>
      </c>
      <c r="BW268" s="7">
        <v>0.18260000000000001</v>
      </c>
      <c r="BX268" s="7">
        <v>0.18160000000000001</v>
      </c>
      <c r="BY268" s="7">
        <v>0.1807</v>
      </c>
      <c r="BZ268" s="7">
        <v>0.1797</v>
      </c>
      <c r="CA268" s="7">
        <v>0.1787</v>
      </c>
      <c r="CB268" s="7">
        <v>0.17780000000000001</v>
      </c>
      <c r="CC268" s="7">
        <v>0.17680000000000001</v>
      </c>
      <c r="CD268" s="7">
        <v>0.1759</v>
      </c>
      <c r="CE268" s="7">
        <v>0.17499999999999999</v>
      </c>
      <c r="CF268" s="7">
        <v>0.17399999999999999</v>
      </c>
      <c r="CG268" s="7">
        <v>0.1731</v>
      </c>
      <c r="CH268" s="7">
        <v>0.17219999999999999</v>
      </c>
      <c r="CI268" s="7">
        <v>0.17130000000000001</v>
      </c>
      <c r="CJ268" s="7">
        <v>0.1704</v>
      </c>
      <c r="CK268" s="7">
        <v>0.16950000000000001</v>
      </c>
      <c r="CL268" s="7">
        <v>0.1686</v>
      </c>
      <c r="CM268" s="7">
        <v>0.16769999999999999</v>
      </c>
      <c r="CN268" s="7">
        <v>0.16689999999999999</v>
      </c>
      <c r="CO268" s="7">
        <v>0.16600000000000001</v>
      </c>
      <c r="CP268" s="7">
        <v>0.1651</v>
      </c>
      <c r="CQ268" s="7">
        <v>0.16420000000000001</v>
      </c>
      <c r="CR268" s="7">
        <v>0.1633</v>
      </c>
      <c r="CS268" s="7">
        <v>0.16239999999999999</v>
      </c>
      <c r="CT268" s="7">
        <v>0.1615</v>
      </c>
      <c r="CU268" s="7">
        <v>0.16059999999999999</v>
      </c>
      <c r="CV268" s="7">
        <v>0.15970000000000001</v>
      </c>
      <c r="CW268" s="7">
        <v>0.1588</v>
      </c>
      <c r="CX268" s="7">
        <v>0.15790000000000001</v>
      </c>
      <c r="CY268" s="7">
        <v>0.157</v>
      </c>
      <c r="CZ268" s="7">
        <v>0.15609999999999999</v>
      </c>
      <c r="DA268" s="7">
        <v>0.15509999999999999</v>
      </c>
      <c r="DB268" s="7">
        <v>0.1542</v>
      </c>
      <c r="DC268" s="7">
        <v>0.1532</v>
      </c>
      <c r="DD268" s="7">
        <v>0.15229999999999999</v>
      </c>
      <c r="DE268" s="7">
        <v>0.15129999999999999</v>
      </c>
      <c r="DF268" s="7">
        <v>0.15029999999999999</v>
      </c>
      <c r="DG268" s="7">
        <v>0.14929999999999999</v>
      </c>
      <c r="DH268" s="7">
        <v>0.14829999999999999</v>
      </c>
      <c r="DI268" s="7">
        <v>0.14729999999999999</v>
      </c>
      <c r="DJ268" s="7">
        <v>0.14630000000000001</v>
      </c>
      <c r="DK268" s="7">
        <v>0.1452</v>
      </c>
      <c r="DL268" s="7">
        <v>0.14419999999999999</v>
      </c>
      <c r="DM268" s="7">
        <v>0.14299999999999999</v>
      </c>
      <c r="DN268" s="7">
        <v>0.14119999999999999</v>
      </c>
      <c r="DO268" s="7">
        <v>0.1394</v>
      </c>
      <c r="DP268" s="7">
        <v>0.1376</v>
      </c>
      <c r="DQ268" s="7">
        <v>0.1358</v>
      </c>
      <c r="DR268" s="7">
        <v>0.13389999999999999</v>
      </c>
      <c r="DS268" s="7">
        <v>0.1321</v>
      </c>
      <c r="DT268" s="7">
        <v>0.13020000000000001</v>
      </c>
      <c r="DU268" s="7">
        <v>0.12839999999999999</v>
      </c>
      <c r="DV268" s="7">
        <v>0.1265</v>
      </c>
      <c r="DW268" s="7">
        <v>0.1246</v>
      </c>
      <c r="DX268" s="7">
        <v>0.1227</v>
      </c>
      <c r="DY268" s="7">
        <v>0.1208</v>
      </c>
      <c r="DZ268" s="7">
        <v>0.1188</v>
      </c>
      <c r="EA268" s="7">
        <v>0.1169</v>
      </c>
      <c r="EB268" s="7">
        <v>0.1149</v>
      </c>
      <c r="EC268" s="7">
        <v>0.113</v>
      </c>
      <c r="ED268" s="7">
        <v>0.111</v>
      </c>
      <c r="EE268" s="7">
        <v>0.109</v>
      </c>
      <c r="EF268" s="7">
        <v>0.107</v>
      </c>
      <c r="EG268" s="7">
        <v>0.105</v>
      </c>
      <c r="EH268" s="7">
        <v>0.1031</v>
      </c>
      <c r="EI268" s="7">
        <v>0.1011</v>
      </c>
      <c r="EJ268" s="7">
        <v>9.9099999999999994E-2</v>
      </c>
      <c r="EK268" s="7">
        <v>9.7100000000000006E-2</v>
      </c>
      <c r="EL268" s="7">
        <v>9.5100000000000004E-2</v>
      </c>
      <c r="EM268" s="7">
        <v>9.3100000000000002E-2</v>
      </c>
      <c r="EN268" s="7">
        <v>9.11E-2</v>
      </c>
      <c r="EO268" s="7">
        <v>8.9099999999999999E-2</v>
      </c>
      <c r="EP268" s="7">
        <v>8.7099999999999997E-2</v>
      </c>
      <c r="EQ268" s="7">
        <v>8.5099999999999995E-2</v>
      </c>
      <c r="ER268" s="7">
        <v>8.3099999999999993E-2</v>
      </c>
      <c r="ES268" s="7">
        <v>8.1199999999999994E-2</v>
      </c>
      <c r="ET268" s="7">
        <v>7.9200000000000007E-2</v>
      </c>
      <c r="EU268" s="7">
        <v>7.7299999999999994E-2</v>
      </c>
      <c r="EV268" s="7">
        <v>7.5399999999999995E-2</v>
      </c>
      <c r="EW268" s="7">
        <v>7.3499999999999996E-2</v>
      </c>
      <c r="EX268" s="7">
        <v>7.1599999999999997E-2</v>
      </c>
      <c r="EY268" s="7">
        <v>6.9699999999999998E-2</v>
      </c>
      <c r="EZ268" s="7">
        <v>6.7900000000000002E-2</v>
      </c>
      <c r="FA268" s="7">
        <v>6.6000000000000003E-2</v>
      </c>
      <c r="FB268" s="7">
        <v>6.4199999999999993E-2</v>
      </c>
      <c r="FC268" s="7">
        <v>6.2399999999999997E-2</v>
      </c>
      <c r="FE268" s="50">
        <f t="shared" ca="1" si="26"/>
        <v>0.12422046497399818</v>
      </c>
      <c r="FF268" s="50">
        <f t="shared" ca="1" si="27"/>
        <v>0.12542002563280999</v>
      </c>
      <c r="FG268" s="50">
        <f t="shared" ca="1" si="28"/>
        <v>0.12664409395973156</v>
      </c>
      <c r="FH268" s="50">
        <f t="shared" ca="1" si="29"/>
        <v>0.12791926174496646</v>
      </c>
      <c r="FI268" s="50"/>
      <c r="FJ268" s="50"/>
      <c r="FK268" s="50">
        <f t="shared" ca="1" si="30"/>
        <v>0.12542002563280999</v>
      </c>
      <c r="FL268" s="50"/>
      <c r="FM268" s="50"/>
      <c r="FN268" s="50"/>
    </row>
    <row r="269" spans="49:170" hidden="1">
      <c r="AW269" s="112">
        <v>5.1289999999999996</v>
      </c>
      <c r="AX269" s="7">
        <v>0.21299999999999999</v>
      </c>
      <c r="AY269" s="7">
        <v>0.21149999999999999</v>
      </c>
      <c r="AZ269" s="7">
        <v>0.21</v>
      </c>
      <c r="BA269" s="7">
        <v>0.20860000000000001</v>
      </c>
      <c r="BB269" s="7">
        <v>0.2072</v>
      </c>
      <c r="BC269" s="7">
        <v>0.20580000000000001</v>
      </c>
      <c r="BD269" s="7">
        <v>0.2044</v>
      </c>
      <c r="BE269" s="7">
        <v>0.2031</v>
      </c>
      <c r="BF269" s="7">
        <v>0.20180000000000001</v>
      </c>
      <c r="BG269" s="7">
        <v>0.20050000000000001</v>
      </c>
      <c r="BH269" s="7">
        <v>0.1993</v>
      </c>
      <c r="BI269" s="7">
        <v>0.19800000000000001</v>
      </c>
      <c r="BJ269" s="7">
        <v>0.1968</v>
      </c>
      <c r="BK269" s="7">
        <v>0.1956</v>
      </c>
      <c r="BL269" s="7">
        <v>0.19439999999999999</v>
      </c>
      <c r="BM269" s="7">
        <v>0.1933</v>
      </c>
      <c r="BN269" s="7">
        <v>0.19209999999999999</v>
      </c>
      <c r="BO269" s="7">
        <v>0.191</v>
      </c>
      <c r="BP269" s="7">
        <v>0.18990000000000001</v>
      </c>
      <c r="BQ269" s="7">
        <v>0.1888</v>
      </c>
      <c r="BR269" s="7">
        <v>0.18779999999999999</v>
      </c>
      <c r="BS269" s="7">
        <v>0.1867</v>
      </c>
      <c r="BT269" s="7">
        <v>0.1857</v>
      </c>
      <c r="BU269" s="7">
        <v>0.18459999999999999</v>
      </c>
      <c r="BV269" s="7">
        <v>0.18360000000000001</v>
      </c>
      <c r="BW269" s="7">
        <v>0.18260000000000001</v>
      </c>
      <c r="BX269" s="7">
        <v>0.18160000000000001</v>
      </c>
      <c r="BY269" s="7">
        <v>0.1807</v>
      </c>
      <c r="BZ269" s="7">
        <v>0.1797</v>
      </c>
      <c r="CA269" s="7">
        <v>0.1787</v>
      </c>
      <c r="CB269" s="7">
        <v>0.17780000000000001</v>
      </c>
      <c r="CC269" s="7">
        <v>0.17680000000000001</v>
      </c>
      <c r="CD269" s="7">
        <v>0.1759</v>
      </c>
      <c r="CE269" s="7">
        <v>0.17499999999999999</v>
      </c>
      <c r="CF269" s="7">
        <v>0.17399999999999999</v>
      </c>
      <c r="CG269" s="7">
        <v>0.1731</v>
      </c>
      <c r="CH269" s="7">
        <v>0.17219999999999999</v>
      </c>
      <c r="CI269" s="7">
        <v>0.17130000000000001</v>
      </c>
      <c r="CJ269" s="7">
        <v>0.1704</v>
      </c>
      <c r="CK269" s="7">
        <v>0.16950000000000001</v>
      </c>
      <c r="CL269" s="7">
        <v>0.1686</v>
      </c>
      <c r="CM269" s="7">
        <v>0.16769999999999999</v>
      </c>
      <c r="CN269" s="7">
        <v>0.16689999999999999</v>
      </c>
      <c r="CO269" s="7">
        <v>0.16600000000000001</v>
      </c>
      <c r="CP269" s="7">
        <v>0.1651</v>
      </c>
      <c r="CQ269" s="7">
        <v>0.16420000000000001</v>
      </c>
      <c r="CR269" s="7">
        <v>0.1633</v>
      </c>
      <c r="CS269" s="7">
        <v>0.16239999999999999</v>
      </c>
      <c r="CT269" s="7">
        <v>0.1615</v>
      </c>
      <c r="CU269" s="7">
        <v>0.16059999999999999</v>
      </c>
      <c r="CV269" s="7">
        <v>0.15970000000000001</v>
      </c>
      <c r="CW269" s="7">
        <v>0.1588</v>
      </c>
      <c r="CX269" s="7">
        <v>0.15790000000000001</v>
      </c>
      <c r="CY269" s="7">
        <v>0.157</v>
      </c>
      <c r="CZ269" s="7">
        <v>0.15609999999999999</v>
      </c>
      <c r="DA269" s="7">
        <v>0.15509999999999999</v>
      </c>
      <c r="DB269" s="7">
        <v>0.1542</v>
      </c>
      <c r="DC269" s="7">
        <v>0.1532</v>
      </c>
      <c r="DD269" s="7">
        <v>0.15229999999999999</v>
      </c>
      <c r="DE269" s="7">
        <v>0.15129999999999999</v>
      </c>
      <c r="DF269" s="7">
        <v>0.15029999999999999</v>
      </c>
      <c r="DG269" s="7">
        <v>0.14929999999999999</v>
      </c>
      <c r="DH269" s="7">
        <v>0.14829999999999999</v>
      </c>
      <c r="DI269" s="7">
        <v>0.14729999999999999</v>
      </c>
      <c r="DJ269" s="7">
        <v>0.14630000000000001</v>
      </c>
      <c r="DK269" s="7">
        <v>0.1452</v>
      </c>
      <c r="DL269" s="7">
        <v>0.14419999999999999</v>
      </c>
      <c r="DM269" s="7">
        <v>0.1431</v>
      </c>
      <c r="DN269" s="7">
        <v>0.14180000000000001</v>
      </c>
      <c r="DO269" s="7">
        <v>0.14000000000000001</v>
      </c>
      <c r="DP269" s="7">
        <v>0.13819999999999999</v>
      </c>
      <c r="DQ269" s="7">
        <v>0.13639999999999999</v>
      </c>
      <c r="DR269" s="7">
        <v>0.1346</v>
      </c>
      <c r="DS269" s="7">
        <v>0.13270000000000001</v>
      </c>
      <c r="DT269" s="7">
        <v>0.1308</v>
      </c>
      <c r="DU269" s="7">
        <v>0.129</v>
      </c>
      <c r="DV269" s="7">
        <v>0.12709999999999999</v>
      </c>
      <c r="DW269" s="7">
        <v>0.12520000000000001</v>
      </c>
      <c r="DX269" s="7">
        <v>0.12330000000000001</v>
      </c>
      <c r="DY269" s="7">
        <v>0.12139999999999999</v>
      </c>
      <c r="DZ269" s="7">
        <v>0.11940000000000001</v>
      </c>
      <c r="EA269" s="7">
        <v>0.11749999999999999</v>
      </c>
      <c r="EB269" s="7">
        <v>0.11550000000000001</v>
      </c>
      <c r="EC269" s="7">
        <v>0.11360000000000001</v>
      </c>
      <c r="ED269" s="7">
        <v>0.1116</v>
      </c>
      <c r="EE269" s="7">
        <v>0.1096</v>
      </c>
      <c r="EF269" s="7">
        <v>0.1076</v>
      </c>
      <c r="EG269" s="7">
        <v>0.1056</v>
      </c>
      <c r="EH269" s="7">
        <v>0.1036</v>
      </c>
      <c r="EI269" s="7">
        <v>0.1016</v>
      </c>
      <c r="EJ269" s="7">
        <v>9.9599999999999994E-2</v>
      </c>
      <c r="EK269" s="7">
        <v>9.7600000000000006E-2</v>
      </c>
      <c r="EL269" s="7">
        <v>9.5600000000000004E-2</v>
      </c>
      <c r="EM269" s="7">
        <v>9.3600000000000003E-2</v>
      </c>
      <c r="EN269" s="7">
        <v>9.1600000000000001E-2</v>
      </c>
      <c r="EO269" s="7">
        <v>8.9599999999999999E-2</v>
      </c>
      <c r="EP269" s="7">
        <v>8.7599999999999997E-2</v>
      </c>
      <c r="EQ269" s="7">
        <v>8.5699999999999998E-2</v>
      </c>
      <c r="ER269" s="7">
        <v>8.3699999999999997E-2</v>
      </c>
      <c r="ES269" s="7">
        <v>8.1699999999999995E-2</v>
      </c>
      <c r="ET269" s="7">
        <v>7.9799999999999996E-2</v>
      </c>
      <c r="EU269" s="7">
        <v>7.7899999999999997E-2</v>
      </c>
      <c r="EV269" s="7">
        <v>7.5899999999999995E-2</v>
      </c>
      <c r="EW269" s="7">
        <v>7.3999999999999996E-2</v>
      </c>
      <c r="EX269" s="7">
        <v>7.2099999999999997E-2</v>
      </c>
      <c r="EY269" s="7">
        <v>7.0300000000000001E-2</v>
      </c>
      <c r="EZ269" s="7">
        <v>6.8400000000000002E-2</v>
      </c>
      <c r="FA269" s="7">
        <v>6.6600000000000006E-2</v>
      </c>
      <c r="FB269" s="7">
        <v>6.4699999999999994E-2</v>
      </c>
      <c r="FC269" s="7">
        <v>6.2899999999999998E-2</v>
      </c>
      <c r="FE269" s="50">
        <f t="shared" ca="1" si="26"/>
        <v>0.12482046497399817</v>
      </c>
      <c r="FF269" s="50">
        <f t="shared" ca="1" si="27"/>
        <v>0.12602002563280998</v>
      </c>
      <c r="FG269" s="50">
        <f t="shared" ca="1" si="28"/>
        <v>0.12724409395973152</v>
      </c>
      <c r="FH269" s="50">
        <f t="shared" ca="1" si="29"/>
        <v>0.12851926174496645</v>
      </c>
      <c r="FI269" s="50"/>
      <c r="FJ269" s="50"/>
      <c r="FK269" s="50">
        <f t="shared" ca="1" si="30"/>
        <v>0.12602002563280998</v>
      </c>
      <c r="FL269" s="50"/>
      <c r="FM269" s="50"/>
      <c r="FN269" s="50"/>
    </row>
    <row r="270" spans="49:170" hidden="1">
      <c r="AW270" s="112">
        <v>5.4950000000000001</v>
      </c>
      <c r="AX270" s="7">
        <v>0.21299999999999999</v>
      </c>
      <c r="AY270" s="7">
        <v>0.21149999999999999</v>
      </c>
      <c r="AZ270" s="7">
        <v>0.21</v>
      </c>
      <c r="BA270" s="7">
        <v>0.20860000000000001</v>
      </c>
      <c r="BB270" s="7">
        <v>0.2072</v>
      </c>
      <c r="BC270" s="7">
        <v>0.20580000000000001</v>
      </c>
      <c r="BD270" s="7">
        <v>0.2044</v>
      </c>
      <c r="BE270" s="7">
        <v>0.2031</v>
      </c>
      <c r="BF270" s="7">
        <v>0.20180000000000001</v>
      </c>
      <c r="BG270" s="7">
        <v>0.20050000000000001</v>
      </c>
      <c r="BH270" s="7">
        <v>0.1993</v>
      </c>
      <c r="BI270" s="7">
        <v>0.19800000000000001</v>
      </c>
      <c r="BJ270" s="7">
        <v>0.1968</v>
      </c>
      <c r="BK270" s="7">
        <v>0.1956</v>
      </c>
      <c r="BL270" s="7">
        <v>0.19439999999999999</v>
      </c>
      <c r="BM270" s="7">
        <v>0.1933</v>
      </c>
      <c r="BN270" s="7">
        <v>0.19209999999999999</v>
      </c>
      <c r="BO270" s="7">
        <v>0.191</v>
      </c>
      <c r="BP270" s="7">
        <v>0.18990000000000001</v>
      </c>
      <c r="BQ270" s="7">
        <v>0.1888</v>
      </c>
      <c r="BR270" s="7">
        <v>0.18779999999999999</v>
      </c>
      <c r="BS270" s="7">
        <v>0.1867</v>
      </c>
      <c r="BT270" s="7">
        <v>0.1857</v>
      </c>
      <c r="BU270" s="7">
        <v>0.18459999999999999</v>
      </c>
      <c r="BV270" s="7">
        <v>0.18360000000000001</v>
      </c>
      <c r="BW270" s="7">
        <v>0.18260000000000001</v>
      </c>
      <c r="BX270" s="7">
        <v>0.18160000000000001</v>
      </c>
      <c r="BY270" s="7">
        <v>0.1807</v>
      </c>
      <c r="BZ270" s="7">
        <v>0.1797</v>
      </c>
      <c r="CA270" s="7">
        <v>0.1787</v>
      </c>
      <c r="CB270" s="7">
        <v>0.17780000000000001</v>
      </c>
      <c r="CC270" s="7">
        <v>0.17680000000000001</v>
      </c>
      <c r="CD270" s="7">
        <v>0.1759</v>
      </c>
      <c r="CE270" s="7">
        <v>0.17499999999999999</v>
      </c>
      <c r="CF270" s="7">
        <v>0.17399999999999999</v>
      </c>
      <c r="CG270" s="7">
        <v>0.1731</v>
      </c>
      <c r="CH270" s="7">
        <v>0.17219999999999999</v>
      </c>
      <c r="CI270" s="7">
        <v>0.17130000000000001</v>
      </c>
      <c r="CJ270" s="7">
        <v>0.1704</v>
      </c>
      <c r="CK270" s="7">
        <v>0.16950000000000001</v>
      </c>
      <c r="CL270" s="7">
        <v>0.1686</v>
      </c>
      <c r="CM270" s="7">
        <v>0.16769999999999999</v>
      </c>
      <c r="CN270" s="7">
        <v>0.16689999999999999</v>
      </c>
      <c r="CO270" s="7">
        <v>0.16600000000000001</v>
      </c>
      <c r="CP270" s="7">
        <v>0.1651</v>
      </c>
      <c r="CQ270" s="7">
        <v>0.16420000000000001</v>
      </c>
      <c r="CR270" s="7">
        <v>0.1633</v>
      </c>
      <c r="CS270" s="7">
        <v>0.16239999999999999</v>
      </c>
      <c r="CT270" s="7">
        <v>0.1615</v>
      </c>
      <c r="CU270" s="7">
        <v>0.16059999999999999</v>
      </c>
      <c r="CV270" s="7">
        <v>0.15970000000000001</v>
      </c>
      <c r="CW270" s="7">
        <v>0.1588</v>
      </c>
      <c r="CX270" s="7">
        <v>0.15790000000000001</v>
      </c>
      <c r="CY270" s="7">
        <v>0.157</v>
      </c>
      <c r="CZ270" s="7">
        <v>0.15609999999999999</v>
      </c>
      <c r="DA270" s="7">
        <v>0.15509999999999999</v>
      </c>
      <c r="DB270" s="7">
        <v>0.1542</v>
      </c>
      <c r="DC270" s="7">
        <v>0.1532</v>
      </c>
      <c r="DD270" s="7">
        <v>0.15229999999999999</v>
      </c>
      <c r="DE270" s="7">
        <v>0.15129999999999999</v>
      </c>
      <c r="DF270" s="7">
        <v>0.15029999999999999</v>
      </c>
      <c r="DG270" s="7">
        <v>0.14929999999999999</v>
      </c>
      <c r="DH270" s="7">
        <v>0.14829999999999999</v>
      </c>
      <c r="DI270" s="7">
        <v>0.14729999999999999</v>
      </c>
      <c r="DJ270" s="7">
        <v>0.14630000000000001</v>
      </c>
      <c r="DK270" s="7">
        <v>0.1452</v>
      </c>
      <c r="DL270" s="7">
        <v>0.14419999999999999</v>
      </c>
      <c r="DM270" s="7">
        <v>0.1431</v>
      </c>
      <c r="DN270" s="7">
        <v>0.14199999999999999</v>
      </c>
      <c r="DO270" s="7">
        <v>0.1406</v>
      </c>
      <c r="DP270" s="7">
        <v>0.13880000000000001</v>
      </c>
      <c r="DQ270" s="7">
        <v>0.13700000000000001</v>
      </c>
      <c r="DR270" s="7">
        <v>0.13519999999999999</v>
      </c>
      <c r="DS270" s="7">
        <v>0.1333</v>
      </c>
      <c r="DT270" s="7">
        <v>0.13150000000000001</v>
      </c>
      <c r="DU270" s="7">
        <v>0.12959999999999999</v>
      </c>
      <c r="DV270" s="7">
        <v>0.12770000000000001</v>
      </c>
      <c r="DW270" s="7">
        <v>0.1258</v>
      </c>
      <c r="DX270" s="7">
        <v>0.1239</v>
      </c>
      <c r="DY270" s="7">
        <v>0.122</v>
      </c>
      <c r="DZ270" s="7">
        <v>0.12</v>
      </c>
      <c r="EA270" s="7">
        <v>0.1181</v>
      </c>
      <c r="EB270" s="7">
        <v>0.11609999999999999</v>
      </c>
      <c r="EC270" s="7">
        <v>0.11409999999999999</v>
      </c>
      <c r="ED270" s="7">
        <v>0.11219999999999999</v>
      </c>
      <c r="EE270" s="7">
        <v>0.11020000000000001</v>
      </c>
      <c r="EF270" s="7">
        <v>0.1082</v>
      </c>
      <c r="EG270" s="7">
        <v>0.1062</v>
      </c>
      <c r="EH270" s="7">
        <v>0.1042</v>
      </c>
      <c r="EI270" s="7">
        <v>0.1022</v>
      </c>
      <c r="EJ270" s="7">
        <v>0.1002</v>
      </c>
      <c r="EK270" s="7">
        <v>9.8199999999999996E-2</v>
      </c>
      <c r="EL270" s="7">
        <v>9.6199999999999994E-2</v>
      </c>
      <c r="EM270" s="7">
        <v>9.4200000000000006E-2</v>
      </c>
      <c r="EN270" s="7">
        <v>9.2200000000000004E-2</v>
      </c>
      <c r="EO270" s="7">
        <v>9.0200000000000002E-2</v>
      </c>
      <c r="EP270" s="7">
        <v>8.8200000000000001E-2</v>
      </c>
      <c r="EQ270" s="7">
        <v>8.6199999999999999E-2</v>
      </c>
      <c r="ER270" s="7">
        <v>8.4199999999999997E-2</v>
      </c>
      <c r="ES270" s="7">
        <v>8.2299999999999998E-2</v>
      </c>
      <c r="ET270" s="7">
        <v>8.0299999999999996E-2</v>
      </c>
      <c r="EU270" s="7">
        <v>7.8399999999999997E-2</v>
      </c>
      <c r="EV270" s="7">
        <v>7.6499999999999999E-2</v>
      </c>
      <c r="EW270" s="7">
        <v>7.46E-2</v>
      </c>
      <c r="EX270" s="7">
        <v>7.2700000000000001E-2</v>
      </c>
      <c r="EY270" s="7">
        <v>7.0800000000000002E-2</v>
      </c>
      <c r="EZ270" s="7">
        <v>6.8900000000000003E-2</v>
      </c>
      <c r="FA270" s="7">
        <v>6.7100000000000007E-2</v>
      </c>
      <c r="FB270" s="7">
        <v>6.5299999999999997E-2</v>
      </c>
      <c r="FC270" s="7">
        <v>6.3399999999999998E-2</v>
      </c>
      <c r="FE270" s="50">
        <f t="shared" ca="1" si="26"/>
        <v>0.12542046497399817</v>
      </c>
      <c r="FF270" s="50">
        <f t="shared" ca="1" si="27"/>
        <v>0.12662002563281</v>
      </c>
      <c r="FG270" s="50">
        <f t="shared" ca="1" si="28"/>
        <v>0.12784409395973154</v>
      </c>
      <c r="FH270" s="50">
        <f t="shared" ca="1" si="29"/>
        <v>0.12911926174496643</v>
      </c>
      <c r="FI270" s="50"/>
      <c r="FJ270" s="50"/>
      <c r="FK270" s="50">
        <f t="shared" ca="1" si="30"/>
        <v>0.12662002563281</v>
      </c>
      <c r="FL270" s="50"/>
      <c r="FM270" s="50"/>
      <c r="FN270" s="50"/>
    </row>
    <row r="271" spans="49:170" hidden="1">
      <c r="AW271" s="112">
        <v>5.8879999999999999</v>
      </c>
      <c r="AX271" s="7">
        <v>0.21299999999999999</v>
      </c>
      <c r="AY271" s="7">
        <v>0.21149999999999999</v>
      </c>
      <c r="AZ271" s="7">
        <v>0.21</v>
      </c>
      <c r="BA271" s="7">
        <v>0.20860000000000001</v>
      </c>
      <c r="BB271" s="7">
        <v>0.2072</v>
      </c>
      <c r="BC271" s="7">
        <v>0.20580000000000001</v>
      </c>
      <c r="BD271" s="7">
        <v>0.2044</v>
      </c>
      <c r="BE271" s="7">
        <v>0.2031</v>
      </c>
      <c r="BF271" s="7">
        <v>0.20180000000000001</v>
      </c>
      <c r="BG271" s="7">
        <v>0.20050000000000001</v>
      </c>
      <c r="BH271" s="7">
        <v>0.1993</v>
      </c>
      <c r="BI271" s="7">
        <v>0.19800000000000001</v>
      </c>
      <c r="BJ271" s="7">
        <v>0.1968</v>
      </c>
      <c r="BK271" s="7">
        <v>0.1956</v>
      </c>
      <c r="BL271" s="7">
        <v>0.19439999999999999</v>
      </c>
      <c r="BM271" s="7">
        <v>0.1933</v>
      </c>
      <c r="BN271" s="7">
        <v>0.19209999999999999</v>
      </c>
      <c r="BO271" s="7">
        <v>0.191</v>
      </c>
      <c r="BP271" s="7">
        <v>0.18990000000000001</v>
      </c>
      <c r="BQ271" s="7">
        <v>0.1888</v>
      </c>
      <c r="BR271" s="7">
        <v>0.18779999999999999</v>
      </c>
      <c r="BS271" s="7">
        <v>0.1867</v>
      </c>
      <c r="BT271" s="7">
        <v>0.1857</v>
      </c>
      <c r="BU271" s="7">
        <v>0.18459999999999999</v>
      </c>
      <c r="BV271" s="7">
        <v>0.18360000000000001</v>
      </c>
      <c r="BW271" s="7">
        <v>0.18260000000000001</v>
      </c>
      <c r="BX271" s="7">
        <v>0.18160000000000001</v>
      </c>
      <c r="BY271" s="7">
        <v>0.1807</v>
      </c>
      <c r="BZ271" s="7">
        <v>0.1797</v>
      </c>
      <c r="CA271" s="7">
        <v>0.1787</v>
      </c>
      <c r="CB271" s="7">
        <v>0.17780000000000001</v>
      </c>
      <c r="CC271" s="7">
        <v>0.17680000000000001</v>
      </c>
      <c r="CD271" s="7">
        <v>0.1759</v>
      </c>
      <c r="CE271" s="7">
        <v>0.17499999999999999</v>
      </c>
      <c r="CF271" s="7">
        <v>0.17399999999999999</v>
      </c>
      <c r="CG271" s="7">
        <v>0.1731</v>
      </c>
      <c r="CH271" s="7">
        <v>0.17219999999999999</v>
      </c>
      <c r="CI271" s="7">
        <v>0.17130000000000001</v>
      </c>
      <c r="CJ271" s="7">
        <v>0.1704</v>
      </c>
      <c r="CK271" s="7">
        <v>0.16950000000000001</v>
      </c>
      <c r="CL271" s="7">
        <v>0.1686</v>
      </c>
      <c r="CM271" s="7">
        <v>0.16769999999999999</v>
      </c>
      <c r="CN271" s="7">
        <v>0.16689999999999999</v>
      </c>
      <c r="CO271" s="7">
        <v>0.16600000000000001</v>
      </c>
      <c r="CP271" s="7">
        <v>0.1651</v>
      </c>
      <c r="CQ271" s="7">
        <v>0.16420000000000001</v>
      </c>
      <c r="CR271" s="7">
        <v>0.1633</v>
      </c>
      <c r="CS271" s="7">
        <v>0.16239999999999999</v>
      </c>
      <c r="CT271" s="7">
        <v>0.1615</v>
      </c>
      <c r="CU271" s="7">
        <v>0.16059999999999999</v>
      </c>
      <c r="CV271" s="7">
        <v>0.15970000000000001</v>
      </c>
      <c r="CW271" s="7">
        <v>0.1588</v>
      </c>
      <c r="CX271" s="7">
        <v>0.15790000000000001</v>
      </c>
      <c r="CY271" s="7">
        <v>0.157</v>
      </c>
      <c r="CZ271" s="7">
        <v>0.15609999999999999</v>
      </c>
      <c r="DA271" s="7">
        <v>0.15509999999999999</v>
      </c>
      <c r="DB271" s="7">
        <v>0.1542</v>
      </c>
      <c r="DC271" s="7">
        <v>0.1532</v>
      </c>
      <c r="DD271" s="7">
        <v>0.15229999999999999</v>
      </c>
      <c r="DE271" s="7">
        <v>0.15129999999999999</v>
      </c>
      <c r="DF271" s="7">
        <v>0.15029999999999999</v>
      </c>
      <c r="DG271" s="7">
        <v>0.14929999999999999</v>
      </c>
      <c r="DH271" s="7">
        <v>0.14829999999999999</v>
      </c>
      <c r="DI271" s="7">
        <v>0.14729999999999999</v>
      </c>
      <c r="DJ271" s="7">
        <v>0.14630000000000001</v>
      </c>
      <c r="DK271" s="7">
        <v>0.1452</v>
      </c>
      <c r="DL271" s="7">
        <v>0.14419999999999999</v>
      </c>
      <c r="DM271" s="7">
        <v>0.1431</v>
      </c>
      <c r="DN271" s="7">
        <v>0.14199999999999999</v>
      </c>
      <c r="DO271" s="7">
        <v>0.1409</v>
      </c>
      <c r="DP271" s="7">
        <v>0.1394</v>
      </c>
      <c r="DQ271" s="7">
        <v>0.1376</v>
      </c>
      <c r="DR271" s="7">
        <v>0.1358</v>
      </c>
      <c r="DS271" s="7">
        <v>0.13389999999999999</v>
      </c>
      <c r="DT271" s="7">
        <v>0.1321</v>
      </c>
      <c r="DU271" s="7">
        <v>0.13020000000000001</v>
      </c>
      <c r="DV271" s="7">
        <v>0.1283</v>
      </c>
      <c r="DW271" s="7">
        <v>0.12640000000000001</v>
      </c>
      <c r="DX271" s="7">
        <v>0.1245</v>
      </c>
      <c r="DY271" s="7">
        <v>0.1225</v>
      </c>
      <c r="DZ271" s="7">
        <v>0.1206</v>
      </c>
      <c r="EA271" s="7">
        <v>0.1187</v>
      </c>
      <c r="EB271" s="7">
        <v>0.1167</v>
      </c>
      <c r="EC271" s="7">
        <v>0.1147</v>
      </c>
      <c r="ED271" s="7">
        <v>0.11269999999999999</v>
      </c>
      <c r="EE271" s="7">
        <v>0.1108</v>
      </c>
      <c r="EF271" s="7">
        <v>0.10879999999999999</v>
      </c>
      <c r="EG271" s="7">
        <v>0.10680000000000001</v>
      </c>
      <c r="EH271" s="7">
        <v>0.1048</v>
      </c>
      <c r="EI271" s="7">
        <v>0.1028</v>
      </c>
      <c r="EJ271" s="7">
        <v>0.1008</v>
      </c>
      <c r="EK271" s="7">
        <v>9.8699999999999996E-2</v>
      </c>
      <c r="EL271" s="7">
        <v>9.6699999999999994E-2</v>
      </c>
      <c r="EM271" s="7">
        <v>9.4700000000000006E-2</v>
      </c>
      <c r="EN271" s="7">
        <v>9.2700000000000005E-2</v>
      </c>
      <c r="EO271" s="7">
        <v>9.0700000000000003E-2</v>
      </c>
      <c r="EP271" s="7">
        <v>8.8700000000000001E-2</v>
      </c>
      <c r="EQ271" s="7">
        <v>8.6800000000000002E-2</v>
      </c>
      <c r="ER271" s="7">
        <v>8.48E-2</v>
      </c>
      <c r="ES271" s="7">
        <v>8.2799999999999999E-2</v>
      </c>
      <c r="ET271" s="7">
        <v>8.09E-2</v>
      </c>
      <c r="EU271" s="7">
        <v>7.8899999999999998E-2</v>
      </c>
      <c r="EV271" s="7">
        <v>7.6999999999999999E-2</v>
      </c>
      <c r="EW271" s="7">
        <v>7.51E-2</v>
      </c>
      <c r="EX271" s="7">
        <v>7.3200000000000001E-2</v>
      </c>
      <c r="EY271" s="7">
        <v>7.1300000000000002E-2</v>
      </c>
      <c r="EZ271" s="7">
        <v>6.9500000000000006E-2</v>
      </c>
      <c r="FA271" s="7">
        <v>6.7599999999999993E-2</v>
      </c>
      <c r="FB271" s="7">
        <v>6.5799999999999997E-2</v>
      </c>
      <c r="FC271" s="7">
        <v>6.4000000000000001E-2</v>
      </c>
      <c r="FE271" s="50">
        <f t="shared" ca="1" si="26"/>
        <v>0.12602046497399819</v>
      </c>
      <c r="FF271" s="50">
        <f t="shared" ca="1" si="27"/>
        <v>0.12722002563281001</v>
      </c>
      <c r="FG271" s="50">
        <f t="shared" ca="1" si="28"/>
        <v>0.12844409395973153</v>
      </c>
      <c r="FH271" s="50">
        <f t="shared" ca="1" si="29"/>
        <v>0.12971926174496645</v>
      </c>
      <c r="FI271" s="50"/>
      <c r="FJ271" s="50"/>
      <c r="FK271" s="50">
        <f t="shared" ca="1" si="30"/>
        <v>0.12722002563281001</v>
      </c>
      <c r="FL271" s="50"/>
      <c r="FM271" s="50"/>
      <c r="FN271" s="50"/>
    </row>
    <row r="272" spans="49:170" hidden="1">
      <c r="AW272" s="112">
        <v>6.31</v>
      </c>
      <c r="AX272" s="7">
        <v>0.21299999999999999</v>
      </c>
      <c r="AY272" s="7">
        <v>0.21149999999999999</v>
      </c>
      <c r="AZ272" s="7">
        <v>0.21</v>
      </c>
      <c r="BA272" s="7">
        <v>0.20860000000000001</v>
      </c>
      <c r="BB272" s="7">
        <v>0.2072</v>
      </c>
      <c r="BC272" s="7">
        <v>0.20580000000000001</v>
      </c>
      <c r="BD272" s="7">
        <v>0.2044</v>
      </c>
      <c r="BE272" s="7">
        <v>0.2031</v>
      </c>
      <c r="BF272" s="7">
        <v>0.20180000000000001</v>
      </c>
      <c r="BG272" s="7">
        <v>0.20050000000000001</v>
      </c>
      <c r="BH272" s="7">
        <v>0.1993</v>
      </c>
      <c r="BI272" s="7">
        <v>0.19800000000000001</v>
      </c>
      <c r="BJ272" s="7">
        <v>0.1968</v>
      </c>
      <c r="BK272" s="7">
        <v>0.1956</v>
      </c>
      <c r="BL272" s="7">
        <v>0.19439999999999999</v>
      </c>
      <c r="BM272" s="7">
        <v>0.1933</v>
      </c>
      <c r="BN272" s="7">
        <v>0.19209999999999999</v>
      </c>
      <c r="BO272" s="7">
        <v>0.191</v>
      </c>
      <c r="BP272" s="7">
        <v>0.18990000000000001</v>
      </c>
      <c r="BQ272" s="7">
        <v>0.1888</v>
      </c>
      <c r="BR272" s="7">
        <v>0.18779999999999999</v>
      </c>
      <c r="BS272" s="7">
        <v>0.1867</v>
      </c>
      <c r="BT272" s="7">
        <v>0.1857</v>
      </c>
      <c r="BU272" s="7">
        <v>0.18459999999999999</v>
      </c>
      <c r="BV272" s="7">
        <v>0.18360000000000001</v>
      </c>
      <c r="BW272" s="7">
        <v>0.18260000000000001</v>
      </c>
      <c r="BX272" s="7">
        <v>0.18160000000000001</v>
      </c>
      <c r="BY272" s="7">
        <v>0.1807</v>
      </c>
      <c r="BZ272" s="7">
        <v>0.1797</v>
      </c>
      <c r="CA272" s="7">
        <v>0.1787</v>
      </c>
      <c r="CB272" s="7">
        <v>0.17780000000000001</v>
      </c>
      <c r="CC272" s="7">
        <v>0.17680000000000001</v>
      </c>
      <c r="CD272" s="7">
        <v>0.1759</v>
      </c>
      <c r="CE272" s="7">
        <v>0.17499999999999999</v>
      </c>
      <c r="CF272" s="7">
        <v>0.17399999999999999</v>
      </c>
      <c r="CG272" s="7">
        <v>0.1731</v>
      </c>
      <c r="CH272" s="7">
        <v>0.17219999999999999</v>
      </c>
      <c r="CI272" s="7">
        <v>0.17130000000000001</v>
      </c>
      <c r="CJ272" s="7">
        <v>0.1704</v>
      </c>
      <c r="CK272" s="7">
        <v>0.16950000000000001</v>
      </c>
      <c r="CL272" s="7">
        <v>0.1686</v>
      </c>
      <c r="CM272" s="7">
        <v>0.16769999999999999</v>
      </c>
      <c r="CN272" s="7">
        <v>0.16689999999999999</v>
      </c>
      <c r="CO272" s="7">
        <v>0.16600000000000001</v>
      </c>
      <c r="CP272" s="7">
        <v>0.1651</v>
      </c>
      <c r="CQ272" s="7">
        <v>0.16420000000000001</v>
      </c>
      <c r="CR272" s="7">
        <v>0.1633</v>
      </c>
      <c r="CS272" s="7">
        <v>0.16239999999999999</v>
      </c>
      <c r="CT272" s="7">
        <v>0.1615</v>
      </c>
      <c r="CU272" s="7">
        <v>0.16059999999999999</v>
      </c>
      <c r="CV272" s="7">
        <v>0.15970000000000001</v>
      </c>
      <c r="CW272" s="7">
        <v>0.1588</v>
      </c>
      <c r="CX272" s="7">
        <v>0.15790000000000001</v>
      </c>
      <c r="CY272" s="7">
        <v>0.157</v>
      </c>
      <c r="CZ272" s="7">
        <v>0.15609999999999999</v>
      </c>
      <c r="DA272" s="7">
        <v>0.15509999999999999</v>
      </c>
      <c r="DB272" s="7">
        <v>0.1542</v>
      </c>
      <c r="DC272" s="7">
        <v>0.1532</v>
      </c>
      <c r="DD272" s="7">
        <v>0.15229999999999999</v>
      </c>
      <c r="DE272" s="7">
        <v>0.15129999999999999</v>
      </c>
      <c r="DF272" s="7">
        <v>0.15029999999999999</v>
      </c>
      <c r="DG272" s="7">
        <v>0.14929999999999999</v>
      </c>
      <c r="DH272" s="7">
        <v>0.14829999999999999</v>
      </c>
      <c r="DI272" s="7">
        <v>0.14729999999999999</v>
      </c>
      <c r="DJ272" s="7">
        <v>0.14630000000000001</v>
      </c>
      <c r="DK272" s="7">
        <v>0.1452</v>
      </c>
      <c r="DL272" s="7">
        <v>0.14419999999999999</v>
      </c>
      <c r="DM272" s="7">
        <v>0.1431</v>
      </c>
      <c r="DN272" s="7">
        <v>0.14199999999999999</v>
      </c>
      <c r="DO272" s="7">
        <v>0.1409</v>
      </c>
      <c r="DP272" s="7">
        <v>0.13969999999999999</v>
      </c>
      <c r="DQ272" s="7">
        <v>0.13819999999999999</v>
      </c>
      <c r="DR272" s="7">
        <v>0.13639999999999999</v>
      </c>
      <c r="DS272" s="7">
        <v>0.13450000000000001</v>
      </c>
      <c r="DT272" s="7">
        <v>0.13270000000000001</v>
      </c>
      <c r="DU272" s="7">
        <v>0.1308</v>
      </c>
      <c r="DV272" s="7">
        <v>0.12889999999999999</v>
      </c>
      <c r="DW272" s="7">
        <v>0.127</v>
      </c>
      <c r="DX272" s="7">
        <v>0.12509999999999999</v>
      </c>
      <c r="DY272" s="7">
        <v>0.1231</v>
      </c>
      <c r="DZ272" s="7">
        <v>0.1212</v>
      </c>
      <c r="EA272" s="7">
        <v>0.1192</v>
      </c>
      <c r="EB272" s="7">
        <v>0.1173</v>
      </c>
      <c r="EC272" s="7">
        <v>0.1153</v>
      </c>
      <c r="ED272" s="7">
        <v>0.1133</v>
      </c>
      <c r="EE272" s="7">
        <v>0.1113</v>
      </c>
      <c r="EF272" s="7">
        <v>0.10929999999999999</v>
      </c>
      <c r="EG272" s="7">
        <v>0.10730000000000001</v>
      </c>
      <c r="EH272" s="7">
        <v>0.1053</v>
      </c>
      <c r="EI272" s="7">
        <v>0.1033</v>
      </c>
      <c r="EJ272" s="7">
        <v>0.1013</v>
      </c>
      <c r="EK272" s="7">
        <v>9.9299999999999999E-2</v>
      </c>
      <c r="EL272" s="7">
        <v>9.7299999999999998E-2</v>
      </c>
      <c r="EM272" s="7">
        <v>9.5299999999999996E-2</v>
      </c>
      <c r="EN272" s="7">
        <v>9.3299999999999994E-2</v>
      </c>
      <c r="EO272" s="7">
        <v>9.1300000000000006E-2</v>
      </c>
      <c r="EP272" s="7">
        <v>8.9300000000000004E-2</v>
      </c>
      <c r="EQ272" s="7">
        <v>8.7300000000000003E-2</v>
      </c>
      <c r="ER272" s="7">
        <v>8.5300000000000001E-2</v>
      </c>
      <c r="ES272" s="7">
        <v>8.3400000000000002E-2</v>
      </c>
      <c r="ET272" s="7">
        <v>8.14E-2</v>
      </c>
      <c r="EU272" s="7">
        <v>7.9500000000000001E-2</v>
      </c>
      <c r="EV272" s="7">
        <v>7.7499999999999999E-2</v>
      </c>
      <c r="EW272" s="7">
        <v>7.5600000000000001E-2</v>
      </c>
      <c r="EX272" s="7">
        <v>7.3700000000000002E-2</v>
      </c>
      <c r="EY272" s="7">
        <v>7.1800000000000003E-2</v>
      </c>
      <c r="EZ272" s="7">
        <v>7.0000000000000007E-2</v>
      </c>
      <c r="FA272" s="7">
        <v>6.8099999999999994E-2</v>
      </c>
      <c r="FB272" s="7">
        <v>6.6299999999999998E-2</v>
      </c>
      <c r="FC272" s="7">
        <v>6.4500000000000002E-2</v>
      </c>
      <c r="FE272" s="50">
        <f t="shared" ca="1" si="26"/>
        <v>0.12662046497399818</v>
      </c>
      <c r="FF272" s="50">
        <f t="shared" ca="1" si="27"/>
        <v>0.12782002563281</v>
      </c>
      <c r="FG272" s="50">
        <f t="shared" ca="1" si="28"/>
        <v>0.12904409395973152</v>
      </c>
      <c r="FH272" s="50">
        <f t="shared" ca="1" si="29"/>
        <v>0.13031926174496644</v>
      </c>
      <c r="FI272" s="50"/>
      <c r="FJ272" s="50"/>
      <c r="FK272" s="50">
        <f t="shared" ca="1" si="30"/>
        <v>0.12782002563281</v>
      </c>
      <c r="FL272" s="50"/>
      <c r="FM272" s="50"/>
      <c r="FN272" s="50"/>
    </row>
    <row r="273" spans="49:170" hidden="1">
      <c r="AW273" s="112">
        <v>6.7610000000000001</v>
      </c>
      <c r="AX273" s="7">
        <v>0.21299999999999999</v>
      </c>
      <c r="AY273" s="7">
        <v>0.21149999999999999</v>
      </c>
      <c r="AZ273" s="7">
        <v>0.21</v>
      </c>
      <c r="BA273" s="7">
        <v>0.20860000000000001</v>
      </c>
      <c r="BB273" s="7">
        <v>0.2072</v>
      </c>
      <c r="BC273" s="7">
        <v>0.20580000000000001</v>
      </c>
      <c r="BD273" s="7">
        <v>0.2044</v>
      </c>
      <c r="BE273" s="7">
        <v>0.2031</v>
      </c>
      <c r="BF273" s="7">
        <v>0.20180000000000001</v>
      </c>
      <c r="BG273" s="7">
        <v>0.20050000000000001</v>
      </c>
      <c r="BH273" s="7">
        <v>0.1993</v>
      </c>
      <c r="BI273" s="7">
        <v>0.19800000000000001</v>
      </c>
      <c r="BJ273" s="7">
        <v>0.1968</v>
      </c>
      <c r="BK273" s="7">
        <v>0.1956</v>
      </c>
      <c r="BL273" s="7">
        <v>0.19439999999999999</v>
      </c>
      <c r="BM273" s="7">
        <v>0.1933</v>
      </c>
      <c r="BN273" s="7">
        <v>0.19209999999999999</v>
      </c>
      <c r="BO273" s="7">
        <v>0.191</v>
      </c>
      <c r="BP273" s="7">
        <v>0.18990000000000001</v>
      </c>
      <c r="BQ273" s="7">
        <v>0.1888</v>
      </c>
      <c r="BR273" s="7">
        <v>0.18779999999999999</v>
      </c>
      <c r="BS273" s="7">
        <v>0.1867</v>
      </c>
      <c r="BT273" s="7">
        <v>0.1857</v>
      </c>
      <c r="BU273" s="7">
        <v>0.18459999999999999</v>
      </c>
      <c r="BV273" s="7">
        <v>0.18360000000000001</v>
      </c>
      <c r="BW273" s="7">
        <v>0.18260000000000001</v>
      </c>
      <c r="BX273" s="7">
        <v>0.18160000000000001</v>
      </c>
      <c r="BY273" s="7">
        <v>0.1807</v>
      </c>
      <c r="BZ273" s="7">
        <v>0.1797</v>
      </c>
      <c r="CA273" s="7">
        <v>0.1787</v>
      </c>
      <c r="CB273" s="7">
        <v>0.17780000000000001</v>
      </c>
      <c r="CC273" s="7">
        <v>0.17680000000000001</v>
      </c>
      <c r="CD273" s="7">
        <v>0.1759</v>
      </c>
      <c r="CE273" s="7">
        <v>0.17499999999999999</v>
      </c>
      <c r="CF273" s="7">
        <v>0.17399999999999999</v>
      </c>
      <c r="CG273" s="7">
        <v>0.1731</v>
      </c>
      <c r="CH273" s="7">
        <v>0.17219999999999999</v>
      </c>
      <c r="CI273" s="7">
        <v>0.17130000000000001</v>
      </c>
      <c r="CJ273" s="7">
        <v>0.1704</v>
      </c>
      <c r="CK273" s="7">
        <v>0.16950000000000001</v>
      </c>
      <c r="CL273" s="7">
        <v>0.1686</v>
      </c>
      <c r="CM273" s="7">
        <v>0.16769999999999999</v>
      </c>
      <c r="CN273" s="7">
        <v>0.16689999999999999</v>
      </c>
      <c r="CO273" s="7">
        <v>0.16600000000000001</v>
      </c>
      <c r="CP273" s="7">
        <v>0.1651</v>
      </c>
      <c r="CQ273" s="7">
        <v>0.16420000000000001</v>
      </c>
      <c r="CR273" s="7">
        <v>0.1633</v>
      </c>
      <c r="CS273" s="7">
        <v>0.16239999999999999</v>
      </c>
      <c r="CT273" s="7">
        <v>0.1615</v>
      </c>
      <c r="CU273" s="7">
        <v>0.16059999999999999</v>
      </c>
      <c r="CV273" s="7">
        <v>0.15970000000000001</v>
      </c>
      <c r="CW273" s="7">
        <v>0.1588</v>
      </c>
      <c r="CX273" s="7">
        <v>0.15790000000000001</v>
      </c>
      <c r="CY273" s="7">
        <v>0.157</v>
      </c>
      <c r="CZ273" s="7">
        <v>0.15609999999999999</v>
      </c>
      <c r="DA273" s="7">
        <v>0.15509999999999999</v>
      </c>
      <c r="DB273" s="7">
        <v>0.1542</v>
      </c>
      <c r="DC273" s="7">
        <v>0.1532</v>
      </c>
      <c r="DD273" s="7">
        <v>0.15229999999999999</v>
      </c>
      <c r="DE273" s="7">
        <v>0.15129999999999999</v>
      </c>
      <c r="DF273" s="7">
        <v>0.15029999999999999</v>
      </c>
      <c r="DG273" s="7">
        <v>0.14929999999999999</v>
      </c>
      <c r="DH273" s="7">
        <v>0.14829999999999999</v>
      </c>
      <c r="DI273" s="7">
        <v>0.14729999999999999</v>
      </c>
      <c r="DJ273" s="7">
        <v>0.14630000000000001</v>
      </c>
      <c r="DK273" s="7">
        <v>0.1452</v>
      </c>
      <c r="DL273" s="7">
        <v>0.14419999999999999</v>
      </c>
      <c r="DM273" s="7">
        <v>0.1431</v>
      </c>
      <c r="DN273" s="7">
        <v>0.14199999999999999</v>
      </c>
      <c r="DO273" s="7">
        <v>0.1409</v>
      </c>
      <c r="DP273" s="7">
        <v>0.13969999999999999</v>
      </c>
      <c r="DQ273" s="7">
        <v>0.1386</v>
      </c>
      <c r="DR273" s="7">
        <v>0.13700000000000001</v>
      </c>
      <c r="DS273" s="7">
        <v>0.1351</v>
      </c>
      <c r="DT273" s="7">
        <v>0.13320000000000001</v>
      </c>
      <c r="DU273" s="7">
        <v>0.13139999999999999</v>
      </c>
      <c r="DV273" s="7">
        <v>0.1295</v>
      </c>
      <c r="DW273" s="7">
        <v>0.12759999999999999</v>
      </c>
      <c r="DX273" s="7">
        <v>0.12559999999999999</v>
      </c>
      <c r="DY273" s="7">
        <v>0.1237</v>
      </c>
      <c r="DZ273" s="7">
        <v>0.12180000000000001</v>
      </c>
      <c r="EA273" s="7">
        <v>0.1198</v>
      </c>
      <c r="EB273" s="7">
        <v>0.1178</v>
      </c>
      <c r="EC273" s="7">
        <v>0.1159</v>
      </c>
      <c r="ED273" s="7">
        <v>0.1139</v>
      </c>
      <c r="EE273" s="7">
        <v>0.1119</v>
      </c>
      <c r="EF273" s="7">
        <v>0.1099</v>
      </c>
      <c r="EG273" s="7">
        <v>0.1079</v>
      </c>
      <c r="EH273" s="7">
        <v>0.10589999999999999</v>
      </c>
      <c r="EI273" s="7">
        <v>0.10390000000000001</v>
      </c>
      <c r="EJ273" s="7">
        <v>0.1019</v>
      </c>
      <c r="EK273" s="7">
        <v>9.98E-2</v>
      </c>
      <c r="EL273" s="7">
        <v>9.7799999999999998E-2</v>
      </c>
      <c r="EM273" s="7">
        <v>9.5799999999999996E-2</v>
      </c>
      <c r="EN273" s="7">
        <v>9.3799999999999994E-2</v>
      </c>
      <c r="EO273" s="7">
        <v>9.1800000000000007E-2</v>
      </c>
      <c r="EP273" s="7">
        <v>8.9800000000000005E-2</v>
      </c>
      <c r="EQ273" s="7">
        <v>8.7800000000000003E-2</v>
      </c>
      <c r="ER273" s="7">
        <v>8.5800000000000001E-2</v>
      </c>
      <c r="ES273" s="7">
        <v>8.3900000000000002E-2</v>
      </c>
      <c r="ET273" s="7">
        <v>8.1900000000000001E-2</v>
      </c>
      <c r="EU273" s="7">
        <v>0.08</v>
      </c>
      <c r="EV273" s="7">
        <v>7.8E-2</v>
      </c>
      <c r="EW273" s="7">
        <v>7.6100000000000001E-2</v>
      </c>
      <c r="EX273" s="7">
        <v>7.4200000000000002E-2</v>
      </c>
      <c r="EY273" s="7">
        <v>7.2300000000000003E-2</v>
      </c>
      <c r="EZ273" s="7">
        <v>7.0499999999999993E-2</v>
      </c>
      <c r="FA273" s="7">
        <v>6.8599999999999994E-2</v>
      </c>
      <c r="FB273" s="7">
        <v>6.6799999999999998E-2</v>
      </c>
      <c r="FC273" s="7">
        <v>6.5000000000000002E-2</v>
      </c>
      <c r="FE273" s="50">
        <f t="shared" ca="1" si="26"/>
        <v>0.12720048944631385</v>
      </c>
      <c r="FF273" s="50">
        <f t="shared" ca="1" si="27"/>
        <v>0.12842002563280996</v>
      </c>
      <c r="FG273" s="50">
        <f t="shared" ca="1" si="28"/>
        <v>0.12964409395973156</v>
      </c>
      <c r="FH273" s="50">
        <f t="shared" ca="1" si="29"/>
        <v>0.13091926174496646</v>
      </c>
      <c r="FI273" s="50"/>
      <c r="FJ273" s="50"/>
      <c r="FK273" s="50">
        <f t="shared" ca="1" si="30"/>
        <v>0.12842002563280996</v>
      </c>
      <c r="FL273" s="50"/>
      <c r="FM273" s="50"/>
      <c r="FN273" s="50"/>
    </row>
    <row r="274" spans="49:170" hidden="1">
      <c r="AW274" s="112">
        <v>7.2439999999999998</v>
      </c>
      <c r="AX274" s="7">
        <v>0.21299999999999999</v>
      </c>
      <c r="AY274" s="7">
        <v>0.21149999999999999</v>
      </c>
      <c r="AZ274" s="7">
        <v>0.21</v>
      </c>
      <c r="BA274" s="7">
        <v>0.20860000000000001</v>
      </c>
      <c r="BB274" s="7">
        <v>0.2072</v>
      </c>
      <c r="BC274" s="7">
        <v>0.20580000000000001</v>
      </c>
      <c r="BD274" s="7">
        <v>0.2044</v>
      </c>
      <c r="BE274" s="7">
        <v>0.2031</v>
      </c>
      <c r="BF274" s="7">
        <v>0.20180000000000001</v>
      </c>
      <c r="BG274" s="7">
        <v>0.20050000000000001</v>
      </c>
      <c r="BH274" s="7">
        <v>0.1993</v>
      </c>
      <c r="BI274" s="7">
        <v>0.19800000000000001</v>
      </c>
      <c r="BJ274" s="7">
        <v>0.1968</v>
      </c>
      <c r="BK274" s="7">
        <v>0.1956</v>
      </c>
      <c r="BL274" s="7">
        <v>0.19439999999999999</v>
      </c>
      <c r="BM274" s="7">
        <v>0.1933</v>
      </c>
      <c r="BN274" s="7">
        <v>0.19209999999999999</v>
      </c>
      <c r="BO274" s="7">
        <v>0.191</v>
      </c>
      <c r="BP274" s="7">
        <v>0.18990000000000001</v>
      </c>
      <c r="BQ274" s="7">
        <v>0.1888</v>
      </c>
      <c r="BR274" s="7">
        <v>0.18779999999999999</v>
      </c>
      <c r="BS274" s="7">
        <v>0.1867</v>
      </c>
      <c r="BT274" s="7">
        <v>0.1857</v>
      </c>
      <c r="BU274" s="7">
        <v>0.18459999999999999</v>
      </c>
      <c r="BV274" s="7">
        <v>0.18360000000000001</v>
      </c>
      <c r="BW274" s="7">
        <v>0.18260000000000001</v>
      </c>
      <c r="BX274" s="7">
        <v>0.18160000000000001</v>
      </c>
      <c r="BY274" s="7">
        <v>0.1807</v>
      </c>
      <c r="BZ274" s="7">
        <v>0.1797</v>
      </c>
      <c r="CA274" s="7">
        <v>0.1787</v>
      </c>
      <c r="CB274" s="7">
        <v>0.17780000000000001</v>
      </c>
      <c r="CC274" s="7">
        <v>0.17680000000000001</v>
      </c>
      <c r="CD274" s="7">
        <v>0.1759</v>
      </c>
      <c r="CE274" s="7">
        <v>0.17499999999999999</v>
      </c>
      <c r="CF274" s="7">
        <v>0.17399999999999999</v>
      </c>
      <c r="CG274" s="7">
        <v>0.1731</v>
      </c>
      <c r="CH274" s="7">
        <v>0.17219999999999999</v>
      </c>
      <c r="CI274" s="7">
        <v>0.17130000000000001</v>
      </c>
      <c r="CJ274" s="7">
        <v>0.1704</v>
      </c>
      <c r="CK274" s="7">
        <v>0.16950000000000001</v>
      </c>
      <c r="CL274" s="7">
        <v>0.1686</v>
      </c>
      <c r="CM274" s="7">
        <v>0.16769999999999999</v>
      </c>
      <c r="CN274" s="7">
        <v>0.16689999999999999</v>
      </c>
      <c r="CO274" s="7">
        <v>0.16600000000000001</v>
      </c>
      <c r="CP274" s="7">
        <v>0.1651</v>
      </c>
      <c r="CQ274" s="7">
        <v>0.16420000000000001</v>
      </c>
      <c r="CR274" s="7">
        <v>0.1633</v>
      </c>
      <c r="CS274" s="7">
        <v>0.16239999999999999</v>
      </c>
      <c r="CT274" s="7">
        <v>0.1615</v>
      </c>
      <c r="CU274" s="7">
        <v>0.16059999999999999</v>
      </c>
      <c r="CV274" s="7">
        <v>0.15970000000000001</v>
      </c>
      <c r="CW274" s="7">
        <v>0.1588</v>
      </c>
      <c r="CX274" s="7">
        <v>0.15790000000000001</v>
      </c>
      <c r="CY274" s="7">
        <v>0.157</v>
      </c>
      <c r="CZ274" s="7">
        <v>0.15609999999999999</v>
      </c>
      <c r="DA274" s="7">
        <v>0.15509999999999999</v>
      </c>
      <c r="DB274" s="7">
        <v>0.1542</v>
      </c>
      <c r="DC274" s="7">
        <v>0.1532</v>
      </c>
      <c r="DD274" s="7">
        <v>0.15229999999999999</v>
      </c>
      <c r="DE274" s="7">
        <v>0.15129999999999999</v>
      </c>
      <c r="DF274" s="7">
        <v>0.15029999999999999</v>
      </c>
      <c r="DG274" s="7">
        <v>0.14929999999999999</v>
      </c>
      <c r="DH274" s="7">
        <v>0.14829999999999999</v>
      </c>
      <c r="DI274" s="7">
        <v>0.14729999999999999</v>
      </c>
      <c r="DJ274" s="7">
        <v>0.14630000000000001</v>
      </c>
      <c r="DK274" s="7">
        <v>0.1452</v>
      </c>
      <c r="DL274" s="7">
        <v>0.14419999999999999</v>
      </c>
      <c r="DM274" s="7">
        <v>0.1431</v>
      </c>
      <c r="DN274" s="7">
        <v>0.14199999999999999</v>
      </c>
      <c r="DO274" s="7">
        <v>0.1409</v>
      </c>
      <c r="DP274" s="7">
        <v>0.13969999999999999</v>
      </c>
      <c r="DQ274" s="7">
        <v>0.1386</v>
      </c>
      <c r="DR274" s="7">
        <v>0.13739999999999999</v>
      </c>
      <c r="DS274" s="7">
        <v>0.13569999999999999</v>
      </c>
      <c r="DT274" s="7">
        <v>0.1338</v>
      </c>
      <c r="DU274" s="7">
        <v>0.13189999999999999</v>
      </c>
      <c r="DV274" s="7">
        <v>0.13</v>
      </c>
      <c r="DW274" s="7">
        <v>0.12809999999999999</v>
      </c>
      <c r="DX274" s="7">
        <v>0.12620000000000001</v>
      </c>
      <c r="DY274" s="7">
        <v>0.12429999999999999</v>
      </c>
      <c r="DZ274" s="7">
        <v>0.12230000000000001</v>
      </c>
      <c r="EA274" s="7">
        <v>0.12039999999999999</v>
      </c>
      <c r="EB274" s="7">
        <v>0.11840000000000001</v>
      </c>
      <c r="EC274" s="7">
        <v>0.1164</v>
      </c>
      <c r="ED274" s="7">
        <v>0.1144</v>
      </c>
      <c r="EE274" s="7">
        <v>0.1125</v>
      </c>
      <c r="EF274" s="7">
        <v>0.1105</v>
      </c>
      <c r="EG274" s="7">
        <v>0.1084</v>
      </c>
      <c r="EH274" s="7">
        <v>0.10639999999999999</v>
      </c>
      <c r="EI274" s="7">
        <v>0.10440000000000001</v>
      </c>
      <c r="EJ274" s="7">
        <v>0.1024</v>
      </c>
      <c r="EK274" s="7">
        <v>0.1004</v>
      </c>
      <c r="EL274" s="7">
        <v>9.8400000000000001E-2</v>
      </c>
      <c r="EM274" s="7">
        <v>9.64E-2</v>
      </c>
      <c r="EN274" s="7">
        <v>9.4399999999999998E-2</v>
      </c>
      <c r="EO274" s="7">
        <v>9.2299999999999993E-2</v>
      </c>
      <c r="EP274" s="7">
        <v>9.0300000000000005E-2</v>
      </c>
      <c r="EQ274" s="7">
        <v>8.8400000000000006E-2</v>
      </c>
      <c r="ER274" s="7">
        <v>8.6400000000000005E-2</v>
      </c>
      <c r="ES274" s="7">
        <v>8.4400000000000003E-2</v>
      </c>
      <c r="ET274" s="7">
        <v>8.2400000000000001E-2</v>
      </c>
      <c r="EU274" s="7">
        <v>8.0500000000000002E-2</v>
      </c>
      <c r="EV274" s="7">
        <v>7.8600000000000003E-2</v>
      </c>
      <c r="EW274" s="7">
        <v>7.6600000000000001E-2</v>
      </c>
      <c r="EX274" s="7">
        <v>7.4700000000000003E-2</v>
      </c>
      <c r="EY274" s="7">
        <v>7.2900000000000006E-2</v>
      </c>
      <c r="EZ274" s="7">
        <v>7.0999999999999994E-2</v>
      </c>
      <c r="FA274" s="7">
        <v>6.9099999999999995E-2</v>
      </c>
      <c r="FB274" s="7">
        <v>6.7299999999999999E-2</v>
      </c>
      <c r="FC274" s="7">
        <v>6.5500000000000003E-2</v>
      </c>
      <c r="FE274" s="50">
        <f t="shared" ca="1" si="26"/>
        <v>0.12772046497399814</v>
      </c>
      <c r="FF274" s="50">
        <f t="shared" ca="1" si="27"/>
        <v>0.12892002563280996</v>
      </c>
      <c r="FG274" s="50">
        <f t="shared" ca="1" si="28"/>
        <v>0.13014409395973156</v>
      </c>
      <c r="FH274" s="50">
        <f t="shared" ca="1" si="29"/>
        <v>0.13141926174496646</v>
      </c>
      <c r="FI274" s="50"/>
      <c r="FJ274" s="50"/>
      <c r="FK274" s="50">
        <f t="shared" ca="1" si="30"/>
        <v>0.12892002563280996</v>
      </c>
      <c r="FL274" s="50"/>
      <c r="FM274" s="50"/>
      <c r="FN274" s="50"/>
    </row>
    <row r="275" spans="49:170" hidden="1">
      <c r="AW275" s="112">
        <v>7.7619999999999996</v>
      </c>
      <c r="AX275" s="7">
        <v>0.21299999999999999</v>
      </c>
      <c r="AY275" s="7">
        <v>0.21149999999999999</v>
      </c>
      <c r="AZ275" s="7">
        <v>0.21</v>
      </c>
      <c r="BA275" s="7">
        <v>0.20860000000000001</v>
      </c>
      <c r="BB275" s="7">
        <v>0.2072</v>
      </c>
      <c r="BC275" s="7">
        <v>0.20580000000000001</v>
      </c>
      <c r="BD275" s="7">
        <v>0.2044</v>
      </c>
      <c r="BE275" s="7">
        <v>0.2031</v>
      </c>
      <c r="BF275" s="7">
        <v>0.20180000000000001</v>
      </c>
      <c r="BG275" s="7">
        <v>0.20050000000000001</v>
      </c>
      <c r="BH275" s="7">
        <v>0.1993</v>
      </c>
      <c r="BI275" s="7">
        <v>0.19800000000000001</v>
      </c>
      <c r="BJ275" s="7">
        <v>0.1968</v>
      </c>
      <c r="BK275" s="7">
        <v>0.1956</v>
      </c>
      <c r="BL275" s="7">
        <v>0.19439999999999999</v>
      </c>
      <c r="BM275" s="7">
        <v>0.1933</v>
      </c>
      <c r="BN275" s="7">
        <v>0.19209999999999999</v>
      </c>
      <c r="BO275" s="7">
        <v>0.191</v>
      </c>
      <c r="BP275" s="7">
        <v>0.18990000000000001</v>
      </c>
      <c r="BQ275" s="7">
        <v>0.1888</v>
      </c>
      <c r="BR275" s="7">
        <v>0.18779999999999999</v>
      </c>
      <c r="BS275" s="7">
        <v>0.1867</v>
      </c>
      <c r="BT275" s="7">
        <v>0.1857</v>
      </c>
      <c r="BU275" s="7">
        <v>0.18459999999999999</v>
      </c>
      <c r="BV275" s="7">
        <v>0.18360000000000001</v>
      </c>
      <c r="BW275" s="7">
        <v>0.18260000000000001</v>
      </c>
      <c r="BX275" s="7">
        <v>0.18160000000000001</v>
      </c>
      <c r="BY275" s="7">
        <v>0.1807</v>
      </c>
      <c r="BZ275" s="7">
        <v>0.1797</v>
      </c>
      <c r="CA275" s="7">
        <v>0.1787</v>
      </c>
      <c r="CB275" s="7">
        <v>0.17780000000000001</v>
      </c>
      <c r="CC275" s="7">
        <v>0.17680000000000001</v>
      </c>
      <c r="CD275" s="7">
        <v>0.1759</v>
      </c>
      <c r="CE275" s="7">
        <v>0.17499999999999999</v>
      </c>
      <c r="CF275" s="7">
        <v>0.17399999999999999</v>
      </c>
      <c r="CG275" s="7">
        <v>0.1731</v>
      </c>
      <c r="CH275" s="7">
        <v>0.17219999999999999</v>
      </c>
      <c r="CI275" s="7">
        <v>0.17130000000000001</v>
      </c>
      <c r="CJ275" s="7">
        <v>0.1704</v>
      </c>
      <c r="CK275" s="7">
        <v>0.16950000000000001</v>
      </c>
      <c r="CL275" s="7">
        <v>0.1686</v>
      </c>
      <c r="CM275" s="7">
        <v>0.16769999999999999</v>
      </c>
      <c r="CN275" s="7">
        <v>0.16689999999999999</v>
      </c>
      <c r="CO275" s="7">
        <v>0.16600000000000001</v>
      </c>
      <c r="CP275" s="7">
        <v>0.1651</v>
      </c>
      <c r="CQ275" s="7">
        <v>0.16420000000000001</v>
      </c>
      <c r="CR275" s="7">
        <v>0.1633</v>
      </c>
      <c r="CS275" s="7">
        <v>0.16239999999999999</v>
      </c>
      <c r="CT275" s="7">
        <v>0.1615</v>
      </c>
      <c r="CU275" s="7">
        <v>0.16059999999999999</v>
      </c>
      <c r="CV275" s="7">
        <v>0.15970000000000001</v>
      </c>
      <c r="CW275" s="7">
        <v>0.1588</v>
      </c>
      <c r="CX275" s="7">
        <v>0.15790000000000001</v>
      </c>
      <c r="CY275" s="7">
        <v>0.157</v>
      </c>
      <c r="CZ275" s="7">
        <v>0.15609999999999999</v>
      </c>
      <c r="DA275" s="7">
        <v>0.15509999999999999</v>
      </c>
      <c r="DB275" s="7">
        <v>0.1542</v>
      </c>
      <c r="DC275" s="7">
        <v>0.1532</v>
      </c>
      <c r="DD275" s="7">
        <v>0.15229999999999999</v>
      </c>
      <c r="DE275" s="7">
        <v>0.15129999999999999</v>
      </c>
      <c r="DF275" s="7">
        <v>0.15029999999999999</v>
      </c>
      <c r="DG275" s="7">
        <v>0.14929999999999999</v>
      </c>
      <c r="DH275" s="7">
        <v>0.14829999999999999</v>
      </c>
      <c r="DI275" s="7">
        <v>0.14729999999999999</v>
      </c>
      <c r="DJ275" s="7">
        <v>0.14630000000000001</v>
      </c>
      <c r="DK275" s="7">
        <v>0.1452</v>
      </c>
      <c r="DL275" s="7">
        <v>0.14419999999999999</v>
      </c>
      <c r="DM275" s="7">
        <v>0.1431</v>
      </c>
      <c r="DN275" s="7">
        <v>0.14199999999999999</v>
      </c>
      <c r="DO275" s="7">
        <v>0.1409</v>
      </c>
      <c r="DP275" s="7">
        <v>0.13969999999999999</v>
      </c>
      <c r="DQ275" s="7">
        <v>0.1386</v>
      </c>
      <c r="DR275" s="7">
        <v>0.13739999999999999</v>
      </c>
      <c r="DS275" s="7">
        <v>0.13619999999999999</v>
      </c>
      <c r="DT275" s="7">
        <v>0.13439999999999999</v>
      </c>
      <c r="DU275" s="7">
        <v>0.13250000000000001</v>
      </c>
      <c r="DV275" s="7">
        <v>0.13059999999999999</v>
      </c>
      <c r="DW275" s="7">
        <v>0.12870000000000001</v>
      </c>
      <c r="DX275" s="7">
        <v>0.1268</v>
      </c>
      <c r="DY275" s="7">
        <v>0.12479999999999999</v>
      </c>
      <c r="DZ275" s="7">
        <v>0.1229</v>
      </c>
      <c r="EA275" s="7">
        <v>0.12089999999999999</v>
      </c>
      <c r="EB275" s="7">
        <v>0.11899999999999999</v>
      </c>
      <c r="EC275" s="7">
        <v>0.11700000000000001</v>
      </c>
      <c r="ED275" s="7">
        <v>0.115</v>
      </c>
      <c r="EE275" s="7">
        <v>0.113</v>
      </c>
      <c r="EF275" s="7">
        <v>0.111</v>
      </c>
      <c r="EG275" s="7">
        <v>0.109</v>
      </c>
      <c r="EH275" s="7">
        <v>0.107</v>
      </c>
      <c r="EI275" s="7">
        <v>0.105</v>
      </c>
      <c r="EJ275" s="7">
        <v>0.10290000000000001</v>
      </c>
      <c r="EK275" s="7">
        <v>0.1009</v>
      </c>
      <c r="EL275" s="7">
        <v>9.8900000000000002E-2</v>
      </c>
      <c r="EM275" s="7">
        <v>9.69E-2</v>
      </c>
      <c r="EN275" s="7">
        <v>9.4899999999999998E-2</v>
      </c>
      <c r="EO275" s="7">
        <v>9.2899999999999996E-2</v>
      </c>
      <c r="EP275" s="7">
        <v>9.0899999999999995E-2</v>
      </c>
      <c r="EQ275" s="7">
        <v>8.8900000000000007E-2</v>
      </c>
      <c r="ER275" s="7">
        <v>8.6900000000000005E-2</v>
      </c>
      <c r="ES275" s="7">
        <v>8.4900000000000003E-2</v>
      </c>
      <c r="ET275" s="7">
        <v>8.3000000000000004E-2</v>
      </c>
      <c r="EU275" s="7">
        <v>8.1000000000000003E-2</v>
      </c>
      <c r="EV275" s="7">
        <v>7.9100000000000004E-2</v>
      </c>
      <c r="EW275" s="7">
        <v>7.7200000000000005E-2</v>
      </c>
      <c r="EX275" s="7">
        <v>7.5200000000000003E-2</v>
      </c>
      <c r="EY275" s="7">
        <v>7.3400000000000007E-2</v>
      </c>
      <c r="EZ275" s="7">
        <v>7.1499999999999994E-2</v>
      </c>
      <c r="FA275" s="7">
        <v>6.9599999999999995E-2</v>
      </c>
      <c r="FB275" s="7">
        <v>6.7799999999999999E-2</v>
      </c>
      <c r="FC275" s="7">
        <v>6.6000000000000003E-2</v>
      </c>
      <c r="FE275" s="50">
        <f t="shared" ca="1" si="26"/>
        <v>0.12832046497399818</v>
      </c>
      <c r="FF275" s="50">
        <f t="shared" ca="1" si="27"/>
        <v>0.12952002563280998</v>
      </c>
      <c r="FG275" s="50">
        <f t="shared" ca="1" si="28"/>
        <v>0.13074409395973152</v>
      </c>
      <c r="FH275" s="50">
        <f t="shared" ca="1" si="29"/>
        <v>0.13201926174496645</v>
      </c>
      <c r="FI275" s="50"/>
      <c r="FJ275" s="50"/>
      <c r="FK275" s="50">
        <f t="shared" ca="1" si="30"/>
        <v>0.12952002563280998</v>
      </c>
      <c r="FL275" s="50"/>
      <c r="FM275" s="50"/>
      <c r="FN275" s="50"/>
    </row>
    <row r="276" spans="49:170" hidden="1">
      <c r="AW276" s="112">
        <v>8.3179999999999996</v>
      </c>
      <c r="AX276" s="7">
        <v>0.21299999999999999</v>
      </c>
      <c r="AY276" s="7">
        <v>0.21149999999999999</v>
      </c>
      <c r="AZ276" s="7">
        <v>0.21</v>
      </c>
      <c r="BA276" s="7">
        <v>0.20860000000000001</v>
      </c>
      <c r="BB276" s="7">
        <v>0.2072</v>
      </c>
      <c r="BC276" s="7">
        <v>0.20580000000000001</v>
      </c>
      <c r="BD276" s="7">
        <v>0.2044</v>
      </c>
      <c r="BE276" s="7">
        <v>0.2031</v>
      </c>
      <c r="BF276" s="7">
        <v>0.20180000000000001</v>
      </c>
      <c r="BG276" s="7">
        <v>0.20050000000000001</v>
      </c>
      <c r="BH276" s="7">
        <v>0.1993</v>
      </c>
      <c r="BI276" s="7">
        <v>0.19800000000000001</v>
      </c>
      <c r="BJ276" s="7">
        <v>0.1968</v>
      </c>
      <c r="BK276" s="7">
        <v>0.1956</v>
      </c>
      <c r="BL276" s="7">
        <v>0.19439999999999999</v>
      </c>
      <c r="BM276" s="7">
        <v>0.1933</v>
      </c>
      <c r="BN276" s="7">
        <v>0.19209999999999999</v>
      </c>
      <c r="BO276" s="7">
        <v>0.191</v>
      </c>
      <c r="BP276" s="7">
        <v>0.18990000000000001</v>
      </c>
      <c r="BQ276" s="7">
        <v>0.1888</v>
      </c>
      <c r="BR276" s="7">
        <v>0.18779999999999999</v>
      </c>
      <c r="BS276" s="7">
        <v>0.1867</v>
      </c>
      <c r="BT276" s="7">
        <v>0.1857</v>
      </c>
      <c r="BU276" s="7">
        <v>0.18459999999999999</v>
      </c>
      <c r="BV276" s="7">
        <v>0.18360000000000001</v>
      </c>
      <c r="BW276" s="7">
        <v>0.18260000000000001</v>
      </c>
      <c r="BX276" s="7">
        <v>0.18160000000000001</v>
      </c>
      <c r="BY276" s="7">
        <v>0.1807</v>
      </c>
      <c r="BZ276" s="7">
        <v>0.1797</v>
      </c>
      <c r="CA276" s="7">
        <v>0.1787</v>
      </c>
      <c r="CB276" s="7">
        <v>0.17780000000000001</v>
      </c>
      <c r="CC276" s="7">
        <v>0.17680000000000001</v>
      </c>
      <c r="CD276" s="7">
        <v>0.1759</v>
      </c>
      <c r="CE276" s="7">
        <v>0.17499999999999999</v>
      </c>
      <c r="CF276" s="7">
        <v>0.17399999999999999</v>
      </c>
      <c r="CG276" s="7">
        <v>0.1731</v>
      </c>
      <c r="CH276" s="7">
        <v>0.17219999999999999</v>
      </c>
      <c r="CI276" s="7">
        <v>0.17130000000000001</v>
      </c>
      <c r="CJ276" s="7">
        <v>0.1704</v>
      </c>
      <c r="CK276" s="7">
        <v>0.16950000000000001</v>
      </c>
      <c r="CL276" s="7">
        <v>0.1686</v>
      </c>
      <c r="CM276" s="7">
        <v>0.16769999999999999</v>
      </c>
      <c r="CN276" s="7">
        <v>0.16689999999999999</v>
      </c>
      <c r="CO276" s="7">
        <v>0.16600000000000001</v>
      </c>
      <c r="CP276" s="7">
        <v>0.1651</v>
      </c>
      <c r="CQ276" s="7">
        <v>0.16420000000000001</v>
      </c>
      <c r="CR276" s="7">
        <v>0.1633</v>
      </c>
      <c r="CS276" s="7">
        <v>0.16239999999999999</v>
      </c>
      <c r="CT276" s="7">
        <v>0.1615</v>
      </c>
      <c r="CU276" s="7">
        <v>0.16059999999999999</v>
      </c>
      <c r="CV276" s="7">
        <v>0.15970000000000001</v>
      </c>
      <c r="CW276" s="7">
        <v>0.1588</v>
      </c>
      <c r="CX276" s="7">
        <v>0.15790000000000001</v>
      </c>
      <c r="CY276" s="7">
        <v>0.157</v>
      </c>
      <c r="CZ276" s="7">
        <v>0.15609999999999999</v>
      </c>
      <c r="DA276" s="7">
        <v>0.15509999999999999</v>
      </c>
      <c r="DB276" s="7">
        <v>0.1542</v>
      </c>
      <c r="DC276" s="7">
        <v>0.1532</v>
      </c>
      <c r="DD276" s="7">
        <v>0.15229999999999999</v>
      </c>
      <c r="DE276" s="7">
        <v>0.15129999999999999</v>
      </c>
      <c r="DF276" s="7">
        <v>0.15029999999999999</v>
      </c>
      <c r="DG276" s="7">
        <v>0.14929999999999999</v>
      </c>
      <c r="DH276" s="7">
        <v>0.14829999999999999</v>
      </c>
      <c r="DI276" s="7">
        <v>0.14729999999999999</v>
      </c>
      <c r="DJ276" s="7">
        <v>0.14630000000000001</v>
      </c>
      <c r="DK276" s="7">
        <v>0.1452</v>
      </c>
      <c r="DL276" s="7">
        <v>0.14419999999999999</v>
      </c>
      <c r="DM276" s="7">
        <v>0.1431</v>
      </c>
      <c r="DN276" s="7">
        <v>0.14199999999999999</v>
      </c>
      <c r="DO276" s="7">
        <v>0.1409</v>
      </c>
      <c r="DP276" s="7">
        <v>0.13969999999999999</v>
      </c>
      <c r="DQ276" s="7">
        <v>0.1386</v>
      </c>
      <c r="DR276" s="7">
        <v>0.13739999999999999</v>
      </c>
      <c r="DS276" s="7">
        <v>0.13619999999999999</v>
      </c>
      <c r="DT276" s="7">
        <v>0.13500000000000001</v>
      </c>
      <c r="DU276" s="7">
        <v>0.1331</v>
      </c>
      <c r="DV276" s="7">
        <v>0.13120000000000001</v>
      </c>
      <c r="DW276" s="7">
        <v>0.1293</v>
      </c>
      <c r="DX276" s="7">
        <v>0.1273</v>
      </c>
      <c r="DY276" s="7">
        <v>0.12540000000000001</v>
      </c>
      <c r="DZ276" s="7">
        <v>0.1235</v>
      </c>
      <c r="EA276" s="7">
        <v>0.1215</v>
      </c>
      <c r="EB276" s="7">
        <v>0.1195</v>
      </c>
      <c r="EC276" s="7">
        <v>0.11749999999999999</v>
      </c>
      <c r="ED276" s="7">
        <v>0.11559999999999999</v>
      </c>
      <c r="EE276" s="7">
        <v>0.11360000000000001</v>
      </c>
      <c r="EF276" s="7">
        <v>0.1115</v>
      </c>
      <c r="EG276" s="7">
        <v>0.1095</v>
      </c>
      <c r="EH276" s="7">
        <v>0.1075</v>
      </c>
      <c r="EI276" s="7">
        <v>0.1055</v>
      </c>
      <c r="EJ276" s="7">
        <v>0.10349999999999999</v>
      </c>
      <c r="EK276" s="7">
        <v>0.10150000000000001</v>
      </c>
      <c r="EL276" s="7">
        <v>9.9400000000000002E-2</v>
      </c>
      <c r="EM276" s="7">
        <v>9.74E-2</v>
      </c>
      <c r="EN276" s="7">
        <v>9.5399999999999999E-2</v>
      </c>
      <c r="EO276" s="7">
        <v>9.3399999999999997E-2</v>
      </c>
      <c r="EP276" s="7">
        <v>9.1399999999999995E-2</v>
      </c>
      <c r="EQ276" s="7">
        <v>8.9399999999999993E-2</v>
      </c>
      <c r="ER276" s="7">
        <v>8.7400000000000005E-2</v>
      </c>
      <c r="ES276" s="7">
        <v>8.5400000000000004E-2</v>
      </c>
      <c r="ET276" s="7">
        <v>8.3500000000000005E-2</v>
      </c>
      <c r="EU276" s="7">
        <v>8.1500000000000003E-2</v>
      </c>
      <c r="EV276" s="7">
        <v>7.9600000000000004E-2</v>
      </c>
      <c r="EW276" s="7">
        <v>7.7700000000000005E-2</v>
      </c>
      <c r="EX276" s="7">
        <v>7.5700000000000003E-2</v>
      </c>
      <c r="EY276" s="7">
        <v>7.3899999999999993E-2</v>
      </c>
      <c r="EZ276" s="7">
        <v>7.1999999999999995E-2</v>
      </c>
      <c r="FA276" s="7">
        <v>7.0099999999999996E-2</v>
      </c>
      <c r="FB276" s="7">
        <v>6.83E-2</v>
      </c>
      <c r="FC276" s="7">
        <v>6.6500000000000004E-2</v>
      </c>
      <c r="FE276" s="50">
        <f t="shared" ca="1" si="26"/>
        <v>0.12890048944631385</v>
      </c>
      <c r="FF276" s="50">
        <f t="shared" ca="1" si="27"/>
        <v>0.13012002563281</v>
      </c>
      <c r="FG276" s="50">
        <f t="shared" ca="1" si="28"/>
        <v>0.13134409395973154</v>
      </c>
      <c r="FH276" s="50">
        <f t="shared" ca="1" si="29"/>
        <v>0.13261926174496644</v>
      </c>
      <c r="FI276" s="50"/>
      <c r="FJ276" s="50"/>
      <c r="FK276" s="50">
        <f t="shared" ref="FK276:FK312" ca="1" si="31">FORECAST(AN$22,OFFSET($AX276,0,MATCH(AN$22,$AX$211:$FC$211,1)-1,1,2),OFFSET($AX$211,0,MATCH(AN$22,$AX$211:$FC$211,1)-1,1,2))</f>
        <v>0.13012002563281</v>
      </c>
      <c r="FL276" s="50"/>
      <c r="FM276" s="50"/>
      <c r="FN276" s="50"/>
    </row>
    <row r="277" spans="49:170" hidden="1">
      <c r="AW277" s="112">
        <v>8.9130000000000003</v>
      </c>
      <c r="AX277" s="7">
        <v>0.21299999999999999</v>
      </c>
      <c r="AY277" s="7">
        <v>0.21149999999999999</v>
      </c>
      <c r="AZ277" s="7">
        <v>0.21</v>
      </c>
      <c r="BA277" s="7">
        <v>0.20860000000000001</v>
      </c>
      <c r="BB277" s="7">
        <v>0.2072</v>
      </c>
      <c r="BC277" s="7">
        <v>0.20580000000000001</v>
      </c>
      <c r="BD277" s="7">
        <v>0.2044</v>
      </c>
      <c r="BE277" s="7">
        <v>0.2031</v>
      </c>
      <c r="BF277" s="7">
        <v>0.20180000000000001</v>
      </c>
      <c r="BG277" s="7">
        <v>0.20050000000000001</v>
      </c>
      <c r="BH277" s="7">
        <v>0.1993</v>
      </c>
      <c r="BI277" s="7">
        <v>0.19800000000000001</v>
      </c>
      <c r="BJ277" s="7">
        <v>0.1968</v>
      </c>
      <c r="BK277" s="7">
        <v>0.1956</v>
      </c>
      <c r="BL277" s="7">
        <v>0.19439999999999999</v>
      </c>
      <c r="BM277" s="7">
        <v>0.1933</v>
      </c>
      <c r="BN277" s="7">
        <v>0.19209999999999999</v>
      </c>
      <c r="BO277" s="7">
        <v>0.191</v>
      </c>
      <c r="BP277" s="7">
        <v>0.18990000000000001</v>
      </c>
      <c r="BQ277" s="7">
        <v>0.1888</v>
      </c>
      <c r="BR277" s="7">
        <v>0.18779999999999999</v>
      </c>
      <c r="BS277" s="7">
        <v>0.1867</v>
      </c>
      <c r="BT277" s="7">
        <v>0.1857</v>
      </c>
      <c r="BU277" s="7">
        <v>0.18459999999999999</v>
      </c>
      <c r="BV277" s="7">
        <v>0.18360000000000001</v>
      </c>
      <c r="BW277" s="7">
        <v>0.18260000000000001</v>
      </c>
      <c r="BX277" s="7">
        <v>0.18160000000000001</v>
      </c>
      <c r="BY277" s="7">
        <v>0.1807</v>
      </c>
      <c r="BZ277" s="7">
        <v>0.1797</v>
      </c>
      <c r="CA277" s="7">
        <v>0.1787</v>
      </c>
      <c r="CB277" s="7">
        <v>0.17780000000000001</v>
      </c>
      <c r="CC277" s="7">
        <v>0.17680000000000001</v>
      </c>
      <c r="CD277" s="7">
        <v>0.1759</v>
      </c>
      <c r="CE277" s="7">
        <v>0.17499999999999999</v>
      </c>
      <c r="CF277" s="7">
        <v>0.17399999999999999</v>
      </c>
      <c r="CG277" s="7">
        <v>0.1731</v>
      </c>
      <c r="CH277" s="7">
        <v>0.17219999999999999</v>
      </c>
      <c r="CI277" s="7">
        <v>0.17130000000000001</v>
      </c>
      <c r="CJ277" s="7">
        <v>0.1704</v>
      </c>
      <c r="CK277" s="7">
        <v>0.16950000000000001</v>
      </c>
      <c r="CL277" s="7">
        <v>0.1686</v>
      </c>
      <c r="CM277" s="7">
        <v>0.16769999999999999</v>
      </c>
      <c r="CN277" s="7">
        <v>0.16689999999999999</v>
      </c>
      <c r="CO277" s="7">
        <v>0.16600000000000001</v>
      </c>
      <c r="CP277" s="7">
        <v>0.1651</v>
      </c>
      <c r="CQ277" s="7">
        <v>0.16420000000000001</v>
      </c>
      <c r="CR277" s="7">
        <v>0.1633</v>
      </c>
      <c r="CS277" s="7">
        <v>0.16239999999999999</v>
      </c>
      <c r="CT277" s="7">
        <v>0.1615</v>
      </c>
      <c r="CU277" s="7">
        <v>0.16059999999999999</v>
      </c>
      <c r="CV277" s="7">
        <v>0.15970000000000001</v>
      </c>
      <c r="CW277" s="7">
        <v>0.1588</v>
      </c>
      <c r="CX277" s="7">
        <v>0.15790000000000001</v>
      </c>
      <c r="CY277" s="7">
        <v>0.157</v>
      </c>
      <c r="CZ277" s="7">
        <v>0.15609999999999999</v>
      </c>
      <c r="DA277" s="7">
        <v>0.15509999999999999</v>
      </c>
      <c r="DB277" s="7">
        <v>0.1542</v>
      </c>
      <c r="DC277" s="7">
        <v>0.1532</v>
      </c>
      <c r="DD277" s="7">
        <v>0.15229999999999999</v>
      </c>
      <c r="DE277" s="7">
        <v>0.15129999999999999</v>
      </c>
      <c r="DF277" s="7">
        <v>0.15029999999999999</v>
      </c>
      <c r="DG277" s="7">
        <v>0.14929999999999999</v>
      </c>
      <c r="DH277" s="7">
        <v>0.14829999999999999</v>
      </c>
      <c r="DI277" s="7">
        <v>0.14729999999999999</v>
      </c>
      <c r="DJ277" s="7">
        <v>0.14630000000000001</v>
      </c>
      <c r="DK277" s="7">
        <v>0.1452</v>
      </c>
      <c r="DL277" s="7">
        <v>0.14419999999999999</v>
      </c>
      <c r="DM277" s="7">
        <v>0.1431</v>
      </c>
      <c r="DN277" s="7">
        <v>0.14199999999999999</v>
      </c>
      <c r="DO277" s="7">
        <v>0.1409</v>
      </c>
      <c r="DP277" s="7">
        <v>0.13969999999999999</v>
      </c>
      <c r="DQ277" s="7">
        <v>0.1386</v>
      </c>
      <c r="DR277" s="7">
        <v>0.13739999999999999</v>
      </c>
      <c r="DS277" s="7">
        <v>0.13619999999999999</v>
      </c>
      <c r="DT277" s="7">
        <v>0.13500000000000001</v>
      </c>
      <c r="DU277" s="7">
        <v>0.13370000000000001</v>
      </c>
      <c r="DV277" s="7">
        <v>0.13170000000000001</v>
      </c>
      <c r="DW277" s="7">
        <v>0.1298</v>
      </c>
      <c r="DX277" s="7">
        <v>0.12790000000000001</v>
      </c>
      <c r="DY277" s="7">
        <v>0.126</v>
      </c>
      <c r="DZ277" s="7">
        <v>0.124</v>
      </c>
      <c r="EA277" s="7">
        <v>0.122</v>
      </c>
      <c r="EB277" s="7">
        <v>0.1201</v>
      </c>
      <c r="EC277" s="7">
        <v>0.1181</v>
      </c>
      <c r="ED277" s="7">
        <v>0.11609999999999999</v>
      </c>
      <c r="EE277" s="7">
        <v>0.11409999999999999</v>
      </c>
      <c r="EF277" s="7">
        <v>0.11210000000000001</v>
      </c>
      <c r="EG277" s="7">
        <v>0.1101</v>
      </c>
      <c r="EH277" s="7">
        <v>0.1081</v>
      </c>
      <c r="EI277" s="7">
        <v>0.106</v>
      </c>
      <c r="EJ277" s="7">
        <v>0.104</v>
      </c>
      <c r="EK277" s="7">
        <v>0.10199999999999999</v>
      </c>
      <c r="EL277" s="7">
        <v>0.1</v>
      </c>
      <c r="EM277" s="7">
        <v>9.7900000000000001E-2</v>
      </c>
      <c r="EN277" s="7">
        <v>9.5899999999999999E-2</v>
      </c>
      <c r="EO277" s="7">
        <v>9.3899999999999997E-2</v>
      </c>
      <c r="EP277" s="7">
        <v>9.1899999999999996E-2</v>
      </c>
      <c r="EQ277" s="7">
        <v>8.9899999999999994E-2</v>
      </c>
      <c r="ER277" s="7">
        <v>8.7900000000000006E-2</v>
      </c>
      <c r="ES277" s="7">
        <v>8.5900000000000004E-2</v>
      </c>
      <c r="ET277" s="7">
        <v>8.4000000000000005E-2</v>
      </c>
      <c r="EU277" s="7">
        <v>8.2000000000000003E-2</v>
      </c>
      <c r="EV277" s="7">
        <v>8.0100000000000005E-2</v>
      </c>
      <c r="EW277" s="7">
        <v>7.8200000000000006E-2</v>
      </c>
      <c r="EX277" s="7">
        <v>7.6200000000000004E-2</v>
      </c>
      <c r="EY277" s="7">
        <v>7.4399999999999994E-2</v>
      </c>
      <c r="EZ277" s="7">
        <v>7.2499999999999995E-2</v>
      </c>
      <c r="FA277" s="7">
        <v>7.0599999999999996E-2</v>
      </c>
      <c r="FB277" s="7">
        <v>6.88E-2</v>
      </c>
      <c r="FC277" s="7">
        <v>6.6900000000000001E-2</v>
      </c>
      <c r="FE277" s="50">
        <f t="shared" ref="FE277:FE312" ca="1" si="32">FORECAST(J$39,OFFSET($AX277,0,MATCH(J$39,$AX$211:$FC$211,1)-1,1,2),OFFSET($AX$211,0,MATCH(J$39,$AX$211:$FC$211,1)-1,1,2))</f>
        <v>0.12942046497399817</v>
      </c>
      <c r="FF277" s="50">
        <f t="shared" ref="FF277:FF312" ca="1" si="33">FORECAST(L$39,OFFSET($AX277,0,MATCH(L$39,$AX$211:$FC$211,1)-1,1,2),OFFSET($AX$211,0,MATCH(L$39,$AX$211:$FC$211,1)-1,1,2))</f>
        <v>0.13062002563281</v>
      </c>
      <c r="FG277" s="50">
        <f t="shared" ref="FG277:FG312" ca="1" si="34">FORECAST(N$39,OFFSET($AX277,0,MATCH(N$39,$AX$211:$FC$211,1)-1,1,2),OFFSET($AX$211,0,MATCH(N$39,$AX$211:$FC$211,1)-1,1,2))</f>
        <v>0.131851677852349</v>
      </c>
      <c r="FH277" s="50">
        <f t="shared" ref="FH277:FH312" ca="1" si="35">FORECAST(P$39,OFFSET($AX277,0,MATCH(P$39,$AX$211:$FC$211,1)-1,1,2),OFFSET($AX$211,0,MATCH(P$39,$AX$211:$FC$211,1)-1,1,2))</f>
        <v>0.13319395973154363</v>
      </c>
      <c r="FI277" s="50"/>
      <c r="FJ277" s="50"/>
      <c r="FK277" s="50">
        <f t="shared" ca="1" si="31"/>
        <v>0.13062002563281</v>
      </c>
      <c r="FL277" s="50"/>
      <c r="FM277" s="50"/>
      <c r="FN277" s="50"/>
    </row>
    <row r="278" spans="49:170" hidden="1">
      <c r="AW278" s="112">
        <v>9.5500000000000007</v>
      </c>
      <c r="AX278" s="7">
        <v>0.21299999999999999</v>
      </c>
      <c r="AY278" s="7">
        <v>0.21149999999999999</v>
      </c>
      <c r="AZ278" s="7">
        <v>0.21</v>
      </c>
      <c r="BA278" s="7">
        <v>0.20860000000000001</v>
      </c>
      <c r="BB278" s="7">
        <v>0.2072</v>
      </c>
      <c r="BC278" s="7">
        <v>0.20580000000000001</v>
      </c>
      <c r="BD278" s="7">
        <v>0.2044</v>
      </c>
      <c r="BE278" s="7">
        <v>0.2031</v>
      </c>
      <c r="BF278" s="7">
        <v>0.20180000000000001</v>
      </c>
      <c r="BG278" s="7">
        <v>0.20050000000000001</v>
      </c>
      <c r="BH278" s="7">
        <v>0.1993</v>
      </c>
      <c r="BI278" s="7">
        <v>0.19800000000000001</v>
      </c>
      <c r="BJ278" s="7">
        <v>0.1968</v>
      </c>
      <c r="BK278" s="7">
        <v>0.1956</v>
      </c>
      <c r="BL278" s="7">
        <v>0.19439999999999999</v>
      </c>
      <c r="BM278" s="7">
        <v>0.1933</v>
      </c>
      <c r="BN278" s="7">
        <v>0.19209999999999999</v>
      </c>
      <c r="BO278" s="7">
        <v>0.191</v>
      </c>
      <c r="BP278" s="7">
        <v>0.18990000000000001</v>
      </c>
      <c r="BQ278" s="7">
        <v>0.1888</v>
      </c>
      <c r="BR278" s="7">
        <v>0.18779999999999999</v>
      </c>
      <c r="BS278" s="7">
        <v>0.1867</v>
      </c>
      <c r="BT278" s="7">
        <v>0.1857</v>
      </c>
      <c r="BU278" s="7">
        <v>0.18459999999999999</v>
      </c>
      <c r="BV278" s="7">
        <v>0.18360000000000001</v>
      </c>
      <c r="BW278" s="7">
        <v>0.18260000000000001</v>
      </c>
      <c r="BX278" s="7">
        <v>0.18160000000000001</v>
      </c>
      <c r="BY278" s="7">
        <v>0.1807</v>
      </c>
      <c r="BZ278" s="7">
        <v>0.1797</v>
      </c>
      <c r="CA278" s="7">
        <v>0.1787</v>
      </c>
      <c r="CB278" s="7">
        <v>0.17780000000000001</v>
      </c>
      <c r="CC278" s="7">
        <v>0.17680000000000001</v>
      </c>
      <c r="CD278" s="7">
        <v>0.1759</v>
      </c>
      <c r="CE278" s="7">
        <v>0.17499999999999999</v>
      </c>
      <c r="CF278" s="7">
        <v>0.17399999999999999</v>
      </c>
      <c r="CG278" s="7">
        <v>0.1731</v>
      </c>
      <c r="CH278" s="7">
        <v>0.17219999999999999</v>
      </c>
      <c r="CI278" s="7">
        <v>0.17130000000000001</v>
      </c>
      <c r="CJ278" s="7">
        <v>0.1704</v>
      </c>
      <c r="CK278" s="7">
        <v>0.16950000000000001</v>
      </c>
      <c r="CL278" s="7">
        <v>0.1686</v>
      </c>
      <c r="CM278" s="7">
        <v>0.16769999999999999</v>
      </c>
      <c r="CN278" s="7">
        <v>0.16689999999999999</v>
      </c>
      <c r="CO278" s="7">
        <v>0.16600000000000001</v>
      </c>
      <c r="CP278" s="7">
        <v>0.1651</v>
      </c>
      <c r="CQ278" s="7">
        <v>0.16420000000000001</v>
      </c>
      <c r="CR278" s="7">
        <v>0.1633</v>
      </c>
      <c r="CS278" s="7">
        <v>0.16239999999999999</v>
      </c>
      <c r="CT278" s="7">
        <v>0.1615</v>
      </c>
      <c r="CU278" s="7">
        <v>0.16059999999999999</v>
      </c>
      <c r="CV278" s="7">
        <v>0.15970000000000001</v>
      </c>
      <c r="CW278" s="7">
        <v>0.1588</v>
      </c>
      <c r="CX278" s="7">
        <v>0.15790000000000001</v>
      </c>
      <c r="CY278" s="7">
        <v>0.157</v>
      </c>
      <c r="CZ278" s="7">
        <v>0.15609999999999999</v>
      </c>
      <c r="DA278" s="7">
        <v>0.15509999999999999</v>
      </c>
      <c r="DB278" s="7">
        <v>0.1542</v>
      </c>
      <c r="DC278" s="7">
        <v>0.1532</v>
      </c>
      <c r="DD278" s="7">
        <v>0.15229999999999999</v>
      </c>
      <c r="DE278" s="7">
        <v>0.15129999999999999</v>
      </c>
      <c r="DF278" s="7">
        <v>0.15029999999999999</v>
      </c>
      <c r="DG278" s="7">
        <v>0.14929999999999999</v>
      </c>
      <c r="DH278" s="7">
        <v>0.14829999999999999</v>
      </c>
      <c r="DI278" s="7">
        <v>0.14729999999999999</v>
      </c>
      <c r="DJ278" s="7">
        <v>0.14630000000000001</v>
      </c>
      <c r="DK278" s="7">
        <v>0.1452</v>
      </c>
      <c r="DL278" s="7">
        <v>0.14419999999999999</v>
      </c>
      <c r="DM278" s="7">
        <v>0.1431</v>
      </c>
      <c r="DN278" s="7">
        <v>0.14199999999999999</v>
      </c>
      <c r="DO278" s="7">
        <v>0.1409</v>
      </c>
      <c r="DP278" s="7">
        <v>0.13969999999999999</v>
      </c>
      <c r="DQ278" s="7">
        <v>0.1386</v>
      </c>
      <c r="DR278" s="7">
        <v>0.13739999999999999</v>
      </c>
      <c r="DS278" s="7">
        <v>0.13619999999999999</v>
      </c>
      <c r="DT278" s="7">
        <v>0.13500000000000001</v>
      </c>
      <c r="DU278" s="7">
        <v>0.13370000000000001</v>
      </c>
      <c r="DV278" s="7">
        <v>0.1323</v>
      </c>
      <c r="DW278" s="7">
        <v>0.13039999999999999</v>
      </c>
      <c r="DX278" s="7">
        <v>0.1285</v>
      </c>
      <c r="DY278" s="7">
        <v>0.1265</v>
      </c>
      <c r="DZ278" s="7">
        <v>0.1246</v>
      </c>
      <c r="EA278" s="7">
        <v>0.1226</v>
      </c>
      <c r="EB278" s="7">
        <v>0.1206</v>
      </c>
      <c r="EC278" s="7">
        <v>0.1186</v>
      </c>
      <c r="ED278" s="7">
        <v>0.1166</v>
      </c>
      <c r="EE278" s="7">
        <v>0.11459999999999999</v>
      </c>
      <c r="EF278" s="7">
        <v>0.11260000000000001</v>
      </c>
      <c r="EG278" s="7">
        <v>0.1106</v>
      </c>
      <c r="EH278" s="7">
        <v>0.1086</v>
      </c>
      <c r="EI278" s="7">
        <v>0.1066</v>
      </c>
      <c r="EJ278" s="7">
        <v>0.1045</v>
      </c>
      <c r="EK278" s="7">
        <v>0.10249999999999999</v>
      </c>
      <c r="EL278" s="7">
        <v>0.10050000000000001</v>
      </c>
      <c r="EM278" s="7">
        <v>9.8500000000000004E-2</v>
      </c>
      <c r="EN278" s="7">
        <v>9.64E-2</v>
      </c>
      <c r="EO278" s="7">
        <v>9.4399999999999998E-2</v>
      </c>
      <c r="EP278" s="7">
        <v>9.2399999999999996E-2</v>
      </c>
      <c r="EQ278" s="7">
        <v>9.0399999999999994E-2</v>
      </c>
      <c r="ER278" s="7">
        <v>8.8400000000000006E-2</v>
      </c>
      <c r="ES278" s="7">
        <v>8.6400000000000005E-2</v>
      </c>
      <c r="ET278" s="7">
        <v>8.4500000000000006E-2</v>
      </c>
      <c r="EU278" s="7">
        <v>8.2500000000000004E-2</v>
      </c>
      <c r="EV278" s="7">
        <v>8.0600000000000005E-2</v>
      </c>
      <c r="EW278" s="7">
        <v>7.8600000000000003E-2</v>
      </c>
      <c r="EX278" s="7">
        <v>7.6700000000000004E-2</v>
      </c>
      <c r="EY278" s="7">
        <v>7.4800000000000005E-2</v>
      </c>
      <c r="EZ278" s="7">
        <v>7.2999999999999995E-2</v>
      </c>
      <c r="FA278" s="7">
        <v>7.1099999999999997E-2</v>
      </c>
      <c r="FB278" s="7">
        <v>6.93E-2</v>
      </c>
      <c r="FC278" s="7">
        <v>6.7400000000000002E-2</v>
      </c>
      <c r="FE278" s="50">
        <f t="shared" ca="1" si="32"/>
        <v>0.13002046497399816</v>
      </c>
      <c r="FF278" s="50">
        <f t="shared" ca="1" si="33"/>
        <v>0.13122002563280999</v>
      </c>
      <c r="FG278" s="50">
        <f t="shared" ca="1" si="34"/>
        <v>0.1324061744966443</v>
      </c>
      <c r="FH278" s="50">
        <f t="shared" ca="1" si="35"/>
        <v>0.13334577181208057</v>
      </c>
      <c r="FI278" s="50"/>
      <c r="FJ278" s="50"/>
      <c r="FK278" s="50">
        <f t="shared" ca="1" si="31"/>
        <v>0.13122002563280999</v>
      </c>
      <c r="FL278" s="50"/>
      <c r="FM278" s="50"/>
      <c r="FN278" s="50"/>
    </row>
    <row r="279" spans="49:170" hidden="1">
      <c r="AW279" s="112">
        <v>10.233000000000001</v>
      </c>
      <c r="AX279" s="7">
        <v>0.21299999999999999</v>
      </c>
      <c r="AY279" s="7">
        <v>0.21149999999999999</v>
      </c>
      <c r="AZ279" s="7">
        <v>0.21</v>
      </c>
      <c r="BA279" s="7">
        <v>0.20860000000000001</v>
      </c>
      <c r="BB279" s="7">
        <v>0.2072</v>
      </c>
      <c r="BC279" s="7">
        <v>0.20580000000000001</v>
      </c>
      <c r="BD279" s="7">
        <v>0.2044</v>
      </c>
      <c r="BE279" s="7">
        <v>0.2031</v>
      </c>
      <c r="BF279" s="7">
        <v>0.20180000000000001</v>
      </c>
      <c r="BG279" s="7">
        <v>0.20050000000000001</v>
      </c>
      <c r="BH279" s="7">
        <v>0.1993</v>
      </c>
      <c r="BI279" s="7">
        <v>0.19800000000000001</v>
      </c>
      <c r="BJ279" s="7">
        <v>0.1968</v>
      </c>
      <c r="BK279" s="7">
        <v>0.1956</v>
      </c>
      <c r="BL279" s="7">
        <v>0.19439999999999999</v>
      </c>
      <c r="BM279" s="7">
        <v>0.1933</v>
      </c>
      <c r="BN279" s="7">
        <v>0.19209999999999999</v>
      </c>
      <c r="BO279" s="7">
        <v>0.191</v>
      </c>
      <c r="BP279" s="7">
        <v>0.18990000000000001</v>
      </c>
      <c r="BQ279" s="7">
        <v>0.1888</v>
      </c>
      <c r="BR279" s="7">
        <v>0.18779999999999999</v>
      </c>
      <c r="BS279" s="7">
        <v>0.1867</v>
      </c>
      <c r="BT279" s="7">
        <v>0.1857</v>
      </c>
      <c r="BU279" s="7">
        <v>0.18459999999999999</v>
      </c>
      <c r="BV279" s="7">
        <v>0.18360000000000001</v>
      </c>
      <c r="BW279" s="7">
        <v>0.18260000000000001</v>
      </c>
      <c r="BX279" s="7">
        <v>0.18160000000000001</v>
      </c>
      <c r="BY279" s="7">
        <v>0.1807</v>
      </c>
      <c r="BZ279" s="7">
        <v>0.1797</v>
      </c>
      <c r="CA279" s="7">
        <v>0.1787</v>
      </c>
      <c r="CB279" s="7">
        <v>0.17780000000000001</v>
      </c>
      <c r="CC279" s="7">
        <v>0.17680000000000001</v>
      </c>
      <c r="CD279" s="7">
        <v>0.1759</v>
      </c>
      <c r="CE279" s="7">
        <v>0.17499999999999999</v>
      </c>
      <c r="CF279" s="7">
        <v>0.17399999999999999</v>
      </c>
      <c r="CG279" s="7">
        <v>0.1731</v>
      </c>
      <c r="CH279" s="7">
        <v>0.17219999999999999</v>
      </c>
      <c r="CI279" s="7">
        <v>0.17130000000000001</v>
      </c>
      <c r="CJ279" s="7">
        <v>0.1704</v>
      </c>
      <c r="CK279" s="7">
        <v>0.16950000000000001</v>
      </c>
      <c r="CL279" s="7">
        <v>0.1686</v>
      </c>
      <c r="CM279" s="7">
        <v>0.16769999999999999</v>
      </c>
      <c r="CN279" s="7">
        <v>0.16689999999999999</v>
      </c>
      <c r="CO279" s="7">
        <v>0.16600000000000001</v>
      </c>
      <c r="CP279" s="7">
        <v>0.1651</v>
      </c>
      <c r="CQ279" s="7">
        <v>0.16420000000000001</v>
      </c>
      <c r="CR279" s="7">
        <v>0.1633</v>
      </c>
      <c r="CS279" s="7">
        <v>0.16239999999999999</v>
      </c>
      <c r="CT279" s="7">
        <v>0.1615</v>
      </c>
      <c r="CU279" s="7">
        <v>0.16059999999999999</v>
      </c>
      <c r="CV279" s="7">
        <v>0.15970000000000001</v>
      </c>
      <c r="CW279" s="7">
        <v>0.1588</v>
      </c>
      <c r="CX279" s="7">
        <v>0.15790000000000001</v>
      </c>
      <c r="CY279" s="7">
        <v>0.157</v>
      </c>
      <c r="CZ279" s="7">
        <v>0.15609999999999999</v>
      </c>
      <c r="DA279" s="7">
        <v>0.15509999999999999</v>
      </c>
      <c r="DB279" s="7">
        <v>0.1542</v>
      </c>
      <c r="DC279" s="7">
        <v>0.1532</v>
      </c>
      <c r="DD279" s="7">
        <v>0.15229999999999999</v>
      </c>
      <c r="DE279" s="7">
        <v>0.15129999999999999</v>
      </c>
      <c r="DF279" s="7">
        <v>0.15029999999999999</v>
      </c>
      <c r="DG279" s="7">
        <v>0.14929999999999999</v>
      </c>
      <c r="DH279" s="7">
        <v>0.14829999999999999</v>
      </c>
      <c r="DI279" s="7">
        <v>0.14729999999999999</v>
      </c>
      <c r="DJ279" s="7">
        <v>0.14630000000000001</v>
      </c>
      <c r="DK279" s="7">
        <v>0.1452</v>
      </c>
      <c r="DL279" s="7">
        <v>0.14419999999999999</v>
      </c>
      <c r="DM279" s="7">
        <v>0.1431</v>
      </c>
      <c r="DN279" s="7">
        <v>0.14199999999999999</v>
      </c>
      <c r="DO279" s="7">
        <v>0.1409</v>
      </c>
      <c r="DP279" s="7">
        <v>0.13969999999999999</v>
      </c>
      <c r="DQ279" s="7">
        <v>0.1386</v>
      </c>
      <c r="DR279" s="7">
        <v>0.13739999999999999</v>
      </c>
      <c r="DS279" s="7">
        <v>0.13619999999999999</v>
      </c>
      <c r="DT279" s="7">
        <v>0.13500000000000001</v>
      </c>
      <c r="DU279" s="7">
        <v>0.13370000000000001</v>
      </c>
      <c r="DV279" s="7">
        <v>0.13250000000000001</v>
      </c>
      <c r="DW279" s="7">
        <v>0.13089999999999999</v>
      </c>
      <c r="DX279" s="7">
        <v>0.129</v>
      </c>
      <c r="DY279" s="7">
        <v>0.12709999999999999</v>
      </c>
      <c r="DZ279" s="7">
        <v>0.12509999999999999</v>
      </c>
      <c r="EA279" s="7">
        <v>0.1231</v>
      </c>
      <c r="EB279" s="7">
        <v>0.1212</v>
      </c>
      <c r="EC279" s="7">
        <v>0.1192</v>
      </c>
      <c r="ED279" s="7">
        <v>0.1172</v>
      </c>
      <c r="EE279" s="7">
        <v>0.1152</v>
      </c>
      <c r="EF279" s="7">
        <v>0.1132</v>
      </c>
      <c r="EG279" s="7">
        <v>0.1111</v>
      </c>
      <c r="EH279" s="7">
        <v>0.1091</v>
      </c>
      <c r="EI279" s="7">
        <v>0.1071</v>
      </c>
      <c r="EJ279" s="7">
        <v>0.1051</v>
      </c>
      <c r="EK279" s="7">
        <v>0.10299999999999999</v>
      </c>
      <c r="EL279" s="7">
        <v>0.10100000000000001</v>
      </c>
      <c r="EM279" s="7">
        <v>9.9000000000000005E-2</v>
      </c>
      <c r="EN279" s="7">
        <v>9.7000000000000003E-2</v>
      </c>
      <c r="EO279" s="7">
        <v>9.4899999999999998E-2</v>
      </c>
      <c r="EP279" s="7">
        <v>9.2899999999999996E-2</v>
      </c>
      <c r="EQ279" s="7">
        <v>9.0899999999999995E-2</v>
      </c>
      <c r="ER279" s="7">
        <v>8.8900000000000007E-2</v>
      </c>
      <c r="ES279" s="7">
        <v>8.6900000000000005E-2</v>
      </c>
      <c r="ET279" s="7">
        <v>8.5000000000000006E-2</v>
      </c>
      <c r="EU279" s="7">
        <v>8.3000000000000004E-2</v>
      </c>
      <c r="EV279" s="7">
        <v>8.1100000000000005E-2</v>
      </c>
      <c r="EW279" s="7">
        <v>7.9100000000000004E-2</v>
      </c>
      <c r="EX279" s="7">
        <v>7.7200000000000005E-2</v>
      </c>
      <c r="EY279" s="7">
        <v>7.5300000000000006E-2</v>
      </c>
      <c r="EZ279" s="7">
        <v>7.3400000000000007E-2</v>
      </c>
      <c r="FA279" s="7">
        <v>7.1599999999999997E-2</v>
      </c>
      <c r="FB279" s="7">
        <v>6.9699999999999998E-2</v>
      </c>
      <c r="FC279" s="7">
        <v>6.7900000000000002E-2</v>
      </c>
      <c r="FE279" s="50">
        <f t="shared" ca="1" si="32"/>
        <v>0.13052046497399816</v>
      </c>
      <c r="FF279" s="50">
        <f t="shared" ca="1" si="33"/>
        <v>0.13159054790131366</v>
      </c>
      <c r="FG279" s="50">
        <f t="shared" ca="1" si="34"/>
        <v>0.13259100671140939</v>
      </c>
      <c r="FH279" s="50">
        <f t="shared" ca="1" si="35"/>
        <v>0.13339637583892616</v>
      </c>
      <c r="FI279" s="50"/>
      <c r="FJ279" s="50"/>
      <c r="FK279" s="50">
        <f t="shared" ca="1" si="31"/>
        <v>0.13159054790131366</v>
      </c>
      <c r="FL279" s="50"/>
      <c r="FM279" s="50"/>
      <c r="FN279" s="50"/>
    </row>
    <row r="280" spans="49:170" hidden="1">
      <c r="AW280" s="112">
        <v>10.965</v>
      </c>
      <c r="AX280" s="7">
        <v>0.21299999999999999</v>
      </c>
      <c r="AY280" s="7">
        <v>0.21149999999999999</v>
      </c>
      <c r="AZ280" s="7">
        <v>0.21</v>
      </c>
      <c r="BA280" s="7">
        <v>0.20860000000000001</v>
      </c>
      <c r="BB280" s="7">
        <v>0.2072</v>
      </c>
      <c r="BC280" s="7">
        <v>0.20580000000000001</v>
      </c>
      <c r="BD280" s="7">
        <v>0.2044</v>
      </c>
      <c r="BE280" s="7">
        <v>0.2031</v>
      </c>
      <c r="BF280" s="7">
        <v>0.20180000000000001</v>
      </c>
      <c r="BG280" s="7">
        <v>0.20050000000000001</v>
      </c>
      <c r="BH280" s="7">
        <v>0.1993</v>
      </c>
      <c r="BI280" s="7">
        <v>0.19800000000000001</v>
      </c>
      <c r="BJ280" s="7">
        <v>0.1968</v>
      </c>
      <c r="BK280" s="7">
        <v>0.1956</v>
      </c>
      <c r="BL280" s="7">
        <v>0.19439999999999999</v>
      </c>
      <c r="BM280" s="7">
        <v>0.1933</v>
      </c>
      <c r="BN280" s="7">
        <v>0.19209999999999999</v>
      </c>
      <c r="BO280" s="7">
        <v>0.191</v>
      </c>
      <c r="BP280" s="7">
        <v>0.18990000000000001</v>
      </c>
      <c r="BQ280" s="7">
        <v>0.1888</v>
      </c>
      <c r="BR280" s="7">
        <v>0.18779999999999999</v>
      </c>
      <c r="BS280" s="7">
        <v>0.1867</v>
      </c>
      <c r="BT280" s="7">
        <v>0.1857</v>
      </c>
      <c r="BU280" s="7">
        <v>0.18459999999999999</v>
      </c>
      <c r="BV280" s="7">
        <v>0.18360000000000001</v>
      </c>
      <c r="BW280" s="7">
        <v>0.18260000000000001</v>
      </c>
      <c r="BX280" s="7">
        <v>0.18160000000000001</v>
      </c>
      <c r="BY280" s="7">
        <v>0.1807</v>
      </c>
      <c r="BZ280" s="7">
        <v>0.1797</v>
      </c>
      <c r="CA280" s="7">
        <v>0.1787</v>
      </c>
      <c r="CB280" s="7">
        <v>0.17780000000000001</v>
      </c>
      <c r="CC280" s="7">
        <v>0.17680000000000001</v>
      </c>
      <c r="CD280" s="7">
        <v>0.1759</v>
      </c>
      <c r="CE280" s="7">
        <v>0.17499999999999999</v>
      </c>
      <c r="CF280" s="7">
        <v>0.17399999999999999</v>
      </c>
      <c r="CG280" s="7">
        <v>0.1731</v>
      </c>
      <c r="CH280" s="7">
        <v>0.17219999999999999</v>
      </c>
      <c r="CI280" s="7">
        <v>0.17130000000000001</v>
      </c>
      <c r="CJ280" s="7">
        <v>0.1704</v>
      </c>
      <c r="CK280" s="7">
        <v>0.16950000000000001</v>
      </c>
      <c r="CL280" s="7">
        <v>0.1686</v>
      </c>
      <c r="CM280" s="7">
        <v>0.16769999999999999</v>
      </c>
      <c r="CN280" s="7">
        <v>0.16689999999999999</v>
      </c>
      <c r="CO280" s="7">
        <v>0.16600000000000001</v>
      </c>
      <c r="CP280" s="7">
        <v>0.1651</v>
      </c>
      <c r="CQ280" s="7">
        <v>0.16420000000000001</v>
      </c>
      <c r="CR280" s="7">
        <v>0.1633</v>
      </c>
      <c r="CS280" s="7">
        <v>0.16239999999999999</v>
      </c>
      <c r="CT280" s="7">
        <v>0.1615</v>
      </c>
      <c r="CU280" s="7">
        <v>0.16059999999999999</v>
      </c>
      <c r="CV280" s="7">
        <v>0.15970000000000001</v>
      </c>
      <c r="CW280" s="7">
        <v>0.1588</v>
      </c>
      <c r="CX280" s="7">
        <v>0.15790000000000001</v>
      </c>
      <c r="CY280" s="7">
        <v>0.157</v>
      </c>
      <c r="CZ280" s="7">
        <v>0.15609999999999999</v>
      </c>
      <c r="DA280" s="7">
        <v>0.15509999999999999</v>
      </c>
      <c r="DB280" s="7">
        <v>0.1542</v>
      </c>
      <c r="DC280" s="7">
        <v>0.1532</v>
      </c>
      <c r="DD280" s="7">
        <v>0.15229999999999999</v>
      </c>
      <c r="DE280" s="7">
        <v>0.15129999999999999</v>
      </c>
      <c r="DF280" s="7">
        <v>0.15029999999999999</v>
      </c>
      <c r="DG280" s="7">
        <v>0.14929999999999999</v>
      </c>
      <c r="DH280" s="7">
        <v>0.14829999999999999</v>
      </c>
      <c r="DI280" s="7">
        <v>0.14729999999999999</v>
      </c>
      <c r="DJ280" s="7">
        <v>0.14630000000000001</v>
      </c>
      <c r="DK280" s="7">
        <v>0.1452</v>
      </c>
      <c r="DL280" s="7">
        <v>0.14419999999999999</v>
      </c>
      <c r="DM280" s="7">
        <v>0.1431</v>
      </c>
      <c r="DN280" s="7">
        <v>0.14199999999999999</v>
      </c>
      <c r="DO280" s="7">
        <v>0.1409</v>
      </c>
      <c r="DP280" s="7">
        <v>0.13969999999999999</v>
      </c>
      <c r="DQ280" s="7">
        <v>0.1386</v>
      </c>
      <c r="DR280" s="7">
        <v>0.13739999999999999</v>
      </c>
      <c r="DS280" s="7">
        <v>0.13619999999999999</v>
      </c>
      <c r="DT280" s="7">
        <v>0.13500000000000001</v>
      </c>
      <c r="DU280" s="7">
        <v>0.13370000000000001</v>
      </c>
      <c r="DV280" s="7">
        <v>0.13250000000000001</v>
      </c>
      <c r="DW280" s="7">
        <v>0.13120000000000001</v>
      </c>
      <c r="DX280" s="7">
        <v>0.1295</v>
      </c>
      <c r="DY280" s="7">
        <v>0.12759999999999999</v>
      </c>
      <c r="DZ280" s="7">
        <v>0.12559999999999999</v>
      </c>
      <c r="EA280" s="7">
        <v>0.1237</v>
      </c>
      <c r="EB280" s="7">
        <v>0.1217</v>
      </c>
      <c r="EC280" s="7">
        <v>0.1197</v>
      </c>
      <c r="ED280" s="7">
        <v>0.1177</v>
      </c>
      <c r="EE280" s="7">
        <v>0.1157</v>
      </c>
      <c r="EF280" s="7">
        <v>0.1137</v>
      </c>
      <c r="EG280" s="7">
        <v>0.11169999999999999</v>
      </c>
      <c r="EH280" s="7">
        <v>0.1096</v>
      </c>
      <c r="EI280" s="7">
        <v>0.1076</v>
      </c>
      <c r="EJ280" s="7">
        <v>0.1056</v>
      </c>
      <c r="EK280" s="7">
        <v>0.10349999999999999</v>
      </c>
      <c r="EL280" s="7">
        <v>0.10150000000000001</v>
      </c>
      <c r="EM280" s="7">
        <v>9.9500000000000005E-2</v>
      </c>
      <c r="EN280" s="7">
        <v>9.7500000000000003E-2</v>
      </c>
      <c r="EO280" s="7">
        <v>9.5399999999999999E-2</v>
      </c>
      <c r="EP280" s="7">
        <v>9.3399999999999997E-2</v>
      </c>
      <c r="EQ280" s="7">
        <v>9.1399999999999995E-2</v>
      </c>
      <c r="ER280" s="7">
        <v>8.9399999999999993E-2</v>
      </c>
      <c r="ES280" s="7">
        <v>8.7400000000000005E-2</v>
      </c>
      <c r="ET280" s="7">
        <v>8.5500000000000007E-2</v>
      </c>
      <c r="EU280" s="7">
        <v>8.3500000000000005E-2</v>
      </c>
      <c r="EV280" s="7">
        <v>8.1600000000000006E-2</v>
      </c>
      <c r="EW280" s="7">
        <v>7.9600000000000004E-2</v>
      </c>
      <c r="EX280" s="7">
        <v>7.7700000000000005E-2</v>
      </c>
      <c r="EY280" s="7">
        <v>7.5800000000000006E-2</v>
      </c>
      <c r="EZ280" s="7">
        <v>7.3899999999999993E-2</v>
      </c>
      <c r="FA280" s="7">
        <v>7.2099999999999997E-2</v>
      </c>
      <c r="FB280" s="7">
        <v>7.0199999999999999E-2</v>
      </c>
      <c r="FC280" s="7">
        <v>6.8400000000000002E-2</v>
      </c>
      <c r="FE280" s="50">
        <f t="shared" ca="1" si="32"/>
        <v>0.13086041602936682</v>
      </c>
      <c r="FF280" s="50">
        <f t="shared" ca="1" si="33"/>
        <v>0.13176107016981739</v>
      </c>
      <c r="FG280" s="50">
        <f t="shared" ca="1" si="34"/>
        <v>0.13259100671140939</v>
      </c>
      <c r="FH280" s="50">
        <f t="shared" ca="1" si="35"/>
        <v>0.13339637583892616</v>
      </c>
      <c r="FI280" s="50"/>
      <c r="FJ280" s="50"/>
      <c r="FK280" s="50">
        <f t="shared" ca="1" si="31"/>
        <v>0.13176107016981739</v>
      </c>
      <c r="FL280" s="50"/>
      <c r="FM280" s="50"/>
      <c r="FN280" s="50"/>
    </row>
    <row r="281" spans="49:170" hidden="1">
      <c r="AW281" s="112">
        <v>11.749000000000001</v>
      </c>
      <c r="AX281" s="7">
        <v>0.21299999999999999</v>
      </c>
      <c r="AY281" s="7">
        <v>0.21149999999999999</v>
      </c>
      <c r="AZ281" s="7">
        <v>0.21</v>
      </c>
      <c r="BA281" s="7">
        <v>0.20860000000000001</v>
      </c>
      <c r="BB281" s="7">
        <v>0.2072</v>
      </c>
      <c r="BC281" s="7">
        <v>0.20580000000000001</v>
      </c>
      <c r="BD281" s="7">
        <v>0.2044</v>
      </c>
      <c r="BE281" s="7">
        <v>0.2031</v>
      </c>
      <c r="BF281" s="7">
        <v>0.20180000000000001</v>
      </c>
      <c r="BG281" s="7">
        <v>0.20050000000000001</v>
      </c>
      <c r="BH281" s="7">
        <v>0.1993</v>
      </c>
      <c r="BI281" s="7">
        <v>0.19800000000000001</v>
      </c>
      <c r="BJ281" s="7">
        <v>0.1968</v>
      </c>
      <c r="BK281" s="7">
        <v>0.1956</v>
      </c>
      <c r="BL281" s="7">
        <v>0.19439999999999999</v>
      </c>
      <c r="BM281" s="7">
        <v>0.1933</v>
      </c>
      <c r="BN281" s="7">
        <v>0.19209999999999999</v>
      </c>
      <c r="BO281" s="7">
        <v>0.191</v>
      </c>
      <c r="BP281" s="7">
        <v>0.18990000000000001</v>
      </c>
      <c r="BQ281" s="7">
        <v>0.1888</v>
      </c>
      <c r="BR281" s="7">
        <v>0.18779999999999999</v>
      </c>
      <c r="BS281" s="7">
        <v>0.1867</v>
      </c>
      <c r="BT281" s="7">
        <v>0.1857</v>
      </c>
      <c r="BU281" s="7">
        <v>0.18459999999999999</v>
      </c>
      <c r="BV281" s="7">
        <v>0.18360000000000001</v>
      </c>
      <c r="BW281" s="7">
        <v>0.18260000000000001</v>
      </c>
      <c r="BX281" s="7">
        <v>0.18160000000000001</v>
      </c>
      <c r="BY281" s="7">
        <v>0.1807</v>
      </c>
      <c r="BZ281" s="7">
        <v>0.1797</v>
      </c>
      <c r="CA281" s="7">
        <v>0.1787</v>
      </c>
      <c r="CB281" s="7">
        <v>0.17780000000000001</v>
      </c>
      <c r="CC281" s="7">
        <v>0.17680000000000001</v>
      </c>
      <c r="CD281" s="7">
        <v>0.1759</v>
      </c>
      <c r="CE281" s="7">
        <v>0.17499999999999999</v>
      </c>
      <c r="CF281" s="7">
        <v>0.17399999999999999</v>
      </c>
      <c r="CG281" s="7">
        <v>0.1731</v>
      </c>
      <c r="CH281" s="7">
        <v>0.17219999999999999</v>
      </c>
      <c r="CI281" s="7">
        <v>0.17130000000000001</v>
      </c>
      <c r="CJ281" s="7">
        <v>0.1704</v>
      </c>
      <c r="CK281" s="7">
        <v>0.16950000000000001</v>
      </c>
      <c r="CL281" s="7">
        <v>0.1686</v>
      </c>
      <c r="CM281" s="7">
        <v>0.16769999999999999</v>
      </c>
      <c r="CN281" s="7">
        <v>0.16689999999999999</v>
      </c>
      <c r="CO281" s="7">
        <v>0.16600000000000001</v>
      </c>
      <c r="CP281" s="7">
        <v>0.1651</v>
      </c>
      <c r="CQ281" s="7">
        <v>0.16420000000000001</v>
      </c>
      <c r="CR281" s="7">
        <v>0.1633</v>
      </c>
      <c r="CS281" s="7">
        <v>0.16239999999999999</v>
      </c>
      <c r="CT281" s="7">
        <v>0.1615</v>
      </c>
      <c r="CU281" s="7">
        <v>0.16059999999999999</v>
      </c>
      <c r="CV281" s="7">
        <v>0.15970000000000001</v>
      </c>
      <c r="CW281" s="7">
        <v>0.1588</v>
      </c>
      <c r="CX281" s="7">
        <v>0.15790000000000001</v>
      </c>
      <c r="CY281" s="7">
        <v>0.157</v>
      </c>
      <c r="CZ281" s="7">
        <v>0.15609999999999999</v>
      </c>
      <c r="DA281" s="7">
        <v>0.15509999999999999</v>
      </c>
      <c r="DB281" s="7">
        <v>0.1542</v>
      </c>
      <c r="DC281" s="7">
        <v>0.1532</v>
      </c>
      <c r="DD281" s="7">
        <v>0.15229999999999999</v>
      </c>
      <c r="DE281" s="7">
        <v>0.15129999999999999</v>
      </c>
      <c r="DF281" s="7">
        <v>0.15029999999999999</v>
      </c>
      <c r="DG281" s="7">
        <v>0.14929999999999999</v>
      </c>
      <c r="DH281" s="7">
        <v>0.14829999999999999</v>
      </c>
      <c r="DI281" s="7">
        <v>0.14729999999999999</v>
      </c>
      <c r="DJ281" s="7">
        <v>0.14630000000000001</v>
      </c>
      <c r="DK281" s="7">
        <v>0.1452</v>
      </c>
      <c r="DL281" s="7">
        <v>0.14419999999999999</v>
      </c>
      <c r="DM281" s="7">
        <v>0.1431</v>
      </c>
      <c r="DN281" s="7">
        <v>0.14199999999999999</v>
      </c>
      <c r="DO281" s="7">
        <v>0.1409</v>
      </c>
      <c r="DP281" s="7">
        <v>0.13969999999999999</v>
      </c>
      <c r="DQ281" s="7">
        <v>0.1386</v>
      </c>
      <c r="DR281" s="7">
        <v>0.13739999999999999</v>
      </c>
      <c r="DS281" s="7">
        <v>0.13619999999999999</v>
      </c>
      <c r="DT281" s="7">
        <v>0.13500000000000001</v>
      </c>
      <c r="DU281" s="7">
        <v>0.13370000000000001</v>
      </c>
      <c r="DV281" s="7">
        <v>0.13250000000000001</v>
      </c>
      <c r="DW281" s="7">
        <v>0.13120000000000001</v>
      </c>
      <c r="DX281" s="7">
        <v>0.12989999999999999</v>
      </c>
      <c r="DY281" s="7">
        <v>0.12809999999999999</v>
      </c>
      <c r="DZ281" s="7">
        <v>0.12620000000000001</v>
      </c>
      <c r="EA281" s="7">
        <v>0.1242</v>
      </c>
      <c r="EB281" s="7">
        <v>0.1222</v>
      </c>
      <c r="EC281" s="7">
        <v>0.1202</v>
      </c>
      <c r="ED281" s="7">
        <v>0.1182</v>
      </c>
      <c r="EE281" s="7">
        <v>0.1162</v>
      </c>
      <c r="EF281" s="7">
        <v>0.1142</v>
      </c>
      <c r="EG281" s="7">
        <v>0.11219999999999999</v>
      </c>
      <c r="EH281" s="7">
        <v>0.1101</v>
      </c>
      <c r="EI281" s="7">
        <v>0.1081</v>
      </c>
      <c r="EJ281" s="7">
        <v>0.1061</v>
      </c>
      <c r="EK281" s="7">
        <v>0.1041</v>
      </c>
      <c r="EL281" s="7">
        <v>0.10199999999999999</v>
      </c>
      <c r="EM281" s="7">
        <v>0.1</v>
      </c>
      <c r="EN281" s="7">
        <v>9.8000000000000004E-2</v>
      </c>
      <c r="EO281" s="7">
        <v>9.5899999999999999E-2</v>
      </c>
      <c r="EP281" s="7">
        <v>9.3899999999999997E-2</v>
      </c>
      <c r="EQ281" s="7">
        <v>9.1899999999999996E-2</v>
      </c>
      <c r="ER281" s="7">
        <v>8.9899999999999994E-2</v>
      </c>
      <c r="ES281" s="7">
        <v>8.7900000000000006E-2</v>
      </c>
      <c r="ET281" s="7">
        <v>8.5900000000000004E-2</v>
      </c>
      <c r="EU281" s="7">
        <v>8.4000000000000005E-2</v>
      </c>
      <c r="EV281" s="7">
        <v>8.2000000000000003E-2</v>
      </c>
      <c r="EW281" s="7">
        <v>8.0100000000000005E-2</v>
      </c>
      <c r="EX281" s="7">
        <v>7.8200000000000006E-2</v>
      </c>
      <c r="EY281" s="7">
        <v>7.6300000000000007E-2</v>
      </c>
      <c r="EZ281" s="7">
        <v>7.4399999999999994E-2</v>
      </c>
      <c r="FA281" s="7">
        <v>7.2499999999999995E-2</v>
      </c>
      <c r="FB281" s="7">
        <v>7.0699999999999999E-2</v>
      </c>
      <c r="FC281" s="7">
        <v>6.88E-2</v>
      </c>
      <c r="FE281" s="50">
        <f t="shared" ca="1" si="32"/>
        <v>0.13094031814010401</v>
      </c>
      <c r="FF281" s="50">
        <f t="shared" ca="1" si="33"/>
        <v>0.13176107016981739</v>
      </c>
      <c r="FG281" s="50">
        <f t="shared" ca="1" si="34"/>
        <v>0.13259100671140939</v>
      </c>
      <c r="FH281" s="50">
        <f t="shared" ca="1" si="35"/>
        <v>0.13339637583892616</v>
      </c>
      <c r="FI281" s="50"/>
      <c r="FJ281" s="50"/>
      <c r="FK281" s="50">
        <f t="shared" ca="1" si="31"/>
        <v>0.13176107016981739</v>
      </c>
      <c r="FL281" s="50"/>
      <c r="FM281" s="50"/>
      <c r="FN281" s="50"/>
    </row>
    <row r="282" spans="49:170" hidden="1">
      <c r="AW282" s="112">
        <v>12.589</v>
      </c>
      <c r="AX282" s="7">
        <v>0.21299999999999999</v>
      </c>
      <c r="AY282" s="7">
        <v>0.21149999999999999</v>
      </c>
      <c r="AZ282" s="7">
        <v>0.21</v>
      </c>
      <c r="BA282" s="7">
        <v>0.20860000000000001</v>
      </c>
      <c r="BB282" s="7">
        <v>0.2072</v>
      </c>
      <c r="BC282" s="7">
        <v>0.20580000000000001</v>
      </c>
      <c r="BD282" s="7">
        <v>0.2044</v>
      </c>
      <c r="BE282" s="7">
        <v>0.2031</v>
      </c>
      <c r="BF282" s="7">
        <v>0.20180000000000001</v>
      </c>
      <c r="BG282" s="7">
        <v>0.20050000000000001</v>
      </c>
      <c r="BH282" s="7">
        <v>0.1993</v>
      </c>
      <c r="BI282" s="7">
        <v>0.19800000000000001</v>
      </c>
      <c r="BJ282" s="7">
        <v>0.1968</v>
      </c>
      <c r="BK282" s="7">
        <v>0.1956</v>
      </c>
      <c r="BL282" s="7">
        <v>0.19439999999999999</v>
      </c>
      <c r="BM282" s="7">
        <v>0.1933</v>
      </c>
      <c r="BN282" s="7">
        <v>0.19209999999999999</v>
      </c>
      <c r="BO282" s="7">
        <v>0.191</v>
      </c>
      <c r="BP282" s="7">
        <v>0.18990000000000001</v>
      </c>
      <c r="BQ282" s="7">
        <v>0.1888</v>
      </c>
      <c r="BR282" s="7">
        <v>0.18779999999999999</v>
      </c>
      <c r="BS282" s="7">
        <v>0.1867</v>
      </c>
      <c r="BT282" s="7">
        <v>0.1857</v>
      </c>
      <c r="BU282" s="7">
        <v>0.18459999999999999</v>
      </c>
      <c r="BV282" s="7">
        <v>0.18360000000000001</v>
      </c>
      <c r="BW282" s="7">
        <v>0.18260000000000001</v>
      </c>
      <c r="BX282" s="7">
        <v>0.18160000000000001</v>
      </c>
      <c r="BY282" s="7">
        <v>0.1807</v>
      </c>
      <c r="BZ282" s="7">
        <v>0.1797</v>
      </c>
      <c r="CA282" s="7">
        <v>0.1787</v>
      </c>
      <c r="CB282" s="7">
        <v>0.17780000000000001</v>
      </c>
      <c r="CC282" s="7">
        <v>0.17680000000000001</v>
      </c>
      <c r="CD282" s="7">
        <v>0.1759</v>
      </c>
      <c r="CE282" s="7">
        <v>0.17499999999999999</v>
      </c>
      <c r="CF282" s="7">
        <v>0.17399999999999999</v>
      </c>
      <c r="CG282" s="7">
        <v>0.1731</v>
      </c>
      <c r="CH282" s="7">
        <v>0.17219999999999999</v>
      </c>
      <c r="CI282" s="7">
        <v>0.17130000000000001</v>
      </c>
      <c r="CJ282" s="7">
        <v>0.1704</v>
      </c>
      <c r="CK282" s="7">
        <v>0.16950000000000001</v>
      </c>
      <c r="CL282" s="7">
        <v>0.1686</v>
      </c>
      <c r="CM282" s="7">
        <v>0.16769999999999999</v>
      </c>
      <c r="CN282" s="7">
        <v>0.16689999999999999</v>
      </c>
      <c r="CO282" s="7">
        <v>0.16600000000000001</v>
      </c>
      <c r="CP282" s="7">
        <v>0.1651</v>
      </c>
      <c r="CQ282" s="7">
        <v>0.16420000000000001</v>
      </c>
      <c r="CR282" s="7">
        <v>0.1633</v>
      </c>
      <c r="CS282" s="7">
        <v>0.16239999999999999</v>
      </c>
      <c r="CT282" s="7">
        <v>0.1615</v>
      </c>
      <c r="CU282" s="7">
        <v>0.16059999999999999</v>
      </c>
      <c r="CV282" s="7">
        <v>0.15970000000000001</v>
      </c>
      <c r="CW282" s="7">
        <v>0.1588</v>
      </c>
      <c r="CX282" s="7">
        <v>0.15790000000000001</v>
      </c>
      <c r="CY282" s="7">
        <v>0.157</v>
      </c>
      <c r="CZ282" s="7">
        <v>0.15609999999999999</v>
      </c>
      <c r="DA282" s="7">
        <v>0.15509999999999999</v>
      </c>
      <c r="DB282" s="7">
        <v>0.1542</v>
      </c>
      <c r="DC282" s="7">
        <v>0.1532</v>
      </c>
      <c r="DD282" s="7">
        <v>0.15229999999999999</v>
      </c>
      <c r="DE282" s="7">
        <v>0.15129999999999999</v>
      </c>
      <c r="DF282" s="7">
        <v>0.15029999999999999</v>
      </c>
      <c r="DG282" s="7">
        <v>0.14929999999999999</v>
      </c>
      <c r="DH282" s="7">
        <v>0.14829999999999999</v>
      </c>
      <c r="DI282" s="7">
        <v>0.14729999999999999</v>
      </c>
      <c r="DJ282" s="7">
        <v>0.14630000000000001</v>
      </c>
      <c r="DK282" s="7">
        <v>0.1452</v>
      </c>
      <c r="DL282" s="7">
        <v>0.14419999999999999</v>
      </c>
      <c r="DM282" s="7">
        <v>0.1431</v>
      </c>
      <c r="DN282" s="7">
        <v>0.14199999999999999</v>
      </c>
      <c r="DO282" s="7">
        <v>0.1409</v>
      </c>
      <c r="DP282" s="7">
        <v>0.13969999999999999</v>
      </c>
      <c r="DQ282" s="7">
        <v>0.1386</v>
      </c>
      <c r="DR282" s="7">
        <v>0.13739999999999999</v>
      </c>
      <c r="DS282" s="7">
        <v>0.13619999999999999</v>
      </c>
      <c r="DT282" s="7">
        <v>0.13500000000000001</v>
      </c>
      <c r="DU282" s="7">
        <v>0.13370000000000001</v>
      </c>
      <c r="DV282" s="7">
        <v>0.13250000000000001</v>
      </c>
      <c r="DW282" s="7">
        <v>0.13120000000000001</v>
      </c>
      <c r="DX282" s="7">
        <v>0.12989999999999999</v>
      </c>
      <c r="DY282" s="7">
        <v>0.1285</v>
      </c>
      <c r="DZ282" s="7">
        <v>0.12670000000000001</v>
      </c>
      <c r="EA282" s="7">
        <v>0.12470000000000001</v>
      </c>
      <c r="EB282" s="7">
        <v>0.1227</v>
      </c>
      <c r="EC282" s="7">
        <v>0.1207</v>
      </c>
      <c r="ED282" s="7">
        <v>0.1187</v>
      </c>
      <c r="EE282" s="7">
        <v>0.1167</v>
      </c>
      <c r="EF282" s="7">
        <v>0.1147</v>
      </c>
      <c r="EG282" s="7">
        <v>0.11269999999999999</v>
      </c>
      <c r="EH282" s="7">
        <v>0.11070000000000001</v>
      </c>
      <c r="EI282" s="7">
        <v>0.1086</v>
      </c>
      <c r="EJ282" s="7">
        <v>0.1066</v>
      </c>
      <c r="EK282" s="7">
        <v>0.1046</v>
      </c>
      <c r="EL282" s="7">
        <v>0.10249999999999999</v>
      </c>
      <c r="EM282" s="7">
        <v>0.10050000000000001</v>
      </c>
      <c r="EN282" s="7">
        <v>9.8500000000000004E-2</v>
      </c>
      <c r="EO282" s="7">
        <v>9.64E-2</v>
      </c>
      <c r="EP282" s="7">
        <v>9.4399999999999998E-2</v>
      </c>
      <c r="EQ282" s="7">
        <v>9.2399999999999996E-2</v>
      </c>
      <c r="ER282" s="7">
        <v>9.0399999999999994E-2</v>
      </c>
      <c r="ES282" s="7">
        <v>8.8400000000000006E-2</v>
      </c>
      <c r="ET282" s="7">
        <v>8.6400000000000005E-2</v>
      </c>
      <c r="EU282" s="7">
        <v>8.4500000000000006E-2</v>
      </c>
      <c r="EV282" s="7">
        <v>8.2500000000000004E-2</v>
      </c>
      <c r="EW282" s="7">
        <v>8.0600000000000005E-2</v>
      </c>
      <c r="EX282" s="7">
        <v>7.8700000000000006E-2</v>
      </c>
      <c r="EY282" s="7">
        <v>7.6799999999999993E-2</v>
      </c>
      <c r="EZ282" s="7">
        <v>7.4899999999999994E-2</v>
      </c>
      <c r="FA282" s="7">
        <v>7.2999999999999995E-2</v>
      </c>
      <c r="FB282" s="7">
        <v>7.1099999999999997E-2</v>
      </c>
      <c r="FC282" s="7">
        <v>6.93E-2</v>
      </c>
      <c r="FE282" s="50">
        <f t="shared" ca="1" si="32"/>
        <v>0.13094031814010401</v>
      </c>
      <c r="FF282" s="50">
        <f t="shared" ca="1" si="33"/>
        <v>0.13176107016981739</v>
      </c>
      <c r="FG282" s="50">
        <f t="shared" ca="1" si="34"/>
        <v>0.13259100671140939</v>
      </c>
      <c r="FH282" s="50">
        <f t="shared" ca="1" si="35"/>
        <v>0.13339637583892616</v>
      </c>
      <c r="FI282" s="50"/>
      <c r="FJ282" s="50"/>
      <c r="FK282" s="50">
        <f t="shared" ca="1" si="31"/>
        <v>0.13176107016981739</v>
      </c>
      <c r="FL282" s="50"/>
      <c r="FM282" s="50"/>
      <c r="FN282" s="50"/>
    </row>
    <row r="283" spans="49:170" hidden="1">
      <c r="AW283" s="112">
        <v>13.49</v>
      </c>
      <c r="AX283" s="7">
        <v>0.21299999999999999</v>
      </c>
      <c r="AY283" s="7">
        <v>0.21149999999999999</v>
      </c>
      <c r="AZ283" s="7">
        <v>0.21</v>
      </c>
      <c r="BA283" s="7">
        <v>0.20860000000000001</v>
      </c>
      <c r="BB283" s="7">
        <v>0.2072</v>
      </c>
      <c r="BC283" s="7">
        <v>0.20580000000000001</v>
      </c>
      <c r="BD283" s="7">
        <v>0.2044</v>
      </c>
      <c r="BE283" s="7">
        <v>0.2031</v>
      </c>
      <c r="BF283" s="7">
        <v>0.20180000000000001</v>
      </c>
      <c r="BG283" s="7">
        <v>0.20050000000000001</v>
      </c>
      <c r="BH283" s="7">
        <v>0.1993</v>
      </c>
      <c r="BI283" s="7">
        <v>0.19800000000000001</v>
      </c>
      <c r="BJ283" s="7">
        <v>0.1968</v>
      </c>
      <c r="BK283" s="7">
        <v>0.1956</v>
      </c>
      <c r="BL283" s="7">
        <v>0.19439999999999999</v>
      </c>
      <c r="BM283" s="7">
        <v>0.1933</v>
      </c>
      <c r="BN283" s="7">
        <v>0.19209999999999999</v>
      </c>
      <c r="BO283" s="7">
        <v>0.191</v>
      </c>
      <c r="BP283" s="7">
        <v>0.18990000000000001</v>
      </c>
      <c r="BQ283" s="7">
        <v>0.1888</v>
      </c>
      <c r="BR283" s="7">
        <v>0.18779999999999999</v>
      </c>
      <c r="BS283" s="7">
        <v>0.1867</v>
      </c>
      <c r="BT283" s="7">
        <v>0.1857</v>
      </c>
      <c r="BU283" s="7">
        <v>0.18459999999999999</v>
      </c>
      <c r="BV283" s="7">
        <v>0.18360000000000001</v>
      </c>
      <c r="BW283" s="7">
        <v>0.18260000000000001</v>
      </c>
      <c r="BX283" s="7">
        <v>0.18160000000000001</v>
      </c>
      <c r="BY283" s="7">
        <v>0.1807</v>
      </c>
      <c r="BZ283" s="7">
        <v>0.1797</v>
      </c>
      <c r="CA283" s="7">
        <v>0.1787</v>
      </c>
      <c r="CB283" s="7">
        <v>0.17780000000000001</v>
      </c>
      <c r="CC283" s="7">
        <v>0.17680000000000001</v>
      </c>
      <c r="CD283" s="7">
        <v>0.1759</v>
      </c>
      <c r="CE283" s="7">
        <v>0.17499999999999999</v>
      </c>
      <c r="CF283" s="7">
        <v>0.17399999999999999</v>
      </c>
      <c r="CG283" s="7">
        <v>0.1731</v>
      </c>
      <c r="CH283" s="7">
        <v>0.17219999999999999</v>
      </c>
      <c r="CI283" s="7">
        <v>0.17130000000000001</v>
      </c>
      <c r="CJ283" s="7">
        <v>0.1704</v>
      </c>
      <c r="CK283" s="7">
        <v>0.16950000000000001</v>
      </c>
      <c r="CL283" s="7">
        <v>0.1686</v>
      </c>
      <c r="CM283" s="7">
        <v>0.16769999999999999</v>
      </c>
      <c r="CN283" s="7">
        <v>0.16689999999999999</v>
      </c>
      <c r="CO283" s="7">
        <v>0.16600000000000001</v>
      </c>
      <c r="CP283" s="7">
        <v>0.1651</v>
      </c>
      <c r="CQ283" s="7">
        <v>0.16420000000000001</v>
      </c>
      <c r="CR283" s="7">
        <v>0.1633</v>
      </c>
      <c r="CS283" s="7">
        <v>0.16239999999999999</v>
      </c>
      <c r="CT283" s="7">
        <v>0.1615</v>
      </c>
      <c r="CU283" s="7">
        <v>0.16059999999999999</v>
      </c>
      <c r="CV283" s="7">
        <v>0.15970000000000001</v>
      </c>
      <c r="CW283" s="7">
        <v>0.1588</v>
      </c>
      <c r="CX283" s="7">
        <v>0.15790000000000001</v>
      </c>
      <c r="CY283" s="7">
        <v>0.157</v>
      </c>
      <c r="CZ283" s="7">
        <v>0.15609999999999999</v>
      </c>
      <c r="DA283" s="7">
        <v>0.15509999999999999</v>
      </c>
      <c r="DB283" s="7">
        <v>0.1542</v>
      </c>
      <c r="DC283" s="7">
        <v>0.1532</v>
      </c>
      <c r="DD283" s="7">
        <v>0.15229999999999999</v>
      </c>
      <c r="DE283" s="7">
        <v>0.15129999999999999</v>
      </c>
      <c r="DF283" s="7">
        <v>0.15029999999999999</v>
      </c>
      <c r="DG283" s="7">
        <v>0.14929999999999999</v>
      </c>
      <c r="DH283" s="7">
        <v>0.14829999999999999</v>
      </c>
      <c r="DI283" s="7">
        <v>0.14729999999999999</v>
      </c>
      <c r="DJ283" s="7">
        <v>0.14630000000000001</v>
      </c>
      <c r="DK283" s="7">
        <v>0.1452</v>
      </c>
      <c r="DL283" s="7">
        <v>0.14419999999999999</v>
      </c>
      <c r="DM283" s="7">
        <v>0.1431</v>
      </c>
      <c r="DN283" s="7">
        <v>0.14199999999999999</v>
      </c>
      <c r="DO283" s="7">
        <v>0.1409</v>
      </c>
      <c r="DP283" s="7">
        <v>0.13969999999999999</v>
      </c>
      <c r="DQ283" s="7">
        <v>0.1386</v>
      </c>
      <c r="DR283" s="7">
        <v>0.13739999999999999</v>
      </c>
      <c r="DS283" s="7">
        <v>0.13619999999999999</v>
      </c>
      <c r="DT283" s="7">
        <v>0.13500000000000001</v>
      </c>
      <c r="DU283" s="7">
        <v>0.13370000000000001</v>
      </c>
      <c r="DV283" s="7">
        <v>0.13250000000000001</v>
      </c>
      <c r="DW283" s="7">
        <v>0.13120000000000001</v>
      </c>
      <c r="DX283" s="7">
        <v>0.12989999999999999</v>
      </c>
      <c r="DY283" s="7">
        <v>0.1285</v>
      </c>
      <c r="DZ283" s="7">
        <v>0.12720000000000001</v>
      </c>
      <c r="EA283" s="7">
        <v>0.12520000000000001</v>
      </c>
      <c r="EB283" s="7">
        <v>0.12330000000000001</v>
      </c>
      <c r="EC283" s="7">
        <v>0.12130000000000001</v>
      </c>
      <c r="ED283" s="7">
        <v>0.1193</v>
      </c>
      <c r="EE283" s="7">
        <v>0.1172</v>
      </c>
      <c r="EF283" s="7">
        <v>0.1152</v>
      </c>
      <c r="EG283" s="7">
        <v>0.1132</v>
      </c>
      <c r="EH283" s="7">
        <v>0.11119999999999999</v>
      </c>
      <c r="EI283" s="7">
        <v>0.1091</v>
      </c>
      <c r="EJ283" s="7">
        <v>0.1071</v>
      </c>
      <c r="EK283" s="7">
        <v>0.1051</v>
      </c>
      <c r="EL283" s="7">
        <v>0.10299999999999999</v>
      </c>
      <c r="EM283" s="7">
        <v>0.10100000000000001</v>
      </c>
      <c r="EN283" s="7">
        <v>9.8900000000000002E-2</v>
      </c>
      <c r="EO283" s="7">
        <v>9.69E-2</v>
      </c>
      <c r="EP283" s="7">
        <v>9.4899999999999998E-2</v>
      </c>
      <c r="EQ283" s="7">
        <v>9.2899999999999996E-2</v>
      </c>
      <c r="ER283" s="7">
        <v>9.0899999999999995E-2</v>
      </c>
      <c r="ES283" s="7">
        <v>8.8900000000000007E-2</v>
      </c>
      <c r="ET283" s="7">
        <v>8.6900000000000005E-2</v>
      </c>
      <c r="EU283" s="7">
        <v>8.4900000000000003E-2</v>
      </c>
      <c r="EV283" s="7">
        <v>8.3000000000000004E-2</v>
      </c>
      <c r="EW283" s="7">
        <v>8.1100000000000005E-2</v>
      </c>
      <c r="EX283" s="7">
        <v>7.9100000000000004E-2</v>
      </c>
      <c r="EY283" s="7">
        <v>7.7200000000000005E-2</v>
      </c>
      <c r="EZ283" s="7">
        <v>7.5300000000000006E-2</v>
      </c>
      <c r="FA283" s="7">
        <v>7.3499999999999996E-2</v>
      </c>
      <c r="FB283" s="7">
        <v>7.1599999999999997E-2</v>
      </c>
      <c r="FC283" s="7">
        <v>6.9800000000000001E-2</v>
      </c>
      <c r="FE283" s="50">
        <f t="shared" ca="1" si="32"/>
        <v>0.13094031814010401</v>
      </c>
      <c r="FF283" s="50">
        <f t="shared" ca="1" si="33"/>
        <v>0.13176107016981739</v>
      </c>
      <c r="FG283" s="50">
        <f t="shared" ca="1" si="34"/>
        <v>0.13259100671140939</v>
      </c>
      <c r="FH283" s="50">
        <f t="shared" ca="1" si="35"/>
        <v>0.13339637583892616</v>
      </c>
      <c r="FI283" s="50"/>
      <c r="FJ283" s="50"/>
      <c r="FK283" s="50">
        <f t="shared" ca="1" si="31"/>
        <v>0.13176107016981739</v>
      </c>
      <c r="FL283" s="50"/>
      <c r="FM283" s="50"/>
      <c r="FN283" s="50"/>
    </row>
    <row r="284" spans="49:170" hidden="1">
      <c r="AW284" s="112">
        <v>14.454000000000001</v>
      </c>
      <c r="AX284" s="7">
        <v>0.21299999999999999</v>
      </c>
      <c r="AY284" s="7">
        <v>0.21149999999999999</v>
      </c>
      <c r="AZ284" s="7">
        <v>0.21</v>
      </c>
      <c r="BA284" s="7">
        <v>0.20860000000000001</v>
      </c>
      <c r="BB284" s="7">
        <v>0.2072</v>
      </c>
      <c r="BC284" s="7">
        <v>0.20580000000000001</v>
      </c>
      <c r="BD284" s="7">
        <v>0.2044</v>
      </c>
      <c r="BE284" s="7">
        <v>0.2031</v>
      </c>
      <c r="BF284" s="7">
        <v>0.20180000000000001</v>
      </c>
      <c r="BG284" s="7">
        <v>0.20050000000000001</v>
      </c>
      <c r="BH284" s="7">
        <v>0.1993</v>
      </c>
      <c r="BI284" s="7">
        <v>0.19800000000000001</v>
      </c>
      <c r="BJ284" s="7">
        <v>0.1968</v>
      </c>
      <c r="BK284" s="7">
        <v>0.1956</v>
      </c>
      <c r="BL284" s="7">
        <v>0.19439999999999999</v>
      </c>
      <c r="BM284" s="7">
        <v>0.1933</v>
      </c>
      <c r="BN284" s="7">
        <v>0.19209999999999999</v>
      </c>
      <c r="BO284" s="7">
        <v>0.191</v>
      </c>
      <c r="BP284" s="7">
        <v>0.18990000000000001</v>
      </c>
      <c r="BQ284" s="7">
        <v>0.1888</v>
      </c>
      <c r="BR284" s="7">
        <v>0.18779999999999999</v>
      </c>
      <c r="BS284" s="7">
        <v>0.1867</v>
      </c>
      <c r="BT284" s="7">
        <v>0.1857</v>
      </c>
      <c r="BU284" s="7">
        <v>0.18459999999999999</v>
      </c>
      <c r="BV284" s="7">
        <v>0.18360000000000001</v>
      </c>
      <c r="BW284" s="7">
        <v>0.18260000000000001</v>
      </c>
      <c r="BX284" s="7">
        <v>0.18160000000000001</v>
      </c>
      <c r="BY284" s="7">
        <v>0.1807</v>
      </c>
      <c r="BZ284" s="7">
        <v>0.1797</v>
      </c>
      <c r="CA284" s="7">
        <v>0.1787</v>
      </c>
      <c r="CB284" s="7">
        <v>0.17780000000000001</v>
      </c>
      <c r="CC284" s="7">
        <v>0.17680000000000001</v>
      </c>
      <c r="CD284" s="7">
        <v>0.1759</v>
      </c>
      <c r="CE284" s="7">
        <v>0.17499999999999999</v>
      </c>
      <c r="CF284" s="7">
        <v>0.17399999999999999</v>
      </c>
      <c r="CG284" s="7">
        <v>0.1731</v>
      </c>
      <c r="CH284" s="7">
        <v>0.17219999999999999</v>
      </c>
      <c r="CI284" s="7">
        <v>0.17130000000000001</v>
      </c>
      <c r="CJ284" s="7">
        <v>0.1704</v>
      </c>
      <c r="CK284" s="7">
        <v>0.16950000000000001</v>
      </c>
      <c r="CL284" s="7">
        <v>0.1686</v>
      </c>
      <c r="CM284" s="7">
        <v>0.16769999999999999</v>
      </c>
      <c r="CN284" s="7">
        <v>0.16689999999999999</v>
      </c>
      <c r="CO284" s="7">
        <v>0.16600000000000001</v>
      </c>
      <c r="CP284" s="7">
        <v>0.1651</v>
      </c>
      <c r="CQ284" s="7">
        <v>0.16420000000000001</v>
      </c>
      <c r="CR284" s="7">
        <v>0.1633</v>
      </c>
      <c r="CS284" s="7">
        <v>0.16239999999999999</v>
      </c>
      <c r="CT284" s="7">
        <v>0.1615</v>
      </c>
      <c r="CU284" s="7">
        <v>0.16059999999999999</v>
      </c>
      <c r="CV284" s="7">
        <v>0.15970000000000001</v>
      </c>
      <c r="CW284" s="7">
        <v>0.1588</v>
      </c>
      <c r="CX284" s="7">
        <v>0.15790000000000001</v>
      </c>
      <c r="CY284" s="7">
        <v>0.157</v>
      </c>
      <c r="CZ284" s="7">
        <v>0.15609999999999999</v>
      </c>
      <c r="DA284" s="7">
        <v>0.15509999999999999</v>
      </c>
      <c r="DB284" s="7">
        <v>0.1542</v>
      </c>
      <c r="DC284" s="7">
        <v>0.1532</v>
      </c>
      <c r="DD284" s="7">
        <v>0.15229999999999999</v>
      </c>
      <c r="DE284" s="7">
        <v>0.15129999999999999</v>
      </c>
      <c r="DF284" s="7">
        <v>0.15029999999999999</v>
      </c>
      <c r="DG284" s="7">
        <v>0.14929999999999999</v>
      </c>
      <c r="DH284" s="7">
        <v>0.14829999999999999</v>
      </c>
      <c r="DI284" s="7">
        <v>0.14729999999999999</v>
      </c>
      <c r="DJ284" s="7">
        <v>0.14630000000000001</v>
      </c>
      <c r="DK284" s="7">
        <v>0.1452</v>
      </c>
      <c r="DL284" s="7">
        <v>0.14419999999999999</v>
      </c>
      <c r="DM284" s="7">
        <v>0.1431</v>
      </c>
      <c r="DN284" s="7">
        <v>0.14199999999999999</v>
      </c>
      <c r="DO284" s="7">
        <v>0.1409</v>
      </c>
      <c r="DP284" s="7">
        <v>0.13969999999999999</v>
      </c>
      <c r="DQ284" s="7">
        <v>0.1386</v>
      </c>
      <c r="DR284" s="7">
        <v>0.13739999999999999</v>
      </c>
      <c r="DS284" s="7">
        <v>0.13619999999999999</v>
      </c>
      <c r="DT284" s="7">
        <v>0.13500000000000001</v>
      </c>
      <c r="DU284" s="7">
        <v>0.13370000000000001</v>
      </c>
      <c r="DV284" s="7">
        <v>0.13250000000000001</v>
      </c>
      <c r="DW284" s="7">
        <v>0.13120000000000001</v>
      </c>
      <c r="DX284" s="7">
        <v>0.12989999999999999</v>
      </c>
      <c r="DY284" s="7">
        <v>0.1285</v>
      </c>
      <c r="DZ284" s="7">
        <v>0.12720000000000001</v>
      </c>
      <c r="EA284" s="7">
        <v>0.1258</v>
      </c>
      <c r="EB284" s="7">
        <v>0.12379999999999999</v>
      </c>
      <c r="EC284" s="7">
        <v>0.12180000000000001</v>
      </c>
      <c r="ED284" s="7">
        <v>0.1198</v>
      </c>
      <c r="EE284" s="7">
        <v>0.1178</v>
      </c>
      <c r="EF284" s="7">
        <v>0.1157</v>
      </c>
      <c r="EG284" s="7">
        <v>0.1137</v>
      </c>
      <c r="EH284" s="7">
        <v>0.11169999999999999</v>
      </c>
      <c r="EI284" s="7">
        <v>0.1096</v>
      </c>
      <c r="EJ284" s="7">
        <v>0.1076</v>
      </c>
      <c r="EK284" s="7">
        <v>0.1055</v>
      </c>
      <c r="EL284" s="7">
        <v>0.10349999999999999</v>
      </c>
      <c r="EM284" s="7">
        <v>0.10150000000000001</v>
      </c>
      <c r="EN284" s="7">
        <v>9.9400000000000002E-2</v>
      </c>
      <c r="EO284" s="7">
        <v>9.74E-2</v>
      </c>
      <c r="EP284" s="7">
        <v>9.5399999999999999E-2</v>
      </c>
      <c r="EQ284" s="7">
        <v>9.3399999999999997E-2</v>
      </c>
      <c r="ER284" s="7">
        <v>9.1399999999999995E-2</v>
      </c>
      <c r="ES284" s="7">
        <v>8.9399999999999993E-2</v>
      </c>
      <c r="ET284" s="7">
        <v>8.7400000000000005E-2</v>
      </c>
      <c r="EU284" s="7">
        <v>8.5400000000000004E-2</v>
      </c>
      <c r="EV284" s="7">
        <v>8.3500000000000005E-2</v>
      </c>
      <c r="EW284" s="7">
        <v>8.1500000000000003E-2</v>
      </c>
      <c r="EX284" s="7">
        <v>7.9600000000000004E-2</v>
      </c>
      <c r="EY284" s="7">
        <v>7.7700000000000005E-2</v>
      </c>
      <c r="EZ284" s="7">
        <v>7.5800000000000006E-2</v>
      </c>
      <c r="FA284" s="7">
        <v>7.3899999999999993E-2</v>
      </c>
      <c r="FB284" s="7">
        <v>7.2099999999999997E-2</v>
      </c>
      <c r="FC284" s="7">
        <v>7.0199999999999999E-2</v>
      </c>
      <c r="FE284" s="50">
        <f t="shared" ca="1" si="32"/>
        <v>0.13094031814010401</v>
      </c>
      <c r="FF284" s="50">
        <f t="shared" ca="1" si="33"/>
        <v>0.13176107016981739</v>
      </c>
      <c r="FG284" s="50">
        <f t="shared" ca="1" si="34"/>
        <v>0.13259100671140939</v>
      </c>
      <c r="FH284" s="50">
        <f t="shared" ca="1" si="35"/>
        <v>0.13339637583892616</v>
      </c>
      <c r="FI284" s="50"/>
      <c r="FJ284" s="50"/>
      <c r="FK284" s="50">
        <f t="shared" ca="1" si="31"/>
        <v>0.13176107016981739</v>
      </c>
      <c r="FL284" s="50"/>
      <c r="FM284" s="50"/>
      <c r="FN284" s="50"/>
    </row>
    <row r="285" spans="49:170" hidden="1">
      <c r="AW285" s="112">
        <v>15.488</v>
      </c>
      <c r="AX285" s="7">
        <v>0.21299999999999999</v>
      </c>
      <c r="AY285" s="7">
        <v>0.21149999999999999</v>
      </c>
      <c r="AZ285" s="7">
        <v>0.21</v>
      </c>
      <c r="BA285" s="7">
        <v>0.20860000000000001</v>
      </c>
      <c r="BB285" s="7">
        <v>0.2072</v>
      </c>
      <c r="BC285" s="7">
        <v>0.20580000000000001</v>
      </c>
      <c r="BD285" s="7">
        <v>0.2044</v>
      </c>
      <c r="BE285" s="7">
        <v>0.2031</v>
      </c>
      <c r="BF285" s="7">
        <v>0.20180000000000001</v>
      </c>
      <c r="BG285" s="7">
        <v>0.20050000000000001</v>
      </c>
      <c r="BH285" s="7">
        <v>0.1993</v>
      </c>
      <c r="BI285" s="7">
        <v>0.19800000000000001</v>
      </c>
      <c r="BJ285" s="7">
        <v>0.1968</v>
      </c>
      <c r="BK285" s="7">
        <v>0.1956</v>
      </c>
      <c r="BL285" s="7">
        <v>0.19439999999999999</v>
      </c>
      <c r="BM285" s="7">
        <v>0.1933</v>
      </c>
      <c r="BN285" s="7">
        <v>0.19209999999999999</v>
      </c>
      <c r="BO285" s="7">
        <v>0.191</v>
      </c>
      <c r="BP285" s="7">
        <v>0.18990000000000001</v>
      </c>
      <c r="BQ285" s="7">
        <v>0.1888</v>
      </c>
      <c r="BR285" s="7">
        <v>0.18779999999999999</v>
      </c>
      <c r="BS285" s="7">
        <v>0.1867</v>
      </c>
      <c r="BT285" s="7">
        <v>0.1857</v>
      </c>
      <c r="BU285" s="7">
        <v>0.18459999999999999</v>
      </c>
      <c r="BV285" s="7">
        <v>0.18360000000000001</v>
      </c>
      <c r="BW285" s="7">
        <v>0.18260000000000001</v>
      </c>
      <c r="BX285" s="7">
        <v>0.18160000000000001</v>
      </c>
      <c r="BY285" s="7">
        <v>0.1807</v>
      </c>
      <c r="BZ285" s="7">
        <v>0.1797</v>
      </c>
      <c r="CA285" s="7">
        <v>0.1787</v>
      </c>
      <c r="CB285" s="7">
        <v>0.17780000000000001</v>
      </c>
      <c r="CC285" s="7">
        <v>0.17680000000000001</v>
      </c>
      <c r="CD285" s="7">
        <v>0.1759</v>
      </c>
      <c r="CE285" s="7">
        <v>0.17499999999999999</v>
      </c>
      <c r="CF285" s="7">
        <v>0.17399999999999999</v>
      </c>
      <c r="CG285" s="7">
        <v>0.1731</v>
      </c>
      <c r="CH285" s="7">
        <v>0.17219999999999999</v>
      </c>
      <c r="CI285" s="7">
        <v>0.17130000000000001</v>
      </c>
      <c r="CJ285" s="7">
        <v>0.1704</v>
      </c>
      <c r="CK285" s="7">
        <v>0.16950000000000001</v>
      </c>
      <c r="CL285" s="7">
        <v>0.1686</v>
      </c>
      <c r="CM285" s="7">
        <v>0.16769999999999999</v>
      </c>
      <c r="CN285" s="7">
        <v>0.16689999999999999</v>
      </c>
      <c r="CO285" s="7">
        <v>0.16600000000000001</v>
      </c>
      <c r="CP285" s="7">
        <v>0.1651</v>
      </c>
      <c r="CQ285" s="7">
        <v>0.16420000000000001</v>
      </c>
      <c r="CR285" s="7">
        <v>0.1633</v>
      </c>
      <c r="CS285" s="7">
        <v>0.16239999999999999</v>
      </c>
      <c r="CT285" s="7">
        <v>0.1615</v>
      </c>
      <c r="CU285" s="7">
        <v>0.16059999999999999</v>
      </c>
      <c r="CV285" s="7">
        <v>0.15970000000000001</v>
      </c>
      <c r="CW285" s="7">
        <v>0.1588</v>
      </c>
      <c r="CX285" s="7">
        <v>0.15790000000000001</v>
      </c>
      <c r="CY285" s="7">
        <v>0.157</v>
      </c>
      <c r="CZ285" s="7">
        <v>0.15609999999999999</v>
      </c>
      <c r="DA285" s="7">
        <v>0.15509999999999999</v>
      </c>
      <c r="DB285" s="7">
        <v>0.1542</v>
      </c>
      <c r="DC285" s="7">
        <v>0.1532</v>
      </c>
      <c r="DD285" s="7">
        <v>0.15229999999999999</v>
      </c>
      <c r="DE285" s="7">
        <v>0.15129999999999999</v>
      </c>
      <c r="DF285" s="7">
        <v>0.15029999999999999</v>
      </c>
      <c r="DG285" s="7">
        <v>0.14929999999999999</v>
      </c>
      <c r="DH285" s="7">
        <v>0.14829999999999999</v>
      </c>
      <c r="DI285" s="7">
        <v>0.14729999999999999</v>
      </c>
      <c r="DJ285" s="7">
        <v>0.14630000000000001</v>
      </c>
      <c r="DK285" s="7">
        <v>0.1452</v>
      </c>
      <c r="DL285" s="7">
        <v>0.14419999999999999</v>
      </c>
      <c r="DM285" s="7">
        <v>0.1431</v>
      </c>
      <c r="DN285" s="7">
        <v>0.14199999999999999</v>
      </c>
      <c r="DO285" s="7">
        <v>0.1409</v>
      </c>
      <c r="DP285" s="7">
        <v>0.13969999999999999</v>
      </c>
      <c r="DQ285" s="7">
        <v>0.1386</v>
      </c>
      <c r="DR285" s="7">
        <v>0.13739999999999999</v>
      </c>
      <c r="DS285" s="7">
        <v>0.13619999999999999</v>
      </c>
      <c r="DT285" s="7">
        <v>0.13500000000000001</v>
      </c>
      <c r="DU285" s="7">
        <v>0.13370000000000001</v>
      </c>
      <c r="DV285" s="7">
        <v>0.13250000000000001</v>
      </c>
      <c r="DW285" s="7">
        <v>0.13120000000000001</v>
      </c>
      <c r="DX285" s="7">
        <v>0.12989999999999999</v>
      </c>
      <c r="DY285" s="7">
        <v>0.1285</v>
      </c>
      <c r="DZ285" s="7">
        <v>0.12720000000000001</v>
      </c>
      <c r="EA285" s="7">
        <v>0.1258</v>
      </c>
      <c r="EB285" s="7">
        <v>0.12429999999999999</v>
      </c>
      <c r="EC285" s="7">
        <v>0.12230000000000001</v>
      </c>
      <c r="ED285" s="7">
        <v>0.1203</v>
      </c>
      <c r="EE285" s="7">
        <v>0.1183</v>
      </c>
      <c r="EF285" s="7">
        <v>0.1162</v>
      </c>
      <c r="EG285" s="7">
        <v>0.1142</v>
      </c>
      <c r="EH285" s="7">
        <v>0.11219999999999999</v>
      </c>
      <c r="EI285" s="7">
        <v>0.1101</v>
      </c>
      <c r="EJ285" s="7">
        <v>0.1081</v>
      </c>
      <c r="EK285" s="7">
        <v>0.106</v>
      </c>
      <c r="EL285" s="7">
        <v>0.104</v>
      </c>
      <c r="EM285" s="7">
        <v>0.10199999999999999</v>
      </c>
      <c r="EN285" s="7">
        <v>9.9900000000000003E-2</v>
      </c>
      <c r="EO285" s="7">
        <v>9.7900000000000001E-2</v>
      </c>
      <c r="EP285" s="7">
        <v>9.5899999999999999E-2</v>
      </c>
      <c r="EQ285" s="7">
        <v>9.3799999999999994E-2</v>
      </c>
      <c r="ER285" s="7">
        <v>9.1800000000000007E-2</v>
      </c>
      <c r="ES285" s="7">
        <v>8.9800000000000005E-2</v>
      </c>
      <c r="ET285" s="7">
        <v>8.7900000000000006E-2</v>
      </c>
      <c r="EU285" s="7">
        <v>8.5900000000000004E-2</v>
      </c>
      <c r="EV285" s="7">
        <v>8.3900000000000002E-2</v>
      </c>
      <c r="EW285" s="7">
        <v>8.2000000000000003E-2</v>
      </c>
      <c r="EX285" s="7">
        <v>8.0100000000000005E-2</v>
      </c>
      <c r="EY285" s="7">
        <v>7.8100000000000003E-2</v>
      </c>
      <c r="EZ285" s="7">
        <v>7.6200000000000004E-2</v>
      </c>
      <c r="FA285" s="7">
        <v>7.4399999999999994E-2</v>
      </c>
      <c r="FB285" s="7">
        <v>7.2499999999999995E-2</v>
      </c>
      <c r="FC285" s="7">
        <v>7.0699999999999999E-2</v>
      </c>
      <c r="FE285" s="50">
        <f t="shared" ca="1" si="32"/>
        <v>0.13094031814010401</v>
      </c>
      <c r="FF285" s="50">
        <f t="shared" ca="1" si="33"/>
        <v>0.13176107016981739</v>
      </c>
      <c r="FG285" s="50">
        <f t="shared" ca="1" si="34"/>
        <v>0.13259100671140939</v>
      </c>
      <c r="FH285" s="50">
        <f t="shared" ca="1" si="35"/>
        <v>0.13339637583892616</v>
      </c>
      <c r="FI285" s="50"/>
      <c r="FJ285" s="50"/>
      <c r="FK285" s="50">
        <f t="shared" ca="1" si="31"/>
        <v>0.13176107016981739</v>
      </c>
      <c r="FL285" s="50"/>
      <c r="FM285" s="50"/>
      <c r="FN285" s="50"/>
    </row>
    <row r="286" spans="49:170" hidden="1">
      <c r="AW286" s="112">
        <v>16.596</v>
      </c>
      <c r="AX286" s="7">
        <v>0.21299999999999999</v>
      </c>
      <c r="AY286" s="7">
        <v>0.21149999999999999</v>
      </c>
      <c r="AZ286" s="7">
        <v>0.21</v>
      </c>
      <c r="BA286" s="7">
        <v>0.20860000000000001</v>
      </c>
      <c r="BB286" s="7">
        <v>0.2072</v>
      </c>
      <c r="BC286" s="7">
        <v>0.20580000000000001</v>
      </c>
      <c r="BD286" s="7">
        <v>0.2044</v>
      </c>
      <c r="BE286" s="7">
        <v>0.2031</v>
      </c>
      <c r="BF286" s="7">
        <v>0.20180000000000001</v>
      </c>
      <c r="BG286" s="7">
        <v>0.20050000000000001</v>
      </c>
      <c r="BH286" s="7">
        <v>0.1993</v>
      </c>
      <c r="BI286" s="7">
        <v>0.19800000000000001</v>
      </c>
      <c r="BJ286" s="7">
        <v>0.1968</v>
      </c>
      <c r="BK286" s="7">
        <v>0.1956</v>
      </c>
      <c r="BL286" s="7">
        <v>0.19439999999999999</v>
      </c>
      <c r="BM286" s="7">
        <v>0.1933</v>
      </c>
      <c r="BN286" s="7">
        <v>0.19209999999999999</v>
      </c>
      <c r="BO286" s="7">
        <v>0.191</v>
      </c>
      <c r="BP286" s="7">
        <v>0.18990000000000001</v>
      </c>
      <c r="BQ286" s="7">
        <v>0.1888</v>
      </c>
      <c r="BR286" s="7">
        <v>0.18779999999999999</v>
      </c>
      <c r="BS286" s="7">
        <v>0.1867</v>
      </c>
      <c r="BT286" s="7">
        <v>0.1857</v>
      </c>
      <c r="BU286" s="7">
        <v>0.18459999999999999</v>
      </c>
      <c r="BV286" s="7">
        <v>0.18360000000000001</v>
      </c>
      <c r="BW286" s="7">
        <v>0.18260000000000001</v>
      </c>
      <c r="BX286" s="7">
        <v>0.18160000000000001</v>
      </c>
      <c r="BY286" s="7">
        <v>0.1807</v>
      </c>
      <c r="BZ286" s="7">
        <v>0.1797</v>
      </c>
      <c r="CA286" s="7">
        <v>0.1787</v>
      </c>
      <c r="CB286" s="7">
        <v>0.17780000000000001</v>
      </c>
      <c r="CC286" s="7">
        <v>0.17680000000000001</v>
      </c>
      <c r="CD286" s="7">
        <v>0.1759</v>
      </c>
      <c r="CE286" s="7">
        <v>0.17499999999999999</v>
      </c>
      <c r="CF286" s="7">
        <v>0.17399999999999999</v>
      </c>
      <c r="CG286" s="7">
        <v>0.1731</v>
      </c>
      <c r="CH286" s="7">
        <v>0.17219999999999999</v>
      </c>
      <c r="CI286" s="7">
        <v>0.17130000000000001</v>
      </c>
      <c r="CJ286" s="7">
        <v>0.1704</v>
      </c>
      <c r="CK286" s="7">
        <v>0.16950000000000001</v>
      </c>
      <c r="CL286" s="7">
        <v>0.1686</v>
      </c>
      <c r="CM286" s="7">
        <v>0.16769999999999999</v>
      </c>
      <c r="CN286" s="7">
        <v>0.16689999999999999</v>
      </c>
      <c r="CO286" s="7">
        <v>0.16600000000000001</v>
      </c>
      <c r="CP286" s="7">
        <v>0.1651</v>
      </c>
      <c r="CQ286" s="7">
        <v>0.16420000000000001</v>
      </c>
      <c r="CR286" s="7">
        <v>0.1633</v>
      </c>
      <c r="CS286" s="7">
        <v>0.16239999999999999</v>
      </c>
      <c r="CT286" s="7">
        <v>0.1615</v>
      </c>
      <c r="CU286" s="7">
        <v>0.16059999999999999</v>
      </c>
      <c r="CV286" s="7">
        <v>0.15970000000000001</v>
      </c>
      <c r="CW286" s="7">
        <v>0.1588</v>
      </c>
      <c r="CX286" s="7">
        <v>0.15790000000000001</v>
      </c>
      <c r="CY286" s="7">
        <v>0.157</v>
      </c>
      <c r="CZ286" s="7">
        <v>0.15609999999999999</v>
      </c>
      <c r="DA286" s="7">
        <v>0.15509999999999999</v>
      </c>
      <c r="DB286" s="7">
        <v>0.1542</v>
      </c>
      <c r="DC286" s="7">
        <v>0.1532</v>
      </c>
      <c r="DD286" s="7">
        <v>0.15229999999999999</v>
      </c>
      <c r="DE286" s="7">
        <v>0.15129999999999999</v>
      </c>
      <c r="DF286" s="7">
        <v>0.15029999999999999</v>
      </c>
      <c r="DG286" s="7">
        <v>0.14929999999999999</v>
      </c>
      <c r="DH286" s="7">
        <v>0.14829999999999999</v>
      </c>
      <c r="DI286" s="7">
        <v>0.14729999999999999</v>
      </c>
      <c r="DJ286" s="7">
        <v>0.14630000000000001</v>
      </c>
      <c r="DK286" s="7">
        <v>0.1452</v>
      </c>
      <c r="DL286" s="7">
        <v>0.14419999999999999</v>
      </c>
      <c r="DM286" s="7">
        <v>0.1431</v>
      </c>
      <c r="DN286" s="7">
        <v>0.14199999999999999</v>
      </c>
      <c r="DO286" s="7">
        <v>0.1409</v>
      </c>
      <c r="DP286" s="7">
        <v>0.13969999999999999</v>
      </c>
      <c r="DQ286" s="7">
        <v>0.1386</v>
      </c>
      <c r="DR286" s="7">
        <v>0.13739999999999999</v>
      </c>
      <c r="DS286" s="7">
        <v>0.13619999999999999</v>
      </c>
      <c r="DT286" s="7">
        <v>0.13500000000000001</v>
      </c>
      <c r="DU286" s="7">
        <v>0.13370000000000001</v>
      </c>
      <c r="DV286" s="7">
        <v>0.13250000000000001</v>
      </c>
      <c r="DW286" s="7">
        <v>0.13120000000000001</v>
      </c>
      <c r="DX286" s="7">
        <v>0.12989999999999999</v>
      </c>
      <c r="DY286" s="7">
        <v>0.1285</v>
      </c>
      <c r="DZ286" s="7">
        <v>0.12720000000000001</v>
      </c>
      <c r="EA286" s="7">
        <v>0.1258</v>
      </c>
      <c r="EB286" s="7">
        <v>0.1244</v>
      </c>
      <c r="EC286" s="7">
        <v>0.12280000000000001</v>
      </c>
      <c r="ED286" s="7">
        <v>0.1208</v>
      </c>
      <c r="EE286" s="7">
        <v>0.1188</v>
      </c>
      <c r="EF286" s="7">
        <v>0.1167</v>
      </c>
      <c r="EG286" s="7">
        <v>0.1147</v>
      </c>
      <c r="EH286" s="7">
        <v>0.11269999999999999</v>
      </c>
      <c r="EI286" s="7">
        <v>0.1106</v>
      </c>
      <c r="EJ286" s="7">
        <v>0.1086</v>
      </c>
      <c r="EK286" s="7">
        <v>0.1065</v>
      </c>
      <c r="EL286" s="7">
        <v>0.1045</v>
      </c>
      <c r="EM286" s="7">
        <v>0.1024</v>
      </c>
      <c r="EN286" s="7">
        <v>0.1004</v>
      </c>
      <c r="EO286" s="7">
        <v>9.8400000000000001E-2</v>
      </c>
      <c r="EP286" s="7">
        <v>9.6299999999999997E-2</v>
      </c>
      <c r="EQ286" s="7">
        <v>9.4299999999999995E-2</v>
      </c>
      <c r="ER286" s="7">
        <v>9.2299999999999993E-2</v>
      </c>
      <c r="ES286" s="7">
        <v>9.0300000000000005E-2</v>
      </c>
      <c r="ET286" s="7">
        <v>8.8300000000000003E-2</v>
      </c>
      <c r="EU286" s="7">
        <v>8.6300000000000002E-2</v>
      </c>
      <c r="EV286" s="7">
        <v>8.4400000000000003E-2</v>
      </c>
      <c r="EW286" s="7">
        <v>8.2400000000000001E-2</v>
      </c>
      <c r="EX286" s="7">
        <v>8.0500000000000002E-2</v>
      </c>
      <c r="EY286" s="7">
        <v>7.8600000000000003E-2</v>
      </c>
      <c r="EZ286" s="7">
        <v>7.6700000000000004E-2</v>
      </c>
      <c r="FA286" s="7">
        <v>7.4800000000000005E-2</v>
      </c>
      <c r="FB286" s="7">
        <v>7.2999999999999995E-2</v>
      </c>
      <c r="FC286" s="7">
        <v>7.1099999999999997E-2</v>
      </c>
      <c r="FE286" s="50">
        <f t="shared" ca="1" si="32"/>
        <v>0.13094031814010401</v>
      </c>
      <c r="FF286" s="50">
        <f t="shared" ca="1" si="33"/>
        <v>0.13176107016981739</v>
      </c>
      <c r="FG286" s="50">
        <f t="shared" ca="1" si="34"/>
        <v>0.13259100671140939</v>
      </c>
      <c r="FH286" s="50">
        <f t="shared" ca="1" si="35"/>
        <v>0.13339637583892616</v>
      </c>
      <c r="FI286" s="50"/>
      <c r="FJ286" s="50"/>
      <c r="FK286" s="50">
        <f t="shared" ca="1" si="31"/>
        <v>0.13176107016981739</v>
      </c>
      <c r="FL286" s="50"/>
      <c r="FM286" s="50"/>
      <c r="FN286" s="50"/>
    </row>
    <row r="287" spans="49:170" hidden="1">
      <c r="AW287" s="112">
        <v>17.783000000000001</v>
      </c>
      <c r="AX287" s="7">
        <v>0.21299999999999999</v>
      </c>
      <c r="AY287" s="7">
        <v>0.21149999999999999</v>
      </c>
      <c r="AZ287" s="7">
        <v>0.21</v>
      </c>
      <c r="BA287" s="7">
        <v>0.20860000000000001</v>
      </c>
      <c r="BB287" s="7">
        <v>0.2072</v>
      </c>
      <c r="BC287" s="7">
        <v>0.20580000000000001</v>
      </c>
      <c r="BD287" s="7">
        <v>0.2044</v>
      </c>
      <c r="BE287" s="7">
        <v>0.2031</v>
      </c>
      <c r="BF287" s="7">
        <v>0.20180000000000001</v>
      </c>
      <c r="BG287" s="7">
        <v>0.20050000000000001</v>
      </c>
      <c r="BH287" s="7">
        <v>0.1993</v>
      </c>
      <c r="BI287" s="7">
        <v>0.19800000000000001</v>
      </c>
      <c r="BJ287" s="7">
        <v>0.1968</v>
      </c>
      <c r="BK287" s="7">
        <v>0.1956</v>
      </c>
      <c r="BL287" s="7">
        <v>0.19439999999999999</v>
      </c>
      <c r="BM287" s="7">
        <v>0.1933</v>
      </c>
      <c r="BN287" s="7">
        <v>0.19209999999999999</v>
      </c>
      <c r="BO287" s="7">
        <v>0.191</v>
      </c>
      <c r="BP287" s="7">
        <v>0.18990000000000001</v>
      </c>
      <c r="BQ287" s="7">
        <v>0.1888</v>
      </c>
      <c r="BR287" s="7">
        <v>0.18779999999999999</v>
      </c>
      <c r="BS287" s="7">
        <v>0.1867</v>
      </c>
      <c r="BT287" s="7">
        <v>0.1857</v>
      </c>
      <c r="BU287" s="7">
        <v>0.18459999999999999</v>
      </c>
      <c r="BV287" s="7">
        <v>0.18360000000000001</v>
      </c>
      <c r="BW287" s="7">
        <v>0.18260000000000001</v>
      </c>
      <c r="BX287" s="7">
        <v>0.18160000000000001</v>
      </c>
      <c r="BY287" s="7">
        <v>0.1807</v>
      </c>
      <c r="BZ287" s="7">
        <v>0.1797</v>
      </c>
      <c r="CA287" s="7">
        <v>0.1787</v>
      </c>
      <c r="CB287" s="7">
        <v>0.17780000000000001</v>
      </c>
      <c r="CC287" s="7">
        <v>0.17680000000000001</v>
      </c>
      <c r="CD287" s="7">
        <v>0.1759</v>
      </c>
      <c r="CE287" s="7">
        <v>0.17499999999999999</v>
      </c>
      <c r="CF287" s="7">
        <v>0.17399999999999999</v>
      </c>
      <c r="CG287" s="7">
        <v>0.1731</v>
      </c>
      <c r="CH287" s="7">
        <v>0.17219999999999999</v>
      </c>
      <c r="CI287" s="7">
        <v>0.17130000000000001</v>
      </c>
      <c r="CJ287" s="7">
        <v>0.1704</v>
      </c>
      <c r="CK287" s="7">
        <v>0.16950000000000001</v>
      </c>
      <c r="CL287" s="7">
        <v>0.1686</v>
      </c>
      <c r="CM287" s="7">
        <v>0.16769999999999999</v>
      </c>
      <c r="CN287" s="7">
        <v>0.16689999999999999</v>
      </c>
      <c r="CO287" s="7">
        <v>0.16600000000000001</v>
      </c>
      <c r="CP287" s="7">
        <v>0.1651</v>
      </c>
      <c r="CQ287" s="7">
        <v>0.16420000000000001</v>
      </c>
      <c r="CR287" s="7">
        <v>0.1633</v>
      </c>
      <c r="CS287" s="7">
        <v>0.16239999999999999</v>
      </c>
      <c r="CT287" s="7">
        <v>0.1615</v>
      </c>
      <c r="CU287" s="7">
        <v>0.16059999999999999</v>
      </c>
      <c r="CV287" s="7">
        <v>0.15970000000000001</v>
      </c>
      <c r="CW287" s="7">
        <v>0.1588</v>
      </c>
      <c r="CX287" s="7">
        <v>0.15790000000000001</v>
      </c>
      <c r="CY287" s="7">
        <v>0.157</v>
      </c>
      <c r="CZ287" s="7">
        <v>0.15609999999999999</v>
      </c>
      <c r="DA287" s="7">
        <v>0.15509999999999999</v>
      </c>
      <c r="DB287" s="7">
        <v>0.1542</v>
      </c>
      <c r="DC287" s="7">
        <v>0.1532</v>
      </c>
      <c r="DD287" s="7">
        <v>0.15229999999999999</v>
      </c>
      <c r="DE287" s="7">
        <v>0.15129999999999999</v>
      </c>
      <c r="DF287" s="7">
        <v>0.15029999999999999</v>
      </c>
      <c r="DG287" s="7">
        <v>0.14929999999999999</v>
      </c>
      <c r="DH287" s="7">
        <v>0.14829999999999999</v>
      </c>
      <c r="DI287" s="7">
        <v>0.14729999999999999</v>
      </c>
      <c r="DJ287" s="7">
        <v>0.14630000000000001</v>
      </c>
      <c r="DK287" s="7">
        <v>0.1452</v>
      </c>
      <c r="DL287" s="7">
        <v>0.14419999999999999</v>
      </c>
      <c r="DM287" s="7">
        <v>0.1431</v>
      </c>
      <c r="DN287" s="7">
        <v>0.14199999999999999</v>
      </c>
      <c r="DO287" s="7">
        <v>0.1409</v>
      </c>
      <c r="DP287" s="7">
        <v>0.13969999999999999</v>
      </c>
      <c r="DQ287" s="7">
        <v>0.1386</v>
      </c>
      <c r="DR287" s="7">
        <v>0.13739999999999999</v>
      </c>
      <c r="DS287" s="7">
        <v>0.13619999999999999</v>
      </c>
      <c r="DT287" s="7">
        <v>0.13500000000000001</v>
      </c>
      <c r="DU287" s="7">
        <v>0.13370000000000001</v>
      </c>
      <c r="DV287" s="7">
        <v>0.13250000000000001</v>
      </c>
      <c r="DW287" s="7">
        <v>0.13120000000000001</v>
      </c>
      <c r="DX287" s="7">
        <v>0.12989999999999999</v>
      </c>
      <c r="DY287" s="7">
        <v>0.1285</v>
      </c>
      <c r="DZ287" s="7">
        <v>0.12720000000000001</v>
      </c>
      <c r="EA287" s="7">
        <v>0.1258</v>
      </c>
      <c r="EB287" s="7">
        <v>0.1244</v>
      </c>
      <c r="EC287" s="7">
        <v>0.123</v>
      </c>
      <c r="ED287" s="7">
        <v>0.12130000000000001</v>
      </c>
      <c r="EE287" s="7">
        <v>0.1192</v>
      </c>
      <c r="EF287" s="7">
        <v>0.1172</v>
      </c>
      <c r="EG287" s="7">
        <v>0.1152</v>
      </c>
      <c r="EH287" s="7">
        <v>0.11310000000000001</v>
      </c>
      <c r="EI287" s="7">
        <v>0.1111</v>
      </c>
      <c r="EJ287" s="7">
        <v>0.1091</v>
      </c>
      <c r="EK287" s="7">
        <v>0.107</v>
      </c>
      <c r="EL287" s="7">
        <v>0.105</v>
      </c>
      <c r="EM287" s="7">
        <v>0.10290000000000001</v>
      </c>
      <c r="EN287" s="7">
        <v>0.1009</v>
      </c>
      <c r="EO287" s="7">
        <v>9.8799999999999999E-2</v>
      </c>
      <c r="EP287" s="7">
        <v>9.6799999999999997E-2</v>
      </c>
      <c r="EQ287" s="7">
        <v>9.4799999999999995E-2</v>
      </c>
      <c r="ER287" s="7">
        <v>9.2799999999999994E-2</v>
      </c>
      <c r="ES287" s="7">
        <v>9.0800000000000006E-2</v>
      </c>
      <c r="ET287" s="7">
        <v>8.8800000000000004E-2</v>
      </c>
      <c r="EU287" s="7">
        <v>8.6800000000000002E-2</v>
      </c>
      <c r="EV287" s="7">
        <v>8.48E-2</v>
      </c>
      <c r="EW287" s="7">
        <v>8.2900000000000001E-2</v>
      </c>
      <c r="EX287" s="7">
        <v>8.1000000000000003E-2</v>
      </c>
      <c r="EY287" s="7">
        <v>7.9000000000000001E-2</v>
      </c>
      <c r="EZ287" s="7">
        <v>7.7100000000000002E-2</v>
      </c>
      <c r="FA287" s="7">
        <v>7.5300000000000006E-2</v>
      </c>
      <c r="FB287" s="7">
        <v>7.3400000000000007E-2</v>
      </c>
      <c r="FC287" s="7">
        <v>7.1599999999999997E-2</v>
      </c>
      <c r="FE287" s="50">
        <f t="shared" ca="1" si="32"/>
        <v>0.13094031814010401</v>
      </c>
      <c r="FF287" s="50">
        <f t="shared" ca="1" si="33"/>
        <v>0.13176107016981739</v>
      </c>
      <c r="FG287" s="50">
        <f t="shared" ca="1" si="34"/>
        <v>0.13259100671140939</v>
      </c>
      <c r="FH287" s="50">
        <f t="shared" ca="1" si="35"/>
        <v>0.13339637583892616</v>
      </c>
      <c r="FI287" s="50"/>
      <c r="FJ287" s="50"/>
      <c r="FK287" s="50">
        <f t="shared" ca="1" si="31"/>
        <v>0.13176107016981739</v>
      </c>
      <c r="FL287" s="50"/>
      <c r="FM287" s="50"/>
      <c r="FN287" s="50"/>
    </row>
    <row r="288" spans="49:170" hidden="1">
      <c r="AW288" s="112">
        <v>19.055</v>
      </c>
      <c r="AX288" s="7">
        <v>0.21299999999999999</v>
      </c>
      <c r="AY288" s="7">
        <v>0.21149999999999999</v>
      </c>
      <c r="AZ288" s="7">
        <v>0.21</v>
      </c>
      <c r="BA288" s="7">
        <v>0.20860000000000001</v>
      </c>
      <c r="BB288" s="7">
        <v>0.2072</v>
      </c>
      <c r="BC288" s="7">
        <v>0.20580000000000001</v>
      </c>
      <c r="BD288" s="7">
        <v>0.2044</v>
      </c>
      <c r="BE288" s="7">
        <v>0.2031</v>
      </c>
      <c r="BF288" s="7">
        <v>0.20180000000000001</v>
      </c>
      <c r="BG288" s="7">
        <v>0.20050000000000001</v>
      </c>
      <c r="BH288" s="7">
        <v>0.1993</v>
      </c>
      <c r="BI288" s="7">
        <v>0.19800000000000001</v>
      </c>
      <c r="BJ288" s="7">
        <v>0.1968</v>
      </c>
      <c r="BK288" s="7">
        <v>0.1956</v>
      </c>
      <c r="BL288" s="7">
        <v>0.19439999999999999</v>
      </c>
      <c r="BM288" s="7">
        <v>0.1933</v>
      </c>
      <c r="BN288" s="7">
        <v>0.19209999999999999</v>
      </c>
      <c r="BO288" s="7">
        <v>0.191</v>
      </c>
      <c r="BP288" s="7">
        <v>0.18990000000000001</v>
      </c>
      <c r="BQ288" s="7">
        <v>0.1888</v>
      </c>
      <c r="BR288" s="7">
        <v>0.18779999999999999</v>
      </c>
      <c r="BS288" s="7">
        <v>0.1867</v>
      </c>
      <c r="BT288" s="7">
        <v>0.1857</v>
      </c>
      <c r="BU288" s="7">
        <v>0.18459999999999999</v>
      </c>
      <c r="BV288" s="7">
        <v>0.18360000000000001</v>
      </c>
      <c r="BW288" s="7">
        <v>0.18260000000000001</v>
      </c>
      <c r="BX288" s="7">
        <v>0.18160000000000001</v>
      </c>
      <c r="BY288" s="7">
        <v>0.1807</v>
      </c>
      <c r="BZ288" s="7">
        <v>0.1797</v>
      </c>
      <c r="CA288" s="7">
        <v>0.1787</v>
      </c>
      <c r="CB288" s="7">
        <v>0.17780000000000001</v>
      </c>
      <c r="CC288" s="7">
        <v>0.17680000000000001</v>
      </c>
      <c r="CD288" s="7">
        <v>0.1759</v>
      </c>
      <c r="CE288" s="7">
        <v>0.17499999999999999</v>
      </c>
      <c r="CF288" s="7">
        <v>0.17399999999999999</v>
      </c>
      <c r="CG288" s="7">
        <v>0.1731</v>
      </c>
      <c r="CH288" s="7">
        <v>0.17219999999999999</v>
      </c>
      <c r="CI288" s="7">
        <v>0.17130000000000001</v>
      </c>
      <c r="CJ288" s="7">
        <v>0.1704</v>
      </c>
      <c r="CK288" s="7">
        <v>0.16950000000000001</v>
      </c>
      <c r="CL288" s="7">
        <v>0.1686</v>
      </c>
      <c r="CM288" s="7">
        <v>0.16769999999999999</v>
      </c>
      <c r="CN288" s="7">
        <v>0.16689999999999999</v>
      </c>
      <c r="CO288" s="7">
        <v>0.16600000000000001</v>
      </c>
      <c r="CP288" s="7">
        <v>0.1651</v>
      </c>
      <c r="CQ288" s="7">
        <v>0.16420000000000001</v>
      </c>
      <c r="CR288" s="7">
        <v>0.1633</v>
      </c>
      <c r="CS288" s="7">
        <v>0.16239999999999999</v>
      </c>
      <c r="CT288" s="7">
        <v>0.1615</v>
      </c>
      <c r="CU288" s="7">
        <v>0.16059999999999999</v>
      </c>
      <c r="CV288" s="7">
        <v>0.15970000000000001</v>
      </c>
      <c r="CW288" s="7">
        <v>0.1588</v>
      </c>
      <c r="CX288" s="7">
        <v>0.15790000000000001</v>
      </c>
      <c r="CY288" s="7">
        <v>0.157</v>
      </c>
      <c r="CZ288" s="7">
        <v>0.15609999999999999</v>
      </c>
      <c r="DA288" s="7">
        <v>0.15509999999999999</v>
      </c>
      <c r="DB288" s="7">
        <v>0.1542</v>
      </c>
      <c r="DC288" s="7">
        <v>0.1532</v>
      </c>
      <c r="DD288" s="7">
        <v>0.15229999999999999</v>
      </c>
      <c r="DE288" s="7">
        <v>0.15129999999999999</v>
      </c>
      <c r="DF288" s="7">
        <v>0.15029999999999999</v>
      </c>
      <c r="DG288" s="7">
        <v>0.14929999999999999</v>
      </c>
      <c r="DH288" s="7">
        <v>0.14829999999999999</v>
      </c>
      <c r="DI288" s="7">
        <v>0.14729999999999999</v>
      </c>
      <c r="DJ288" s="7">
        <v>0.14630000000000001</v>
      </c>
      <c r="DK288" s="7">
        <v>0.1452</v>
      </c>
      <c r="DL288" s="7">
        <v>0.14419999999999999</v>
      </c>
      <c r="DM288" s="7">
        <v>0.1431</v>
      </c>
      <c r="DN288" s="7">
        <v>0.14199999999999999</v>
      </c>
      <c r="DO288" s="7">
        <v>0.1409</v>
      </c>
      <c r="DP288" s="7">
        <v>0.13969999999999999</v>
      </c>
      <c r="DQ288" s="7">
        <v>0.1386</v>
      </c>
      <c r="DR288" s="7">
        <v>0.13739999999999999</v>
      </c>
      <c r="DS288" s="7">
        <v>0.13619999999999999</v>
      </c>
      <c r="DT288" s="7">
        <v>0.13500000000000001</v>
      </c>
      <c r="DU288" s="7">
        <v>0.13370000000000001</v>
      </c>
      <c r="DV288" s="7">
        <v>0.13250000000000001</v>
      </c>
      <c r="DW288" s="7">
        <v>0.13120000000000001</v>
      </c>
      <c r="DX288" s="7">
        <v>0.12989999999999999</v>
      </c>
      <c r="DY288" s="7">
        <v>0.1285</v>
      </c>
      <c r="DZ288" s="7">
        <v>0.12720000000000001</v>
      </c>
      <c r="EA288" s="7">
        <v>0.1258</v>
      </c>
      <c r="EB288" s="7">
        <v>0.1244</v>
      </c>
      <c r="EC288" s="7">
        <v>0.123</v>
      </c>
      <c r="ED288" s="7">
        <v>0.1215</v>
      </c>
      <c r="EE288" s="7">
        <v>0.1197</v>
      </c>
      <c r="EF288" s="7">
        <v>0.1177</v>
      </c>
      <c r="EG288" s="7">
        <v>0.1157</v>
      </c>
      <c r="EH288" s="7">
        <v>0.11360000000000001</v>
      </c>
      <c r="EI288" s="7">
        <v>0.1116</v>
      </c>
      <c r="EJ288" s="7">
        <v>0.1095</v>
      </c>
      <c r="EK288" s="7">
        <v>0.1075</v>
      </c>
      <c r="EL288" s="7">
        <v>0.10539999999999999</v>
      </c>
      <c r="EM288" s="7">
        <v>0.10340000000000001</v>
      </c>
      <c r="EN288" s="7">
        <v>0.1013</v>
      </c>
      <c r="EO288" s="7">
        <v>9.9299999999999999E-2</v>
      </c>
      <c r="EP288" s="7">
        <v>9.7299999999999998E-2</v>
      </c>
      <c r="EQ288" s="7">
        <v>9.5200000000000007E-2</v>
      </c>
      <c r="ER288" s="7">
        <v>9.3200000000000005E-2</v>
      </c>
      <c r="ES288" s="7">
        <v>9.1200000000000003E-2</v>
      </c>
      <c r="ET288" s="7">
        <v>8.9200000000000002E-2</v>
      </c>
      <c r="EU288" s="7">
        <v>8.7300000000000003E-2</v>
      </c>
      <c r="EV288" s="7">
        <v>8.5300000000000001E-2</v>
      </c>
      <c r="EW288" s="7">
        <v>8.3299999999999999E-2</v>
      </c>
      <c r="EX288" s="7">
        <v>8.14E-2</v>
      </c>
      <c r="EY288" s="7">
        <v>7.9500000000000001E-2</v>
      </c>
      <c r="EZ288" s="7">
        <v>7.7600000000000002E-2</v>
      </c>
      <c r="FA288" s="7">
        <v>7.5700000000000003E-2</v>
      </c>
      <c r="FB288" s="7">
        <v>7.3800000000000004E-2</v>
      </c>
      <c r="FC288" s="7">
        <v>7.1999999999999995E-2</v>
      </c>
      <c r="FE288" s="50">
        <f t="shared" ca="1" si="32"/>
        <v>0.13094031814010401</v>
      </c>
      <c r="FF288" s="50">
        <f t="shared" ca="1" si="33"/>
        <v>0.13176107016981739</v>
      </c>
      <c r="FG288" s="50">
        <f t="shared" ca="1" si="34"/>
        <v>0.13259100671140939</v>
      </c>
      <c r="FH288" s="50">
        <f t="shared" ca="1" si="35"/>
        <v>0.13339637583892616</v>
      </c>
      <c r="FI288" s="50"/>
      <c r="FJ288" s="50"/>
      <c r="FK288" s="50">
        <f t="shared" ca="1" si="31"/>
        <v>0.13176107016981739</v>
      </c>
      <c r="FL288" s="50"/>
      <c r="FM288" s="50"/>
      <c r="FN288" s="50"/>
    </row>
    <row r="289" spans="49:170" hidden="1">
      <c r="AW289" s="112">
        <v>20.417000000000002</v>
      </c>
      <c r="AX289" s="7">
        <v>0.21299999999999999</v>
      </c>
      <c r="AY289" s="7">
        <v>0.21149999999999999</v>
      </c>
      <c r="AZ289" s="7">
        <v>0.21</v>
      </c>
      <c r="BA289" s="7">
        <v>0.20860000000000001</v>
      </c>
      <c r="BB289" s="7">
        <v>0.2072</v>
      </c>
      <c r="BC289" s="7">
        <v>0.20580000000000001</v>
      </c>
      <c r="BD289" s="7">
        <v>0.2044</v>
      </c>
      <c r="BE289" s="7">
        <v>0.2031</v>
      </c>
      <c r="BF289" s="7">
        <v>0.20180000000000001</v>
      </c>
      <c r="BG289" s="7">
        <v>0.20050000000000001</v>
      </c>
      <c r="BH289" s="7">
        <v>0.1993</v>
      </c>
      <c r="BI289" s="7">
        <v>0.19800000000000001</v>
      </c>
      <c r="BJ289" s="7">
        <v>0.1968</v>
      </c>
      <c r="BK289" s="7">
        <v>0.1956</v>
      </c>
      <c r="BL289" s="7">
        <v>0.19439999999999999</v>
      </c>
      <c r="BM289" s="7">
        <v>0.1933</v>
      </c>
      <c r="BN289" s="7">
        <v>0.19209999999999999</v>
      </c>
      <c r="BO289" s="7">
        <v>0.191</v>
      </c>
      <c r="BP289" s="7">
        <v>0.18990000000000001</v>
      </c>
      <c r="BQ289" s="7">
        <v>0.1888</v>
      </c>
      <c r="BR289" s="7">
        <v>0.18779999999999999</v>
      </c>
      <c r="BS289" s="7">
        <v>0.1867</v>
      </c>
      <c r="BT289" s="7">
        <v>0.1857</v>
      </c>
      <c r="BU289" s="7">
        <v>0.18459999999999999</v>
      </c>
      <c r="BV289" s="7">
        <v>0.18360000000000001</v>
      </c>
      <c r="BW289" s="7">
        <v>0.18260000000000001</v>
      </c>
      <c r="BX289" s="7">
        <v>0.18160000000000001</v>
      </c>
      <c r="BY289" s="7">
        <v>0.1807</v>
      </c>
      <c r="BZ289" s="7">
        <v>0.1797</v>
      </c>
      <c r="CA289" s="7">
        <v>0.1787</v>
      </c>
      <c r="CB289" s="7">
        <v>0.17780000000000001</v>
      </c>
      <c r="CC289" s="7">
        <v>0.17680000000000001</v>
      </c>
      <c r="CD289" s="7">
        <v>0.1759</v>
      </c>
      <c r="CE289" s="7">
        <v>0.17499999999999999</v>
      </c>
      <c r="CF289" s="7">
        <v>0.17399999999999999</v>
      </c>
      <c r="CG289" s="7">
        <v>0.1731</v>
      </c>
      <c r="CH289" s="7">
        <v>0.17219999999999999</v>
      </c>
      <c r="CI289" s="7">
        <v>0.17130000000000001</v>
      </c>
      <c r="CJ289" s="7">
        <v>0.1704</v>
      </c>
      <c r="CK289" s="7">
        <v>0.16950000000000001</v>
      </c>
      <c r="CL289" s="7">
        <v>0.1686</v>
      </c>
      <c r="CM289" s="7">
        <v>0.16769999999999999</v>
      </c>
      <c r="CN289" s="7">
        <v>0.16689999999999999</v>
      </c>
      <c r="CO289" s="7">
        <v>0.16600000000000001</v>
      </c>
      <c r="CP289" s="7">
        <v>0.1651</v>
      </c>
      <c r="CQ289" s="7">
        <v>0.16420000000000001</v>
      </c>
      <c r="CR289" s="7">
        <v>0.1633</v>
      </c>
      <c r="CS289" s="7">
        <v>0.16239999999999999</v>
      </c>
      <c r="CT289" s="7">
        <v>0.1615</v>
      </c>
      <c r="CU289" s="7">
        <v>0.16059999999999999</v>
      </c>
      <c r="CV289" s="7">
        <v>0.15970000000000001</v>
      </c>
      <c r="CW289" s="7">
        <v>0.1588</v>
      </c>
      <c r="CX289" s="7">
        <v>0.15790000000000001</v>
      </c>
      <c r="CY289" s="7">
        <v>0.157</v>
      </c>
      <c r="CZ289" s="7">
        <v>0.15609999999999999</v>
      </c>
      <c r="DA289" s="7">
        <v>0.15509999999999999</v>
      </c>
      <c r="DB289" s="7">
        <v>0.1542</v>
      </c>
      <c r="DC289" s="7">
        <v>0.1532</v>
      </c>
      <c r="DD289" s="7">
        <v>0.15229999999999999</v>
      </c>
      <c r="DE289" s="7">
        <v>0.15129999999999999</v>
      </c>
      <c r="DF289" s="7">
        <v>0.15029999999999999</v>
      </c>
      <c r="DG289" s="7">
        <v>0.14929999999999999</v>
      </c>
      <c r="DH289" s="7">
        <v>0.14829999999999999</v>
      </c>
      <c r="DI289" s="7">
        <v>0.14729999999999999</v>
      </c>
      <c r="DJ289" s="7">
        <v>0.14630000000000001</v>
      </c>
      <c r="DK289" s="7">
        <v>0.1452</v>
      </c>
      <c r="DL289" s="7">
        <v>0.14419999999999999</v>
      </c>
      <c r="DM289" s="7">
        <v>0.1431</v>
      </c>
      <c r="DN289" s="7">
        <v>0.14199999999999999</v>
      </c>
      <c r="DO289" s="7">
        <v>0.1409</v>
      </c>
      <c r="DP289" s="7">
        <v>0.13969999999999999</v>
      </c>
      <c r="DQ289" s="7">
        <v>0.1386</v>
      </c>
      <c r="DR289" s="7">
        <v>0.13739999999999999</v>
      </c>
      <c r="DS289" s="7">
        <v>0.13619999999999999</v>
      </c>
      <c r="DT289" s="7">
        <v>0.13500000000000001</v>
      </c>
      <c r="DU289" s="7">
        <v>0.13370000000000001</v>
      </c>
      <c r="DV289" s="7">
        <v>0.13250000000000001</v>
      </c>
      <c r="DW289" s="7">
        <v>0.13120000000000001</v>
      </c>
      <c r="DX289" s="7">
        <v>0.12989999999999999</v>
      </c>
      <c r="DY289" s="7">
        <v>0.1285</v>
      </c>
      <c r="DZ289" s="7">
        <v>0.12720000000000001</v>
      </c>
      <c r="EA289" s="7">
        <v>0.1258</v>
      </c>
      <c r="EB289" s="7">
        <v>0.1244</v>
      </c>
      <c r="EC289" s="7">
        <v>0.123</v>
      </c>
      <c r="ED289" s="7">
        <v>0.1215</v>
      </c>
      <c r="EE289" s="7">
        <v>0.12</v>
      </c>
      <c r="EF289" s="7">
        <v>0.1182</v>
      </c>
      <c r="EG289" s="7">
        <v>0.11609999999999999</v>
      </c>
      <c r="EH289" s="7">
        <v>0.11409999999999999</v>
      </c>
      <c r="EI289" s="7">
        <v>0.11210000000000001</v>
      </c>
      <c r="EJ289" s="7">
        <v>0.11</v>
      </c>
      <c r="EK289" s="7">
        <v>0.108</v>
      </c>
      <c r="EL289" s="7">
        <v>0.10589999999999999</v>
      </c>
      <c r="EM289" s="7">
        <v>0.10390000000000001</v>
      </c>
      <c r="EN289" s="7">
        <v>0.1018</v>
      </c>
      <c r="EO289" s="7">
        <v>9.98E-2</v>
      </c>
      <c r="EP289" s="7">
        <v>9.7699999999999995E-2</v>
      </c>
      <c r="EQ289" s="7">
        <v>9.5699999999999993E-2</v>
      </c>
      <c r="ER289" s="7">
        <v>9.3700000000000006E-2</v>
      </c>
      <c r="ES289" s="7">
        <v>9.1700000000000004E-2</v>
      </c>
      <c r="ET289" s="7">
        <v>8.9700000000000002E-2</v>
      </c>
      <c r="EU289" s="7">
        <v>8.77E-2</v>
      </c>
      <c r="EV289" s="7">
        <v>8.5699999999999998E-2</v>
      </c>
      <c r="EW289" s="7">
        <v>8.3799999999999999E-2</v>
      </c>
      <c r="EX289" s="7">
        <v>8.1900000000000001E-2</v>
      </c>
      <c r="EY289" s="7">
        <v>7.9899999999999999E-2</v>
      </c>
      <c r="EZ289" s="7">
        <v>7.8E-2</v>
      </c>
      <c r="FA289" s="7">
        <v>7.6100000000000001E-2</v>
      </c>
      <c r="FB289" s="7">
        <v>7.4300000000000005E-2</v>
      </c>
      <c r="FC289" s="7">
        <v>7.2400000000000006E-2</v>
      </c>
      <c r="FE289" s="50">
        <f t="shared" ca="1" si="32"/>
        <v>0.13094031814010401</v>
      </c>
      <c r="FF289" s="50">
        <f t="shared" ca="1" si="33"/>
        <v>0.13176107016981739</v>
      </c>
      <c r="FG289" s="50">
        <f t="shared" ca="1" si="34"/>
        <v>0.13259100671140939</v>
      </c>
      <c r="FH289" s="50">
        <f t="shared" ca="1" si="35"/>
        <v>0.13339637583892616</v>
      </c>
      <c r="FI289" s="50"/>
      <c r="FJ289" s="50"/>
      <c r="FK289" s="50">
        <f t="shared" ca="1" si="31"/>
        <v>0.13176107016981739</v>
      </c>
      <c r="FL289" s="50"/>
      <c r="FM289" s="50"/>
      <c r="FN289" s="50"/>
    </row>
    <row r="290" spans="49:170" hidden="1">
      <c r="AW290" s="112">
        <v>21.878</v>
      </c>
      <c r="AX290" s="7">
        <v>0.21299999999999999</v>
      </c>
      <c r="AY290" s="7">
        <v>0.21149999999999999</v>
      </c>
      <c r="AZ290" s="7">
        <v>0.21</v>
      </c>
      <c r="BA290" s="7">
        <v>0.20860000000000001</v>
      </c>
      <c r="BB290" s="7">
        <v>0.2072</v>
      </c>
      <c r="BC290" s="7">
        <v>0.20580000000000001</v>
      </c>
      <c r="BD290" s="7">
        <v>0.2044</v>
      </c>
      <c r="BE290" s="7">
        <v>0.2031</v>
      </c>
      <c r="BF290" s="7">
        <v>0.20180000000000001</v>
      </c>
      <c r="BG290" s="7">
        <v>0.20050000000000001</v>
      </c>
      <c r="BH290" s="7">
        <v>0.1993</v>
      </c>
      <c r="BI290" s="7">
        <v>0.19800000000000001</v>
      </c>
      <c r="BJ290" s="7">
        <v>0.1968</v>
      </c>
      <c r="BK290" s="7">
        <v>0.1956</v>
      </c>
      <c r="BL290" s="7">
        <v>0.19439999999999999</v>
      </c>
      <c r="BM290" s="7">
        <v>0.1933</v>
      </c>
      <c r="BN290" s="7">
        <v>0.19209999999999999</v>
      </c>
      <c r="BO290" s="7">
        <v>0.191</v>
      </c>
      <c r="BP290" s="7">
        <v>0.18990000000000001</v>
      </c>
      <c r="BQ290" s="7">
        <v>0.1888</v>
      </c>
      <c r="BR290" s="7">
        <v>0.18779999999999999</v>
      </c>
      <c r="BS290" s="7">
        <v>0.1867</v>
      </c>
      <c r="BT290" s="7">
        <v>0.1857</v>
      </c>
      <c r="BU290" s="7">
        <v>0.18459999999999999</v>
      </c>
      <c r="BV290" s="7">
        <v>0.18360000000000001</v>
      </c>
      <c r="BW290" s="7">
        <v>0.18260000000000001</v>
      </c>
      <c r="BX290" s="7">
        <v>0.18160000000000001</v>
      </c>
      <c r="BY290" s="7">
        <v>0.1807</v>
      </c>
      <c r="BZ290" s="7">
        <v>0.1797</v>
      </c>
      <c r="CA290" s="7">
        <v>0.1787</v>
      </c>
      <c r="CB290" s="7">
        <v>0.17780000000000001</v>
      </c>
      <c r="CC290" s="7">
        <v>0.17680000000000001</v>
      </c>
      <c r="CD290" s="7">
        <v>0.1759</v>
      </c>
      <c r="CE290" s="7">
        <v>0.17499999999999999</v>
      </c>
      <c r="CF290" s="7">
        <v>0.17399999999999999</v>
      </c>
      <c r="CG290" s="7">
        <v>0.1731</v>
      </c>
      <c r="CH290" s="7">
        <v>0.17219999999999999</v>
      </c>
      <c r="CI290" s="7">
        <v>0.17130000000000001</v>
      </c>
      <c r="CJ290" s="7">
        <v>0.1704</v>
      </c>
      <c r="CK290" s="7">
        <v>0.16950000000000001</v>
      </c>
      <c r="CL290" s="7">
        <v>0.1686</v>
      </c>
      <c r="CM290" s="7">
        <v>0.16769999999999999</v>
      </c>
      <c r="CN290" s="7">
        <v>0.16689999999999999</v>
      </c>
      <c r="CO290" s="7">
        <v>0.16600000000000001</v>
      </c>
      <c r="CP290" s="7">
        <v>0.1651</v>
      </c>
      <c r="CQ290" s="7">
        <v>0.16420000000000001</v>
      </c>
      <c r="CR290" s="7">
        <v>0.1633</v>
      </c>
      <c r="CS290" s="7">
        <v>0.16239999999999999</v>
      </c>
      <c r="CT290" s="7">
        <v>0.1615</v>
      </c>
      <c r="CU290" s="7">
        <v>0.16059999999999999</v>
      </c>
      <c r="CV290" s="7">
        <v>0.15970000000000001</v>
      </c>
      <c r="CW290" s="7">
        <v>0.1588</v>
      </c>
      <c r="CX290" s="7">
        <v>0.15790000000000001</v>
      </c>
      <c r="CY290" s="7">
        <v>0.157</v>
      </c>
      <c r="CZ290" s="7">
        <v>0.15609999999999999</v>
      </c>
      <c r="DA290" s="7">
        <v>0.15509999999999999</v>
      </c>
      <c r="DB290" s="7">
        <v>0.1542</v>
      </c>
      <c r="DC290" s="7">
        <v>0.1532</v>
      </c>
      <c r="DD290" s="7">
        <v>0.15229999999999999</v>
      </c>
      <c r="DE290" s="7">
        <v>0.15129999999999999</v>
      </c>
      <c r="DF290" s="7">
        <v>0.15029999999999999</v>
      </c>
      <c r="DG290" s="7">
        <v>0.14929999999999999</v>
      </c>
      <c r="DH290" s="7">
        <v>0.14829999999999999</v>
      </c>
      <c r="DI290" s="7">
        <v>0.14729999999999999</v>
      </c>
      <c r="DJ290" s="7">
        <v>0.14630000000000001</v>
      </c>
      <c r="DK290" s="7">
        <v>0.1452</v>
      </c>
      <c r="DL290" s="7">
        <v>0.14419999999999999</v>
      </c>
      <c r="DM290" s="7">
        <v>0.1431</v>
      </c>
      <c r="DN290" s="7">
        <v>0.14199999999999999</v>
      </c>
      <c r="DO290" s="7">
        <v>0.1409</v>
      </c>
      <c r="DP290" s="7">
        <v>0.13969999999999999</v>
      </c>
      <c r="DQ290" s="7">
        <v>0.1386</v>
      </c>
      <c r="DR290" s="7">
        <v>0.13739999999999999</v>
      </c>
      <c r="DS290" s="7">
        <v>0.13619999999999999</v>
      </c>
      <c r="DT290" s="7">
        <v>0.13500000000000001</v>
      </c>
      <c r="DU290" s="7">
        <v>0.13370000000000001</v>
      </c>
      <c r="DV290" s="7">
        <v>0.13250000000000001</v>
      </c>
      <c r="DW290" s="7">
        <v>0.13120000000000001</v>
      </c>
      <c r="DX290" s="7">
        <v>0.12989999999999999</v>
      </c>
      <c r="DY290" s="7">
        <v>0.1285</v>
      </c>
      <c r="DZ290" s="7">
        <v>0.12720000000000001</v>
      </c>
      <c r="EA290" s="7">
        <v>0.1258</v>
      </c>
      <c r="EB290" s="7">
        <v>0.1244</v>
      </c>
      <c r="EC290" s="7">
        <v>0.123</v>
      </c>
      <c r="ED290" s="7">
        <v>0.1215</v>
      </c>
      <c r="EE290" s="7">
        <v>0.12</v>
      </c>
      <c r="EF290" s="7">
        <v>0.11849999999999999</v>
      </c>
      <c r="EG290" s="7">
        <v>0.1166</v>
      </c>
      <c r="EH290" s="7">
        <v>0.11459999999999999</v>
      </c>
      <c r="EI290" s="7">
        <v>0.1125</v>
      </c>
      <c r="EJ290" s="7">
        <v>0.1105</v>
      </c>
      <c r="EK290" s="7">
        <v>0.1084</v>
      </c>
      <c r="EL290" s="7">
        <v>0.10639999999999999</v>
      </c>
      <c r="EM290" s="7">
        <v>0.1043</v>
      </c>
      <c r="EN290" s="7">
        <v>0.1023</v>
      </c>
      <c r="EO290" s="7">
        <v>0.1002</v>
      </c>
      <c r="EP290" s="7">
        <v>9.8199999999999996E-2</v>
      </c>
      <c r="EQ290" s="7">
        <v>9.6199999999999994E-2</v>
      </c>
      <c r="ER290" s="7">
        <v>9.4100000000000003E-2</v>
      </c>
      <c r="ES290" s="7">
        <v>9.2100000000000001E-2</v>
      </c>
      <c r="ET290" s="7">
        <v>9.01E-2</v>
      </c>
      <c r="EU290" s="7">
        <v>8.8200000000000001E-2</v>
      </c>
      <c r="EV290" s="7">
        <v>8.6199999999999999E-2</v>
      </c>
      <c r="EW290" s="7">
        <v>8.4199999999999997E-2</v>
      </c>
      <c r="EX290" s="7">
        <v>8.2299999999999998E-2</v>
      </c>
      <c r="EY290" s="7">
        <v>8.0399999999999999E-2</v>
      </c>
      <c r="EZ290" s="7">
        <v>7.85E-2</v>
      </c>
      <c r="FA290" s="7">
        <v>7.6600000000000001E-2</v>
      </c>
      <c r="FB290" s="7">
        <v>7.4700000000000003E-2</v>
      </c>
      <c r="FC290" s="7">
        <v>7.2900000000000006E-2</v>
      </c>
      <c r="FE290" s="50">
        <f t="shared" ca="1" si="32"/>
        <v>0.13094031814010401</v>
      </c>
      <c r="FF290" s="50">
        <f t="shared" ca="1" si="33"/>
        <v>0.13176107016981739</v>
      </c>
      <c r="FG290" s="50">
        <f t="shared" ca="1" si="34"/>
        <v>0.13259100671140939</v>
      </c>
      <c r="FH290" s="50">
        <f t="shared" ca="1" si="35"/>
        <v>0.13339637583892616</v>
      </c>
      <c r="FI290" s="50"/>
      <c r="FJ290" s="50"/>
      <c r="FK290" s="50">
        <f t="shared" ca="1" si="31"/>
        <v>0.13176107016981739</v>
      </c>
      <c r="FL290" s="50"/>
      <c r="FM290" s="50"/>
      <c r="FN290" s="50"/>
    </row>
    <row r="291" spans="49:170" hidden="1">
      <c r="AW291" s="112">
        <v>23.442</v>
      </c>
      <c r="AX291" s="7">
        <v>0.21299999999999999</v>
      </c>
      <c r="AY291" s="7">
        <v>0.21149999999999999</v>
      </c>
      <c r="AZ291" s="7">
        <v>0.21</v>
      </c>
      <c r="BA291" s="7">
        <v>0.20860000000000001</v>
      </c>
      <c r="BB291" s="7">
        <v>0.2072</v>
      </c>
      <c r="BC291" s="7">
        <v>0.20580000000000001</v>
      </c>
      <c r="BD291" s="7">
        <v>0.2044</v>
      </c>
      <c r="BE291" s="7">
        <v>0.2031</v>
      </c>
      <c r="BF291" s="7">
        <v>0.20180000000000001</v>
      </c>
      <c r="BG291" s="7">
        <v>0.20050000000000001</v>
      </c>
      <c r="BH291" s="7">
        <v>0.1993</v>
      </c>
      <c r="BI291" s="7">
        <v>0.19800000000000001</v>
      </c>
      <c r="BJ291" s="7">
        <v>0.1968</v>
      </c>
      <c r="BK291" s="7">
        <v>0.1956</v>
      </c>
      <c r="BL291" s="7">
        <v>0.19439999999999999</v>
      </c>
      <c r="BM291" s="7">
        <v>0.1933</v>
      </c>
      <c r="BN291" s="7">
        <v>0.19209999999999999</v>
      </c>
      <c r="BO291" s="7">
        <v>0.191</v>
      </c>
      <c r="BP291" s="7">
        <v>0.18990000000000001</v>
      </c>
      <c r="BQ291" s="7">
        <v>0.1888</v>
      </c>
      <c r="BR291" s="7">
        <v>0.18779999999999999</v>
      </c>
      <c r="BS291" s="7">
        <v>0.1867</v>
      </c>
      <c r="BT291" s="7">
        <v>0.1857</v>
      </c>
      <c r="BU291" s="7">
        <v>0.18459999999999999</v>
      </c>
      <c r="BV291" s="7">
        <v>0.18360000000000001</v>
      </c>
      <c r="BW291" s="7">
        <v>0.18260000000000001</v>
      </c>
      <c r="BX291" s="7">
        <v>0.18160000000000001</v>
      </c>
      <c r="BY291" s="7">
        <v>0.1807</v>
      </c>
      <c r="BZ291" s="7">
        <v>0.1797</v>
      </c>
      <c r="CA291" s="7">
        <v>0.1787</v>
      </c>
      <c r="CB291" s="7">
        <v>0.17780000000000001</v>
      </c>
      <c r="CC291" s="7">
        <v>0.17680000000000001</v>
      </c>
      <c r="CD291" s="7">
        <v>0.1759</v>
      </c>
      <c r="CE291" s="7">
        <v>0.17499999999999999</v>
      </c>
      <c r="CF291" s="7">
        <v>0.17399999999999999</v>
      </c>
      <c r="CG291" s="7">
        <v>0.1731</v>
      </c>
      <c r="CH291" s="7">
        <v>0.17219999999999999</v>
      </c>
      <c r="CI291" s="7">
        <v>0.17130000000000001</v>
      </c>
      <c r="CJ291" s="7">
        <v>0.1704</v>
      </c>
      <c r="CK291" s="7">
        <v>0.16950000000000001</v>
      </c>
      <c r="CL291" s="7">
        <v>0.1686</v>
      </c>
      <c r="CM291" s="7">
        <v>0.16769999999999999</v>
      </c>
      <c r="CN291" s="7">
        <v>0.16689999999999999</v>
      </c>
      <c r="CO291" s="7">
        <v>0.16600000000000001</v>
      </c>
      <c r="CP291" s="7">
        <v>0.1651</v>
      </c>
      <c r="CQ291" s="7">
        <v>0.16420000000000001</v>
      </c>
      <c r="CR291" s="7">
        <v>0.1633</v>
      </c>
      <c r="CS291" s="7">
        <v>0.16239999999999999</v>
      </c>
      <c r="CT291" s="7">
        <v>0.1615</v>
      </c>
      <c r="CU291" s="7">
        <v>0.16059999999999999</v>
      </c>
      <c r="CV291" s="7">
        <v>0.15970000000000001</v>
      </c>
      <c r="CW291" s="7">
        <v>0.1588</v>
      </c>
      <c r="CX291" s="7">
        <v>0.15790000000000001</v>
      </c>
      <c r="CY291" s="7">
        <v>0.157</v>
      </c>
      <c r="CZ291" s="7">
        <v>0.15609999999999999</v>
      </c>
      <c r="DA291" s="7">
        <v>0.15509999999999999</v>
      </c>
      <c r="DB291" s="7">
        <v>0.1542</v>
      </c>
      <c r="DC291" s="7">
        <v>0.1532</v>
      </c>
      <c r="DD291" s="7">
        <v>0.15229999999999999</v>
      </c>
      <c r="DE291" s="7">
        <v>0.15129999999999999</v>
      </c>
      <c r="DF291" s="7">
        <v>0.15029999999999999</v>
      </c>
      <c r="DG291" s="7">
        <v>0.14929999999999999</v>
      </c>
      <c r="DH291" s="7">
        <v>0.14829999999999999</v>
      </c>
      <c r="DI291" s="7">
        <v>0.14729999999999999</v>
      </c>
      <c r="DJ291" s="7">
        <v>0.14630000000000001</v>
      </c>
      <c r="DK291" s="7">
        <v>0.1452</v>
      </c>
      <c r="DL291" s="7">
        <v>0.14419999999999999</v>
      </c>
      <c r="DM291" s="7">
        <v>0.1431</v>
      </c>
      <c r="DN291" s="7">
        <v>0.14199999999999999</v>
      </c>
      <c r="DO291" s="7">
        <v>0.1409</v>
      </c>
      <c r="DP291" s="7">
        <v>0.13969999999999999</v>
      </c>
      <c r="DQ291" s="7">
        <v>0.1386</v>
      </c>
      <c r="DR291" s="7">
        <v>0.13739999999999999</v>
      </c>
      <c r="DS291" s="7">
        <v>0.13619999999999999</v>
      </c>
      <c r="DT291" s="7">
        <v>0.13500000000000001</v>
      </c>
      <c r="DU291" s="7">
        <v>0.13370000000000001</v>
      </c>
      <c r="DV291" s="7">
        <v>0.13250000000000001</v>
      </c>
      <c r="DW291" s="7">
        <v>0.13120000000000001</v>
      </c>
      <c r="DX291" s="7">
        <v>0.12989999999999999</v>
      </c>
      <c r="DY291" s="7">
        <v>0.1285</v>
      </c>
      <c r="DZ291" s="7">
        <v>0.12720000000000001</v>
      </c>
      <c r="EA291" s="7">
        <v>0.1258</v>
      </c>
      <c r="EB291" s="7">
        <v>0.1244</v>
      </c>
      <c r="EC291" s="7">
        <v>0.123</v>
      </c>
      <c r="ED291" s="7">
        <v>0.1215</v>
      </c>
      <c r="EE291" s="7">
        <v>0.12</v>
      </c>
      <c r="EF291" s="7">
        <v>0.11849999999999999</v>
      </c>
      <c r="EG291" s="7">
        <v>0.11700000000000001</v>
      </c>
      <c r="EH291" s="7">
        <v>0.115</v>
      </c>
      <c r="EI291" s="7">
        <v>0.113</v>
      </c>
      <c r="EJ291" s="7">
        <v>0.1109</v>
      </c>
      <c r="EK291" s="7">
        <v>0.1089</v>
      </c>
      <c r="EL291" s="7">
        <v>0.10680000000000001</v>
      </c>
      <c r="EM291" s="7">
        <v>0.1048</v>
      </c>
      <c r="EN291" s="7">
        <v>0.1027</v>
      </c>
      <c r="EO291" s="7">
        <v>0.1007</v>
      </c>
      <c r="EP291" s="7">
        <v>9.8599999999999993E-2</v>
      </c>
      <c r="EQ291" s="7">
        <v>9.6600000000000005E-2</v>
      </c>
      <c r="ER291" s="7">
        <v>9.4600000000000004E-2</v>
      </c>
      <c r="ES291" s="7">
        <v>9.2600000000000002E-2</v>
      </c>
      <c r="ET291" s="7">
        <v>9.06E-2</v>
      </c>
      <c r="EU291" s="7">
        <v>8.8599999999999998E-2</v>
      </c>
      <c r="EV291" s="7">
        <v>8.6599999999999996E-2</v>
      </c>
      <c r="EW291" s="7">
        <v>8.4699999999999998E-2</v>
      </c>
      <c r="EX291" s="7">
        <v>8.2699999999999996E-2</v>
      </c>
      <c r="EY291" s="7">
        <v>8.0799999999999997E-2</v>
      </c>
      <c r="EZ291" s="7">
        <v>7.8899999999999998E-2</v>
      </c>
      <c r="FA291" s="7">
        <v>7.6999999999999999E-2</v>
      </c>
      <c r="FB291" s="7">
        <v>7.51E-2</v>
      </c>
      <c r="FC291" s="7">
        <v>7.3300000000000004E-2</v>
      </c>
      <c r="FE291" s="50">
        <f t="shared" ca="1" si="32"/>
        <v>0.13094031814010401</v>
      </c>
      <c r="FF291" s="50">
        <f t="shared" ca="1" si="33"/>
        <v>0.13176107016981739</v>
      </c>
      <c r="FG291" s="50">
        <f t="shared" ca="1" si="34"/>
        <v>0.13259100671140939</v>
      </c>
      <c r="FH291" s="50">
        <f t="shared" ca="1" si="35"/>
        <v>0.13339637583892616</v>
      </c>
      <c r="FI291" s="50"/>
      <c r="FJ291" s="50"/>
      <c r="FK291" s="50">
        <f t="shared" ca="1" si="31"/>
        <v>0.13176107016981739</v>
      </c>
      <c r="FL291" s="50"/>
      <c r="FM291" s="50"/>
      <c r="FN291" s="50"/>
    </row>
    <row r="292" spans="49:170" hidden="1">
      <c r="AW292" s="112">
        <v>25.119</v>
      </c>
      <c r="AX292" s="7">
        <v>0.21299999999999999</v>
      </c>
      <c r="AY292" s="7">
        <v>0.21149999999999999</v>
      </c>
      <c r="AZ292" s="7">
        <v>0.21</v>
      </c>
      <c r="BA292" s="7">
        <v>0.20860000000000001</v>
      </c>
      <c r="BB292" s="7">
        <v>0.2072</v>
      </c>
      <c r="BC292" s="7">
        <v>0.20580000000000001</v>
      </c>
      <c r="BD292" s="7">
        <v>0.2044</v>
      </c>
      <c r="BE292" s="7">
        <v>0.2031</v>
      </c>
      <c r="BF292" s="7">
        <v>0.20180000000000001</v>
      </c>
      <c r="BG292" s="7">
        <v>0.20050000000000001</v>
      </c>
      <c r="BH292" s="7">
        <v>0.1993</v>
      </c>
      <c r="BI292" s="7">
        <v>0.19800000000000001</v>
      </c>
      <c r="BJ292" s="7">
        <v>0.1968</v>
      </c>
      <c r="BK292" s="7">
        <v>0.1956</v>
      </c>
      <c r="BL292" s="7">
        <v>0.19439999999999999</v>
      </c>
      <c r="BM292" s="7">
        <v>0.1933</v>
      </c>
      <c r="BN292" s="7">
        <v>0.19209999999999999</v>
      </c>
      <c r="BO292" s="7">
        <v>0.191</v>
      </c>
      <c r="BP292" s="7">
        <v>0.18990000000000001</v>
      </c>
      <c r="BQ292" s="7">
        <v>0.1888</v>
      </c>
      <c r="BR292" s="7">
        <v>0.18779999999999999</v>
      </c>
      <c r="BS292" s="7">
        <v>0.1867</v>
      </c>
      <c r="BT292" s="7">
        <v>0.1857</v>
      </c>
      <c r="BU292" s="7">
        <v>0.18459999999999999</v>
      </c>
      <c r="BV292" s="7">
        <v>0.18360000000000001</v>
      </c>
      <c r="BW292" s="7">
        <v>0.18260000000000001</v>
      </c>
      <c r="BX292" s="7">
        <v>0.18160000000000001</v>
      </c>
      <c r="BY292" s="7">
        <v>0.1807</v>
      </c>
      <c r="BZ292" s="7">
        <v>0.1797</v>
      </c>
      <c r="CA292" s="7">
        <v>0.1787</v>
      </c>
      <c r="CB292" s="7">
        <v>0.17780000000000001</v>
      </c>
      <c r="CC292" s="7">
        <v>0.17680000000000001</v>
      </c>
      <c r="CD292" s="7">
        <v>0.1759</v>
      </c>
      <c r="CE292" s="7">
        <v>0.17499999999999999</v>
      </c>
      <c r="CF292" s="7">
        <v>0.17399999999999999</v>
      </c>
      <c r="CG292" s="7">
        <v>0.1731</v>
      </c>
      <c r="CH292" s="7">
        <v>0.17219999999999999</v>
      </c>
      <c r="CI292" s="7">
        <v>0.17130000000000001</v>
      </c>
      <c r="CJ292" s="7">
        <v>0.1704</v>
      </c>
      <c r="CK292" s="7">
        <v>0.16950000000000001</v>
      </c>
      <c r="CL292" s="7">
        <v>0.1686</v>
      </c>
      <c r="CM292" s="7">
        <v>0.16769999999999999</v>
      </c>
      <c r="CN292" s="7">
        <v>0.16689999999999999</v>
      </c>
      <c r="CO292" s="7">
        <v>0.16600000000000001</v>
      </c>
      <c r="CP292" s="7">
        <v>0.1651</v>
      </c>
      <c r="CQ292" s="7">
        <v>0.16420000000000001</v>
      </c>
      <c r="CR292" s="7">
        <v>0.1633</v>
      </c>
      <c r="CS292" s="7">
        <v>0.16239999999999999</v>
      </c>
      <c r="CT292" s="7">
        <v>0.1615</v>
      </c>
      <c r="CU292" s="7">
        <v>0.16059999999999999</v>
      </c>
      <c r="CV292" s="7">
        <v>0.15970000000000001</v>
      </c>
      <c r="CW292" s="7">
        <v>0.1588</v>
      </c>
      <c r="CX292" s="7">
        <v>0.15790000000000001</v>
      </c>
      <c r="CY292" s="7">
        <v>0.157</v>
      </c>
      <c r="CZ292" s="7">
        <v>0.15609999999999999</v>
      </c>
      <c r="DA292" s="7">
        <v>0.15509999999999999</v>
      </c>
      <c r="DB292" s="7">
        <v>0.1542</v>
      </c>
      <c r="DC292" s="7">
        <v>0.1532</v>
      </c>
      <c r="DD292" s="7">
        <v>0.15229999999999999</v>
      </c>
      <c r="DE292" s="7">
        <v>0.15129999999999999</v>
      </c>
      <c r="DF292" s="7">
        <v>0.15029999999999999</v>
      </c>
      <c r="DG292" s="7">
        <v>0.14929999999999999</v>
      </c>
      <c r="DH292" s="7">
        <v>0.14829999999999999</v>
      </c>
      <c r="DI292" s="7">
        <v>0.14729999999999999</v>
      </c>
      <c r="DJ292" s="7">
        <v>0.14630000000000001</v>
      </c>
      <c r="DK292" s="7">
        <v>0.1452</v>
      </c>
      <c r="DL292" s="7">
        <v>0.14419999999999999</v>
      </c>
      <c r="DM292" s="7">
        <v>0.1431</v>
      </c>
      <c r="DN292" s="7">
        <v>0.14199999999999999</v>
      </c>
      <c r="DO292" s="7">
        <v>0.1409</v>
      </c>
      <c r="DP292" s="7">
        <v>0.13969999999999999</v>
      </c>
      <c r="DQ292" s="7">
        <v>0.1386</v>
      </c>
      <c r="DR292" s="7">
        <v>0.13739999999999999</v>
      </c>
      <c r="DS292" s="7">
        <v>0.13619999999999999</v>
      </c>
      <c r="DT292" s="7">
        <v>0.13500000000000001</v>
      </c>
      <c r="DU292" s="7">
        <v>0.13370000000000001</v>
      </c>
      <c r="DV292" s="7">
        <v>0.13250000000000001</v>
      </c>
      <c r="DW292" s="7">
        <v>0.13120000000000001</v>
      </c>
      <c r="DX292" s="7">
        <v>0.12989999999999999</v>
      </c>
      <c r="DY292" s="7">
        <v>0.1285</v>
      </c>
      <c r="DZ292" s="7">
        <v>0.12720000000000001</v>
      </c>
      <c r="EA292" s="7">
        <v>0.1258</v>
      </c>
      <c r="EB292" s="7">
        <v>0.1244</v>
      </c>
      <c r="EC292" s="7">
        <v>0.123</v>
      </c>
      <c r="ED292" s="7">
        <v>0.1215</v>
      </c>
      <c r="EE292" s="7">
        <v>0.12</v>
      </c>
      <c r="EF292" s="7">
        <v>0.11849999999999999</v>
      </c>
      <c r="EG292" s="7">
        <v>0.11700000000000001</v>
      </c>
      <c r="EH292" s="7">
        <v>0.11550000000000001</v>
      </c>
      <c r="EI292" s="7">
        <v>0.1135</v>
      </c>
      <c r="EJ292" s="7">
        <v>0.1114</v>
      </c>
      <c r="EK292" s="7">
        <v>0.10929999999999999</v>
      </c>
      <c r="EL292" s="7">
        <v>0.10730000000000001</v>
      </c>
      <c r="EM292" s="7">
        <v>0.1052</v>
      </c>
      <c r="EN292" s="7">
        <v>0.1032</v>
      </c>
      <c r="EO292" s="7">
        <v>0.1011</v>
      </c>
      <c r="EP292" s="7">
        <v>9.9099999999999994E-2</v>
      </c>
      <c r="EQ292" s="7">
        <v>9.7100000000000006E-2</v>
      </c>
      <c r="ER292" s="7">
        <v>9.5000000000000001E-2</v>
      </c>
      <c r="ES292" s="7">
        <v>9.2999999999999999E-2</v>
      </c>
      <c r="ET292" s="7">
        <v>9.0999999999999998E-2</v>
      </c>
      <c r="EU292" s="7">
        <v>8.8999999999999996E-2</v>
      </c>
      <c r="EV292" s="7">
        <v>8.7099999999999997E-2</v>
      </c>
      <c r="EW292" s="7">
        <v>8.5099999999999995E-2</v>
      </c>
      <c r="EX292" s="7">
        <v>8.3199999999999996E-2</v>
      </c>
      <c r="EY292" s="7">
        <v>8.1199999999999994E-2</v>
      </c>
      <c r="EZ292" s="7">
        <v>7.9299999999999995E-2</v>
      </c>
      <c r="FA292" s="7">
        <v>7.7399999999999997E-2</v>
      </c>
      <c r="FB292" s="7">
        <v>7.5600000000000001E-2</v>
      </c>
      <c r="FC292" s="7">
        <v>7.3700000000000002E-2</v>
      </c>
      <c r="FE292" s="50">
        <f t="shared" ca="1" si="32"/>
        <v>0.13094031814010401</v>
      </c>
      <c r="FF292" s="50">
        <f t="shared" ca="1" si="33"/>
        <v>0.13176107016981739</v>
      </c>
      <c r="FG292" s="50">
        <f t="shared" ca="1" si="34"/>
        <v>0.13259100671140939</v>
      </c>
      <c r="FH292" s="50">
        <f t="shared" ca="1" si="35"/>
        <v>0.13339637583892616</v>
      </c>
      <c r="FI292" s="50"/>
      <c r="FJ292" s="50"/>
      <c r="FK292" s="50">
        <f t="shared" ca="1" si="31"/>
        <v>0.13176107016981739</v>
      </c>
      <c r="FL292" s="50"/>
      <c r="FM292" s="50"/>
      <c r="FN292" s="50"/>
    </row>
    <row r="293" spans="49:170" hidden="1">
      <c r="AW293" s="112">
        <v>26.914999999999999</v>
      </c>
      <c r="AX293" s="7">
        <v>0.21299999999999999</v>
      </c>
      <c r="AY293" s="7">
        <v>0.21149999999999999</v>
      </c>
      <c r="AZ293" s="7">
        <v>0.21</v>
      </c>
      <c r="BA293" s="7">
        <v>0.20860000000000001</v>
      </c>
      <c r="BB293" s="7">
        <v>0.2072</v>
      </c>
      <c r="BC293" s="7">
        <v>0.20580000000000001</v>
      </c>
      <c r="BD293" s="7">
        <v>0.2044</v>
      </c>
      <c r="BE293" s="7">
        <v>0.2031</v>
      </c>
      <c r="BF293" s="7">
        <v>0.20180000000000001</v>
      </c>
      <c r="BG293" s="7">
        <v>0.20050000000000001</v>
      </c>
      <c r="BH293" s="7">
        <v>0.1993</v>
      </c>
      <c r="BI293" s="7">
        <v>0.19800000000000001</v>
      </c>
      <c r="BJ293" s="7">
        <v>0.1968</v>
      </c>
      <c r="BK293" s="7">
        <v>0.1956</v>
      </c>
      <c r="BL293" s="7">
        <v>0.19439999999999999</v>
      </c>
      <c r="BM293" s="7">
        <v>0.1933</v>
      </c>
      <c r="BN293" s="7">
        <v>0.19209999999999999</v>
      </c>
      <c r="BO293" s="7">
        <v>0.191</v>
      </c>
      <c r="BP293" s="7">
        <v>0.18990000000000001</v>
      </c>
      <c r="BQ293" s="7">
        <v>0.1888</v>
      </c>
      <c r="BR293" s="7">
        <v>0.18779999999999999</v>
      </c>
      <c r="BS293" s="7">
        <v>0.1867</v>
      </c>
      <c r="BT293" s="7">
        <v>0.1857</v>
      </c>
      <c r="BU293" s="7">
        <v>0.18459999999999999</v>
      </c>
      <c r="BV293" s="7">
        <v>0.18360000000000001</v>
      </c>
      <c r="BW293" s="7">
        <v>0.18260000000000001</v>
      </c>
      <c r="BX293" s="7">
        <v>0.18160000000000001</v>
      </c>
      <c r="BY293" s="7">
        <v>0.1807</v>
      </c>
      <c r="BZ293" s="7">
        <v>0.1797</v>
      </c>
      <c r="CA293" s="7">
        <v>0.1787</v>
      </c>
      <c r="CB293" s="7">
        <v>0.17780000000000001</v>
      </c>
      <c r="CC293" s="7">
        <v>0.17680000000000001</v>
      </c>
      <c r="CD293" s="7">
        <v>0.1759</v>
      </c>
      <c r="CE293" s="7">
        <v>0.17499999999999999</v>
      </c>
      <c r="CF293" s="7">
        <v>0.17399999999999999</v>
      </c>
      <c r="CG293" s="7">
        <v>0.1731</v>
      </c>
      <c r="CH293" s="7">
        <v>0.17219999999999999</v>
      </c>
      <c r="CI293" s="7">
        <v>0.17130000000000001</v>
      </c>
      <c r="CJ293" s="7">
        <v>0.1704</v>
      </c>
      <c r="CK293" s="7">
        <v>0.16950000000000001</v>
      </c>
      <c r="CL293" s="7">
        <v>0.1686</v>
      </c>
      <c r="CM293" s="7">
        <v>0.16769999999999999</v>
      </c>
      <c r="CN293" s="7">
        <v>0.16689999999999999</v>
      </c>
      <c r="CO293" s="7">
        <v>0.16600000000000001</v>
      </c>
      <c r="CP293" s="7">
        <v>0.1651</v>
      </c>
      <c r="CQ293" s="7">
        <v>0.16420000000000001</v>
      </c>
      <c r="CR293" s="7">
        <v>0.1633</v>
      </c>
      <c r="CS293" s="7">
        <v>0.16239999999999999</v>
      </c>
      <c r="CT293" s="7">
        <v>0.1615</v>
      </c>
      <c r="CU293" s="7">
        <v>0.16059999999999999</v>
      </c>
      <c r="CV293" s="7">
        <v>0.15970000000000001</v>
      </c>
      <c r="CW293" s="7">
        <v>0.1588</v>
      </c>
      <c r="CX293" s="7">
        <v>0.15790000000000001</v>
      </c>
      <c r="CY293" s="7">
        <v>0.157</v>
      </c>
      <c r="CZ293" s="7">
        <v>0.15609999999999999</v>
      </c>
      <c r="DA293" s="7">
        <v>0.15509999999999999</v>
      </c>
      <c r="DB293" s="7">
        <v>0.1542</v>
      </c>
      <c r="DC293" s="7">
        <v>0.1532</v>
      </c>
      <c r="DD293" s="7">
        <v>0.15229999999999999</v>
      </c>
      <c r="DE293" s="7">
        <v>0.15129999999999999</v>
      </c>
      <c r="DF293" s="7">
        <v>0.15029999999999999</v>
      </c>
      <c r="DG293" s="7">
        <v>0.14929999999999999</v>
      </c>
      <c r="DH293" s="7">
        <v>0.14829999999999999</v>
      </c>
      <c r="DI293" s="7">
        <v>0.14729999999999999</v>
      </c>
      <c r="DJ293" s="7">
        <v>0.14630000000000001</v>
      </c>
      <c r="DK293" s="7">
        <v>0.1452</v>
      </c>
      <c r="DL293" s="7">
        <v>0.14419999999999999</v>
      </c>
      <c r="DM293" s="7">
        <v>0.1431</v>
      </c>
      <c r="DN293" s="7">
        <v>0.14199999999999999</v>
      </c>
      <c r="DO293" s="7">
        <v>0.1409</v>
      </c>
      <c r="DP293" s="7">
        <v>0.13969999999999999</v>
      </c>
      <c r="DQ293" s="7">
        <v>0.1386</v>
      </c>
      <c r="DR293" s="7">
        <v>0.13739999999999999</v>
      </c>
      <c r="DS293" s="7">
        <v>0.13619999999999999</v>
      </c>
      <c r="DT293" s="7">
        <v>0.13500000000000001</v>
      </c>
      <c r="DU293" s="7">
        <v>0.13370000000000001</v>
      </c>
      <c r="DV293" s="7">
        <v>0.13250000000000001</v>
      </c>
      <c r="DW293" s="7">
        <v>0.13120000000000001</v>
      </c>
      <c r="DX293" s="7">
        <v>0.12989999999999999</v>
      </c>
      <c r="DY293" s="7">
        <v>0.1285</v>
      </c>
      <c r="DZ293" s="7">
        <v>0.12720000000000001</v>
      </c>
      <c r="EA293" s="7">
        <v>0.1258</v>
      </c>
      <c r="EB293" s="7">
        <v>0.1244</v>
      </c>
      <c r="EC293" s="7">
        <v>0.123</v>
      </c>
      <c r="ED293" s="7">
        <v>0.1215</v>
      </c>
      <c r="EE293" s="7">
        <v>0.12</v>
      </c>
      <c r="EF293" s="7">
        <v>0.11849999999999999</v>
      </c>
      <c r="EG293" s="7">
        <v>0.11700000000000001</v>
      </c>
      <c r="EH293" s="7">
        <v>0.11550000000000001</v>
      </c>
      <c r="EI293" s="7">
        <v>0.1139</v>
      </c>
      <c r="EJ293" s="7">
        <v>0.1119</v>
      </c>
      <c r="EK293" s="7">
        <v>0.10979999999999999</v>
      </c>
      <c r="EL293" s="7">
        <v>0.1077</v>
      </c>
      <c r="EM293" s="7">
        <v>0.1057</v>
      </c>
      <c r="EN293" s="7">
        <v>0.1036</v>
      </c>
      <c r="EO293" s="7">
        <v>0.1016</v>
      </c>
      <c r="EP293" s="7">
        <v>9.9500000000000005E-2</v>
      </c>
      <c r="EQ293" s="7">
        <v>9.7500000000000003E-2</v>
      </c>
      <c r="ER293" s="7">
        <v>9.5500000000000002E-2</v>
      </c>
      <c r="ES293" s="7">
        <v>9.35E-2</v>
      </c>
      <c r="ET293" s="7">
        <v>9.1499999999999998E-2</v>
      </c>
      <c r="EU293" s="7">
        <v>8.9499999999999996E-2</v>
      </c>
      <c r="EV293" s="7">
        <v>8.7499999999999994E-2</v>
      </c>
      <c r="EW293" s="7">
        <v>8.5500000000000007E-2</v>
      </c>
      <c r="EX293" s="7">
        <v>8.3599999999999994E-2</v>
      </c>
      <c r="EY293" s="7">
        <v>8.1699999999999995E-2</v>
      </c>
      <c r="EZ293" s="7">
        <v>7.9799999999999996E-2</v>
      </c>
      <c r="FA293" s="7">
        <v>7.7899999999999997E-2</v>
      </c>
      <c r="FB293" s="7">
        <v>7.5999999999999998E-2</v>
      </c>
      <c r="FC293" s="7">
        <v>7.4099999999999999E-2</v>
      </c>
      <c r="FE293" s="50">
        <f t="shared" ca="1" si="32"/>
        <v>0.13094031814010401</v>
      </c>
      <c r="FF293" s="50">
        <f t="shared" ca="1" si="33"/>
        <v>0.13176107016981739</v>
      </c>
      <c r="FG293" s="50">
        <f t="shared" ca="1" si="34"/>
        <v>0.13259100671140939</v>
      </c>
      <c r="FH293" s="50">
        <f t="shared" ca="1" si="35"/>
        <v>0.13339637583892616</v>
      </c>
      <c r="FI293" s="50"/>
      <c r="FJ293" s="50"/>
      <c r="FK293" s="50">
        <f t="shared" ca="1" si="31"/>
        <v>0.13176107016981739</v>
      </c>
      <c r="FL293" s="50"/>
      <c r="FM293" s="50"/>
      <c r="FN293" s="50"/>
    </row>
    <row r="294" spans="49:170" hidden="1">
      <c r="AW294" s="112">
        <v>28.84</v>
      </c>
      <c r="AX294" s="7">
        <v>0.21299999999999999</v>
      </c>
      <c r="AY294" s="7">
        <v>0.21149999999999999</v>
      </c>
      <c r="AZ294" s="7">
        <v>0.21</v>
      </c>
      <c r="BA294" s="7">
        <v>0.20860000000000001</v>
      </c>
      <c r="BB294" s="7">
        <v>0.2072</v>
      </c>
      <c r="BC294" s="7">
        <v>0.20580000000000001</v>
      </c>
      <c r="BD294" s="7">
        <v>0.2044</v>
      </c>
      <c r="BE294" s="7">
        <v>0.2031</v>
      </c>
      <c r="BF294" s="7">
        <v>0.20180000000000001</v>
      </c>
      <c r="BG294" s="7">
        <v>0.20050000000000001</v>
      </c>
      <c r="BH294" s="7">
        <v>0.1993</v>
      </c>
      <c r="BI294" s="7">
        <v>0.19800000000000001</v>
      </c>
      <c r="BJ294" s="7">
        <v>0.1968</v>
      </c>
      <c r="BK294" s="7">
        <v>0.1956</v>
      </c>
      <c r="BL294" s="7">
        <v>0.19439999999999999</v>
      </c>
      <c r="BM294" s="7">
        <v>0.1933</v>
      </c>
      <c r="BN294" s="7">
        <v>0.19209999999999999</v>
      </c>
      <c r="BO294" s="7">
        <v>0.191</v>
      </c>
      <c r="BP294" s="7">
        <v>0.18990000000000001</v>
      </c>
      <c r="BQ294" s="7">
        <v>0.1888</v>
      </c>
      <c r="BR294" s="7">
        <v>0.18779999999999999</v>
      </c>
      <c r="BS294" s="7">
        <v>0.1867</v>
      </c>
      <c r="BT294" s="7">
        <v>0.1857</v>
      </c>
      <c r="BU294" s="7">
        <v>0.18459999999999999</v>
      </c>
      <c r="BV294" s="7">
        <v>0.18360000000000001</v>
      </c>
      <c r="BW294" s="7">
        <v>0.18260000000000001</v>
      </c>
      <c r="BX294" s="7">
        <v>0.18160000000000001</v>
      </c>
      <c r="BY294" s="7">
        <v>0.1807</v>
      </c>
      <c r="BZ294" s="7">
        <v>0.1797</v>
      </c>
      <c r="CA294" s="7">
        <v>0.1787</v>
      </c>
      <c r="CB294" s="7">
        <v>0.17780000000000001</v>
      </c>
      <c r="CC294" s="7">
        <v>0.17680000000000001</v>
      </c>
      <c r="CD294" s="7">
        <v>0.1759</v>
      </c>
      <c r="CE294" s="7">
        <v>0.17499999999999999</v>
      </c>
      <c r="CF294" s="7">
        <v>0.17399999999999999</v>
      </c>
      <c r="CG294" s="7">
        <v>0.1731</v>
      </c>
      <c r="CH294" s="7">
        <v>0.17219999999999999</v>
      </c>
      <c r="CI294" s="7">
        <v>0.17130000000000001</v>
      </c>
      <c r="CJ294" s="7">
        <v>0.1704</v>
      </c>
      <c r="CK294" s="7">
        <v>0.16950000000000001</v>
      </c>
      <c r="CL294" s="7">
        <v>0.1686</v>
      </c>
      <c r="CM294" s="7">
        <v>0.16769999999999999</v>
      </c>
      <c r="CN294" s="7">
        <v>0.16689999999999999</v>
      </c>
      <c r="CO294" s="7">
        <v>0.16600000000000001</v>
      </c>
      <c r="CP294" s="7">
        <v>0.1651</v>
      </c>
      <c r="CQ294" s="7">
        <v>0.16420000000000001</v>
      </c>
      <c r="CR294" s="7">
        <v>0.1633</v>
      </c>
      <c r="CS294" s="7">
        <v>0.16239999999999999</v>
      </c>
      <c r="CT294" s="7">
        <v>0.1615</v>
      </c>
      <c r="CU294" s="7">
        <v>0.16059999999999999</v>
      </c>
      <c r="CV294" s="7">
        <v>0.15970000000000001</v>
      </c>
      <c r="CW294" s="7">
        <v>0.1588</v>
      </c>
      <c r="CX294" s="7">
        <v>0.15790000000000001</v>
      </c>
      <c r="CY294" s="7">
        <v>0.157</v>
      </c>
      <c r="CZ294" s="7">
        <v>0.15609999999999999</v>
      </c>
      <c r="DA294" s="7">
        <v>0.15509999999999999</v>
      </c>
      <c r="DB294" s="7">
        <v>0.1542</v>
      </c>
      <c r="DC294" s="7">
        <v>0.1532</v>
      </c>
      <c r="DD294" s="7">
        <v>0.15229999999999999</v>
      </c>
      <c r="DE294" s="7">
        <v>0.15129999999999999</v>
      </c>
      <c r="DF294" s="7">
        <v>0.15029999999999999</v>
      </c>
      <c r="DG294" s="7">
        <v>0.14929999999999999</v>
      </c>
      <c r="DH294" s="7">
        <v>0.14829999999999999</v>
      </c>
      <c r="DI294" s="7">
        <v>0.14729999999999999</v>
      </c>
      <c r="DJ294" s="7">
        <v>0.14630000000000001</v>
      </c>
      <c r="DK294" s="7">
        <v>0.1452</v>
      </c>
      <c r="DL294" s="7">
        <v>0.14419999999999999</v>
      </c>
      <c r="DM294" s="7">
        <v>0.1431</v>
      </c>
      <c r="DN294" s="7">
        <v>0.14199999999999999</v>
      </c>
      <c r="DO294" s="7">
        <v>0.1409</v>
      </c>
      <c r="DP294" s="7">
        <v>0.13969999999999999</v>
      </c>
      <c r="DQ294" s="7">
        <v>0.1386</v>
      </c>
      <c r="DR294" s="7">
        <v>0.13739999999999999</v>
      </c>
      <c r="DS294" s="7">
        <v>0.13619999999999999</v>
      </c>
      <c r="DT294" s="7">
        <v>0.13500000000000001</v>
      </c>
      <c r="DU294" s="7">
        <v>0.13370000000000001</v>
      </c>
      <c r="DV294" s="7">
        <v>0.13250000000000001</v>
      </c>
      <c r="DW294" s="7">
        <v>0.13120000000000001</v>
      </c>
      <c r="DX294" s="7">
        <v>0.12989999999999999</v>
      </c>
      <c r="DY294" s="7">
        <v>0.1285</v>
      </c>
      <c r="DZ294" s="7">
        <v>0.12720000000000001</v>
      </c>
      <c r="EA294" s="7">
        <v>0.1258</v>
      </c>
      <c r="EB294" s="7">
        <v>0.1244</v>
      </c>
      <c r="EC294" s="7">
        <v>0.123</v>
      </c>
      <c r="ED294" s="7">
        <v>0.1215</v>
      </c>
      <c r="EE294" s="7">
        <v>0.12</v>
      </c>
      <c r="EF294" s="7">
        <v>0.11849999999999999</v>
      </c>
      <c r="EG294" s="7">
        <v>0.11700000000000001</v>
      </c>
      <c r="EH294" s="7">
        <v>0.11550000000000001</v>
      </c>
      <c r="EI294" s="7">
        <v>0.1139</v>
      </c>
      <c r="EJ294" s="7">
        <v>0.1123</v>
      </c>
      <c r="EK294" s="7">
        <v>0.11020000000000001</v>
      </c>
      <c r="EL294" s="7">
        <v>0.1082</v>
      </c>
      <c r="EM294" s="7">
        <v>0.1061</v>
      </c>
      <c r="EN294" s="7">
        <v>0.1041</v>
      </c>
      <c r="EO294" s="7">
        <v>0.10199999999999999</v>
      </c>
      <c r="EP294" s="7">
        <v>0.1</v>
      </c>
      <c r="EQ294" s="7">
        <v>9.7900000000000001E-2</v>
      </c>
      <c r="ER294" s="7">
        <v>9.5899999999999999E-2</v>
      </c>
      <c r="ES294" s="7">
        <v>9.3899999999999997E-2</v>
      </c>
      <c r="ET294" s="7">
        <v>9.1899999999999996E-2</v>
      </c>
      <c r="EU294" s="7">
        <v>8.9899999999999994E-2</v>
      </c>
      <c r="EV294" s="7">
        <v>8.7900000000000006E-2</v>
      </c>
      <c r="EW294" s="7">
        <v>8.5999999999999993E-2</v>
      </c>
      <c r="EX294" s="7">
        <v>8.4000000000000005E-2</v>
      </c>
      <c r="EY294" s="7">
        <v>8.2100000000000006E-2</v>
      </c>
      <c r="EZ294" s="7">
        <v>8.0199999999999994E-2</v>
      </c>
      <c r="FA294" s="7">
        <v>7.8299999999999995E-2</v>
      </c>
      <c r="FB294" s="7">
        <v>7.6399999999999996E-2</v>
      </c>
      <c r="FC294" s="7">
        <v>7.4499999999999997E-2</v>
      </c>
      <c r="FE294" s="50">
        <f t="shared" ca="1" si="32"/>
        <v>0.13094031814010401</v>
      </c>
      <c r="FF294" s="50">
        <f t="shared" ca="1" si="33"/>
        <v>0.13176107016981739</v>
      </c>
      <c r="FG294" s="50">
        <f t="shared" ca="1" si="34"/>
        <v>0.13259100671140939</v>
      </c>
      <c r="FH294" s="50">
        <f t="shared" ca="1" si="35"/>
        <v>0.13339637583892616</v>
      </c>
      <c r="FI294" s="50"/>
      <c r="FJ294" s="50"/>
      <c r="FK294" s="50">
        <f t="shared" ca="1" si="31"/>
        <v>0.13176107016981739</v>
      </c>
      <c r="FL294" s="50"/>
      <c r="FM294" s="50"/>
      <c r="FN294" s="50"/>
    </row>
    <row r="295" spans="49:170" hidden="1">
      <c r="AW295" s="112">
        <v>30.902999999999999</v>
      </c>
      <c r="AX295" s="7">
        <v>0.21299999999999999</v>
      </c>
      <c r="AY295" s="7">
        <v>0.21149999999999999</v>
      </c>
      <c r="AZ295" s="7">
        <v>0.21</v>
      </c>
      <c r="BA295" s="7">
        <v>0.20860000000000001</v>
      </c>
      <c r="BB295" s="7">
        <v>0.2072</v>
      </c>
      <c r="BC295" s="7">
        <v>0.20580000000000001</v>
      </c>
      <c r="BD295" s="7">
        <v>0.2044</v>
      </c>
      <c r="BE295" s="7">
        <v>0.2031</v>
      </c>
      <c r="BF295" s="7">
        <v>0.20180000000000001</v>
      </c>
      <c r="BG295" s="7">
        <v>0.20050000000000001</v>
      </c>
      <c r="BH295" s="7">
        <v>0.1993</v>
      </c>
      <c r="BI295" s="7">
        <v>0.19800000000000001</v>
      </c>
      <c r="BJ295" s="7">
        <v>0.1968</v>
      </c>
      <c r="BK295" s="7">
        <v>0.1956</v>
      </c>
      <c r="BL295" s="7">
        <v>0.19439999999999999</v>
      </c>
      <c r="BM295" s="7">
        <v>0.1933</v>
      </c>
      <c r="BN295" s="7">
        <v>0.19209999999999999</v>
      </c>
      <c r="BO295" s="7">
        <v>0.191</v>
      </c>
      <c r="BP295" s="7">
        <v>0.18990000000000001</v>
      </c>
      <c r="BQ295" s="7">
        <v>0.1888</v>
      </c>
      <c r="BR295" s="7">
        <v>0.18779999999999999</v>
      </c>
      <c r="BS295" s="7">
        <v>0.1867</v>
      </c>
      <c r="BT295" s="7">
        <v>0.1857</v>
      </c>
      <c r="BU295" s="7">
        <v>0.18459999999999999</v>
      </c>
      <c r="BV295" s="7">
        <v>0.18360000000000001</v>
      </c>
      <c r="BW295" s="7">
        <v>0.18260000000000001</v>
      </c>
      <c r="BX295" s="7">
        <v>0.18160000000000001</v>
      </c>
      <c r="BY295" s="7">
        <v>0.1807</v>
      </c>
      <c r="BZ295" s="7">
        <v>0.1797</v>
      </c>
      <c r="CA295" s="7">
        <v>0.1787</v>
      </c>
      <c r="CB295" s="7">
        <v>0.17780000000000001</v>
      </c>
      <c r="CC295" s="7">
        <v>0.17680000000000001</v>
      </c>
      <c r="CD295" s="7">
        <v>0.1759</v>
      </c>
      <c r="CE295" s="7">
        <v>0.17499999999999999</v>
      </c>
      <c r="CF295" s="7">
        <v>0.17399999999999999</v>
      </c>
      <c r="CG295" s="7">
        <v>0.1731</v>
      </c>
      <c r="CH295" s="7">
        <v>0.17219999999999999</v>
      </c>
      <c r="CI295" s="7">
        <v>0.17130000000000001</v>
      </c>
      <c r="CJ295" s="7">
        <v>0.1704</v>
      </c>
      <c r="CK295" s="7">
        <v>0.16950000000000001</v>
      </c>
      <c r="CL295" s="7">
        <v>0.1686</v>
      </c>
      <c r="CM295" s="7">
        <v>0.16769999999999999</v>
      </c>
      <c r="CN295" s="7">
        <v>0.16689999999999999</v>
      </c>
      <c r="CO295" s="7">
        <v>0.16600000000000001</v>
      </c>
      <c r="CP295" s="7">
        <v>0.1651</v>
      </c>
      <c r="CQ295" s="7">
        <v>0.16420000000000001</v>
      </c>
      <c r="CR295" s="7">
        <v>0.1633</v>
      </c>
      <c r="CS295" s="7">
        <v>0.16239999999999999</v>
      </c>
      <c r="CT295" s="7">
        <v>0.1615</v>
      </c>
      <c r="CU295" s="7">
        <v>0.16059999999999999</v>
      </c>
      <c r="CV295" s="7">
        <v>0.15970000000000001</v>
      </c>
      <c r="CW295" s="7">
        <v>0.1588</v>
      </c>
      <c r="CX295" s="7">
        <v>0.15790000000000001</v>
      </c>
      <c r="CY295" s="7">
        <v>0.157</v>
      </c>
      <c r="CZ295" s="7">
        <v>0.15609999999999999</v>
      </c>
      <c r="DA295" s="7">
        <v>0.15509999999999999</v>
      </c>
      <c r="DB295" s="7">
        <v>0.1542</v>
      </c>
      <c r="DC295" s="7">
        <v>0.1532</v>
      </c>
      <c r="DD295" s="7">
        <v>0.15229999999999999</v>
      </c>
      <c r="DE295" s="7">
        <v>0.15129999999999999</v>
      </c>
      <c r="DF295" s="7">
        <v>0.15029999999999999</v>
      </c>
      <c r="DG295" s="7">
        <v>0.14929999999999999</v>
      </c>
      <c r="DH295" s="7">
        <v>0.14829999999999999</v>
      </c>
      <c r="DI295" s="7">
        <v>0.14729999999999999</v>
      </c>
      <c r="DJ295" s="7">
        <v>0.14630000000000001</v>
      </c>
      <c r="DK295" s="7">
        <v>0.1452</v>
      </c>
      <c r="DL295" s="7">
        <v>0.14419999999999999</v>
      </c>
      <c r="DM295" s="7">
        <v>0.1431</v>
      </c>
      <c r="DN295" s="7">
        <v>0.14199999999999999</v>
      </c>
      <c r="DO295" s="7">
        <v>0.1409</v>
      </c>
      <c r="DP295" s="7">
        <v>0.13969999999999999</v>
      </c>
      <c r="DQ295" s="7">
        <v>0.1386</v>
      </c>
      <c r="DR295" s="7">
        <v>0.13739999999999999</v>
      </c>
      <c r="DS295" s="7">
        <v>0.13619999999999999</v>
      </c>
      <c r="DT295" s="7">
        <v>0.13500000000000001</v>
      </c>
      <c r="DU295" s="7">
        <v>0.13370000000000001</v>
      </c>
      <c r="DV295" s="7">
        <v>0.13250000000000001</v>
      </c>
      <c r="DW295" s="7">
        <v>0.13120000000000001</v>
      </c>
      <c r="DX295" s="7">
        <v>0.12989999999999999</v>
      </c>
      <c r="DY295" s="7">
        <v>0.1285</v>
      </c>
      <c r="DZ295" s="7">
        <v>0.12720000000000001</v>
      </c>
      <c r="EA295" s="7">
        <v>0.1258</v>
      </c>
      <c r="EB295" s="7">
        <v>0.1244</v>
      </c>
      <c r="EC295" s="7">
        <v>0.123</v>
      </c>
      <c r="ED295" s="7">
        <v>0.1215</v>
      </c>
      <c r="EE295" s="7">
        <v>0.12</v>
      </c>
      <c r="EF295" s="7">
        <v>0.11849999999999999</v>
      </c>
      <c r="EG295" s="7">
        <v>0.11700000000000001</v>
      </c>
      <c r="EH295" s="7">
        <v>0.11550000000000001</v>
      </c>
      <c r="EI295" s="7">
        <v>0.1139</v>
      </c>
      <c r="EJ295" s="7">
        <v>0.1124</v>
      </c>
      <c r="EK295" s="7">
        <v>0.11070000000000001</v>
      </c>
      <c r="EL295" s="7">
        <v>0.1086</v>
      </c>
      <c r="EM295" s="7">
        <v>0.1066</v>
      </c>
      <c r="EN295" s="7">
        <v>0.1045</v>
      </c>
      <c r="EO295" s="7">
        <v>0.10249999999999999</v>
      </c>
      <c r="EP295" s="7">
        <v>0.1004</v>
      </c>
      <c r="EQ295" s="7">
        <v>9.8400000000000001E-2</v>
      </c>
      <c r="ER295" s="7">
        <v>9.6299999999999997E-2</v>
      </c>
      <c r="ES295" s="7">
        <v>9.4299999999999995E-2</v>
      </c>
      <c r="ET295" s="7">
        <v>9.2299999999999993E-2</v>
      </c>
      <c r="EU295" s="7">
        <v>9.0300000000000005E-2</v>
      </c>
      <c r="EV295" s="7">
        <v>8.8300000000000003E-2</v>
      </c>
      <c r="EW295" s="7">
        <v>8.6400000000000005E-2</v>
      </c>
      <c r="EX295" s="7">
        <v>8.4400000000000003E-2</v>
      </c>
      <c r="EY295" s="7">
        <v>8.2500000000000004E-2</v>
      </c>
      <c r="EZ295" s="7">
        <v>8.0600000000000005E-2</v>
      </c>
      <c r="FA295" s="7">
        <v>7.8700000000000006E-2</v>
      </c>
      <c r="FB295" s="7">
        <v>7.6799999999999993E-2</v>
      </c>
      <c r="FC295" s="7">
        <v>7.4899999999999994E-2</v>
      </c>
      <c r="FE295" s="50">
        <f t="shared" ca="1" si="32"/>
        <v>0.13094031814010401</v>
      </c>
      <c r="FF295" s="50">
        <f t="shared" ca="1" si="33"/>
        <v>0.13176107016981739</v>
      </c>
      <c r="FG295" s="50">
        <f t="shared" ca="1" si="34"/>
        <v>0.13259100671140939</v>
      </c>
      <c r="FH295" s="50">
        <f t="shared" ca="1" si="35"/>
        <v>0.13339637583892616</v>
      </c>
      <c r="FI295" s="50"/>
      <c r="FJ295" s="50"/>
      <c r="FK295" s="50">
        <f t="shared" ca="1" si="31"/>
        <v>0.13176107016981739</v>
      </c>
      <c r="FL295" s="50"/>
      <c r="FM295" s="50"/>
      <c r="FN295" s="50"/>
    </row>
    <row r="296" spans="49:170" hidden="1">
      <c r="AW296" s="112">
        <v>33.113</v>
      </c>
      <c r="AX296" s="7">
        <v>0.21299999999999999</v>
      </c>
      <c r="AY296" s="7">
        <v>0.21149999999999999</v>
      </c>
      <c r="AZ296" s="7">
        <v>0.21</v>
      </c>
      <c r="BA296" s="7">
        <v>0.20860000000000001</v>
      </c>
      <c r="BB296" s="7">
        <v>0.2072</v>
      </c>
      <c r="BC296" s="7">
        <v>0.20580000000000001</v>
      </c>
      <c r="BD296" s="7">
        <v>0.2044</v>
      </c>
      <c r="BE296" s="7">
        <v>0.2031</v>
      </c>
      <c r="BF296" s="7">
        <v>0.20180000000000001</v>
      </c>
      <c r="BG296" s="7">
        <v>0.20050000000000001</v>
      </c>
      <c r="BH296" s="7">
        <v>0.1993</v>
      </c>
      <c r="BI296" s="7">
        <v>0.19800000000000001</v>
      </c>
      <c r="BJ296" s="7">
        <v>0.1968</v>
      </c>
      <c r="BK296" s="7">
        <v>0.1956</v>
      </c>
      <c r="BL296" s="7">
        <v>0.19439999999999999</v>
      </c>
      <c r="BM296" s="7">
        <v>0.1933</v>
      </c>
      <c r="BN296" s="7">
        <v>0.19209999999999999</v>
      </c>
      <c r="BO296" s="7">
        <v>0.191</v>
      </c>
      <c r="BP296" s="7">
        <v>0.18990000000000001</v>
      </c>
      <c r="BQ296" s="7">
        <v>0.1888</v>
      </c>
      <c r="BR296" s="7">
        <v>0.18779999999999999</v>
      </c>
      <c r="BS296" s="7">
        <v>0.1867</v>
      </c>
      <c r="BT296" s="7">
        <v>0.1857</v>
      </c>
      <c r="BU296" s="7">
        <v>0.18459999999999999</v>
      </c>
      <c r="BV296" s="7">
        <v>0.18360000000000001</v>
      </c>
      <c r="BW296" s="7">
        <v>0.18260000000000001</v>
      </c>
      <c r="BX296" s="7">
        <v>0.18160000000000001</v>
      </c>
      <c r="BY296" s="7">
        <v>0.1807</v>
      </c>
      <c r="BZ296" s="7">
        <v>0.1797</v>
      </c>
      <c r="CA296" s="7">
        <v>0.1787</v>
      </c>
      <c r="CB296" s="7">
        <v>0.17780000000000001</v>
      </c>
      <c r="CC296" s="7">
        <v>0.17680000000000001</v>
      </c>
      <c r="CD296" s="7">
        <v>0.1759</v>
      </c>
      <c r="CE296" s="7">
        <v>0.17499999999999999</v>
      </c>
      <c r="CF296" s="7">
        <v>0.17399999999999999</v>
      </c>
      <c r="CG296" s="7">
        <v>0.1731</v>
      </c>
      <c r="CH296" s="7">
        <v>0.17219999999999999</v>
      </c>
      <c r="CI296" s="7">
        <v>0.17130000000000001</v>
      </c>
      <c r="CJ296" s="7">
        <v>0.1704</v>
      </c>
      <c r="CK296" s="7">
        <v>0.16950000000000001</v>
      </c>
      <c r="CL296" s="7">
        <v>0.1686</v>
      </c>
      <c r="CM296" s="7">
        <v>0.16769999999999999</v>
      </c>
      <c r="CN296" s="7">
        <v>0.16689999999999999</v>
      </c>
      <c r="CO296" s="7">
        <v>0.16600000000000001</v>
      </c>
      <c r="CP296" s="7">
        <v>0.1651</v>
      </c>
      <c r="CQ296" s="7">
        <v>0.16420000000000001</v>
      </c>
      <c r="CR296" s="7">
        <v>0.1633</v>
      </c>
      <c r="CS296" s="7">
        <v>0.16239999999999999</v>
      </c>
      <c r="CT296" s="7">
        <v>0.1615</v>
      </c>
      <c r="CU296" s="7">
        <v>0.16059999999999999</v>
      </c>
      <c r="CV296" s="7">
        <v>0.15970000000000001</v>
      </c>
      <c r="CW296" s="7">
        <v>0.1588</v>
      </c>
      <c r="CX296" s="7">
        <v>0.15790000000000001</v>
      </c>
      <c r="CY296" s="7">
        <v>0.157</v>
      </c>
      <c r="CZ296" s="7">
        <v>0.15609999999999999</v>
      </c>
      <c r="DA296" s="7">
        <v>0.15509999999999999</v>
      </c>
      <c r="DB296" s="7">
        <v>0.1542</v>
      </c>
      <c r="DC296" s="7">
        <v>0.1532</v>
      </c>
      <c r="DD296" s="7">
        <v>0.15229999999999999</v>
      </c>
      <c r="DE296" s="7">
        <v>0.15129999999999999</v>
      </c>
      <c r="DF296" s="7">
        <v>0.15029999999999999</v>
      </c>
      <c r="DG296" s="7">
        <v>0.14929999999999999</v>
      </c>
      <c r="DH296" s="7">
        <v>0.14829999999999999</v>
      </c>
      <c r="DI296" s="7">
        <v>0.14729999999999999</v>
      </c>
      <c r="DJ296" s="7">
        <v>0.14630000000000001</v>
      </c>
      <c r="DK296" s="7">
        <v>0.1452</v>
      </c>
      <c r="DL296" s="7">
        <v>0.14419999999999999</v>
      </c>
      <c r="DM296" s="7">
        <v>0.1431</v>
      </c>
      <c r="DN296" s="7">
        <v>0.14199999999999999</v>
      </c>
      <c r="DO296" s="7">
        <v>0.1409</v>
      </c>
      <c r="DP296" s="7">
        <v>0.13969999999999999</v>
      </c>
      <c r="DQ296" s="7">
        <v>0.1386</v>
      </c>
      <c r="DR296" s="7">
        <v>0.13739999999999999</v>
      </c>
      <c r="DS296" s="7">
        <v>0.13619999999999999</v>
      </c>
      <c r="DT296" s="7">
        <v>0.13500000000000001</v>
      </c>
      <c r="DU296" s="7">
        <v>0.13370000000000001</v>
      </c>
      <c r="DV296" s="7">
        <v>0.13250000000000001</v>
      </c>
      <c r="DW296" s="7">
        <v>0.13120000000000001</v>
      </c>
      <c r="DX296" s="7">
        <v>0.12989999999999999</v>
      </c>
      <c r="DY296" s="7">
        <v>0.1285</v>
      </c>
      <c r="DZ296" s="7">
        <v>0.12720000000000001</v>
      </c>
      <c r="EA296" s="7">
        <v>0.1258</v>
      </c>
      <c r="EB296" s="7">
        <v>0.1244</v>
      </c>
      <c r="EC296" s="7">
        <v>0.123</v>
      </c>
      <c r="ED296" s="7">
        <v>0.1215</v>
      </c>
      <c r="EE296" s="7">
        <v>0.12</v>
      </c>
      <c r="EF296" s="7">
        <v>0.11849999999999999</v>
      </c>
      <c r="EG296" s="7">
        <v>0.11700000000000001</v>
      </c>
      <c r="EH296" s="7">
        <v>0.11550000000000001</v>
      </c>
      <c r="EI296" s="7">
        <v>0.1139</v>
      </c>
      <c r="EJ296" s="7">
        <v>0.1124</v>
      </c>
      <c r="EK296" s="7">
        <v>0.1108</v>
      </c>
      <c r="EL296" s="7">
        <v>0.1091</v>
      </c>
      <c r="EM296" s="7">
        <v>0.107</v>
      </c>
      <c r="EN296" s="7">
        <v>0.10489999999999999</v>
      </c>
      <c r="EO296" s="7">
        <v>0.10290000000000001</v>
      </c>
      <c r="EP296" s="7">
        <v>0.1008</v>
      </c>
      <c r="EQ296" s="7">
        <v>9.8799999999999999E-2</v>
      </c>
      <c r="ER296" s="7">
        <v>9.6799999999999997E-2</v>
      </c>
      <c r="ES296" s="7">
        <v>9.4799999999999995E-2</v>
      </c>
      <c r="ET296" s="7">
        <v>9.2700000000000005E-2</v>
      </c>
      <c r="EU296" s="7">
        <v>9.0800000000000006E-2</v>
      </c>
      <c r="EV296" s="7">
        <v>8.8800000000000004E-2</v>
      </c>
      <c r="EW296" s="7">
        <v>8.6800000000000002E-2</v>
      </c>
      <c r="EX296" s="7">
        <v>8.4900000000000003E-2</v>
      </c>
      <c r="EY296" s="7">
        <v>8.2900000000000001E-2</v>
      </c>
      <c r="EZ296" s="7">
        <v>8.1000000000000003E-2</v>
      </c>
      <c r="FA296" s="7">
        <v>7.9100000000000004E-2</v>
      </c>
      <c r="FB296" s="7">
        <v>7.7200000000000005E-2</v>
      </c>
      <c r="FC296" s="7">
        <v>7.5399999999999995E-2</v>
      </c>
      <c r="FE296" s="50">
        <f t="shared" ca="1" si="32"/>
        <v>0.13094031814010401</v>
      </c>
      <c r="FF296" s="50">
        <f t="shared" ca="1" si="33"/>
        <v>0.13176107016981739</v>
      </c>
      <c r="FG296" s="50">
        <f t="shared" ca="1" si="34"/>
        <v>0.13259100671140939</v>
      </c>
      <c r="FH296" s="50">
        <f t="shared" ca="1" si="35"/>
        <v>0.13339637583892616</v>
      </c>
      <c r="FI296" s="50"/>
      <c r="FJ296" s="50"/>
      <c r="FK296" s="50">
        <f t="shared" ca="1" si="31"/>
        <v>0.13176107016981739</v>
      </c>
      <c r="FL296" s="50"/>
      <c r="FM296" s="50"/>
      <c r="FN296" s="50"/>
    </row>
    <row r="297" spans="49:170" hidden="1">
      <c r="AW297" s="112">
        <v>35.481000000000002</v>
      </c>
      <c r="AX297" s="7">
        <v>0.21299999999999999</v>
      </c>
      <c r="AY297" s="7">
        <v>0.21149999999999999</v>
      </c>
      <c r="AZ297" s="7">
        <v>0.21</v>
      </c>
      <c r="BA297" s="7">
        <v>0.20860000000000001</v>
      </c>
      <c r="BB297" s="7">
        <v>0.2072</v>
      </c>
      <c r="BC297" s="7">
        <v>0.20580000000000001</v>
      </c>
      <c r="BD297" s="7">
        <v>0.2044</v>
      </c>
      <c r="BE297" s="7">
        <v>0.2031</v>
      </c>
      <c r="BF297" s="7">
        <v>0.20180000000000001</v>
      </c>
      <c r="BG297" s="7">
        <v>0.20050000000000001</v>
      </c>
      <c r="BH297" s="7">
        <v>0.1993</v>
      </c>
      <c r="BI297" s="7">
        <v>0.19800000000000001</v>
      </c>
      <c r="BJ297" s="7">
        <v>0.1968</v>
      </c>
      <c r="BK297" s="7">
        <v>0.1956</v>
      </c>
      <c r="BL297" s="7">
        <v>0.19439999999999999</v>
      </c>
      <c r="BM297" s="7">
        <v>0.1933</v>
      </c>
      <c r="BN297" s="7">
        <v>0.19209999999999999</v>
      </c>
      <c r="BO297" s="7">
        <v>0.191</v>
      </c>
      <c r="BP297" s="7">
        <v>0.18990000000000001</v>
      </c>
      <c r="BQ297" s="7">
        <v>0.1888</v>
      </c>
      <c r="BR297" s="7">
        <v>0.18779999999999999</v>
      </c>
      <c r="BS297" s="7">
        <v>0.1867</v>
      </c>
      <c r="BT297" s="7">
        <v>0.1857</v>
      </c>
      <c r="BU297" s="7">
        <v>0.18459999999999999</v>
      </c>
      <c r="BV297" s="7">
        <v>0.18360000000000001</v>
      </c>
      <c r="BW297" s="7">
        <v>0.18260000000000001</v>
      </c>
      <c r="BX297" s="7">
        <v>0.18160000000000001</v>
      </c>
      <c r="BY297" s="7">
        <v>0.1807</v>
      </c>
      <c r="BZ297" s="7">
        <v>0.1797</v>
      </c>
      <c r="CA297" s="7">
        <v>0.1787</v>
      </c>
      <c r="CB297" s="7">
        <v>0.17780000000000001</v>
      </c>
      <c r="CC297" s="7">
        <v>0.17680000000000001</v>
      </c>
      <c r="CD297" s="7">
        <v>0.1759</v>
      </c>
      <c r="CE297" s="7">
        <v>0.17499999999999999</v>
      </c>
      <c r="CF297" s="7">
        <v>0.17399999999999999</v>
      </c>
      <c r="CG297" s="7">
        <v>0.1731</v>
      </c>
      <c r="CH297" s="7">
        <v>0.17219999999999999</v>
      </c>
      <c r="CI297" s="7">
        <v>0.17130000000000001</v>
      </c>
      <c r="CJ297" s="7">
        <v>0.1704</v>
      </c>
      <c r="CK297" s="7">
        <v>0.16950000000000001</v>
      </c>
      <c r="CL297" s="7">
        <v>0.1686</v>
      </c>
      <c r="CM297" s="7">
        <v>0.16769999999999999</v>
      </c>
      <c r="CN297" s="7">
        <v>0.16689999999999999</v>
      </c>
      <c r="CO297" s="7">
        <v>0.16600000000000001</v>
      </c>
      <c r="CP297" s="7">
        <v>0.1651</v>
      </c>
      <c r="CQ297" s="7">
        <v>0.16420000000000001</v>
      </c>
      <c r="CR297" s="7">
        <v>0.1633</v>
      </c>
      <c r="CS297" s="7">
        <v>0.16239999999999999</v>
      </c>
      <c r="CT297" s="7">
        <v>0.1615</v>
      </c>
      <c r="CU297" s="7">
        <v>0.16059999999999999</v>
      </c>
      <c r="CV297" s="7">
        <v>0.15970000000000001</v>
      </c>
      <c r="CW297" s="7">
        <v>0.1588</v>
      </c>
      <c r="CX297" s="7">
        <v>0.15790000000000001</v>
      </c>
      <c r="CY297" s="7">
        <v>0.157</v>
      </c>
      <c r="CZ297" s="7">
        <v>0.15609999999999999</v>
      </c>
      <c r="DA297" s="7">
        <v>0.15509999999999999</v>
      </c>
      <c r="DB297" s="7">
        <v>0.1542</v>
      </c>
      <c r="DC297" s="7">
        <v>0.1532</v>
      </c>
      <c r="DD297" s="7">
        <v>0.15229999999999999</v>
      </c>
      <c r="DE297" s="7">
        <v>0.15129999999999999</v>
      </c>
      <c r="DF297" s="7">
        <v>0.15029999999999999</v>
      </c>
      <c r="DG297" s="7">
        <v>0.14929999999999999</v>
      </c>
      <c r="DH297" s="7">
        <v>0.14829999999999999</v>
      </c>
      <c r="DI297" s="7">
        <v>0.14729999999999999</v>
      </c>
      <c r="DJ297" s="7">
        <v>0.14630000000000001</v>
      </c>
      <c r="DK297" s="7">
        <v>0.1452</v>
      </c>
      <c r="DL297" s="7">
        <v>0.14419999999999999</v>
      </c>
      <c r="DM297" s="7">
        <v>0.1431</v>
      </c>
      <c r="DN297" s="7">
        <v>0.14199999999999999</v>
      </c>
      <c r="DO297" s="7">
        <v>0.1409</v>
      </c>
      <c r="DP297" s="7">
        <v>0.13969999999999999</v>
      </c>
      <c r="DQ297" s="7">
        <v>0.1386</v>
      </c>
      <c r="DR297" s="7">
        <v>0.13739999999999999</v>
      </c>
      <c r="DS297" s="7">
        <v>0.13619999999999999</v>
      </c>
      <c r="DT297" s="7">
        <v>0.13500000000000001</v>
      </c>
      <c r="DU297" s="7">
        <v>0.13370000000000001</v>
      </c>
      <c r="DV297" s="7">
        <v>0.13250000000000001</v>
      </c>
      <c r="DW297" s="7">
        <v>0.13120000000000001</v>
      </c>
      <c r="DX297" s="7">
        <v>0.12989999999999999</v>
      </c>
      <c r="DY297" s="7">
        <v>0.1285</v>
      </c>
      <c r="DZ297" s="7">
        <v>0.12720000000000001</v>
      </c>
      <c r="EA297" s="7">
        <v>0.1258</v>
      </c>
      <c r="EB297" s="7">
        <v>0.1244</v>
      </c>
      <c r="EC297" s="7">
        <v>0.123</v>
      </c>
      <c r="ED297" s="7">
        <v>0.1215</v>
      </c>
      <c r="EE297" s="7">
        <v>0.12</v>
      </c>
      <c r="EF297" s="7">
        <v>0.11849999999999999</v>
      </c>
      <c r="EG297" s="7">
        <v>0.11700000000000001</v>
      </c>
      <c r="EH297" s="7">
        <v>0.11550000000000001</v>
      </c>
      <c r="EI297" s="7">
        <v>0.1139</v>
      </c>
      <c r="EJ297" s="7">
        <v>0.1124</v>
      </c>
      <c r="EK297" s="7">
        <v>0.1108</v>
      </c>
      <c r="EL297" s="7">
        <v>0.1091</v>
      </c>
      <c r="EM297" s="7">
        <v>0.1074</v>
      </c>
      <c r="EN297" s="7">
        <v>0.10539999999999999</v>
      </c>
      <c r="EO297" s="7">
        <v>0.1033</v>
      </c>
      <c r="EP297" s="7">
        <v>0.1013</v>
      </c>
      <c r="EQ297" s="7">
        <v>9.9199999999999997E-2</v>
      </c>
      <c r="ER297" s="7">
        <v>9.7199999999999995E-2</v>
      </c>
      <c r="ES297" s="7">
        <v>9.5200000000000007E-2</v>
      </c>
      <c r="ET297" s="7">
        <v>9.3200000000000005E-2</v>
      </c>
      <c r="EU297" s="7">
        <v>9.1200000000000003E-2</v>
      </c>
      <c r="EV297" s="7">
        <v>8.9200000000000002E-2</v>
      </c>
      <c r="EW297" s="7">
        <v>8.72E-2</v>
      </c>
      <c r="EX297" s="7">
        <v>8.5300000000000001E-2</v>
      </c>
      <c r="EY297" s="7">
        <v>8.3299999999999999E-2</v>
      </c>
      <c r="EZ297" s="7">
        <v>8.14E-2</v>
      </c>
      <c r="FA297" s="7">
        <v>7.9500000000000001E-2</v>
      </c>
      <c r="FB297" s="7">
        <v>7.7600000000000002E-2</v>
      </c>
      <c r="FC297" s="7">
        <v>7.5800000000000006E-2</v>
      </c>
      <c r="FE297" s="50">
        <f t="shared" ca="1" si="32"/>
        <v>0.13094031814010401</v>
      </c>
      <c r="FF297" s="50">
        <f t="shared" ca="1" si="33"/>
        <v>0.13176107016981739</v>
      </c>
      <c r="FG297" s="50">
        <f t="shared" ca="1" si="34"/>
        <v>0.13259100671140939</v>
      </c>
      <c r="FH297" s="50">
        <f t="shared" ca="1" si="35"/>
        <v>0.13339637583892616</v>
      </c>
      <c r="FI297" s="50"/>
      <c r="FJ297" s="50"/>
      <c r="FK297" s="50">
        <f t="shared" ca="1" si="31"/>
        <v>0.13176107016981739</v>
      </c>
      <c r="FL297" s="50"/>
      <c r="FM297" s="50"/>
      <c r="FN297" s="50"/>
    </row>
    <row r="298" spans="49:170" hidden="1">
      <c r="AW298" s="112">
        <v>38.018999999999998</v>
      </c>
      <c r="AX298" s="7">
        <v>0.21299999999999999</v>
      </c>
      <c r="AY298" s="7">
        <v>0.21149999999999999</v>
      </c>
      <c r="AZ298" s="7">
        <v>0.21</v>
      </c>
      <c r="BA298" s="7">
        <v>0.20860000000000001</v>
      </c>
      <c r="BB298" s="7">
        <v>0.2072</v>
      </c>
      <c r="BC298" s="7">
        <v>0.20580000000000001</v>
      </c>
      <c r="BD298" s="7">
        <v>0.2044</v>
      </c>
      <c r="BE298" s="7">
        <v>0.2031</v>
      </c>
      <c r="BF298" s="7">
        <v>0.20180000000000001</v>
      </c>
      <c r="BG298" s="7">
        <v>0.20050000000000001</v>
      </c>
      <c r="BH298" s="7">
        <v>0.1993</v>
      </c>
      <c r="BI298" s="7">
        <v>0.19800000000000001</v>
      </c>
      <c r="BJ298" s="7">
        <v>0.1968</v>
      </c>
      <c r="BK298" s="7">
        <v>0.1956</v>
      </c>
      <c r="BL298" s="7">
        <v>0.19439999999999999</v>
      </c>
      <c r="BM298" s="7">
        <v>0.1933</v>
      </c>
      <c r="BN298" s="7">
        <v>0.19209999999999999</v>
      </c>
      <c r="BO298" s="7">
        <v>0.191</v>
      </c>
      <c r="BP298" s="7">
        <v>0.18990000000000001</v>
      </c>
      <c r="BQ298" s="7">
        <v>0.1888</v>
      </c>
      <c r="BR298" s="7">
        <v>0.18779999999999999</v>
      </c>
      <c r="BS298" s="7">
        <v>0.1867</v>
      </c>
      <c r="BT298" s="7">
        <v>0.1857</v>
      </c>
      <c r="BU298" s="7">
        <v>0.18459999999999999</v>
      </c>
      <c r="BV298" s="7">
        <v>0.18360000000000001</v>
      </c>
      <c r="BW298" s="7">
        <v>0.18260000000000001</v>
      </c>
      <c r="BX298" s="7">
        <v>0.18160000000000001</v>
      </c>
      <c r="BY298" s="7">
        <v>0.1807</v>
      </c>
      <c r="BZ298" s="7">
        <v>0.1797</v>
      </c>
      <c r="CA298" s="7">
        <v>0.1787</v>
      </c>
      <c r="CB298" s="7">
        <v>0.17780000000000001</v>
      </c>
      <c r="CC298" s="7">
        <v>0.17680000000000001</v>
      </c>
      <c r="CD298" s="7">
        <v>0.1759</v>
      </c>
      <c r="CE298" s="7">
        <v>0.17499999999999999</v>
      </c>
      <c r="CF298" s="7">
        <v>0.17399999999999999</v>
      </c>
      <c r="CG298" s="7">
        <v>0.1731</v>
      </c>
      <c r="CH298" s="7">
        <v>0.17219999999999999</v>
      </c>
      <c r="CI298" s="7">
        <v>0.17130000000000001</v>
      </c>
      <c r="CJ298" s="7">
        <v>0.1704</v>
      </c>
      <c r="CK298" s="7">
        <v>0.16950000000000001</v>
      </c>
      <c r="CL298" s="7">
        <v>0.1686</v>
      </c>
      <c r="CM298" s="7">
        <v>0.16769999999999999</v>
      </c>
      <c r="CN298" s="7">
        <v>0.16689999999999999</v>
      </c>
      <c r="CO298" s="7">
        <v>0.16600000000000001</v>
      </c>
      <c r="CP298" s="7">
        <v>0.1651</v>
      </c>
      <c r="CQ298" s="7">
        <v>0.16420000000000001</v>
      </c>
      <c r="CR298" s="7">
        <v>0.1633</v>
      </c>
      <c r="CS298" s="7">
        <v>0.16239999999999999</v>
      </c>
      <c r="CT298" s="7">
        <v>0.1615</v>
      </c>
      <c r="CU298" s="7">
        <v>0.16059999999999999</v>
      </c>
      <c r="CV298" s="7">
        <v>0.15970000000000001</v>
      </c>
      <c r="CW298" s="7">
        <v>0.1588</v>
      </c>
      <c r="CX298" s="7">
        <v>0.15790000000000001</v>
      </c>
      <c r="CY298" s="7">
        <v>0.157</v>
      </c>
      <c r="CZ298" s="7">
        <v>0.15609999999999999</v>
      </c>
      <c r="DA298" s="7">
        <v>0.15509999999999999</v>
      </c>
      <c r="DB298" s="7">
        <v>0.1542</v>
      </c>
      <c r="DC298" s="7">
        <v>0.1532</v>
      </c>
      <c r="DD298" s="7">
        <v>0.15229999999999999</v>
      </c>
      <c r="DE298" s="7">
        <v>0.15129999999999999</v>
      </c>
      <c r="DF298" s="7">
        <v>0.15029999999999999</v>
      </c>
      <c r="DG298" s="7">
        <v>0.14929999999999999</v>
      </c>
      <c r="DH298" s="7">
        <v>0.14829999999999999</v>
      </c>
      <c r="DI298" s="7">
        <v>0.14729999999999999</v>
      </c>
      <c r="DJ298" s="7">
        <v>0.14630000000000001</v>
      </c>
      <c r="DK298" s="7">
        <v>0.1452</v>
      </c>
      <c r="DL298" s="7">
        <v>0.14419999999999999</v>
      </c>
      <c r="DM298" s="7">
        <v>0.1431</v>
      </c>
      <c r="DN298" s="7">
        <v>0.14199999999999999</v>
      </c>
      <c r="DO298" s="7">
        <v>0.1409</v>
      </c>
      <c r="DP298" s="7">
        <v>0.13969999999999999</v>
      </c>
      <c r="DQ298" s="7">
        <v>0.1386</v>
      </c>
      <c r="DR298" s="7">
        <v>0.13739999999999999</v>
      </c>
      <c r="DS298" s="7">
        <v>0.13619999999999999</v>
      </c>
      <c r="DT298" s="7">
        <v>0.13500000000000001</v>
      </c>
      <c r="DU298" s="7">
        <v>0.13370000000000001</v>
      </c>
      <c r="DV298" s="7">
        <v>0.13250000000000001</v>
      </c>
      <c r="DW298" s="7">
        <v>0.13120000000000001</v>
      </c>
      <c r="DX298" s="7">
        <v>0.12989999999999999</v>
      </c>
      <c r="DY298" s="7">
        <v>0.1285</v>
      </c>
      <c r="DZ298" s="7">
        <v>0.12720000000000001</v>
      </c>
      <c r="EA298" s="7">
        <v>0.1258</v>
      </c>
      <c r="EB298" s="7">
        <v>0.1244</v>
      </c>
      <c r="EC298" s="7">
        <v>0.123</v>
      </c>
      <c r="ED298" s="7">
        <v>0.1215</v>
      </c>
      <c r="EE298" s="7">
        <v>0.12</v>
      </c>
      <c r="EF298" s="7">
        <v>0.11849999999999999</v>
      </c>
      <c r="EG298" s="7">
        <v>0.11700000000000001</v>
      </c>
      <c r="EH298" s="7">
        <v>0.11550000000000001</v>
      </c>
      <c r="EI298" s="7">
        <v>0.1139</v>
      </c>
      <c r="EJ298" s="7">
        <v>0.1124</v>
      </c>
      <c r="EK298" s="7">
        <v>0.1108</v>
      </c>
      <c r="EL298" s="7">
        <v>0.1091</v>
      </c>
      <c r="EM298" s="7">
        <v>0.1075</v>
      </c>
      <c r="EN298" s="7">
        <v>0.10580000000000001</v>
      </c>
      <c r="EO298" s="7">
        <v>0.1038</v>
      </c>
      <c r="EP298" s="7">
        <v>0.1017</v>
      </c>
      <c r="EQ298" s="7">
        <v>9.9699999999999997E-2</v>
      </c>
      <c r="ER298" s="7">
        <v>9.7600000000000006E-2</v>
      </c>
      <c r="ES298" s="7">
        <v>9.5600000000000004E-2</v>
      </c>
      <c r="ET298" s="7">
        <v>9.3600000000000003E-2</v>
      </c>
      <c r="EU298" s="7">
        <v>9.1600000000000001E-2</v>
      </c>
      <c r="EV298" s="7">
        <v>8.9599999999999999E-2</v>
      </c>
      <c r="EW298" s="7">
        <v>8.7599999999999997E-2</v>
      </c>
      <c r="EX298" s="7">
        <v>8.5699999999999998E-2</v>
      </c>
      <c r="EY298" s="7">
        <v>8.3699999999999997E-2</v>
      </c>
      <c r="EZ298" s="7">
        <v>8.1799999999999998E-2</v>
      </c>
      <c r="FA298" s="7">
        <v>7.9899999999999999E-2</v>
      </c>
      <c r="FB298" s="7">
        <v>7.8E-2</v>
      </c>
      <c r="FC298" s="7">
        <v>7.6200000000000004E-2</v>
      </c>
      <c r="FE298" s="50">
        <f t="shared" ca="1" si="32"/>
        <v>0.13094031814010401</v>
      </c>
      <c r="FF298" s="50">
        <f t="shared" ca="1" si="33"/>
        <v>0.13176107016981739</v>
      </c>
      <c r="FG298" s="50">
        <f t="shared" ca="1" si="34"/>
        <v>0.13259100671140939</v>
      </c>
      <c r="FH298" s="50">
        <f t="shared" ca="1" si="35"/>
        <v>0.13339637583892616</v>
      </c>
      <c r="FI298" s="50"/>
      <c r="FJ298" s="50"/>
      <c r="FK298" s="50">
        <f t="shared" ca="1" si="31"/>
        <v>0.13176107016981739</v>
      </c>
      <c r="FL298" s="50"/>
      <c r="FM298" s="50"/>
      <c r="FN298" s="50"/>
    </row>
    <row r="299" spans="49:170" hidden="1">
      <c r="AW299" s="112">
        <v>40.738</v>
      </c>
      <c r="AX299" s="7">
        <v>0.21299999999999999</v>
      </c>
      <c r="AY299" s="7">
        <v>0.21149999999999999</v>
      </c>
      <c r="AZ299" s="7">
        <v>0.21</v>
      </c>
      <c r="BA299" s="7">
        <v>0.20860000000000001</v>
      </c>
      <c r="BB299" s="7">
        <v>0.2072</v>
      </c>
      <c r="BC299" s="7">
        <v>0.20580000000000001</v>
      </c>
      <c r="BD299" s="7">
        <v>0.2044</v>
      </c>
      <c r="BE299" s="7">
        <v>0.2031</v>
      </c>
      <c r="BF299" s="7">
        <v>0.20180000000000001</v>
      </c>
      <c r="BG299" s="7">
        <v>0.20050000000000001</v>
      </c>
      <c r="BH299" s="7">
        <v>0.1993</v>
      </c>
      <c r="BI299" s="7">
        <v>0.19800000000000001</v>
      </c>
      <c r="BJ299" s="7">
        <v>0.1968</v>
      </c>
      <c r="BK299" s="7">
        <v>0.1956</v>
      </c>
      <c r="BL299" s="7">
        <v>0.19439999999999999</v>
      </c>
      <c r="BM299" s="7">
        <v>0.1933</v>
      </c>
      <c r="BN299" s="7">
        <v>0.19209999999999999</v>
      </c>
      <c r="BO299" s="7">
        <v>0.191</v>
      </c>
      <c r="BP299" s="7">
        <v>0.18990000000000001</v>
      </c>
      <c r="BQ299" s="7">
        <v>0.1888</v>
      </c>
      <c r="BR299" s="7">
        <v>0.18779999999999999</v>
      </c>
      <c r="BS299" s="7">
        <v>0.1867</v>
      </c>
      <c r="BT299" s="7">
        <v>0.1857</v>
      </c>
      <c r="BU299" s="7">
        <v>0.18459999999999999</v>
      </c>
      <c r="BV299" s="7">
        <v>0.18360000000000001</v>
      </c>
      <c r="BW299" s="7">
        <v>0.18260000000000001</v>
      </c>
      <c r="BX299" s="7">
        <v>0.18160000000000001</v>
      </c>
      <c r="BY299" s="7">
        <v>0.1807</v>
      </c>
      <c r="BZ299" s="7">
        <v>0.1797</v>
      </c>
      <c r="CA299" s="7">
        <v>0.1787</v>
      </c>
      <c r="CB299" s="7">
        <v>0.17780000000000001</v>
      </c>
      <c r="CC299" s="7">
        <v>0.17680000000000001</v>
      </c>
      <c r="CD299" s="7">
        <v>0.1759</v>
      </c>
      <c r="CE299" s="7">
        <v>0.17499999999999999</v>
      </c>
      <c r="CF299" s="7">
        <v>0.17399999999999999</v>
      </c>
      <c r="CG299" s="7">
        <v>0.1731</v>
      </c>
      <c r="CH299" s="7">
        <v>0.17219999999999999</v>
      </c>
      <c r="CI299" s="7">
        <v>0.17130000000000001</v>
      </c>
      <c r="CJ299" s="7">
        <v>0.1704</v>
      </c>
      <c r="CK299" s="7">
        <v>0.16950000000000001</v>
      </c>
      <c r="CL299" s="7">
        <v>0.1686</v>
      </c>
      <c r="CM299" s="7">
        <v>0.16769999999999999</v>
      </c>
      <c r="CN299" s="7">
        <v>0.16689999999999999</v>
      </c>
      <c r="CO299" s="7">
        <v>0.16600000000000001</v>
      </c>
      <c r="CP299" s="7">
        <v>0.1651</v>
      </c>
      <c r="CQ299" s="7">
        <v>0.16420000000000001</v>
      </c>
      <c r="CR299" s="7">
        <v>0.1633</v>
      </c>
      <c r="CS299" s="7">
        <v>0.16239999999999999</v>
      </c>
      <c r="CT299" s="7">
        <v>0.1615</v>
      </c>
      <c r="CU299" s="7">
        <v>0.16059999999999999</v>
      </c>
      <c r="CV299" s="7">
        <v>0.15970000000000001</v>
      </c>
      <c r="CW299" s="7">
        <v>0.1588</v>
      </c>
      <c r="CX299" s="7">
        <v>0.15790000000000001</v>
      </c>
      <c r="CY299" s="7">
        <v>0.157</v>
      </c>
      <c r="CZ299" s="7">
        <v>0.15609999999999999</v>
      </c>
      <c r="DA299" s="7">
        <v>0.15509999999999999</v>
      </c>
      <c r="DB299" s="7">
        <v>0.1542</v>
      </c>
      <c r="DC299" s="7">
        <v>0.1532</v>
      </c>
      <c r="DD299" s="7">
        <v>0.15229999999999999</v>
      </c>
      <c r="DE299" s="7">
        <v>0.15129999999999999</v>
      </c>
      <c r="DF299" s="7">
        <v>0.15029999999999999</v>
      </c>
      <c r="DG299" s="7">
        <v>0.14929999999999999</v>
      </c>
      <c r="DH299" s="7">
        <v>0.14829999999999999</v>
      </c>
      <c r="DI299" s="7">
        <v>0.14729999999999999</v>
      </c>
      <c r="DJ299" s="7">
        <v>0.14630000000000001</v>
      </c>
      <c r="DK299" s="7">
        <v>0.1452</v>
      </c>
      <c r="DL299" s="7">
        <v>0.14419999999999999</v>
      </c>
      <c r="DM299" s="7">
        <v>0.1431</v>
      </c>
      <c r="DN299" s="7">
        <v>0.14199999999999999</v>
      </c>
      <c r="DO299" s="7">
        <v>0.1409</v>
      </c>
      <c r="DP299" s="7">
        <v>0.13969999999999999</v>
      </c>
      <c r="DQ299" s="7">
        <v>0.1386</v>
      </c>
      <c r="DR299" s="7">
        <v>0.13739999999999999</v>
      </c>
      <c r="DS299" s="7">
        <v>0.13619999999999999</v>
      </c>
      <c r="DT299" s="7">
        <v>0.13500000000000001</v>
      </c>
      <c r="DU299" s="7">
        <v>0.13370000000000001</v>
      </c>
      <c r="DV299" s="7">
        <v>0.13250000000000001</v>
      </c>
      <c r="DW299" s="7">
        <v>0.13120000000000001</v>
      </c>
      <c r="DX299" s="7">
        <v>0.12989999999999999</v>
      </c>
      <c r="DY299" s="7">
        <v>0.1285</v>
      </c>
      <c r="DZ299" s="7">
        <v>0.12720000000000001</v>
      </c>
      <c r="EA299" s="7">
        <v>0.1258</v>
      </c>
      <c r="EB299" s="7">
        <v>0.1244</v>
      </c>
      <c r="EC299" s="7">
        <v>0.123</v>
      </c>
      <c r="ED299" s="7">
        <v>0.1215</v>
      </c>
      <c r="EE299" s="7">
        <v>0.12</v>
      </c>
      <c r="EF299" s="7">
        <v>0.11849999999999999</v>
      </c>
      <c r="EG299" s="7">
        <v>0.11700000000000001</v>
      </c>
      <c r="EH299" s="7">
        <v>0.11550000000000001</v>
      </c>
      <c r="EI299" s="7">
        <v>0.1139</v>
      </c>
      <c r="EJ299" s="7">
        <v>0.1124</v>
      </c>
      <c r="EK299" s="7">
        <v>0.1108</v>
      </c>
      <c r="EL299" s="7">
        <v>0.1091</v>
      </c>
      <c r="EM299" s="7">
        <v>0.1075</v>
      </c>
      <c r="EN299" s="7">
        <v>0.10589999999999999</v>
      </c>
      <c r="EO299" s="7">
        <v>0.1042</v>
      </c>
      <c r="EP299" s="7">
        <v>0.1021</v>
      </c>
      <c r="EQ299" s="7">
        <v>0.10009999999999999</v>
      </c>
      <c r="ER299" s="7">
        <v>9.8000000000000004E-2</v>
      </c>
      <c r="ES299" s="7">
        <v>9.6000000000000002E-2</v>
      </c>
      <c r="ET299" s="7">
        <v>9.4E-2</v>
      </c>
      <c r="EU299" s="7">
        <v>9.1999999999999998E-2</v>
      </c>
      <c r="EV299" s="7">
        <v>0.09</v>
      </c>
      <c r="EW299" s="7">
        <v>8.7999999999999995E-2</v>
      </c>
      <c r="EX299" s="7">
        <v>8.6099999999999996E-2</v>
      </c>
      <c r="EY299" s="7">
        <v>8.4099999999999994E-2</v>
      </c>
      <c r="EZ299" s="7">
        <v>8.2199999999999995E-2</v>
      </c>
      <c r="FA299" s="7">
        <v>8.0299999999999996E-2</v>
      </c>
      <c r="FB299" s="7">
        <v>7.8399999999999997E-2</v>
      </c>
      <c r="FC299" s="7">
        <v>7.6600000000000001E-2</v>
      </c>
      <c r="FE299" s="50">
        <f t="shared" ca="1" si="32"/>
        <v>0.13094031814010401</v>
      </c>
      <c r="FF299" s="50">
        <f t="shared" ca="1" si="33"/>
        <v>0.13176107016981739</v>
      </c>
      <c r="FG299" s="50">
        <f t="shared" ca="1" si="34"/>
        <v>0.13259100671140939</v>
      </c>
      <c r="FH299" s="50">
        <f t="shared" ca="1" si="35"/>
        <v>0.13339637583892616</v>
      </c>
      <c r="FI299" s="50"/>
      <c r="FJ299" s="50"/>
      <c r="FK299" s="50">
        <f t="shared" ca="1" si="31"/>
        <v>0.13176107016981739</v>
      </c>
      <c r="FL299" s="50"/>
      <c r="FM299" s="50"/>
      <c r="FN299" s="50"/>
    </row>
    <row r="300" spans="49:170" hidden="1">
      <c r="AW300" s="112">
        <v>43.652000000000001</v>
      </c>
      <c r="AX300" s="7">
        <v>0.21299999999999999</v>
      </c>
      <c r="AY300" s="7">
        <v>0.21149999999999999</v>
      </c>
      <c r="AZ300" s="7">
        <v>0.21</v>
      </c>
      <c r="BA300" s="7">
        <v>0.20860000000000001</v>
      </c>
      <c r="BB300" s="7">
        <v>0.2072</v>
      </c>
      <c r="BC300" s="7">
        <v>0.20580000000000001</v>
      </c>
      <c r="BD300" s="7">
        <v>0.2044</v>
      </c>
      <c r="BE300" s="7">
        <v>0.2031</v>
      </c>
      <c r="BF300" s="7">
        <v>0.20180000000000001</v>
      </c>
      <c r="BG300" s="7">
        <v>0.20050000000000001</v>
      </c>
      <c r="BH300" s="7">
        <v>0.1993</v>
      </c>
      <c r="BI300" s="7">
        <v>0.19800000000000001</v>
      </c>
      <c r="BJ300" s="7">
        <v>0.1968</v>
      </c>
      <c r="BK300" s="7">
        <v>0.1956</v>
      </c>
      <c r="BL300" s="7">
        <v>0.19439999999999999</v>
      </c>
      <c r="BM300" s="7">
        <v>0.1933</v>
      </c>
      <c r="BN300" s="7">
        <v>0.19209999999999999</v>
      </c>
      <c r="BO300" s="7">
        <v>0.191</v>
      </c>
      <c r="BP300" s="7">
        <v>0.18990000000000001</v>
      </c>
      <c r="BQ300" s="7">
        <v>0.1888</v>
      </c>
      <c r="BR300" s="7">
        <v>0.18779999999999999</v>
      </c>
      <c r="BS300" s="7">
        <v>0.1867</v>
      </c>
      <c r="BT300" s="7">
        <v>0.1857</v>
      </c>
      <c r="BU300" s="7">
        <v>0.18459999999999999</v>
      </c>
      <c r="BV300" s="7">
        <v>0.18360000000000001</v>
      </c>
      <c r="BW300" s="7">
        <v>0.18260000000000001</v>
      </c>
      <c r="BX300" s="7">
        <v>0.18160000000000001</v>
      </c>
      <c r="BY300" s="7">
        <v>0.1807</v>
      </c>
      <c r="BZ300" s="7">
        <v>0.1797</v>
      </c>
      <c r="CA300" s="7">
        <v>0.1787</v>
      </c>
      <c r="CB300" s="7">
        <v>0.17780000000000001</v>
      </c>
      <c r="CC300" s="7">
        <v>0.17680000000000001</v>
      </c>
      <c r="CD300" s="7">
        <v>0.1759</v>
      </c>
      <c r="CE300" s="7">
        <v>0.17499999999999999</v>
      </c>
      <c r="CF300" s="7">
        <v>0.17399999999999999</v>
      </c>
      <c r="CG300" s="7">
        <v>0.1731</v>
      </c>
      <c r="CH300" s="7">
        <v>0.17219999999999999</v>
      </c>
      <c r="CI300" s="7">
        <v>0.17130000000000001</v>
      </c>
      <c r="CJ300" s="7">
        <v>0.1704</v>
      </c>
      <c r="CK300" s="7">
        <v>0.16950000000000001</v>
      </c>
      <c r="CL300" s="7">
        <v>0.1686</v>
      </c>
      <c r="CM300" s="7">
        <v>0.16769999999999999</v>
      </c>
      <c r="CN300" s="7">
        <v>0.16689999999999999</v>
      </c>
      <c r="CO300" s="7">
        <v>0.16600000000000001</v>
      </c>
      <c r="CP300" s="7">
        <v>0.1651</v>
      </c>
      <c r="CQ300" s="7">
        <v>0.16420000000000001</v>
      </c>
      <c r="CR300" s="7">
        <v>0.1633</v>
      </c>
      <c r="CS300" s="7">
        <v>0.16239999999999999</v>
      </c>
      <c r="CT300" s="7">
        <v>0.1615</v>
      </c>
      <c r="CU300" s="7">
        <v>0.16059999999999999</v>
      </c>
      <c r="CV300" s="7">
        <v>0.15970000000000001</v>
      </c>
      <c r="CW300" s="7">
        <v>0.1588</v>
      </c>
      <c r="CX300" s="7">
        <v>0.15790000000000001</v>
      </c>
      <c r="CY300" s="7">
        <v>0.157</v>
      </c>
      <c r="CZ300" s="7">
        <v>0.15609999999999999</v>
      </c>
      <c r="DA300" s="7">
        <v>0.15509999999999999</v>
      </c>
      <c r="DB300" s="7">
        <v>0.1542</v>
      </c>
      <c r="DC300" s="7">
        <v>0.1532</v>
      </c>
      <c r="DD300" s="7">
        <v>0.15229999999999999</v>
      </c>
      <c r="DE300" s="7">
        <v>0.15129999999999999</v>
      </c>
      <c r="DF300" s="7">
        <v>0.15029999999999999</v>
      </c>
      <c r="DG300" s="7">
        <v>0.14929999999999999</v>
      </c>
      <c r="DH300" s="7">
        <v>0.14829999999999999</v>
      </c>
      <c r="DI300" s="7">
        <v>0.14729999999999999</v>
      </c>
      <c r="DJ300" s="7">
        <v>0.14630000000000001</v>
      </c>
      <c r="DK300" s="7">
        <v>0.1452</v>
      </c>
      <c r="DL300" s="7">
        <v>0.14419999999999999</v>
      </c>
      <c r="DM300" s="7">
        <v>0.1431</v>
      </c>
      <c r="DN300" s="7">
        <v>0.14199999999999999</v>
      </c>
      <c r="DO300" s="7">
        <v>0.1409</v>
      </c>
      <c r="DP300" s="7">
        <v>0.13969999999999999</v>
      </c>
      <c r="DQ300" s="7">
        <v>0.1386</v>
      </c>
      <c r="DR300" s="7">
        <v>0.13739999999999999</v>
      </c>
      <c r="DS300" s="7">
        <v>0.13619999999999999</v>
      </c>
      <c r="DT300" s="7">
        <v>0.13500000000000001</v>
      </c>
      <c r="DU300" s="7">
        <v>0.13370000000000001</v>
      </c>
      <c r="DV300" s="7">
        <v>0.13250000000000001</v>
      </c>
      <c r="DW300" s="7">
        <v>0.13120000000000001</v>
      </c>
      <c r="DX300" s="7">
        <v>0.12989999999999999</v>
      </c>
      <c r="DY300" s="7">
        <v>0.1285</v>
      </c>
      <c r="DZ300" s="7">
        <v>0.12720000000000001</v>
      </c>
      <c r="EA300" s="7">
        <v>0.1258</v>
      </c>
      <c r="EB300" s="7">
        <v>0.1244</v>
      </c>
      <c r="EC300" s="7">
        <v>0.123</v>
      </c>
      <c r="ED300" s="7">
        <v>0.1215</v>
      </c>
      <c r="EE300" s="7">
        <v>0.12</v>
      </c>
      <c r="EF300" s="7">
        <v>0.11849999999999999</v>
      </c>
      <c r="EG300" s="7">
        <v>0.11700000000000001</v>
      </c>
      <c r="EH300" s="7">
        <v>0.11550000000000001</v>
      </c>
      <c r="EI300" s="7">
        <v>0.1139</v>
      </c>
      <c r="EJ300" s="7">
        <v>0.1124</v>
      </c>
      <c r="EK300" s="7">
        <v>0.1108</v>
      </c>
      <c r="EL300" s="7">
        <v>0.1091</v>
      </c>
      <c r="EM300" s="7">
        <v>0.1075</v>
      </c>
      <c r="EN300" s="7">
        <v>0.10589999999999999</v>
      </c>
      <c r="EO300" s="7">
        <v>0.1042</v>
      </c>
      <c r="EP300" s="7">
        <v>0.10249999999999999</v>
      </c>
      <c r="EQ300" s="7">
        <v>0.10050000000000001</v>
      </c>
      <c r="ER300" s="7">
        <v>9.8500000000000004E-2</v>
      </c>
      <c r="ES300" s="7">
        <v>9.64E-2</v>
      </c>
      <c r="ET300" s="7">
        <v>9.4399999999999998E-2</v>
      </c>
      <c r="EU300" s="7">
        <v>9.2399999999999996E-2</v>
      </c>
      <c r="EV300" s="7">
        <v>9.0399999999999994E-2</v>
      </c>
      <c r="EW300" s="7">
        <v>8.8400000000000006E-2</v>
      </c>
      <c r="EX300" s="7">
        <v>8.6499999999999994E-2</v>
      </c>
      <c r="EY300" s="7">
        <v>8.4500000000000006E-2</v>
      </c>
      <c r="EZ300" s="7">
        <v>8.2600000000000007E-2</v>
      </c>
      <c r="FA300" s="7">
        <v>8.0699999999999994E-2</v>
      </c>
      <c r="FB300" s="7">
        <v>7.8799999999999995E-2</v>
      </c>
      <c r="FC300" s="7">
        <v>7.6999999999999999E-2</v>
      </c>
      <c r="FE300" s="50">
        <f t="shared" ca="1" si="32"/>
        <v>0.13094031814010401</v>
      </c>
      <c r="FF300" s="50">
        <f t="shared" ca="1" si="33"/>
        <v>0.13176107016981739</v>
      </c>
      <c r="FG300" s="50">
        <f t="shared" ca="1" si="34"/>
        <v>0.13259100671140939</v>
      </c>
      <c r="FH300" s="50">
        <f t="shared" ca="1" si="35"/>
        <v>0.13339637583892616</v>
      </c>
      <c r="FI300" s="50"/>
      <c r="FJ300" s="50"/>
      <c r="FK300" s="50">
        <f t="shared" ca="1" si="31"/>
        <v>0.13176107016981739</v>
      </c>
      <c r="FL300" s="50"/>
      <c r="FM300" s="50"/>
      <c r="FN300" s="50"/>
    </row>
    <row r="301" spans="49:170" hidden="1">
      <c r="AW301" s="112">
        <v>46.774000000000001</v>
      </c>
      <c r="AX301" s="7">
        <v>0.21299999999999999</v>
      </c>
      <c r="AY301" s="7">
        <v>0.21149999999999999</v>
      </c>
      <c r="AZ301" s="7">
        <v>0.21</v>
      </c>
      <c r="BA301" s="7">
        <v>0.20860000000000001</v>
      </c>
      <c r="BB301" s="7">
        <v>0.2072</v>
      </c>
      <c r="BC301" s="7">
        <v>0.20580000000000001</v>
      </c>
      <c r="BD301" s="7">
        <v>0.2044</v>
      </c>
      <c r="BE301" s="7">
        <v>0.2031</v>
      </c>
      <c r="BF301" s="7">
        <v>0.20180000000000001</v>
      </c>
      <c r="BG301" s="7">
        <v>0.20050000000000001</v>
      </c>
      <c r="BH301" s="7">
        <v>0.1993</v>
      </c>
      <c r="BI301" s="7">
        <v>0.19800000000000001</v>
      </c>
      <c r="BJ301" s="7">
        <v>0.1968</v>
      </c>
      <c r="BK301" s="7">
        <v>0.1956</v>
      </c>
      <c r="BL301" s="7">
        <v>0.19439999999999999</v>
      </c>
      <c r="BM301" s="7">
        <v>0.1933</v>
      </c>
      <c r="BN301" s="7">
        <v>0.19209999999999999</v>
      </c>
      <c r="BO301" s="7">
        <v>0.191</v>
      </c>
      <c r="BP301" s="7">
        <v>0.18990000000000001</v>
      </c>
      <c r="BQ301" s="7">
        <v>0.1888</v>
      </c>
      <c r="BR301" s="7">
        <v>0.18779999999999999</v>
      </c>
      <c r="BS301" s="7">
        <v>0.1867</v>
      </c>
      <c r="BT301" s="7">
        <v>0.1857</v>
      </c>
      <c r="BU301" s="7">
        <v>0.18459999999999999</v>
      </c>
      <c r="BV301" s="7">
        <v>0.18360000000000001</v>
      </c>
      <c r="BW301" s="7">
        <v>0.18260000000000001</v>
      </c>
      <c r="BX301" s="7">
        <v>0.18160000000000001</v>
      </c>
      <c r="BY301" s="7">
        <v>0.1807</v>
      </c>
      <c r="BZ301" s="7">
        <v>0.1797</v>
      </c>
      <c r="CA301" s="7">
        <v>0.1787</v>
      </c>
      <c r="CB301" s="7">
        <v>0.17780000000000001</v>
      </c>
      <c r="CC301" s="7">
        <v>0.17680000000000001</v>
      </c>
      <c r="CD301" s="7">
        <v>0.1759</v>
      </c>
      <c r="CE301" s="7">
        <v>0.17499999999999999</v>
      </c>
      <c r="CF301" s="7">
        <v>0.17399999999999999</v>
      </c>
      <c r="CG301" s="7">
        <v>0.1731</v>
      </c>
      <c r="CH301" s="7">
        <v>0.17219999999999999</v>
      </c>
      <c r="CI301" s="7">
        <v>0.17130000000000001</v>
      </c>
      <c r="CJ301" s="7">
        <v>0.1704</v>
      </c>
      <c r="CK301" s="7">
        <v>0.16950000000000001</v>
      </c>
      <c r="CL301" s="7">
        <v>0.1686</v>
      </c>
      <c r="CM301" s="7">
        <v>0.16769999999999999</v>
      </c>
      <c r="CN301" s="7">
        <v>0.16689999999999999</v>
      </c>
      <c r="CO301" s="7">
        <v>0.16600000000000001</v>
      </c>
      <c r="CP301" s="7">
        <v>0.1651</v>
      </c>
      <c r="CQ301" s="7">
        <v>0.16420000000000001</v>
      </c>
      <c r="CR301" s="7">
        <v>0.1633</v>
      </c>
      <c r="CS301" s="7">
        <v>0.16239999999999999</v>
      </c>
      <c r="CT301" s="7">
        <v>0.1615</v>
      </c>
      <c r="CU301" s="7">
        <v>0.16059999999999999</v>
      </c>
      <c r="CV301" s="7">
        <v>0.15970000000000001</v>
      </c>
      <c r="CW301" s="7">
        <v>0.1588</v>
      </c>
      <c r="CX301" s="7">
        <v>0.15790000000000001</v>
      </c>
      <c r="CY301" s="7">
        <v>0.157</v>
      </c>
      <c r="CZ301" s="7">
        <v>0.15609999999999999</v>
      </c>
      <c r="DA301" s="7">
        <v>0.15509999999999999</v>
      </c>
      <c r="DB301" s="7">
        <v>0.1542</v>
      </c>
      <c r="DC301" s="7">
        <v>0.1532</v>
      </c>
      <c r="DD301" s="7">
        <v>0.15229999999999999</v>
      </c>
      <c r="DE301" s="7">
        <v>0.15129999999999999</v>
      </c>
      <c r="DF301" s="7">
        <v>0.15029999999999999</v>
      </c>
      <c r="DG301" s="7">
        <v>0.14929999999999999</v>
      </c>
      <c r="DH301" s="7">
        <v>0.14829999999999999</v>
      </c>
      <c r="DI301" s="7">
        <v>0.14729999999999999</v>
      </c>
      <c r="DJ301" s="7">
        <v>0.14630000000000001</v>
      </c>
      <c r="DK301" s="7">
        <v>0.1452</v>
      </c>
      <c r="DL301" s="7">
        <v>0.14419999999999999</v>
      </c>
      <c r="DM301" s="7">
        <v>0.1431</v>
      </c>
      <c r="DN301" s="7">
        <v>0.14199999999999999</v>
      </c>
      <c r="DO301" s="7">
        <v>0.1409</v>
      </c>
      <c r="DP301" s="7">
        <v>0.13969999999999999</v>
      </c>
      <c r="DQ301" s="7">
        <v>0.1386</v>
      </c>
      <c r="DR301" s="7">
        <v>0.13739999999999999</v>
      </c>
      <c r="DS301" s="7">
        <v>0.13619999999999999</v>
      </c>
      <c r="DT301" s="7">
        <v>0.13500000000000001</v>
      </c>
      <c r="DU301" s="7">
        <v>0.13370000000000001</v>
      </c>
      <c r="DV301" s="7">
        <v>0.13250000000000001</v>
      </c>
      <c r="DW301" s="7">
        <v>0.13120000000000001</v>
      </c>
      <c r="DX301" s="7">
        <v>0.12989999999999999</v>
      </c>
      <c r="DY301" s="7">
        <v>0.1285</v>
      </c>
      <c r="DZ301" s="7">
        <v>0.12720000000000001</v>
      </c>
      <c r="EA301" s="7">
        <v>0.1258</v>
      </c>
      <c r="EB301" s="7">
        <v>0.1244</v>
      </c>
      <c r="EC301" s="7">
        <v>0.123</v>
      </c>
      <c r="ED301" s="7">
        <v>0.1215</v>
      </c>
      <c r="EE301" s="7">
        <v>0.12</v>
      </c>
      <c r="EF301" s="7">
        <v>0.11849999999999999</v>
      </c>
      <c r="EG301" s="7">
        <v>0.11700000000000001</v>
      </c>
      <c r="EH301" s="7">
        <v>0.11550000000000001</v>
      </c>
      <c r="EI301" s="7">
        <v>0.1139</v>
      </c>
      <c r="EJ301" s="7">
        <v>0.1124</v>
      </c>
      <c r="EK301" s="7">
        <v>0.1108</v>
      </c>
      <c r="EL301" s="7">
        <v>0.1091</v>
      </c>
      <c r="EM301" s="7">
        <v>0.1075</v>
      </c>
      <c r="EN301" s="7">
        <v>0.10589999999999999</v>
      </c>
      <c r="EO301" s="7">
        <v>0.1042</v>
      </c>
      <c r="EP301" s="7">
        <v>0.10249999999999999</v>
      </c>
      <c r="EQ301" s="7">
        <v>0.1008</v>
      </c>
      <c r="ER301" s="7">
        <v>9.8900000000000002E-2</v>
      </c>
      <c r="ES301" s="7">
        <v>9.6799999999999997E-2</v>
      </c>
      <c r="ET301" s="7">
        <v>9.4799999999999995E-2</v>
      </c>
      <c r="EU301" s="7">
        <v>9.2799999999999994E-2</v>
      </c>
      <c r="EV301" s="7">
        <v>9.0800000000000006E-2</v>
      </c>
      <c r="EW301" s="7">
        <v>8.8800000000000004E-2</v>
      </c>
      <c r="EX301" s="7">
        <v>8.6900000000000005E-2</v>
      </c>
      <c r="EY301" s="7">
        <v>8.4900000000000003E-2</v>
      </c>
      <c r="EZ301" s="7">
        <v>8.3000000000000004E-2</v>
      </c>
      <c r="FA301" s="7">
        <v>8.1100000000000005E-2</v>
      </c>
      <c r="FB301" s="7">
        <v>7.9200000000000007E-2</v>
      </c>
      <c r="FC301" s="7">
        <v>7.7299999999999994E-2</v>
      </c>
      <c r="FE301" s="50">
        <f t="shared" ca="1" si="32"/>
        <v>0.13094031814010401</v>
      </c>
      <c r="FF301" s="50">
        <f t="shared" ca="1" si="33"/>
        <v>0.13176107016981739</v>
      </c>
      <c r="FG301" s="50">
        <f t="shared" ca="1" si="34"/>
        <v>0.13259100671140939</v>
      </c>
      <c r="FH301" s="50">
        <f t="shared" ca="1" si="35"/>
        <v>0.13339637583892616</v>
      </c>
      <c r="FI301" s="50"/>
      <c r="FJ301" s="50"/>
      <c r="FK301" s="50">
        <f t="shared" ca="1" si="31"/>
        <v>0.13176107016981739</v>
      </c>
      <c r="FL301" s="50"/>
      <c r="FM301" s="50"/>
      <c r="FN301" s="50"/>
    </row>
    <row r="302" spans="49:170" hidden="1">
      <c r="AW302" s="112">
        <v>50.119</v>
      </c>
      <c r="AX302" s="7">
        <v>0.21299999999999999</v>
      </c>
      <c r="AY302" s="7">
        <v>0.21149999999999999</v>
      </c>
      <c r="AZ302" s="7">
        <v>0.21</v>
      </c>
      <c r="BA302" s="7">
        <v>0.20860000000000001</v>
      </c>
      <c r="BB302" s="7">
        <v>0.2072</v>
      </c>
      <c r="BC302" s="7">
        <v>0.20580000000000001</v>
      </c>
      <c r="BD302" s="7">
        <v>0.2044</v>
      </c>
      <c r="BE302" s="7">
        <v>0.2031</v>
      </c>
      <c r="BF302" s="7">
        <v>0.20180000000000001</v>
      </c>
      <c r="BG302" s="7">
        <v>0.20050000000000001</v>
      </c>
      <c r="BH302" s="7">
        <v>0.1993</v>
      </c>
      <c r="BI302" s="7">
        <v>0.19800000000000001</v>
      </c>
      <c r="BJ302" s="7">
        <v>0.1968</v>
      </c>
      <c r="BK302" s="7">
        <v>0.1956</v>
      </c>
      <c r="BL302" s="7">
        <v>0.19439999999999999</v>
      </c>
      <c r="BM302" s="7">
        <v>0.1933</v>
      </c>
      <c r="BN302" s="7">
        <v>0.19209999999999999</v>
      </c>
      <c r="BO302" s="7">
        <v>0.191</v>
      </c>
      <c r="BP302" s="7">
        <v>0.18990000000000001</v>
      </c>
      <c r="BQ302" s="7">
        <v>0.1888</v>
      </c>
      <c r="BR302" s="7">
        <v>0.18779999999999999</v>
      </c>
      <c r="BS302" s="7">
        <v>0.1867</v>
      </c>
      <c r="BT302" s="7">
        <v>0.1857</v>
      </c>
      <c r="BU302" s="7">
        <v>0.18459999999999999</v>
      </c>
      <c r="BV302" s="7">
        <v>0.18360000000000001</v>
      </c>
      <c r="BW302" s="7">
        <v>0.18260000000000001</v>
      </c>
      <c r="BX302" s="7">
        <v>0.18160000000000001</v>
      </c>
      <c r="BY302" s="7">
        <v>0.1807</v>
      </c>
      <c r="BZ302" s="7">
        <v>0.1797</v>
      </c>
      <c r="CA302" s="7">
        <v>0.1787</v>
      </c>
      <c r="CB302" s="7">
        <v>0.17780000000000001</v>
      </c>
      <c r="CC302" s="7">
        <v>0.17680000000000001</v>
      </c>
      <c r="CD302" s="7">
        <v>0.1759</v>
      </c>
      <c r="CE302" s="7">
        <v>0.17499999999999999</v>
      </c>
      <c r="CF302" s="7">
        <v>0.17399999999999999</v>
      </c>
      <c r="CG302" s="7">
        <v>0.1731</v>
      </c>
      <c r="CH302" s="7">
        <v>0.17219999999999999</v>
      </c>
      <c r="CI302" s="7">
        <v>0.17130000000000001</v>
      </c>
      <c r="CJ302" s="7">
        <v>0.1704</v>
      </c>
      <c r="CK302" s="7">
        <v>0.16950000000000001</v>
      </c>
      <c r="CL302" s="7">
        <v>0.1686</v>
      </c>
      <c r="CM302" s="7">
        <v>0.16769999999999999</v>
      </c>
      <c r="CN302" s="7">
        <v>0.16689999999999999</v>
      </c>
      <c r="CO302" s="7">
        <v>0.16600000000000001</v>
      </c>
      <c r="CP302" s="7">
        <v>0.1651</v>
      </c>
      <c r="CQ302" s="7">
        <v>0.16420000000000001</v>
      </c>
      <c r="CR302" s="7">
        <v>0.1633</v>
      </c>
      <c r="CS302" s="7">
        <v>0.16239999999999999</v>
      </c>
      <c r="CT302" s="7">
        <v>0.1615</v>
      </c>
      <c r="CU302" s="7">
        <v>0.16059999999999999</v>
      </c>
      <c r="CV302" s="7">
        <v>0.15970000000000001</v>
      </c>
      <c r="CW302" s="7">
        <v>0.1588</v>
      </c>
      <c r="CX302" s="7">
        <v>0.15790000000000001</v>
      </c>
      <c r="CY302" s="7">
        <v>0.157</v>
      </c>
      <c r="CZ302" s="7">
        <v>0.15609999999999999</v>
      </c>
      <c r="DA302" s="7">
        <v>0.15509999999999999</v>
      </c>
      <c r="DB302" s="7">
        <v>0.1542</v>
      </c>
      <c r="DC302" s="7">
        <v>0.1532</v>
      </c>
      <c r="DD302" s="7">
        <v>0.15229999999999999</v>
      </c>
      <c r="DE302" s="7">
        <v>0.15129999999999999</v>
      </c>
      <c r="DF302" s="7">
        <v>0.15029999999999999</v>
      </c>
      <c r="DG302" s="7">
        <v>0.14929999999999999</v>
      </c>
      <c r="DH302" s="7">
        <v>0.14829999999999999</v>
      </c>
      <c r="DI302" s="7">
        <v>0.14729999999999999</v>
      </c>
      <c r="DJ302" s="7">
        <v>0.14630000000000001</v>
      </c>
      <c r="DK302" s="7">
        <v>0.1452</v>
      </c>
      <c r="DL302" s="7">
        <v>0.14419999999999999</v>
      </c>
      <c r="DM302" s="7">
        <v>0.1431</v>
      </c>
      <c r="DN302" s="7">
        <v>0.14199999999999999</v>
      </c>
      <c r="DO302" s="7">
        <v>0.1409</v>
      </c>
      <c r="DP302" s="7">
        <v>0.13969999999999999</v>
      </c>
      <c r="DQ302" s="7">
        <v>0.1386</v>
      </c>
      <c r="DR302" s="7">
        <v>0.13739999999999999</v>
      </c>
      <c r="DS302" s="7">
        <v>0.13619999999999999</v>
      </c>
      <c r="DT302" s="7">
        <v>0.13500000000000001</v>
      </c>
      <c r="DU302" s="7">
        <v>0.13370000000000001</v>
      </c>
      <c r="DV302" s="7">
        <v>0.13250000000000001</v>
      </c>
      <c r="DW302" s="7">
        <v>0.13120000000000001</v>
      </c>
      <c r="DX302" s="7">
        <v>0.12989999999999999</v>
      </c>
      <c r="DY302" s="7">
        <v>0.1285</v>
      </c>
      <c r="DZ302" s="7">
        <v>0.12720000000000001</v>
      </c>
      <c r="EA302" s="7">
        <v>0.1258</v>
      </c>
      <c r="EB302" s="7">
        <v>0.1244</v>
      </c>
      <c r="EC302" s="7">
        <v>0.123</v>
      </c>
      <c r="ED302" s="7">
        <v>0.1215</v>
      </c>
      <c r="EE302" s="7">
        <v>0.12</v>
      </c>
      <c r="EF302" s="7">
        <v>0.11849999999999999</v>
      </c>
      <c r="EG302" s="7">
        <v>0.11700000000000001</v>
      </c>
      <c r="EH302" s="7">
        <v>0.11550000000000001</v>
      </c>
      <c r="EI302" s="7">
        <v>0.1139</v>
      </c>
      <c r="EJ302" s="7">
        <v>0.1124</v>
      </c>
      <c r="EK302" s="7">
        <v>0.1108</v>
      </c>
      <c r="EL302" s="7">
        <v>0.1091</v>
      </c>
      <c r="EM302" s="7">
        <v>0.1075</v>
      </c>
      <c r="EN302" s="7">
        <v>0.10589999999999999</v>
      </c>
      <c r="EO302" s="7">
        <v>0.1042</v>
      </c>
      <c r="EP302" s="7">
        <v>0.10249999999999999</v>
      </c>
      <c r="EQ302" s="7">
        <v>0.1008</v>
      </c>
      <c r="ER302" s="7">
        <v>9.9099999999999994E-2</v>
      </c>
      <c r="ES302" s="7">
        <v>9.7199999999999995E-2</v>
      </c>
      <c r="ET302" s="7">
        <v>9.5200000000000007E-2</v>
      </c>
      <c r="EU302" s="7">
        <v>9.3200000000000005E-2</v>
      </c>
      <c r="EV302" s="7">
        <v>9.1200000000000003E-2</v>
      </c>
      <c r="EW302" s="7">
        <v>8.9200000000000002E-2</v>
      </c>
      <c r="EX302" s="7">
        <v>8.7300000000000003E-2</v>
      </c>
      <c r="EY302" s="7">
        <v>8.5300000000000001E-2</v>
      </c>
      <c r="EZ302" s="7">
        <v>8.3400000000000002E-2</v>
      </c>
      <c r="FA302" s="7">
        <v>8.1500000000000003E-2</v>
      </c>
      <c r="FB302" s="7">
        <v>7.9600000000000004E-2</v>
      </c>
      <c r="FC302" s="7">
        <v>7.7700000000000005E-2</v>
      </c>
      <c r="FE302" s="50">
        <f t="shared" ca="1" si="32"/>
        <v>0.13094031814010401</v>
      </c>
      <c r="FF302" s="50">
        <f t="shared" ca="1" si="33"/>
        <v>0.13176107016981739</v>
      </c>
      <c r="FG302" s="50">
        <f t="shared" ca="1" si="34"/>
        <v>0.13259100671140939</v>
      </c>
      <c r="FH302" s="50">
        <f t="shared" ca="1" si="35"/>
        <v>0.13339637583892616</v>
      </c>
      <c r="FI302" s="50"/>
      <c r="FJ302" s="50"/>
      <c r="FK302" s="50">
        <f t="shared" ca="1" si="31"/>
        <v>0.13176107016981739</v>
      </c>
      <c r="FL302" s="50"/>
      <c r="FM302" s="50"/>
      <c r="FN302" s="50"/>
    </row>
    <row r="303" spans="49:170" hidden="1">
      <c r="AW303" s="112">
        <v>53.703000000000003</v>
      </c>
      <c r="AX303" s="7">
        <v>0.21299999999999999</v>
      </c>
      <c r="AY303" s="7">
        <v>0.21149999999999999</v>
      </c>
      <c r="AZ303" s="7">
        <v>0.21</v>
      </c>
      <c r="BA303" s="7">
        <v>0.20860000000000001</v>
      </c>
      <c r="BB303" s="7">
        <v>0.2072</v>
      </c>
      <c r="BC303" s="7">
        <v>0.20580000000000001</v>
      </c>
      <c r="BD303" s="7">
        <v>0.2044</v>
      </c>
      <c r="BE303" s="7">
        <v>0.2031</v>
      </c>
      <c r="BF303" s="7">
        <v>0.20180000000000001</v>
      </c>
      <c r="BG303" s="7">
        <v>0.20050000000000001</v>
      </c>
      <c r="BH303" s="7">
        <v>0.1993</v>
      </c>
      <c r="BI303" s="7">
        <v>0.19800000000000001</v>
      </c>
      <c r="BJ303" s="7">
        <v>0.1968</v>
      </c>
      <c r="BK303" s="7">
        <v>0.1956</v>
      </c>
      <c r="BL303" s="7">
        <v>0.19439999999999999</v>
      </c>
      <c r="BM303" s="7">
        <v>0.1933</v>
      </c>
      <c r="BN303" s="7">
        <v>0.19209999999999999</v>
      </c>
      <c r="BO303" s="7">
        <v>0.191</v>
      </c>
      <c r="BP303" s="7">
        <v>0.18990000000000001</v>
      </c>
      <c r="BQ303" s="7">
        <v>0.1888</v>
      </c>
      <c r="BR303" s="7">
        <v>0.18779999999999999</v>
      </c>
      <c r="BS303" s="7">
        <v>0.1867</v>
      </c>
      <c r="BT303" s="7">
        <v>0.1857</v>
      </c>
      <c r="BU303" s="7">
        <v>0.18459999999999999</v>
      </c>
      <c r="BV303" s="7">
        <v>0.18360000000000001</v>
      </c>
      <c r="BW303" s="7">
        <v>0.18260000000000001</v>
      </c>
      <c r="BX303" s="7">
        <v>0.18160000000000001</v>
      </c>
      <c r="BY303" s="7">
        <v>0.1807</v>
      </c>
      <c r="BZ303" s="7">
        <v>0.1797</v>
      </c>
      <c r="CA303" s="7">
        <v>0.1787</v>
      </c>
      <c r="CB303" s="7">
        <v>0.17780000000000001</v>
      </c>
      <c r="CC303" s="7">
        <v>0.17680000000000001</v>
      </c>
      <c r="CD303" s="7">
        <v>0.1759</v>
      </c>
      <c r="CE303" s="7">
        <v>0.17499999999999999</v>
      </c>
      <c r="CF303" s="7">
        <v>0.17399999999999999</v>
      </c>
      <c r="CG303" s="7">
        <v>0.1731</v>
      </c>
      <c r="CH303" s="7">
        <v>0.17219999999999999</v>
      </c>
      <c r="CI303" s="7">
        <v>0.17130000000000001</v>
      </c>
      <c r="CJ303" s="7">
        <v>0.1704</v>
      </c>
      <c r="CK303" s="7">
        <v>0.16950000000000001</v>
      </c>
      <c r="CL303" s="7">
        <v>0.1686</v>
      </c>
      <c r="CM303" s="7">
        <v>0.16769999999999999</v>
      </c>
      <c r="CN303" s="7">
        <v>0.16689999999999999</v>
      </c>
      <c r="CO303" s="7">
        <v>0.16600000000000001</v>
      </c>
      <c r="CP303" s="7">
        <v>0.1651</v>
      </c>
      <c r="CQ303" s="7">
        <v>0.16420000000000001</v>
      </c>
      <c r="CR303" s="7">
        <v>0.1633</v>
      </c>
      <c r="CS303" s="7">
        <v>0.16239999999999999</v>
      </c>
      <c r="CT303" s="7">
        <v>0.1615</v>
      </c>
      <c r="CU303" s="7">
        <v>0.16059999999999999</v>
      </c>
      <c r="CV303" s="7">
        <v>0.15970000000000001</v>
      </c>
      <c r="CW303" s="7">
        <v>0.1588</v>
      </c>
      <c r="CX303" s="7">
        <v>0.15790000000000001</v>
      </c>
      <c r="CY303" s="7">
        <v>0.157</v>
      </c>
      <c r="CZ303" s="7">
        <v>0.15609999999999999</v>
      </c>
      <c r="DA303" s="7">
        <v>0.15509999999999999</v>
      </c>
      <c r="DB303" s="7">
        <v>0.1542</v>
      </c>
      <c r="DC303" s="7">
        <v>0.1532</v>
      </c>
      <c r="DD303" s="7">
        <v>0.15229999999999999</v>
      </c>
      <c r="DE303" s="7">
        <v>0.15129999999999999</v>
      </c>
      <c r="DF303" s="7">
        <v>0.15029999999999999</v>
      </c>
      <c r="DG303" s="7">
        <v>0.14929999999999999</v>
      </c>
      <c r="DH303" s="7">
        <v>0.14829999999999999</v>
      </c>
      <c r="DI303" s="7">
        <v>0.14729999999999999</v>
      </c>
      <c r="DJ303" s="7">
        <v>0.14630000000000001</v>
      </c>
      <c r="DK303" s="7">
        <v>0.1452</v>
      </c>
      <c r="DL303" s="7">
        <v>0.14419999999999999</v>
      </c>
      <c r="DM303" s="7">
        <v>0.1431</v>
      </c>
      <c r="DN303" s="7">
        <v>0.14199999999999999</v>
      </c>
      <c r="DO303" s="7">
        <v>0.1409</v>
      </c>
      <c r="DP303" s="7">
        <v>0.13969999999999999</v>
      </c>
      <c r="DQ303" s="7">
        <v>0.1386</v>
      </c>
      <c r="DR303" s="7">
        <v>0.13739999999999999</v>
      </c>
      <c r="DS303" s="7">
        <v>0.13619999999999999</v>
      </c>
      <c r="DT303" s="7">
        <v>0.13500000000000001</v>
      </c>
      <c r="DU303" s="7">
        <v>0.13370000000000001</v>
      </c>
      <c r="DV303" s="7">
        <v>0.13250000000000001</v>
      </c>
      <c r="DW303" s="7">
        <v>0.13120000000000001</v>
      </c>
      <c r="DX303" s="7">
        <v>0.12989999999999999</v>
      </c>
      <c r="DY303" s="7">
        <v>0.1285</v>
      </c>
      <c r="DZ303" s="7">
        <v>0.12720000000000001</v>
      </c>
      <c r="EA303" s="7">
        <v>0.1258</v>
      </c>
      <c r="EB303" s="7">
        <v>0.1244</v>
      </c>
      <c r="EC303" s="7">
        <v>0.123</v>
      </c>
      <c r="ED303" s="7">
        <v>0.1215</v>
      </c>
      <c r="EE303" s="7">
        <v>0.12</v>
      </c>
      <c r="EF303" s="7">
        <v>0.11849999999999999</v>
      </c>
      <c r="EG303" s="7">
        <v>0.11700000000000001</v>
      </c>
      <c r="EH303" s="7">
        <v>0.11550000000000001</v>
      </c>
      <c r="EI303" s="7">
        <v>0.1139</v>
      </c>
      <c r="EJ303" s="7">
        <v>0.1124</v>
      </c>
      <c r="EK303" s="7">
        <v>0.1108</v>
      </c>
      <c r="EL303" s="7">
        <v>0.1091</v>
      </c>
      <c r="EM303" s="7">
        <v>0.1075</v>
      </c>
      <c r="EN303" s="7">
        <v>0.10589999999999999</v>
      </c>
      <c r="EO303" s="7">
        <v>0.1042</v>
      </c>
      <c r="EP303" s="7">
        <v>0.10249999999999999</v>
      </c>
      <c r="EQ303" s="7">
        <v>0.1008</v>
      </c>
      <c r="ER303" s="7">
        <v>9.9099999999999994E-2</v>
      </c>
      <c r="ES303" s="7">
        <v>9.74E-2</v>
      </c>
      <c r="ET303" s="7">
        <v>9.5600000000000004E-2</v>
      </c>
      <c r="EU303" s="7">
        <v>9.3600000000000003E-2</v>
      </c>
      <c r="EV303" s="7">
        <v>9.1600000000000001E-2</v>
      </c>
      <c r="EW303" s="7">
        <v>8.9599999999999999E-2</v>
      </c>
      <c r="EX303" s="7">
        <v>8.77E-2</v>
      </c>
      <c r="EY303" s="7">
        <v>8.5699999999999998E-2</v>
      </c>
      <c r="EZ303" s="7">
        <v>8.3799999999999999E-2</v>
      </c>
      <c r="FA303" s="7">
        <v>8.1900000000000001E-2</v>
      </c>
      <c r="FB303" s="7">
        <v>0.08</v>
      </c>
      <c r="FC303" s="7">
        <v>7.8100000000000003E-2</v>
      </c>
      <c r="FE303" s="50">
        <f t="shared" ca="1" si="32"/>
        <v>0.13094031814010401</v>
      </c>
      <c r="FF303" s="50">
        <f t="shared" ca="1" si="33"/>
        <v>0.13176107016981739</v>
      </c>
      <c r="FG303" s="50">
        <f t="shared" ca="1" si="34"/>
        <v>0.13259100671140939</v>
      </c>
      <c r="FH303" s="50">
        <f t="shared" ca="1" si="35"/>
        <v>0.13339637583892616</v>
      </c>
      <c r="FI303" s="50"/>
      <c r="FJ303" s="50"/>
      <c r="FK303" s="50">
        <f t="shared" ca="1" si="31"/>
        <v>0.13176107016981739</v>
      </c>
      <c r="FL303" s="50"/>
      <c r="FM303" s="50"/>
      <c r="FN303" s="50"/>
    </row>
    <row r="304" spans="49:170" hidden="1">
      <c r="AW304" s="112">
        <v>57.543999999999997</v>
      </c>
      <c r="AX304" s="7">
        <v>0.21299999999999999</v>
      </c>
      <c r="AY304" s="7">
        <v>0.21149999999999999</v>
      </c>
      <c r="AZ304" s="7">
        <v>0.21</v>
      </c>
      <c r="BA304" s="7">
        <v>0.20860000000000001</v>
      </c>
      <c r="BB304" s="7">
        <v>0.2072</v>
      </c>
      <c r="BC304" s="7">
        <v>0.20580000000000001</v>
      </c>
      <c r="BD304" s="7">
        <v>0.2044</v>
      </c>
      <c r="BE304" s="7">
        <v>0.2031</v>
      </c>
      <c r="BF304" s="7">
        <v>0.20180000000000001</v>
      </c>
      <c r="BG304" s="7">
        <v>0.20050000000000001</v>
      </c>
      <c r="BH304" s="7">
        <v>0.1993</v>
      </c>
      <c r="BI304" s="7">
        <v>0.19800000000000001</v>
      </c>
      <c r="BJ304" s="7">
        <v>0.1968</v>
      </c>
      <c r="BK304" s="7">
        <v>0.1956</v>
      </c>
      <c r="BL304" s="7">
        <v>0.19439999999999999</v>
      </c>
      <c r="BM304" s="7">
        <v>0.1933</v>
      </c>
      <c r="BN304" s="7">
        <v>0.19209999999999999</v>
      </c>
      <c r="BO304" s="7">
        <v>0.191</v>
      </c>
      <c r="BP304" s="7">
        <v>0.18990000000000001</v>
      </c>
      <c r="BQ304" s="7">
        <v>0.1888</v>
      </c>
      <c r="BR304" s="7">
        <v>0.18779999999999999</v>
      </c>
      <c r="BS304" s="7">
        <v>0.1867</v>
      </c>
      <c r="BT304" s="7">
        <v>0.1857</v>
      </c>
      <c r="BU304" s="7">
        <v>0.18459999999999999</v>
      </c>
      <c r="BV304" s="7">
        <v>0.18360000000000001</v>
      </c>
      <c r="BW304" s="7">
        <v>0.18260000000000001</v>
      </c>
      <c r="BX304" s="7">
        <v>0.18160000000000001</v>
      </c>
      <c r="BY304" s="7">
        <v>0.1807</v>
      </c>
      <c r="BZ304" s="7">
        <v>0.1797</v>
      </c>
      <c r="CA304" s="7">
        <v>0.1787</v>
      </c>
      <c r="CB304" s="7">
        <v>0.17780000000000001</v>
      </c>
      <c r="CC304" s="7">
        <v>0.17680000000000001</v>
      </c>
      <c r="CD304" s="7">
        <v>0.1759</v>
      </c>
      <c r="CE304" s="7">
        <v>0.17499999999999999</v>
      </c>
      <c r="CF304" s="7">
        <v>0.17399999999999999</v>
      </c>
      <c r="CG304" s="7">
        <v>0.1731</v>
      </c>
      <c r="CH304" s="7">
        <v>0.17219999999999999</v>
      </c>
      <c r="CI304" s="7">
        <v>0.17130000000000001</v>
      </c>
      <c r="CJ304" s="7">
        <v>0.1704</v>
      </c>
      <c r="CK304" s="7">
        <v>0.16950000000000001</v>
      </c>
      <c r="CL304" s="7">
        <v>0.1686</v>
      </c>
      <c r="CM304" s="7">
        <v>0.16769999999999999</v>
      </c>
      <c r="CN304" s="7">
        <v>0.16689999999999999</v>
      </c>
      <c r="CO304" s="7">
        <v>0.16600000000000001</v>
      </c>
      <c r="CP304" s="7">
        <v>0.1651</v>
      </c>
      <c r="CQ304" s="7">
        <v>0.16420000000000001</v>
      </c>
      <c r="CR304" s="7">
        <v>0.1633</v>
      </c>
      <c r="CS304" s="7">
        <v>0.16239999999999999</v>
      </c>
      <c r="CT304" s="7">
        <v>0.1615</v>
      </c>
      <c r="CU304" s="7">
        <v>0.16059999999999999</v>
      </c>
      <c r="CV304" s="7">
        <v>0.15970000000000001</v>
      </c>
      <c r="CW304" s="7">
        <v>0.1588</v>
      </c>
      <c r="CX304" s="7">
        <v>0.15790000000000001</v>
      </c>
      <c r="CY304" s="7">
        <v>0.157</v>
      </c>
      <c r="CZ304" s="7">
        <v>0.15609999999999999</v>
      </c>
      <c r="DA304" s="7">
        <v>0.15509999999999999</v>
      </c>
      <c r="DB304" s="7">
        <v>0.1542</v>
      </c>
      <c r="DC304" s="7">
        <v>0.1532</v>
      </c>
      <c r="DD304" s="7">
        <v>0.15229999999999999</v>
      </c>
      <c r="DE304" s="7">
        <v>0.15129999999999999</v>
      </c>
      <c r="DF304" s="7">
        <v>0.15029999999999999</v>
      </c>
      <c r="DG304" s="7">
        <v>0.14929999999999999</v>
      </c>
      <c r="DH304" s="7">
        <v>0.14829999999999999</v>
      </c>
      <c r="DI304" s="7">
        <v>0.14729999999999999</v>
      </c>
      <c r="DJ304" s="7">
        <v>0.14630000000000001</v>
      </c>
      <c r="DK304" s="7">
        <v>0.1452</v>
      </c>
      <c r="DL304" s="7">
        <v>0.14419999999999999</v>
      </c>
      <c r="DM304" s="7">
        <v>0.1431</v>
      </c>
      <c r="DN304" s="7">
        <v>0.14199999999999999</v>
      </c>
      <c r="DO304" s="7">
        <v>0.1409</v>
      </c>
      <c r="DP304" s="7">
        <v>0.13969999999999999</v>
      </c>
      <c r="DQ304" s="7">
        <v>0.1386</v>
      </c>
      <c r="DR304" s="7">
        <v>0.13739999999999999</v>
      </c>
      <c r="DS304" s="7">
        <v>0.13619999999999999</v>
      </c>
      <c r="DT304" s="7">
        <v>0.13500000000000001</v>
      </c>
      <c r="DU304" s="7">
        <v>0.13370000000000001</v>
      </c>
      <c r="DV304" s="7">
        <v>0.13250000000000001</v>
      </c>
      <c r="DW304" s="7">
        <v>0.13120000000000001</v>
      </c>
      <c r="DX304" s="7">
        <v>0.12989999999999999</v>
      </c>
      <c r="DY304" s="7">
        <v>0.1285</v>
      </c>
      <c r="DZ304" s="7">
        <v>0.12720000000000001</v>
      </c>
      <c r="EA304" s="7">
        <v>0.1258</v>
      </c>
      <c r="EB304" s="7">
        <v>0.1244</v>
      </c>
      <c r="EC304" s="7">
        <v>0.123</v>
      </c>
      <c r="ED304" s="7">
        <v>0.1215</v>
      </c>
      <c r="EE304" s="7">
        <v>0.12</v>
      </c>
      <c r="EF304" s="7">
        <v>0.11849999999999999</v>
      </c>
      <c r="EG304" s="7">
        <v>0.11700000000000001</v>
      </c>
      <c r="EH304" s="7">
        <v>0.11550000000000001</v>
      </c>
      <c r="EI304" s="7">
        <v>0.1139</v>
      </c>
      <c r="EJ304" s="7">
        <v>0.1124</v>
      </c>
      <c r="EK304" s="7">
        <v>0.1108</v>
      </c>
      <c r="EL304" s="7">
        <v>0.1091</v>
      </c>
      <c r="EM304" s="7">
        <v>0.1075</v>
      </c>
      <c r="EN304" s="7">
        <v>0.10589999999999999</v>
      </c>
      <c r="EO304" s="7">
        <v>0.1042</v>
      </c>
      <c r="EP304" s="7">
        <v>0.10249999999999999</v>
      </c>
      <c r="EQ304" s="7">
        <v>0.1008</v>
      </c>
      <c r="ER304" s="7">
        <v>9.9099999999999994E-2</v>
      </c>
      <c r="ES304" s="7">
        <v>9.74E-2</v>
      </c>
      <c r="ET304" s="7">
        <v>9.5699999999999993E-2</v>
      </c>
      <c r="EU304" s="7">
        <v>9.4E-2</v>
      </c>
      <c r="EV304" s="7">
        <v>9.1999999999999998E-2</v>
      </c>
      <c r="EW304" s="7">
        <v>0.09</v>
      </c>
      <c r="EX304" s="7">
        <v>8.8099999999999998E-2</v>
      </c>
      <c r="EY304" s="7">
        <v>8.6099999999999996E-2</v>
      </c>
      <c r="EZ304" s="7">
        <v>8.4199999999999997E-2</v>
      </c>
      <c r="FA304" s="7">
        <v>8.2299999999999998E-2</v>
      </c>
      <c r="FB304" s="7">
        <v>8.0399999999999999E-2</v>
      </c>
      <c r="FC304" s="7">
        <v>7.85E-2</v>
      </c>
      <c r="FE304" s="50">
        <f t="shared" ca="1" si="32"/>
        <v>0.13094031814010401</v>
      </c>
      <c r="FF304" s="50">
        <f t="shared" ca="1" si="33"/>
        <v>0.13176107016981739</v>
      </c>
      <c r="FG304" s="50">
        <f t="shared" ca="1" si="34"/>
        <v>0.13259100671140939</v>
      </c>
      <c r="FH304" s="50">
        <f t="shared" ca="1" si="35"/>
        <v>0.13339637583892616</v>
      </c>
      <c r="FI304" s="50"/>
      <c r="FJ304" s="50"/>
      <c r="FK304" s="50">
        <f t="shared" ca="1" si="31"/>
        <v>0.13176107016981739</v>
      </c>
      <c r="FL304" s="50"/>
      <c r="FM304" s="50"/>
      <c r="FN304" s="50"/>
    </row>
    <row r="305" spans="48:170" hidden="1">
      <c r="AW305" s="112">
        <v>61.66</v>
      </c>
      <c r="AX305" s="7">
        <v>0.21299999999999999</v>
      </c>
      <c r="AY305" s="7">
        <v>0.21149999999999999</v>
      </c>
      <c r="AZ305" s="7">
        <v>0.21</v>
      </c>
      <c r="BA305" s="7">
        <v>0.20860000000000001</v>
      </c>
      <c r="BB305" s="7">
        <v>0.2072</v>
      </c>
      <c r="BC305" s="7">
        <v>0.20580000000000001</v>
      </c>
      <c r="BD305" s="7">
        <v>0.2044</v>
      </c>
      <c r="BE305" s="7">
        <v>0.2031</v>
      </c>
      <c r="BF305" s="7">
        <v>0.20180000000000001</v>
      </c>
      <c r="BG305" s="7">
        <v>0.20050000000000001</v>
      </c>
      <c r="BH305" s="7">
        <v>0.1993</v>
      </c>
      <c r="BI305" s="7">
        <v>0.19800000000000001</v>
      </c>
      <c r="BJ305" s="7">
        <v>0.1968</v>
      </c>
      <c r="BK305" s="7">
        <v>0.1956</v>
      </c>
      <c r="BL305" s="7">
        <v>0.19439999999999999</v>
      </c>
      <c r="BM305" s="7">
        <v>0.1933</v>
      </c>
      <c r="BN305" s="7">
        <v>0.19209999999999999</v>
      </c>
      <c r="BO305" s="7">
        <v>0.191</v>
      </c>
      <c r="BP305" s="7">
        <v>0.18990000000000001</v>
      </c>
      <c r="BQ305" s="7">
        <v>0.1888</v>
      </c>
      <c r="BR305" s="7">
        <v>0.18779999999999999</v>
      </c>
      <c r="BS305" s="7">
        <v>0.1867</v>
      </c>
      <c r="BT305" s="7">
        <v>0.1857</v>
      </c>
      <c r="BU305" s="7">
        <v>0.18459999999999999</v>
      </c>
      <c r="BV305" s="7">
        <v>0.18360000000000001</v>
      </c>
      <c r="BW305" s="7">
        <v>0.18260000000000001</v>
      </c>
      <c r="BX305" s="7">
        <v>0.18160000000000001</v>
      </c>
      <c r="BY305" s="7">
        <v>0.1807</v>
      </c>
      <c r="BZ305" s="7">
        <v>0.1797</v>
      </c>
      <c r="CA305" s="7">
        <v>0.1787</v>
      </c>
      <c r="CB305" s="7">
        <v>0.17780000000000001</v>
      </c>
      <c r="CC305" s="7">
        <v>0.17680000000000001</v>
      </c>
      <c r="CD305" s="7">
        <v>0.1759</v>
      </c>
      <c r="CE305" s="7">
        <v>0.17499999999999999</v>
      </c>
      <c r="CF305" s="7">
        <v>0.17399999999999999</v>
      </c>
      <c r="CG305" s="7">
        <v>0.1731</v>
      </c>
      <c r="CH305" s="7">
        <v>0.17219999999999999</v>
      </c>
      <c r="CI305" s="7">
        <v>0.17130000000000001</v>
      </c>
      <c r="CJ305" s="7">
        <v>0.1704</v>
      </c>
      <c r="CK305" s="7">
        <v>0.16950000000000001</v>
      </c>
      <c r="CL305" s="7">
        <v>0.1686</v>
      </c>
      <c r="CM305" s="7">
        <v>0.16769999999999999</v>
      </c>
      <c r="CN305" s="7">
        <v>0.16689999999999999</v>
      </c>
      <c r="CO305" s="7">
        <v>0.16600000000000001</v>
      </c>
      <c r="CP305" s="7">
        <v>0.1651</v>
      </c>
      <c r="CQ305" s="7">
        <v>0.16420000000000001</v>
      </c>
      <c r="CR305" s="7">
        <v>0.1633</v>
      </c>
      <c r="CS305" s="7">
        <v>0.16239999999999999</v>
      </c>
      <c r="CT305" s="7">
        <v>0.1615</v>
      </c>
      <c r="CU305" s="7">
        <v>0.16059999999999999</v>
      </c>
      <c r="CV305" s="7">
        <v>0.15970000000000001</v>
      </c>
      <c r="CW305" s="7">
        <v>0.1588</v>
      </c>
      <c r="CX305" s="7">
        <v>0.15790000000000001</v>
      </c>
      <c r="CY305" s="7">
        <v>0.157</v>
      </c>
      <c r="CZ305" s="7">
        <v>0.15609999999999999</v>
      </c>
      <c r="DA305" s="7">
        <v>0.15509999999999999</v>
      </c>
      <c r="DB305" s="7">
        <v>0.1542</v>
      </c>
      <c r="DC305" s="7">
        <v>0.1532</v>
      </c>
      <c r="DD305" s="7">
        <v>0.15229999999999999</v>
      </c>
      <c r="DE305" s="7">
        <v>0.15129999999999999</v>
      </c>
      <c r="DF305" s="7">
        <v>0.15029999999999999</v>
      </c>
      <c r="DG305" s="7">
        <v>0.14929999999999999</v>
      </c>
      <c r="DH305" s="7">
        <v>0.14829999999999999</v>
      </c>
      <c r="DI305" s="7">
        <v>0.14729999999999999</v>
      </c>
      <c r="DJ305" s="7">
        <v>0.14630000000000001</v>
      </c>
      <c r="DK305" s="7">
        <v>0.1452</v>
      </c>
      <c r="DL305" s="7">
        <v>0.14419999999999999</v>
      </c>
      <c r="DM305" s="7">
        <v>0.1431</v>
      </c>
      <c r="DN305" s="7">
        <v>0.14199999999999999</v>
      </c>
      <c r="DO305" s="7">
        <v>0.1409</v>
      </c>
      <c r="DP305" s="7">
        <v>0.13969999999999999</v>
      </c>
      <c r="DQ305" s="7">
        <v>0.1386</v>
      </c>
      <c r="DR305" s="7">
        <v>0.13739999999999999</v>
      </c>
      <c r="DS305" s="7">
        <v>0.13619999999999999</v>
      </c>
      <c r="DT305" s="7">
        <v>0.13500000000000001</v>
      </c>
      <c r="DU305" s="7">
        <v>0.13370000000000001</v>
      </c>
      <c r="DV305" s="7">
        <v>0.13250000000000001</v>
      </c>
      <c r="DW305" s="7">
        <v>0.13120000000000001</v>
      </c>
      <c r="DX305" s="7">
        <v>0.12989999999999999</v>
      </c>
      <c r="DY305" s="7">
        <v>0.1285</v>
      </c>
      <c r="DZ305" s="7">
        <v>0.12720000000000001</v>
      </c>
      <c r="EA305" s="7">
        <v>0.1258</v>
      </c>
      <c r="EB305" s="7">
        <v>0.1244</v>
      </c>
      <c r="EC305" s="7">
        <v>0.123</v>
      </c>
      <c r="ED305" s="7">
        <v>0.1215</v>
      </c>
      <c r="EE305" s="7">
        <v>0.12</v>
      </c>
      <c r="EF305" s="7">
        <v>0.11849999999999999</v>
      </c>
      <c r="EG305" s="7">
        <v>0.11700000000000001</v>
      </c>
      <c r="EH305" s="7">
        <v>0.11550000000000001</v>
      </c>
      <c r="EI305" s="7">
        <v>0.1139</v>
      </c>
      <c r="EJ305" s="7">
        <v>0.1124</v>
      </c>
      <c r="EK305" s="7">
        <v>0.1108</v>
      </c>
      <c r="EL305" s="7">
        <v>0.1091</v>
      </c>
      <c r="EM305" s="7">
        <v>0.1075</v>
      </c>
      <c r="EN305" s="7">
        <v>0.10589999999999999</v>
      </c>
      <c r="EO305" s="7">
        <v>0.1042</v>
      </c>
      <c r="EP305" s="7">
        <v>0.10249999999999999</v>
      </c>
      <c r="EQ305" s="7">
        <v>0.1008</v>
      </c>
      <c r="ER305" s="7">
        <v>9.9099999999999994E-2</v>
      </c>
      <c r="ES305" s="7">
        <v>9.74E-2</v>
      </c>
      <c r="ET305" s="7">
        <v>9.5699999999999993E-2</v>
      </c>
      <c r="EU305" s="7">
        <v>9.4E-2</v>
      </c>
      <c r="EV305" s="7">
        <v>9.2200000000000004E-2</v>
      </c>
      <c r="EW305" s="7">
        <v>9.0399999999999994E-2</v>
      </c>
      <c r="EX305" s="7">
        <v>8.8400000000000006E-2</v>
      </c>
      <c r="EY305" s="7">
        <v>8.6499999999999994E-2</v>
      </c>
      <c r="EZ305" s="7">
        <v>8.4599999999999995E-2</v>
      </c>
      <c r="FA305" s="7">
        <v>8.2699999999999996E-2</v>
      </c>
      <c r="FB305" s="7">
        <v>8.0799999999999997E-2</v>
      </c>
      <c r="FC305" s="7">
        <v>7.8899999999999998E-2</v>
      </c>
      <c r="FE305" s="50">
        <f t="shared" ca="1" si="32"/>
        <v>0.13094031814010401</v>
      </c>
      <c r="FF305" s="50">
        <f t="shared" ca="1" si="33"/>
        <v>0.13176107016981739</v>
      </c>
      <c r="FG305" s="50">
        <f t="shared" ca="1" si="34"/>
        <v>0.13259100671140939</v>
      </c>
      <c r="FH305" s="50">
        <f t="shared" ca="1" si="35"/>
        <v>0.13339637583892616</v>
      </c>
      <c r="FI305" s="50"/>
      <c r="FJ305" s="50"/>
      <c r="FK305" s="50">
        <f t="shared" ca="1" si="31"/>
        <v>0.13176107016981739</v>
      </c>
      <c r="FL305" s="50"/>
      <c r="FM305" s="50"/>
      <c r="FN305" s="50"/>
    </row>
    <row r="306" spans="48:170" hidden="1">
      <c r="AW306" s="112">
        <v>66.069000000000003</v>
      </c>
      <c r="AX306" s="7">
        <v>0.21299999999999999</v>
      </c>
      <c r="AY306" s="7">
        <v>0.21149999999999999</v>
      </c>
      <c r="AZ306" s="7">
        <v>0.21</v>
      </c>
      <c r="BA306" s="7">
        <v>0.20860000000000001</v>
      </c>
      <c r="BB306" s="7">
        <v>0.2072</v>
      </c>
      <c r="BC306" s="7">
        <v>0.20580000000000001</v>
      </c>
      <c r="BD306" s="7">
        <v>0.2044</v>
      </c>
      <c r="BE306" s="7">
        <v>0.2031</v>
      </c>
      <c r="BF306" s="7">
        <v>0.20180000000000001</v>
      </c>
      <c r="BG306" s="7">
        <v>0.20050000000000001</v>
      </c>
      <c r="BH306" s="7">
        <v>0.1993</v>
      </c>
      <c r="BI306" s="7">
        <v>0.19800000000000001</v>
      </c>
      <c r="BJ306" s="7">
        <v>0.1968</v>
      </c>
      <c r="BK306" s="7">
        <v>0.1956</v>
      </c>
      <c r="BL306" s="7">
        <v>0.19439999999999999</v>
      </c>
      <c r="BM306" s="7">
        <v>0.1933</v>
      </c>
      <c r="BN306" s="7">
        <v>0.19209999999999999</v>
      </c>
      <c r="BO306" s="7">
        <v>0.191</v>
      </c>
      <c r="BP306" s="7">
        <v>0.18990000000000001</v>
      </c>
      <c r="BQ306" s="7">
        <v>0.1888</v>
      </c>
      <c r="BR306" s="7">
        <v>0.18779999999999999</v>
      </c>
      <c r="BS306" s="7">
        <v>0.1867</v>
      </c>
      <c r="BT306" s="7">
        <v>0.1857</v>
      </c>
      <c r="BU306" s="7">
        <v>0.18459999999999999</v>
      </c>
      <c r="BV306" s="7">
        <v>0.18360000000000001</v>
      </c>
      <c r="BW306" s="7">
        <v>0.18260000000000001</v>
      </c>
      <c r="BX306" s="7">
        <v>0.18160000000000001</v>
      </c>
      <c r="BY306" s="7">
        <v>0.1807</v>
      </c>
      <c r="BZ306" s="7">
        <v>0.1797</v>
      </c>
      <c r="CA306" s="7">
        <v>0.1787</v>
      </c>
      <c r="CB306" s="7">
        <v>0.17780000000000001</v>
      </c>
      <c r="CC306" s="7">
        <v>0.17680000000000001</v>
      </c>
      <c r="CD306" s="7">
        <v>0.1759</v>
      </c>
      <c r="CE306" s="7">
        <v>0.17499999999999999</v>
      </c>
      <c r="CF306" s="7">
        <v>0.17399999999999999</v>
      </c>
      <c r="CG306" s="7">
        <v>0.1731</v>
      </c>
      <c r="CH306" s="7">
        <v>0.17219999999999999</v>
      </c>
      <c r="CI306" s="7">
        <v>0.17130000000000001</v>
      </c>
      <c r="CJ306" s="7">
        <v>0.1704</v>
      </c>
      <c r="CK306" s="7">
        <v>0.16950000000000001</v>
      </c>
      <c r="CL306" s="7">
        <v>0.1686</v>
      </c>
      <c r="CM306" s="7">
        <v>0.16769999999999999</v>
      </c>
      <c r="CN306" s="7">
        <v>0.16689999999999999</v>
      </c>
      <c r="CO306" s="7">
        <v>0.16600000000000001</v>
      </c>
      <c r="CP306" s="7">
        <v>0.1651</v>
      </c>
      <c r="CQ306" s="7">
        <v>0.16420000000000001</v>
      </c>
      <c r="CR306" s="7">
        <v>0.1633</v>
      </c>
      <c r="CS306" s="7">
        <v>0.16239999999999999</v>
      </c>
      <c r="CT306" s="7">
        <v>0.1615</v>
      </c>
      <c r="CU306" s="7">
        <v>0.16059999999999999</v>
      </c>
      <c r="CV306" s="7">
        <v>0.15970000000000001</v>
      </c>
      <c r="CW306" s="7">
        <v>0.1588</v>
      </c>
      <c r="CX306" s="7">
        <v>0.15790000000000001</v>
      </c>
      <c r="CY306" s="7">
        <v>0.157</v>
      </c>
      <c r="CZ306" s="7">
        <v>0.15609999999999999</v>
      </c>
      <c r="DA306" s="7">
        <v>0.15509999999999999</v>
      </c>
      <c r="DB306" s="7">
        <v>0.1542</v>
      </c>
      <c r="DC306" s="7">
        <v>0.1532</v>
      </c>
      <c r="DD306" s="7">
        <v>0.15229999999999999</v>
      </c>
      <c r="DE306" s="7">
        <v>0.15129999999999999</v>
      </c>
      <c r="DF306" s="7">
        <v>0.15029999999999999</v>
      </c>
      <c r="DG306" s="7">
        <v>0.14929999999999999</v>
      </c>
      <c r="DH306" s="7">
        <v>0.14829999999999999</v>
      </c>
      <c r="DI306" s="7">
        <v>0.14729999999999999</v>
      </c>
      <c r="DJ306" s="7">
        <v>0.14630000000000001</v>
      </c>
      <c r="DK306" s="7">
        <v>0.1452</v>
      </c>
      <c r="DL306" s="7">
        <v>0.14419999999999999</v>
      </c>
      <c r="DM306" s="7">
        <v>0.1431</v>
      </c>
      <c r="DN306" s="7">
        <v>0.14199999999999999</v>
      </c>
      <c r="DO306" s="7">
        <v>0.1409</v>
      </c>
      <c r="DP306" s="7">
        <v>0.13969999999999999</v>
      </c>
      <c r="DQ306" s="7">
        <v>0.1386</v>
      </c>
      <c r="DR306" s="7">
        <v>0.13739999999999999</v>
      </c>
      <c r="DS306" s="7">
        <v>0.13619999999999999</v>
      </c>
      <c r="DT306" s="7">
        <v>0.13500000000000001</v>
      </c>
      <c r="DU306" s="7">
        <v>0.13370000000000001</v>
      </c>
      <c r="DV306" s="7">
        <v>0.13250000000000001</v>
      </c>
      <c r="DW306" s="7">
        <v>0.13120000000000001</v>
      </c>
      <c r="DX306" s="7">
        <v>0.12989999999999999</v>
      </c>
      <c r="DY306" s="7">
        <v>0.1285</v>
      </c>
      <c r="DZ306" s="7">
        <v>0.12720000000000001</v>
      </c>
      <c r="EA306" s="7">
        <v>0.1258</v>
      </c>
      <c r="EB306" s="7">
        <v>0.1244</v>
      </c>
      <c r="EC306" s="7">
        <v>0.123</v>
      </c>
      <c r="ED306" s="7">
        <v>0.1215</v>
      </c>
      <c r="EE306" s="7">
        <v>0.12</v>
      </c>
      <c r="EF306" s="7">
        <v>0.11849999999999999</v>
      </c>
      <c r="EG306" s="7">
        <v>0.11700000000000001</v>
      </c>
      <c r="EH306" s="7">
        <v>0.11550000000000001</v>
      </c>
      <c r="EI306" s="7">
        <v>0.1139</v>
      </c>
      <c r="EJ306" s="7">
        <v>0.1124</v>
      </c>
      <c r="EK306" s="7">
        <v>0.1108</v>
      </c>
      <c r="EL306" s="7">
        <v>0.1091</v>
      </c>
      <c r="EM306" s="7">
        <v>0.1075</v>
      </c>
      <c r="EN306" s="7">
        <v>0.10589999999999999</v>
      </c>
      <c r="EO306" s="7">
        <v>0.1042</v>
      </c>
      <c r="EP306" s="7">
        <v>0.10249999999999999</v>
      </c>
      <c r="EQ306" s="7">
        <v>0.1008</v>
      </c>
      <c r="ER306" s="7">
        <v>9.9099999999999994E-2</v>
      </c>
      <c r="ES306" s="7">
        <v>9.74E-2</v>
      </c>
      <c r="ET306" s="7">
        <v>9.5699999999999993E-2</v>
      </c>
      <c r="EU306" s="7">
        <v>9.4E-2</v>
      </c>
      <c r="EV306" s="7">
        <v>9.2200000000000004E-2</v>
      </c>
      <c r="EW306" s="7">
        <v>9.0499999999999997E-2</v>
      </c>
      <c r="EX306" s="7">
        <v>8.8800000000000004E-2</v>
      </c>
      <c r="EY306" s="7">
        <v>8.6900000000000005E-2</v>
      </c>
      <c r="EZ306" s="7">
        <v>8.4900000000000003E-2</v>
      </c>
      <c r="FA306" s="7">
        <v>8.3000000000000004E-2</v>
      </c>
      <c r="FB306" s="7">
        <v>8.1100000000000005E-2</v>
      </c>
      <c r="FC306" s="7">
        <v>7.9200000000000007E-2</v>
      </c>
      <c r="FE306" s="50">
        <f t="shared" ca="1" si="32"/>
        <v>0.13094031814010401</v>
      </c>
      <c r="FF306" s="50">
        <f t="shared" ca="1" si="33"/>
        <v>0.13176107016981739</v>
      </c>
      <c r="FG306" s="50">
        <f t="shared" ca="1" si="34"/>
        <v>0.13259100671140939</v>
      </c>
      <c r="FH306" s="50">
        <f t="shared" ca="1" si="35"/>
        <v>0.13339637583892616</v>
      </c>
      <c r="FI306" s="50"/>
      <c r="FJ306" s="50"/>
      <c r="FK306" s="50">
        <f t="shared" ca="1" si="31"/>
        <v>0.13176107016981739</v>
      </c>
      <c r="FL306" s="50"/>
      <c r="FM306" s="50"/>
      <c r="FN306" s="50"/>
    </row>
    <row r="307" spans="48:170" hidden="1">
      <c r="AW307" s="112">
        <v>70.795000000000002</v>
      </c>
      <c r="AX307" s="7">
        <v>0.21299999999999999</v>
      </c>
      <c r="AY307" s="7">
        <v>0.21149999999999999</v>
      </c>
      <c r="AZ307" s="7">
        <v>0.21</v>
      </c>
      <c r="BA307" s="7">
        <v>0.20860000000000001</v>
      </c>
      <c r="BB307" s="7">
        <v>0.2072</v>
      </c>
      <c r="BC307" s="7">
        <v>0.20580000000000001</v>
      </c>
      <c r="BD307" s="7">
        <v>0.2044</v>
      </c>
      <c r="BE307" s="7">
        <v>0.2031</v>
      </c>
      <c r="BF307" s="7">
        <v>0.20180000000000001</v>
      </c>
      <c r="BG307" s="7">
        <v>0.20050000000000001</v>
      </c>
      <c r="BH307" s="7">
        <v>0.1993</v>
      </c>
      <c r="BI307" s="7">
        <v>0.19800000000000001</v>
      </c>
      <c r="BJ307" s="7">
        <v>0.1968</v>
      </c>
      <c r="BK307" s="7">
        <v>0.1956</v>
      </c>
      <c r="BL307" s="7">
        <v>0.19439999999999999</v>
      </c>
      <c r="BM307" s="7">
        <v>0.1933</v>
      </c>
      <c r="BN307" s="7">
        <v>0.19209999999999999</v>
      </c>
      <c r="BO307" s="7">
        <v>0.191</v>
      </c>
      <c r="BP307" s="7">
        <v>0.18990000000000001</v>
      </c>
      <c r="BQ307" s="7">
        <v>0.1888</v>
      </c>
      <c r="BR307" s="7">
        <v>0.18779999999999999</v>
      </c>
      <c r="BS307" s="7">
        <v>0.1867</v>
      </c>
      <c r="BT307" s="7">
        <v>0.1857</v>
      </c>
      <c r="BU307" s="7">
        <v>0.18459999999999999</v>
      </c>
      <c r="BV307" s="7">
        <v>0.18360000000000001</v>
      </c>
      <c r="BW307" s="7">
        <v>0.18260000000000001</v>
      </c>
      <c r="BX307" s="7">
        <v>0.18160000000000001</v>
      </c>
      <c r="BY307" s="7">
        <v>0.1807</v>
      </c>
      <c r="BZ307" s="7">
        <v>0.1797</v>
      </c>
      <c r="CA307" s="7">
        <v>0.1787</v>
      </c>
      <c r="CB307" s="7">
        <v>0.17780000000000001</v>
      </c>
      <c r="CC307" s="7">
        <v>0.17680000000000001</v>
      </c>
      <c r="CD307" s="7">
        <v>0.1759</v>
      </c>
      <c r="CE307" s="7">
        <v>0.17499999999999999</v>
      </c>
      <c r="CF307" s="7">
        <v>0.17399999999999999</v>
      </c>
      <c r="CG307" s="7">
        <v>0.1731</v>
      </c>
      <c r="CH307" s="7">
        <v>0.17219999999999999</v>
      </c>
      <c r="CI307" s="7">
        <v>0.17130000000000001</v>
      </c>
      <c r="CJ307" s="7">
        <v>0.1704</v>
      </c>
      <c r="CK307" s="7">
        <v>0.16950000000000001</v>
      </c>
      <c r="CL307" s="7">
        <v>0.1686</v>
      </c>
      <c r="CM307" s="7">
        <v>0.16769999999999999</v>
      </c>
      <c r="CN307" s="7">
        <v>0.16689999999999999</v>
      </c>
      <c r="CO307" s="7">
        <v>0.16600000000000001</v>
      </c>
      <c r="CP307" s="7">
        <v>0.1651</v>
      </c>
      <c r="CQ307" s="7">
        <v>0.16420000000000001</v>
      </c>
      <c r="CR307" s="7">
        <v>0.1633</v>
      </c>
      <c r="CS307" s="7">
        <v>0.16239999999999999</v>
      </c>
      <c r="CT307" s="7">
        <v>0.1615</v>
      </c>
      <c r="CU307" s="7">
        <v>0.16059999999999999</v>
      </c>
      <c r="CV307" s="7">
        <v>0.15970000000000001</v>
      </c>
      <c r="CW307" s="7">
        <v>0.1588</v>
      </c>
      <c r="CX307" s="7">
        <v>0.15790000000000001</v>
      </c>
      <c r="CY307" s="7">
        <v>0.157</v>
      </c>
      <c r="CZ307" s="7">
        <v>0.15609999999999999</v>
      </c>
      <c r="DA307" s="7">
        <v>0.15509999999999999</v>
      </c>
      <c r="DB307" s="7">
        <v>0.1542</v>
      </c>
      <c r="DC307" s="7">
        <v>0.1532</v>
      </c>
      <c r="DD307" s="7">
        <v>0.15229999999999999</v>
      </c>
      <c r="DE307" s="7">
        <v>0.15129999999999999</v>
      </c>
      <c r="DF307" s="7">
        <v>0.15029999999999999</v>
      </c>
      <c r="DG307" s="7">
        <v>0.14929999999999999</v>
      </c>
      <c r="DH307" s="7">
        <v>0.14829999999999999</v>
      </c>
      <c r="DI307" s="7">
        <v>0.14729999999999999</v>
      </c>
      <c r="DJ307" s="7">
        <v>0.14630000000000001</v>
      </c>
      <c r="DK307" s="7">
        <v>0.1452</v>
      </c>
      <c r="DL307" s="7">
        <v>0.14419999999999999</v>
      </c>
      <c r="DM307" s="7">
        <v>0.1431</v>
      </c>
      <c r="DN307" s="7">
        <v>0.14199999999999999</v>
      </c>
      <c r="DO307" s="7">
        <v>0.1409</v>
      </c>
      <c r="DP307" s="7">
        <v>0.13969999999999999</v>
      </c>
      <c r="DQ307" s="7">
        <v>0.1386</v>
      </c>
      <c r="DR307" s="7">
        <v>0.13739999999999999</v>
      </c>
      <c r="DS307" s="7">
        <v>0.13619999999999999</v>
      </c>
      <c r="DT307" s="7">
        <v>0.13500000000000001</v>
      </c>
      <c r="DU307" s="7">
        <v>0.13370000000000001</v>
      </c>
      <c r="DV307" s="7">
        <v>0.13250000000000001</v>
      </c>
      <c r="DW307" s="7">
        <v>0.13120000000000001</v>
      </c>
      <c r="DX307" s="7">
        <v>0.12989999999999999</v>
      </c>
      <c r="DY307" s="7">
        <v>0.1285</v>
      </c>
      <c r="DZ307" s="7">
        <v>0.12720000000000001</v>
      </c>
      <c r="EA307" s="7">
        <v>0.1258</v>
      </c>
      <c r="EB307" s="7">
        <v>0.1244</v>
      </c>
      <c r="EC307" s="7">
        <v>0.123</v>
      </c>
      <c r="ED307" s="7">
        <v>0.1215</v>
      </c>
      <c r="EE307" s="7">
        <v>0.12</v>
      </c>
      <c r="EF307" s="7">
        <v>0.11849999999999999</v>
      </c>
      <c r="EG307" s="7">
        <v>0.11700000000000001</v>
      </c>
      <c r="EH307" s="7">
        <v>0.11550000000000001</v>
      </c>
      <c r="EI307" s="7">
        <v>0.1139</v>
      </c>
      <c r="EJ307" s="7">
        <v>0.1124</v>
      </c>
      <c r="EK307" s="7">
        <v>0.1108</v>
      </c>
      <c r="EL307" s="7">
        <v>0.1091</v>
      </c>
      <c r="EM307" s="7">
        <v>0.1075</v>
      </c>
      <c r="EN307" s="7">
        <v>0.10589999999999999</v>
      </c>
      <c r="EO307" s="7">
        <v>0.1042</v>
      </c>
      <c r="EP307" s="7">
        <v>0.10249999999999999</v>
      </c>
      <c r="EQ307" s="7">
        <v>0.1008</v>
      </c>
      <c r="ER307" s="7">
        <v>9.9099999999999994E-2</v>
      </c>
      <c r="ES307" s="7">
        <v>9.74E-2</v>
      </c>
      <c r="ET307" s="7">
        <v>9.5699999999999993E-2</v>
      </c>
      <c r="EU307" s="7">
        <v>9.4E-2</v>
      </c>
      <c r="EV307" s="7">
        <v>9.2200000000000004E-2</v>
      </c>
      <c r="EW307" s="7">
        <v>9.0499999999999997E-2</v>
      </c>
      <c r="EX307" s="7">
        <v>8.8800000000000004E-2</v>
      </c>
      <c r="EY307" s="7">
        <v>8.6999999999999994E-2</v>
      </c>
      <c r="EZ307" s="7">
        <v>8.5300000000000001E-2</v>
      </c>
      <c r="FA307" s="7">
        <v>8.3400000000000002E-2</v>
      </c>
      <c r="FB307" s="7">
        <v>8.1500000000000003E-2</v>
      </c>
      <c r="FC307" s="7">
        <v>7.9600000000000004E-2</v>
      </c>
      <c r="FE307" s="50">
        <f t="shared" ca="1" si="32"/>
        <v>0.13094031814010401</v>
      </c>
      <c r="FF307" s="50">
        <f t="shared" ca="1" si="33"/>
        <v>0.13176107016981739</v>
      </c>
      <c r="FG307" s="50">
        <f t="shared" ca="1" si="34"/>
        <v>0.13259100671140939</v>
      </c>
      <c r="FH307" s="50">
        <f t="shared" ca="1" si="35"/>
        <v>0.13339637583892616</v>
      </c>
      <c r="FI307" s="50"/>
      <c r="FJ307" s="50"/>
      <c r="FK307" s="50">
        <f t="shared" ca="1" si="31"/>
        <v>0.13176107016981739</v>
      </c>
      <c r="FL307" s="50"/>
      <c r="FM307" s="50"/>
      <c r="FN307" s="50"/>
    </row>
    <row r="308" spans="48:170" hidden="1">
      <c r="AW308" s="112">
        <v>75.858000000000004</v>
      </c>
      <c r="AX308" s="7">
        <v>0.21299999999999999</v>
      </c>
      <c r="AY308" s="7">
        <v>0.21149999999999999</v>
      </c>
      <c r="AZ308" s="7">
        <v>0.21</v>
      </c>
      <c r="BA308" s="7">
        <v>0.20860000000000001</v>
      </c>
      <c r="BB308" s="7">
        <v>0.2072</v>
      </c>
      <c r="BC308" s="7">
        <v>0.20580000000000001</v>
      </c>
      <c r="BD308" s="7">
        <v>0.2044</v>
      </c>
      <c r="BE308" s="7">
        <v>0.2031</v>
      </c>
      <c r="BF308" s="7">
        <v>0.20180000000000001</v>
      </c>
      <c r="BG308" s="7">
        <v>0.20050000000000001</v>
      </c>
      <c r="BH308" s="7">
        <v>0.1993</v>
      </c>
      <c r="BI308" s="7">
        <v>0.19800000000000001</v>
      </c>
      <c r="BJ308" s="7">
        <v>0.1968</v>
      </c>
      <c r="BK308" s="7">
        <v>0.1956</v>
      </c>
      <c r="BL308" s="7">
        <v>0.19439999999999999</v>
      </c>
      <c r="BM308" s="7">
        <v>0.1933</v>
      </c>
      <c r="BN308" s="7">
        <v>0.19209999999999999</v>
      </c>
      <c r="BO308" s="7">
        <v>0.191</v>
      </c>
      <c r="BP308" s="7">
        <v>0.18990000000000001</v>
      </c>
      <c r="BQ308" s="7">
        <v>0.1888</v>
      </c>
      <c r="BR308" s="7">
        <v>0.18779999999999999</v>
      </c>
      <c r="BS308" s="7">
        <v>0.1867</v>
      </c>
      <c r="BT308" s="7">
        <v>0.1857</v>
      </c>
      <c r="BU308" s="7">
        <v>0.18459999999999999</v>
      </c>
      <c r="BV308" s="7">
        <v>0.18360000000000001</v>
      </c>
      <c r="BW308" s="7">
        <v>0.18260000000000001</v>
      </c>
      <c r="BX308" s="7">
        <v>0.18160000000000001</v>
      </c>
      <c r="BY308" s="7">
        <v>0.1807</v>
      </c>
      <c r="BZ308" s="7">
        <v>0.1797</v>
      </c>
      <c r="CA308" s="7">
        <v>0.1787</v>
      </c>
      <c r="CB308" s="7">
        <v>0.17780000000000001</v>
      </c>
      <c r="CC308" s="7">
        <v>0.17680000000000001</v>
      </c>
      <c r="CD308" s="7">
        <v>0.1759</v>
      </c>
      <c r="CE308" s="7">
        <v>0.17499999999999999</v>
      </c>
      <c r="CF308" s="7">
        <v>0.17399999999999999</v>
      </c>
      <c r="CG308" s="7">
        <v>0.1731</v>
      </c>
      <c r="CH308" s="7">
        <v>0.17219999999999999</v>
      </c>
      <c r="CI308" s="7">
        <v>0.17130000000000001</v>
      </c>
      <c r="CJ308" s="7">
        <v>0.1704</v>
      </c>
      <c r="CK308" s="7">
        <v>0.16950000000000001</v>
      </c>
      <c r="CL308" s="7">
        <v>0.1686</v>
      </c>
      <c r="CM308" s="7">
        <v>0.16769999999999999</v>
      </c>
      <c r="CN308" s="7">
        <v>0.16689999999999999</v>
      </c>
      <c r="CO308" s="7">
        <v>0.16600000000000001</v>
      </c>
      <c r="CP308" s="7">
        <v>0.1651</v>
      </c>
      <c r="CQ308" s="7">
        <v>0.16420000000000001</v>
      </c>
      <c r="CR308" s="7">
        <v>0.1633</v>
      </c>
      <c r="CS308" s="7">
        <v>0.16239999999999999</v>
      </c>
      <c r="CT308" s="7">
        <v>0.1615</v>
      </c>
      <c r="CU308" s="7">
        <v>0.16059999999999999</v>
      </c>
      <c r="CV308" s="7">
        <v>0.15970000000000001</v>
      </c>
      <c r="CW308" s="7">
        <v>0.1588</v>
      </c>
      <c r="CX308" s="7">
        <v>0.15790000000000001</v>
      </c>
      <c r="CY308" s="7">
        <v>0.157</v>
      </c>
      <c r="CZ308" s="7">
        <v>0.15609999999999999</v>
      </c>
      <c r="DA308" s="7">
        <v>0.15509999999999999</v>
      </c>
      <c r="DB308" s="7">
        <v>0.1542</v>
      </c>
      <c r="DC308" s="7">
        <v>0.1532</v>
      </c>
      <c r="DD308" s="7">
        <v>0.15229999999999999</v>
      </c>
      <c r="DE308" s="7">
        <v>0.15129999999999999</v>
      </c>
      <c r="DF308" s="7">
        <v>0.15029999999999999</v>
      </c>
      <c r="DG308" s="7">
        <v>0.14929999999999999</v>
      </c>
      <c r="DH308" s="7">
        <v>0.14829999999999999</v>
      </c>
      <c r="DI308" s="7">
        <v>0.14729999999999999</v>
      </c>
      <c r="DJ308" s="7">
        <v>0.14630000000000001</v>
      </c>
      <c r="DK308" s="7">
        <v>0.1452</v>
      </c>
      <c r="DL308" s="7">
        <v>0.14419999999999999</v>
      </c>
      <c r="DM308" s="7">
        <v>0.1431</v>
      </c>
      <c r="DN308" s="7">
        <v>0.14199999999999999</v>
      </c>
      <c r="DO308" s="7">
        <v>0.1409</v>
      </c>
      <c r="DP308" s="7">
        <v>0.13969999999999999</v>
      </c>
      <c r="DQ308" s="7">
        <v>0.1386</v>
      </c>
      <c r="DR308" s="7">
        <v>0.13739999999999999</v>
      </c>
      <c r="DS308" s="7">
        <v>0.13619999999999999</v>
      </c>
      <c r="DT308" s="7">
        <v>0.13500000000000001</v>
      </c>
      <c r="DU308" s="7">
        <v>0.13370000000000001</v>
      </c>
      <c r="DV308" s="7">
        <v>0.13250000000000001</v>
      </c>
      <c r="DW308" s="7">
        <v>0.13120000000000001</v>
      </c>
      <c r="DX308" s="7">
        <v>0.12989999999999999</v>
      </c>
      <c r="DY308" s="7">
        <v>0.1285</v>
      </c>
      <c r="DZ308" s="7">
        <v>0.12720000000000001</v>
      </c>
      <c r="EA308" s="7">
        <v>0.1258</v>
      </c>
      <c r="EB308" s="7">
        <v>0.1244</v>
      </c>
      <c r="EC308" s="7">
        <v>0.123</v>
      </c>
      <c r="ED308" s="7">
        <v>0.1215</v>
      </c>
      <c r="EE308" s="7">
        <v>0.12</v>
      </c>
      <c r="EF308" s="7">
        <v>0.11849999999999999</v>
      </c>
      <c r="EG308" s="7">
        <v>0.11700000000000001</v>
      </c>
      <c r="EH308" s="7">
        <v>0.11550000000000001</v>
      </c>
      <c r="EI308" s="7">
        <v>0.1139</v>
      </c>
      <c r="EJ308" s="7">
        <v>0.1124</v>
      </c>
      <c r="EK308" s="7">
        <v>0.1108</v>
      </c>
      <c r="EL308" s="7">
        <v>0.1091</v>
      </c>
      <c r="EM308" s="7">
        <v>0.1075</v>
      </c>
      <c r="EN308" s="7">
        <v>0.10589999999999999</v>
      </c>
      <c r="EO308" s="7">
        <v>0.1042</v>
      </c>
      <c r="EP308" s="7">
        <v>0.10249999999999999</v>
      </c>
      <c r="EQ308" s="7">
        <v>0.1008</v>
      </c>
      <c r="ER308" s="7">
        <v>9.9099999999999994E-2</v>
      </c>
      <c r="ES308" s="7">
        <v>9.74E-2</v>
      </c>
      <c r="ET308" s="7">
        <v>9.5699999999999993E-2</v>
      </c>
      <c r="EU308" s="7">
        <v>9.4E-2</v>
      </c>
      <c r="EV308" s="7">
        <v>9.2200000000000004E-2</v>
      </c>
      <c r="EW308" s="7">
        <v>9.0499999999999997E-2</v>
      </c>
      <c r="EX308" s="7">
        <v>8.8800000000000004E-2</v>
      </c>
      <c r="EY308" s="7">
        <v>8.6999999999999994E-2</v>
      </c>
      <c r="EZ308" s="7">
        <v>8.5300000000000001E-2</v>
      </c>
      <c r="FA308" s="7">
        <v>8.3599999999999994E-2</v>
      </c>
      <c r="FB308" s="7">
        <v>8.1799999999999998E-2</v>
      </c>
      <c r="FC308" s="7">
        <v>0.08</v>
      </c>
      <c r="FE308" s="50">
        <f t="shared" ca="1" si="32"/>
        <v>0.13094031814010401</v>
      </c>
      <c r="FF308" s="50">
        <f t="shared" ca="1" si="33"/>
        <v>0.13176107016981739</v>
      </c>
      <c r="FG308" s="50">
        <f t="shared" ca="1" si="34"/>
        <v>0.13259100671140939</v>
      </c>
      <c r="FH308" s="50">
        <f t="shared" ca="1" si="35"/>
        <v>0.13339637583892616</v>
      </c>
      <c r="FI308" s="50"/>
      <c r="FJ308" s="50"/>
      <c r="FK308" s="50">
        <f t="shared" ca="1" si="31"/>
        <v>0.13176107016981739</v>
      </c>
      <c r="FL308" s="50"/>
      <c r="FM308" s="50"/>
      <c r="FN308" s="50"/>
    </row>
    <row r="309" spans="48:170" hidden="1">
      <c r="AW309" s="112">
        <v>81.283000000000001</v>
      </c>
      <c r="AX309" s="7">
        <v>0.21299999999999999</v>
      </c>
      <c r="AY309" s="7">
        <v>0.21149999999999999</v>
      </c>
      <c r="AZ309" s="7">
        <v>0.21</v>
      </c>
      <c r="BA309" s="7">
        <v>0.20860000000000001</v>
      </c>
      <c r="BB309" s="7">
        <v>0.2072</v>
      </c>
      <c r="BC309" s="7">
        <v>0.20580000000000001</v>
      </c>
      <c r="BD309" s="7">
        <v>0.2044</v>
      </c>
      <c r="BE309" s="7">
        <v>0.2031</v>
      </c>
      <c r="BF309" s="7">
        <v>0.20180000000000001</v>
      </c>
      <c r="BG309" s="7">
        <v>0.20050000000000001</v>
      </c>
      <c r="BH309" s="7">
        <v>0.1993</v>
      </c>
      <c r="BI309" s="7">
        <v>0.19800000000000001</v>
      </c>
      <c r="BJ309" s="7">
        <v>0.1968</v>
      </c>
      <c r="BK309" s="7">
        <v>0.1956</v>
      </c>
      <c r="BL309" s="7">
        <v>0.19439999999999999</v>
      </c>
      <c r="BM309" s="7">
        <v>0.1933</v>
      </c>
      <c r="BN309" s="7">
        <v>0.19209999999999999</v>
      </c>
      <c r="BO309" s="7">
        <v>0.191</v>
      </c>
      <c r="BP309" s="7">
        <v>0.18990000000000001</v>
      </c>
      <c r="BQ309" s="7">
        <v>0.1888</v>
      </c>
      <c r="BR309" s="7">
        <v>0.18779999999999999</v>
      </c>
      <c r="BS309" s="7">
        <v>0.1867</v>
      </c>
      <c r="BT309" s="7">
        <v>0.1857</v>
      </c>
      <c r="BU309" s="7">
        <v>0.18459999999999999</v>
      </c>
      <c r="BV309" s="7">
        <v>0.18360000000000001</v>
      </c>
      <c r="BW309" s="7">
        <v>0.18260000000000001</v>
      </c>
      <c r="BX309" s="7">
        <v>0.18160000000000001</v>
      </c>
      <c r="BY309" s="7">
        <v>0.1807</v>
      </c>
      <c r="BZ309" s="7">
        <v>0.1797</v>
      </c>
      <c r="CA309" s="7">
        <v>0.1787</v>
      </c>
      <c r="CB309" s="7">
        <v>0.17780000000000001</v>
      </c>
      <c r="CC309" s="7">
        <v>0.17680000000000001</v>
      </c>
      <c r="CD309" s="7">
        <v>0.1759</v>
      </c>
      <c r="CE309" s="7">
        <v>0.17499999999999999</v>
      </c>
      <c r="CF309" s="7">
        <v>0.17399999999999999</v>
      </c>
      <c r="CG309" s="7">
        <v>0.1731</v>
      </c>
      <c r="CH309" s="7">
        <v>0.17219999999999999</v>
      </c>
      <c r="CI309" s="7">
        <v>0.17130000000000001</v>
      </c>
      <c r="CJ309" s="7">
        <v>0.1704</v>
      </c>
      <c r="CK309" s="7">
        <v>0.16950000000000001</v>
      </c>
      <c r="CL309" s="7">
        <v>0.1686</v>
      </c>
      <c r="CM309" s="7">
        <v>0.16769999999999999</v>
      </c>
      <c r="CN309" s="7">
        <v>0.16689999999999999</v>
      </c>
      <c r="CO309" s="7">
        <v>0.16600000000000001</v>
      </c>
      <c r="CP309" s="7">
        <v>0.1651</v>
      </c>
      <c r="CQ309" s="7">
        <v>0.16420000000000001</v>
      </c>
      <c r="CR309" s="7">
        <v>0.1633</v>
      </c>
      <c r="CS309" s="7">
        <v>0.16239999999999999</v>
      </c>
      <c r="CT309" s="7">
        <v>0.1615</v>
      </c>
      <c r="CU309" s="7">
        <v>0.16059999999999999</v>
      </c>
      <c r="CV309" s="7">
        <v>0.15970000000000001</v>
      </c>
      <c r="CW309" s="7">
        <v>0.1588</v>
      </c>
      <c r="CX309" s="7">
        <v>0.15790000000000001</v>
      </c>
      <c r="CY309" s="7">
        <v>0.157</v>
      </c>
      <c r="CZ309" s="7">
        <v>0.15609999999999999</v>
      </c>
      <c r="DA309" s="7">
        <v>0.15509999999999999</v>
      </c>
      <c r="DB309" s="7">
        <v>0.1542</v>
      </c>
      <c r="DC309" s="7">
        <v>0.1532</v>
      </c>
      <c r="DD309" s="7">
        <v>0.15229999999999999</v>
      </c>
      <c r="DE309" s="7">
        <v>0.15129999999999999</v>
      </c>
      <c r="DF309" s="7">
        <v>0.15029999999999999</v>
      </c>
      <c r="DG309" s="7">
        <v>0.14929999999999999</v>
      </c>
      <c r="DH309" s="7">
        <v>0.14829999999999999</v>
      </c>
      <c r="DI309" s="7">
        <v>0.14729999999999999</v>
      </c>
      <c r="DJ309" s="7">
        <v>0.14630000000000001</v>
      </c>
      <c r="DK309" s="7">
        <v>0.1452</v>
      </c>
      <c r="DL309" s="7">
        <v>0.14419999999999999</v>
      </c>
      <c r="DM309" s="7">
        <v>0.1431</v>
      </c>
      <c r="DN309" s="7">
        <v>0.14199999999999999</v>
      </c>
      <c r="DO309" s="7">
        <v>0.1409</v>
      </c>
      <c r="DP309" s="7">
        <v>0.13969999999999999</v>
      </c>
      <c r="DQ309" s="7">
        <v>0.1386</v>
      </c>
      <c r="DR309" s="7">
        <v>0.13739999999999999</v>
      </c>
      <c r="DS309" s="7">
        <v>0.13619999999999999</v>
      </c>
      <c r="DT309" s="7">
        <v>0.13500000000000001</v>
      </c>
      <c r="DU309" s="7">
        <v>0.13370000000000001</v>
      </c>
      <c r="DV309" s="7">
        <v>0.13250000000000001</v>
      </c>
      <c r="DW309" s="7">
        <v>0.13120000000000001</v>
      </c>
      <c r="DX309" s="7">
        <v>0.12989999999999999</v>
      </c>
      <c r="DY309" s="7">
        <v>0.1285</v>
      </c>
      <c r="DZ309" s="7">
        <v>0.12720000000000001</v>
      </c>
      <c r="EA309" s="7">
        <v>0.1258</v>
      </c>
      <c r="EB309" s="7">
        <v>0.1244</v>
      </c>
      <c r="EC309" s="7">
        <v>0.123</v>
      </c>
      <c r="ED309" s="7">
        <v>0.1215</v>
      </c>
      <c r="EE309" s="7">
        <v>0.12</v>
      </c>
      <c r="EF309" s="7">
        <v>0.11849999999999999</v>
      </c>
      <c r="EG309" s="7">
        <v>0.11700000000000001</v>
      </c>
      <c r="EH309" s="7">
        <v>0.11550000000000001</v>
      </c>
      <c r="EI309" s="7">
        <v>0.1139</v>
      </c>
      <c r="EJ309" s="7">
        <v>0.1124</v>
      </c>
      <c r="EK309" s="7">
        <v>0.1108</v>
      </c>
      <c r="EL309" s="7">
        <v>0.1091</v>
      </c>
      <c r="EM309" s="7">
        <v>0.1075</v>
      </c>
      <c r="EN309" s="7">
        <v>0.10589999999999999</v>
      </c>
      <c r="EO309" s="7">
        <v>0.1042</v>
      </c>
      <c r="EP309" s="7">
        <v>0.10249999999999999</v>
      </c>
      <c r="EQ309" s="7">
        <v>0.1008</v>
      </c>
      <c r="ER309" s="7">
        <v>9.9099999999999994E-2</v>
      </c>
      <c r="ES309" s="7">
        <v>9.74E-2</v>
      </c>
      <c r="ET309" s="7">
        <v>9.5699999999999993E-2</v>
      </c>
      <c r="EU309" s="7">
        <v>9.4E-2</v>
      </c>
      <c r="EV309" s="7">
        <v>9.2200000000000004E-2</v>
      </c>
      <c r="EW309" s="7">
        <v>9.0499999999999997E-2</v>
      </c>
      <c r="EX309" s="7">
        <v>8.8800000000000004E-2</v>
      </c>
      <c r="EY309" s="7">
        <v>8.6999999999999994E-2</v>
      </c>
      <c r="EZ309" s="7">
        <v>8.5300000000000001E-2</v>
      </c>
      <c r="FA309" s="7">
        <v>8.3599999999999994E-2</v>
      </c>
      <c r="FB309" s="7">
        <v>8.1799999999999998E-2</v>
      </c>
      <c r="FC309" s="7">
        <v>8.0100000000000005E-2</v>
      </c>
      <c r="FE309" s="50">
        <f t="shared" ca="1" si="32"/>
        <v>0.13094031814010401</v>
      </c>
      <c r="FF309" s="50">
        <f t="shared" ca="1" si="33"/>
        <v>0.13176107016981739</v>
      </c>
      <c r="FG309" s="50">
        <f t="shared" ca="1" si="34"/>
        <v>0.13259100671140939</v>
      </c>
      <c r="FH309" s="50">
        <f t="shared" ca="1" si="35"/>
        <v>0.13339637583892616</v>
      </c>
      <c r="FI309" s="50"/>
      <c r="FJ309" s="50"/>
      <c r="FK309" s="50">
        <f t="shared" ca="1" si="31"/>
        <v>0.13176107016981739</v>
      </c>
      <c r="FL309" s="50"/>
      <c r="FM309" s="50"/>
      <c r="FN309" s="50"/>
    </row>
    <row r="310" spans="48:170" hidden="1">
      <c r="AW310" s="112">
        <v>87.096000000000004</v>
      </c>
      <c r="AX310" s="7">
        <v>0.21299999999999999</v>
      </c>
      <c r="AY310" s="7">
        <v>0.21149999999999999</v>
      </c>
      <c r="AZ310" s="7">
        <v>0.21</v>
      </c>
      <c r="BA310" s="7">
        <v>0.20860000000000001</v>
      </c>
      <c r="BB310" s="7">
        <v>0.2072</v>
      </c>
      <c r="BC310" s="7">
        <v>0.20580000000000001</v>
      </c>
      <c r="BD310" s="7">
        <v>0.2044</v>
      </c>
      <c r="BE310" s="7">
        <v>0.2031</v>
      </c>
      <c r="BF310" s="7">
        <v>0.20180000000000001</v>
      </c>
      <c r="BG310" s="7">
        <v>0.20050000000000001</v>
      </c>
      <c r="BH310" s="7">
        <v>0.1993</v>
      </c>
      <c r="BI310" s="7">
        <v>0.19800000000000001</v>
      </c>
      <c r="BJ310" s="7">
        <v>0.1968</v>
      </c>
      <c r="BK310" s="7">
        <v>0.1956</v>
      </c>
      <c r="BL310" s="7">
        <v>0.19439999999999999</v>
      </c>
      <c r="BM310" s="7">
        <v>0.1933</v>
      </c>
      <c r="BN310" s="7">
        <v>0.19209999999999999</v>
      </c>
      <c r="BO310" s="7">
        <v>0.191</v>
      </c>
      <c r="BP310" s="7">
        <v>0.18990000000000001</v>
      </c>
      <c r="BQ310" s="7">
        <v>0.1888</v>
      </c>
      <c r="BR310" s="7">
        <v>0.18779999999999999</v>
      </c>
      <c r="BS310" s="7">
        <v>0.1867</v>
      </c>
      <c r="BT310" s="7">
        <v>0.1857</v>
      </c>
      <c r="BU310" s="7">
        <v>0.18459999999999999</v>
      </c>
      <c r="BV310" s="7">
        <v>0.18360000000000001</v>
      </c>
      <c r="BW310" s="7">
        <v>0.18260000000000001</v>
      </c>
      <c r="BX310" s="7">
        <v>0.18160000000000001</v>
      </c>
      <c r="BY310" s="7">
        <v>0.1807</v>
      </c>
      <c r="BZ310" s="7">
        <v>0.1797</v>
      </c>
      <c r="CA310" s="7">
        <v>0.1787</v>
      </c>
      <c r="CB310" s="7">
        <v>0.17780000000000001</v>
      </c>
      <c r="CC310" s="7">
        <v>0.17680000000000001</v>
      </c>
      <c r="CD310" s="7">
        <v>0.1759</v>
      </c>
      <c r="CE310" s="7">
        <v>0.17499999999999999</v>
      </c>
      <c r="CF310" s="7">
        <v>0.17399999999999999</v>
      </c>
      <c r="CG310" s="7">
        <v>0.1731</v>
      </c>
      <c r="CH310" s="7">
        <v>0.17219999999999999</v>
      </c>
      <c r="CI310" s="7">
        <v>0.17130000000000001</v>
      </c>
      <c r="CJ310" s="7">
        <v>0.1704</v>
      </c>
      <c r="CK310" s="7">
        <v>0.16950000000000001</v>
      </c>
      <c r="CL310" s="7">
        <v>0.1686</v>
      </c>
      <c r="CM310" s="7">
        <v>0.16769999999999999</v>
      </c>
      <c r="CN310" s="7">
        <v>0.16689999999999999</v>
      </c>
      <c r="CO310" s="7">
        <v>0.16600000000000001</v>
      </c>
      <c r="CP310" s="7">
        <v>0.1651</v>
      </c>
      <c r="CQ310" s="7">
        <v>0.16420000000000001</v>
      </c>
      <c r="CR310" s="7">
        <v>0.1633</v>
      </c>
      <c r="CS310" s="7">
        <v>0.16239999999999999</v>
      </c>
      <c r="CT310" s="7">
        <v>0.1615</v>
      </c>
      <c r="CU310" s="7">
        <v>0.16059999999999999</v>
      </c>
      <c r="CV310" s="7">
        <v>0.15970000000000001</v>
      </c>
      <c r="CW310" s="7">
        <v>0.1588</v>
      </c>
      <c r="CX310" s="7">
        <v>0.15790000000000001</v>
      </c>
      <c r="CY310" s="7">
        <v>0.157</v>
      </c>
      <c r="CZ310" s="7">
        <v>0.15609999999999999</v>
      </c>
      <c r="DA310" s="7">
        <v>0.15509999999999999</v>
      </c>
      <c r="DB310" s="7">
        <v>0.1542</v>
      </c>
      <c r="DC310" s="7">
        <v>0.1532</v>
      </c>
      <c r="DD310" s="7">
        <v>0.15229999999999999</v>
      </c>
      <c r="DE310" s="7">
        <v>0.15129999999999999</v>
      </c>
      <c r="DF310" s="7">
        <v>0.15029999999999999</v>
      </c>
      <c r="DG310" s="7">
        <v>0.14929999999999999</v>
      </c>
      <c r="DH310" s="7">
        <v>0.14829999999999999</v>
      </c>
      <c r="DI310" s="7">
        <v>0.14729999999999999</v>
      </c>
      <c r="DJ310" s="7">
        <v>0.14630000000000001</v>
      </c>
      <c r="DK310" s="7">
        <v>0.1452</v>
      </c>
      <c r="DL310" s="7">
        <v>0.14419999999999999</v>
      </c>
      <c r="DM310" s="7">
        <v>0.1431</v>
      </c>
      <c r="DN310" s="7">
        <v>0.14199999999999999</v>
      </c>
      <c r="DO310" s="7">
        <v>0.1409</v>
      </c>
      <c r="DP310" s="7">
        <v>0.13969999999999999</v>
      </c>
      <c r="DQ310" s="7">
        <v>0.1386</v>
      </c>
      <c r="DR310" s="7">
        <v>0.13739999999999999</v>
      </c>
      <c r="DS310" s="7">
        <v>0.13619999999999999</v>
      </c>
      <c r="DT310" s="7">
        <v>0.13500000000000001</v>
      </c>
      <c r="DU310" s="7">
        <v>0.13370000000000001</v>
      </c>
      <c r="DV310" s="7">
        <v>0.13250000000000001</v>
      </c>
      <c r="DW310" s="7">
        <v>0.13120000000000001</v>
      </c>
      <c r="DX310" s="7">
        <v>0.12989999999999999</v>
      </c>
      <c r="DY310" s="7">
        <v>0.1285</v>
      </c>
      <c r="DZ310" s="7">
        <v>0.12720000000000001</v>
      </c>
      <c r="EA310" s="7">
        <v>0.1258</v>
      </c>
      <c r="EB310" s="7">
        <v>0.1244</v>
      </c>
      <c r="EC310" s="7">
        <v>0.123</v>
      </c>
      <c r="ED310" s="7">
        <v>0.1215</v>
      </c>
      <c r="EE310" s="7">
        <v>0.12</v>
      </c>
      <c r="EF310" s="7">
        <v>0.11849999999999999</v>
      </c>
      <c r="EG310" s="7">
        <v>0.11700000000000001</v>
      </c>
      <c r="EH310" s="7">
        <v>0.11550000000000001</v>
      </c>
      <c r="EI310" s="7">
        <v>0.1139</v>
      </c>
      <c r="EJ310" s="7">
        <v>0.1124</v>
      </c>
      <c r="EK310" s="7">
        <v>0.1108</v>
      </c>
      <c r="EL310" s="7">
        <v>0.1091</v>
      </c>
      <c r="EM310" s="7">
        <v>0.1075</v>
      </c>
      <c r="EN310" s="7">
        <v>0.10589999999999999</v>
      </c>
      <c r="EO310" s="7">
        <v>0.1042</v>
      </c>
      <c r="EP310" s="7">
        <v>0.10249999999999999</v>
      </c>
      <c r="EQ310" s="7">
        <v>0.1008</v>
      </c>
      <c r="ER310" s="7">
        <v>9.9099999999999994E-2</v>
      </c>
      <c r="ES310" s="7">
        <v>9.74E-2</v>
      </c>
      <c r="ET310" s="7">
        <v>9.5699999999999993E-2</v>
      </c>
      <c r="EU310" s="7">
        <v>9.4E-2</v>
      </c>
      <c r="EV310" s="7">
        <v>9.2200000000000004E-2</v>
      </c>
      <c r="EW310" s="7">
        <v>9.0499999999999997E-2</v>
      </c>
      <c r="EX310" s="7">
        <v>8.8800000000000004E-2</v>
      </c>
      <c r="EY310" s="7">
        <v>8.6999999999999994E-2</v>
      </c>
      <c r="EZ310" s="7">
        <v>8.5300000000000001E-2</v>
      </c>
      <c r="FA310" s="7">
        <v>8.3599999999999994E-2</v>
      </c>
      <c r="FB310" s="7">
        <v>8.1799999999999998E-2</v>
      </c>
      <c r="FC310" s="7">
        <v>8.0100000000000005E-2</v>
      </c>
      <c r="FE310" s="50">
        <f t="shared" ca="1" si="32"/>
        <v>0.13094031814010401</v>
      </c>
      <c r="FF310" s="50">
        <f t="shared" ca="1" si="33"/>
        <v>0.13176107016981739</v>
      </c>
      <c r="FG310" s="50">
        <f t="shared" ca="1" si="34"/>
        <v>0.13259100671140939</v>
      </c>
      <c r="FH310" s="50">
        <f t="shared" ca="1" si="35"/>
        <v>0.13339637583892616</v>
      </c>
      <c r="FI310" s="50"/>
      <c r="FJ310" s="50"/>
      <c r="FK310" s="50">
        <f t="shared" ca="1" si="31"/>
        <v>0.13176107016981739</v>
      </c>
      <c r="FL310" s="50"/>
      <c r="FM310" s="50"/>
      <c r="FN310" s="50"/>
    </row>
    <row r="311" spans="48:170" hidden="1">
      <c r="AW311" s="112">
        <v>93.325000000000003</v>
      </c>
      <c r="AX311" s="7">
        <v>0.21299999999999999</v>
      </c>
      <c r="AY311" s="7">
        <v>0.21149999999999999</v>
      </c>
      <c r="AZ311" s="7">
        <v>0.21</v>
      </c>
      <c r="BA311" s="7">
        <v>0.20860000000000001</v>
      </c>
      <c r="BB311" s="7">
        <v>0.2072</v>
      </c>
      <c r="BC311" s="7">
        <v>0.20580000000000001</v>
      </c>
      <c r="BD311" s="7">
        <v>0.2044</v>
      </c>
      <c r="BE311" s="7">
        <v>0.2031</v>
      </c>
      <c r="BF311" s="7">
        <v>0.20180000000000001</v>
      </c>
      <c r="BG311" s="7">
        <v>0.20050000000000001</v>
      </c>
      <c r="BH311" s="7">
        <v>0.1993</v>
      </c>
      <c r="BI311" s="7">
        <v>0.19800000000000001</v>
      </c>
      <c r="BJ311" s="7">
        <v>0.1968</v>
      </c>
      <c r="BK311" s="7">
        <v>0.1956</v>
      </c>
      <c r="BL311" s="7">
        <v>0.19439999999999999</v>
      </c>
      <c r="BM311" s="7">
        <v>0.1933</v>
      </c>
      <c r="BN311" s="7">
        <v>0.19209999999999999</v>
      </c>
      <c r="BO311" s="7">
        <v>0.191</v>
      </c>
      <c r="BP311" s="7">
        <v>0.18990000000000001</v>
      </c>
      <c r="BQ311" s="7">
        <v>0.1888</v>
      </c>
      <c r="BR311" s="7">
        <v>0.18779999999999999</v>
      </c>
      <c r="BS311" s="7">
        <v>0.1867</v>
      </c>
      <c r="BT311" s="7">
        <v>0.1857</v>
      </c>
      <c r="BU311" s="7">
        <v>0.18459999999999999</v>
      </c>
      <c r="BV311" s="7">
        <v>0.18360000000000001</v>
      </c>
      <c r="BW311" s="7">
        <v>0.18260000000000001</v>
      </c>
      <c r="BX311" s="7">
        <v>0.18160000000000001</v>
      </c>
      <c r="BY311" s="7">
        <v>0.1807</v>
      </c>
      <c r="BZ311" s="7">
        <v>0.1797</v>
      </c>
      <c r="CA311" s="7">
        <v>0.1787</v>
      </c>
      <c r="CB311" s="7">
        <v>0.17780000000000001</v>
      </c>
      <c r="CC311" s="7">
        <v>0.17680000000000001</v>
      </c>
      <c r="CD311" s="7">
        <v>0.1759</v>
      </c>
      <c r="CE311" s="7">
        <v>0.17499999999999999</v>
      </c>
      <c r="CF311" s="7">
        <v>0.17399999999999999</v>
      </c>
      <c r="CG311" s="7">
        <v>0.1731</v>
      </c>
      <c r="CH311" s="7">
        <v>0.17219999999999999</v>
      </c>
      <c r="CI311" s="7">
        <v>0.17130000000000001</v>
      </c>
      <c r="CJ311" s="7">
        <v>0.1704</v>
      </c>
      <c r="CK311" s="7">
        <v>0.16950000000000001</v>
      </c>
      <c r="CL311" s="7">
        <v>0.1686</v>
      </c>
      <c r="CM311" s="7">
        <v>0.16769999999999999</v>
      </c>
      <c r="CN311" s="7">
        <v>0.16689999999999999</v>
      </c>
      <c r="CO311" s="7">
        <v>0.16600000000000001</v>
      </c>
      <c r="CP311" s="7">
        <v>0.1651</v>
      </c>
      <c r="CQ311" s="7">
        <v>0.16420000000000001</v>
      </c>
      <c r="CR311" s="7">
        <v>0.1633</v>
      </c>
      <c r="CS311" s="7">
        <v>0.16239999999999999</v>
      </c>
      <c r="CT311" s="7">
        <v>0.1615</v>
      </c>
      <c r="CU311" s="7">
        <v>0.16059999999999999</v>
      </c>
      <c r="CV311" s="7">
        <v>0.15970000000000001</v>
      </c>
      <c r="CW311" s="7">
        <v>0.1588</v>
      </c>
      <c r="CX311" s="7">
        <v>0.15790000000000001</v>
      </c>
      <c r="CY311" s="7">
        <v>0.157</v>
      </c>
      <c r="CZ311" s="7">
        <v>0.15609999999999999</v>
      </c>
      <c r="DA311" s="7">
        <v>0.15509999999999999</v>
      </c>
      <c r="DB311" s="7">
        <v>0.1542</v>
      </c>
      <c r="DC311" s="7">
        <v>0.1532</v>
      </c>
      <c r="DD311" s="7">
        <v>0.15229999999999999</v>
      </c>
      <c r="DE311" s="7">
        <v>0.15129999999999999</v>
      </c>
      <c r="DF311" s="7">
        <v>0.15029999999999999</v>
      </c>
      <c r="DG311" s="7">
        <v>0.14929999999999999</v>
      </c>
      <c r="DH311" s="7">
        <v>0.14829999999999999</v>
      </c>
      <c r="DI311" s="7">
        <v>0.14729999999999999</v>
      </c>
      <c r="DJ311" s="7">
        <v>0.14630000000000001</v>
      </c>
      <c r="DK311" s="7">
        <v>0.1452</v>
      </c>
      <c r="DL311" s="7">
        <v>0.14419999999999999</v>
      </c>
      <c r="DM311" s="7">
        <v>0.1431</v>
      </c>
      <c r="DN311" s="7">
        <v>0.14199999999999999</v>
      </c>
      <c r="DO311" s="7">
        <v>0.1409</v>
      </c>
      <c r="DP311" s="7">
        <v>0.13969999999999999</v>
      </c>
      <c r="DQ311" s="7">
        <v>0.1386</v>
      </c>
      <c r="DR311" s="7">
        <v>0.13739999999999999</v>
      </c>
      <c r="DS311" s="7">
        <v>0.13619999999999999</v>
      </c>
      <c r="DT311" s="7">
        <v>0.13500000000000001</v>
      </c>
      <c r="DU311" s="7">
        <v>0.13370000000000001</v>
      </c>
      <c r="DV311" s="7">
        <v>0.13250000000000001</v>
      </c>
      <c r="DW311" s="7">
        <v>0.13120000000000001</v>
      </c>
      <c r="DX311" s="7">
        <v>0.12989999999999999</v>
      </c>
      <c r="DY311" s="7">
        <v>0.1285</v>
      </c>
      <c r="DZ311" s="7">
        <v>0.12720000000000001</v>
      </c>
      <c r="EA311" s="7">
        <v>0.1258</v>
      </c>
      <c r="EB311" s="7">
        <v>0.1244</v>
      </c>
      <c r="EC311" s="7">
        <v>0.123</v>
      </c>
      <c r="ED311" s="7">
        <v>0.1215</v>
      </c>
      <c r="EE311" s="7">
        <v>0.12</v>
      </c>
      <c r="EF311" s="7">
        <v>0.11849999999999999</v>
      </c>
      <c r="EG311" s="7">
        <v>0.11700000000000001</v>
      </c>
      <c r="EH311" s="7">
        <v>0.11550000000000001</v>
      </c>
      <c r="EI311" s="7">
        <v>0.1139</v>
      </c>
      <c r="EJ311" s="7">
        <v>0.1124</v>
      </c>
      <c r="EK311" s="7">
        <v>0.1108</v>
      </c>
      <c r="EL311" s="7">
        <v>0.1091</v>
      </c>
      <c r="EM311" s="7">
        <v>0.1075</v>
      </c>
      <c r="EN311" s="7">
        <v>0.10589999999999999</v>
      </c>
      <c r="EO311" s="7">
        <v>0.1042</v>
      </c>
      <c r="EP311" s="7">
        <v>0.10249999999999999</v>
      </c>
      <c r="EQ311" s="7">
        <v>0.1008</v>
      </c>
      <c r="ER311" s="7">
        <v>9.9099999999999994E-2</v>
      </c>
      <c r="ES311" s="7">
        <v>9.74E-2</v>
      </c>
      <c r="ET311" s="7">
        <v>9.5699999999999993E-2</v>
      </c>
      <c r="EU311" s="7">
        <v>9.4E-2</v>
      </c>
      <c r="EV311" s="7">
        <v>9.2200000000000004E-2</v>
      </c>
      <c r="EW311" s="7">
        <v>9.0499999999999997E-2</v>
      </c>
      <c r="EX311" s="7">
        <v>8.8800000000000004E-2</v>
      </c>
      <c r="EY311" s="7">
        <v>8.6999999999999994E-2</v>
      </c>
      <c r="EZ311" s="7">
        <v>8.5300000000000001E-2</v>
      </c>
      <c r="FA311" s="7">
        <v>8.3599999999999994E-2</v>
      </c>
      <c r="FB311" s="7">
        <v>8.1799999999999998E-2</v>
      </c>
      <c r="FC311" s="7">
        <v>8.0100000000000005E-2</v>
      </c>
      <c r="FE311" s="50">
        <f t="shared" ca="1" si="32"/>
        <v>0.13094031814010401</v>
      </c>
      <c r="FF311" s="50">
        <f t="shared" ca="1" si="33"/>
        <v>0.13176107016981739</v>
      </c>
      <c r="FG311" s="50">
        <f t="shared" ca="1" si="34"/>
        <v>0.13259100671140939</v>
      </c>
      <c r="FH311" s="50">
        <f t="shared" ca="1" si="35"/>
        <v>0.13339637583892616</v>
      </c>
      <c r="FI311" s="50"/>
      <c r="FJ311" s="50"/>
      <c r="FK311" s="50">
        <f t="shared" ca="1" si="31"/>
        <v>0.13176107016981739</v>
      </c>
      <c r="FL311" s="50"/>
      <c r="FM311" s="50"/>
      <c r="FN311" s="50"/>
    </row>
    <row r="312" spans="48:170" hidden="1">
      <c r="AW312" s="112">
        <v>100</v>
      </c>
      <c r="AX312" s="7">
        <v>0.21299999999999999</v>
      </c>
      <c r="AY312" s="7">
        <v>0.21149999999999999</v>
      </c>
      <c r="AZ312" s="7">
        <v>0.21</v>
      </c>
      <c r="BA312" s="7">
        <v>0.20860000000000001</v>
      </c>
      <c r="BB312" s="7">
        <v>0.2072</v>
      </c>
      <c r="BC312" s="7">
        <v>0.20580000000000001</v>
      </c>
      <c r="BD312" s="7">
        <v>0.2044</v>
      </c>
      <c r="BE312" s="7">
        <v>0.2031</v>
      </c>
      <c r="BF312" s="7">
        <v>0.20180000000000001</v>
      </c>
      <c r="BG312" s="7">
        <v>0.20050000000000001</v>
      </c>
      <c r="BH312" s="7">
        <v>0.1993</v>
      </c>
      <c r="BI312" s="7">
        <v>0.19800000000000001</v>
      </c>
      <c r="BJ312" s="7">
        <v>0.1968</v>
      </c>
      <c r="BK312" s="7">
        <v>0.1956</v>
      </c>
      <c r="BL312" s="7">
        <v>0.19439999999999999</v>
      </c>
      <c r="BM312" s="7">
        <v>0.1933</v>
      </c>
      <c r="BN312" s="7">
        <v>0.19209999999999999</v>
      </c>
      <c r="BO312" s="7">
        <v>0.191</v>
      </c>
      <c r="BP312" s="7">
        <v>0.18990000000000001</v>
      </c>
      <c r="BQ312" s="7">
        <v>0.1888</v>
      </c>
      <c r="BR312" s="7">
        <v>0.18779999999999999</v>
      </c>
      <c r="BS312" s="7">
        <v>0.1867</v>
      </c>
      <c r="BT312" s="7">
        <v>0.1857</v>
      </c>
      <c r="BU312" s="7">
        <v>0.18459999999999999</v>
      </c>
      <c r="BV312" s="7">
        <v>0.18360000000000001</v>
      </c>
      <c r="BW312" s="7">
        <v>0.18260000000000001</v>
      </c>
      <c r="BX312" s="7">
        <v>0.18160000000000001</v>
      </c>
      <c r="BY312" s="7">
        <v>0.1807</v>
      </c>
      <c r="BZ312" s="7">
        <v>0.1797</v>
      </c>
      <c r="CA312" s="7">
        <v>0.1787</v>
      </c>
      <c r="CB312" s="7">
        <v>0.17780000000000001</v>
      </c>
      <c r="CC312" s="7">
        <v>0.17680000000000001</v>
      </c>
      <c r="CD312" s="7">
        <v>0.1759</v>
      </c>
      <c r="CE312" s="7">
        <v>0.17499999999999999</v>
      </c>
      <c r="CF312" s="7">
        <v>0.17399999999999999</v>
      </c>
      <c r="CG312" s="7">
        <v>0.1731</v>
      </c>
      <c r="CH312" s="7">
        <v>0.17219999999999999</v>
      </c>
      <c r="CI312" s="7">
        <v>0.17130000000000001</v>
      </c>
      <c r="CJ312" s="7">
        <v>0.1704</v>
      </c>
      <c r="CK312" s="7">
        <v>0.16950000000000001</v>
      </c>
      <c r="CL312" s="7">
        <v>0.1686</v>
      </c>
      <c r="CM312" s="7">
        <v>0.16769999999999999</v>
      </c>
      <c r="CN312" s="7">
        <v>0.16689999999999999</v>
      </c>
      <c r="CO312" s="7">
        <v>0.16600000000000001</v>
      </c>
      <c r="CP312" s="7">
        <v>0.1651</v>
      </c>
      <c r="CQ312" s="7">
        <v>0.16420000000000001</v>
      </c>
      <c r="CR312" s="7">
        <v>0.1633</v>
      </c>
      <c r="CS312" s="7">
        <v>0.16239999999999999</v>
      </c>
      <c r="CT312" s="7">
        <v>0.1615</v>
      </c>
      <c r="CU312" s="7">
        <v>0.16059999999999999</v>
      </c>
      <c r="CV312" s="7">
        <v>0.15970000000000001</v>
      </c>
      <c r="CW312" s="7">
        <v>0.1588</v>
      </c>
      <c r="CX312" s="7">
        <v>0.15790000000000001</v>
      </c>
      <c r="CY312" s="7">
        <v>0.157</v>
      </c>
      <c r="CZ312" s="7">
        <v>0.15609999999999999</v>
      </c>
      <c r="DA312" s="7">
        <v>0.15509999999999999</v>
      </c>
      <c r="DB312" s="7">
        <v>0.1542</v>
      </c>
      <c r="DC312" s="7">
        <v>0.1532</v>
      </c>
      <c r="DD312" s="7">
        <v>0.15229999999999999</v>
      </c>
      <c r="DE312" s="7">
        <v>0.15129999999999999</v>
      </c>
      <c r="DF312" s="7">
        <v>0.15029999999999999</v>
      </c>
      <c r="DG312" s="7">
        <v>0.14929999999999999</v>
      </c>
      <c r="DH312" s="7">
        <v>0.14829999999999999</v>
      </c>
      <c r="DI312" s="7">
        <v>0.14729999999999999</v>
      </c>
      <c r="DJ312" s="7">
        <v>0.14630000000000001</v>
      </c>
      <c r="DK312" s="7">
        <v>0.1452</v>
      </c>
      <c r="DL312" s="7">
        <v>0.14419999999999999</v>
      </c>
      <c r="DM312" s="7">
        <v>0.1431</v>
      </c>
      <c r="DN312" s="7">
        <v>0.14199999999999999</v>
      </c>
      <c r="DO312" s="7">
        <v>0.1409</v>
      </c>
      <c r="DP312" s="7">
        <v>0.13969999999999999</v>
      </c>
      <c r="DQ312" s="7">
        <v>0.1386</v>
      </c>
      <c r="DR312" s="7">
        <v>0.13739999999999999</v>
      </c>
      <c r="DS312" s="7">
        <v>0.13619999999999999</v>
      </c>
      <c r="DT312" s="7">
        <v>0.13500000000000001</v>
      </c>
      <c r="DU312" s="7">
        <v>0.13370000000000001</v>
      </c>
      <c r="DV312" s="7">
        <v>0.13250000000000001</v>
      </c>
      <c r="DW312" s="7">
        <v>0.13120000000000001</v>
      </c>
      <c r="DX312" s="7">
        <v>0.12989999999999999</v>
      </c>
      <c r="DY312" s="7">
        <v>0.1285</v>
      </c>
      <c r="DZ312" s="7">
        <v>0.12720000000000001</v>
      </c>
      <c r="EA312" s="7">
        <v>0.1258</v>
      </c>
      <c r="EB312" s="7">
        <v>0.1244</v>
      </c>
      <c r="EC312" s="7">
        <v>0.123</v>
      </c>
      <c r="ED312" s="7">
        <v>0.1215</v>
      </c>
      <c r="EE312" s="7">
        <v>0.12</v>
      </c>
      <c r="EF312" s="7">
        <v>0.11849999999999999</v>
      </c>
      <c r="EG312" s="7">
        <v>0.11700000000000001</v>
      </c>
      <c r="EH312" s="7">
        <v>0.11550000000000001</v>
      </c>
      <c r="EI312" s="7">
        <v>0.1139</v>
      </c>
      <c r="EJ312" s="7">
        <v>0.1124</v>
      </c>
      <c r="EK312" s="7">
        <v>0.1108</v>
      </c>
      <c r="EL312" s="7">
        <v>0.1091</v>
      </c>
      <c r="EM312" s="7">
        <v>0.1075</v>
      </c>
      <c r="EN312" s="7">
        <v>0.10589999999999999</v>
      </c>
      <c r="EO312" s="7">
        <v>0.1042</v>
      </c>
      <c r="EP312" s="7">
        <v>0.10249999999999999</v>
      </c>
      <c r="EQ312" s="7">
        <v>0.1008</v>
      </c>
      <c r="ER312" s="7">
        <v>9.9099999999999994E-2</v>
      </c>
      <c r="ES312" s="7">
        <v>9.74E-2</v>
      </c>
      <c r="ET312" s="7">
        <v>9.5699999999999993E-2</v>
      </c>
      <c r="EU312" s="7">
        <v>9.4E-2</v>
      </c>
      <c r="EV312" s="7">
        <v>9.2200000000000004E-2</v>
      </c>
      <c r="EW312" s="7">
        <v>9.0499999999999997E-2</v>
      </c>
      <c r="EX312" s="7">
        <v>8.8800000000000004E-2</v>
      </c>
      <c r="EY312" s="7">
        <v>8.6999999999999994E-2</v>
      </c>
      <c r="EZ312" s="7">
        <v>8.5300000000000001E-2</v>
      </c>
      <c r="FA312" s="7">
        <v>8.3599999999999994E-2</v>
      </c>
      <c r="FB312" s="7">
        <v>8.1799999999999998E-2</v>
      </c>
      <c r="FC312" s="7">
        <v>8.0100000000000005E-2</v>
      </c>
      <c r="FE312" s="50">
        <f t="shared" ca="1" si="32"/>
        <v>0.13094031814010401</v>
      </c>
      <c r="FF312" s="50">
        <f t="shared" ca="1" si="33"/>
        <v>0.13176107016981739</v>
      </c>
      <c r="FG312" s="50">
        <f t="shared" ca="1" si="34"/>
        <v>0.13259100671140939</v>
      </c>
      <c r="FH312" s="50">
        <f t="shared" ca="1" si="35"/>
        <v>0.13339637583892616</v>
      </c>
      <c r="FI312" s="50"/>
      <c r="FJ312" s="50"/>
      <c r="FK312" s="50">
        <f t="shared" ca="1" si="31"/>
        <v>0.13176107016981739</v>
      </c>
      <c r="FL312" s="50"/>
      <c r="FM312" s="50"/>
      <c r="FN312" s="50"/>
    </row>
    <row r="313" spans="48:170" hidden="1"/>
    <row r="314" spans="48:170" hidden="1">
      <c r="AV314" s="43" t="s">
        <v>205</v>
      </c>
      <c r="AW314" s="44" t="s">
        <v>206</v>
      </c>
    </row>
    <row r="315" spans="48:170" hidden="1"/>
    <row r="316" spans="48:170" hidden="1">
      <c r="AW316" s="112"/>
      <c r="AX316" s="112">
        <v>2</v>
      </c>
      <c r="AY316" s="112">
        <v>2.0939999999999999</v>
      </c>
      <c r="AZ316" s="112">
        <v>2.1930000000000001</v>
      </c>
      <c r="BA316" s="112">
        <v>2.2959999999999998</v>
      </c>
      <c r="BB316" s="112">
        <v>2.4049999999999998</v>
      </c>
      <c r="BC316" s="112">
        <v>2.5179999999999998</v>
      </c>
      <c r="BD316" s="112">
        <v>2.637</v>
      </c>
      <c r="BE316" s="112">
        <v>2.7610000000000001</v>
      </c>
      <c r="BF316" s="112">
        <v>2.891</v>
      </c>
      <c r="BG316" s="112">
        <v>3.0270000000000001</v>
      </c>
      <c r="BH316" s="112">
        <v>3.17</v>
      </c>
      <c r="BI316" s="112">
        <v>3.319</v>
      </c>
      <c r="BJ316" s="112">
        <v>3.476</v>
      </c>
      <c r="BK316" s="112">
        <v>3.6389999999999998</v>
      </c>
      <c r="BL316" s="112">
        <v>3.8109999999999999</v>
      </c>
      <c r="BM316" s="112">
        <v>3.9910000000000001</v>
      </c>
      <c r="BN316" s="112">
        <v>4.1790000000000003</v>
      </c>
      <c r="BO316" s="112">
        <v>4.3760000000000003</v>
      </c>
      <c r="BP316" s="112">
        <v>4.5819999999999999</v>
      </c>
      <c r="BQ316" s="112">
        <v>4.798</v>
      </c>
      <c r="BR316" s="112">
        <v>5.024</v>
      </c>
      <c r="BS316" s="112">
        <v>5.2610000000000001</v>
      </c>
      <c r="BT316" s="112">
        <v>5.508</v>
      </c>
      <c r="BU316" s="112">
        <v>5.7679999999999998</v>
      </c>
      <c r="BV316" s="112">
        <v>6.04</v>
      </c>
      <c r="BW316" s="112">
        <v>6.3250000000000002</v>
      </c>
      <c r="BX316" s="112">
        <v>6.6230000000000002</v>
      </c>
      <c r="BY316" s="112">
        <v>6.9349999999999996</v>
      </c>
      <c r="BZ316" s="112">
        <v>7.2619999999999996</v>
      </c>
      <c r="CA316" s="112">
        <v>7.6040000000000001</v>
      </c>
      <c r="CB316" s="112">
        <v>7.9619999999999997</v>
      </c>
      <c r="CC316" s="112">
        <v>8.3369999999999997</v>
      </c>
      <c r="CD316" s="112">
        <v>8.73</v>
      </c>
      <c r="CE316" s="112">
        <v>9.1419999999999995</v>
      </c>
      <c r="CF316" s="112">
        <v>9.5730000000000004</v>
      </c>
      <c r="CG316" s="112">
        <v>10.023999999999999</v>
      </c>
      <c r="CH316" s="112">
        <v>10.496</v>
      </c>
      <c r="CI316" s="112">
        <v>10.991</v>
      </c>
      <c r="CJ316" s="112">
        <v>11.509</v>
      </c>
      <c r="CK316" s="112">
        <v>12.051</v>
      </c>
      <c r="CL316" s="112">
        <v>12.619</v>
      </c>
      <c r="CM316" s="112">
        <v>13.214</v>
      </c>
      <c r="CN316" s="112">
        <v>13.837</v>
      </c>
      <c r="CO316" s="112">
        <v>14.489000000000001</v>
      </c>
      <c r="CP316" s="112">
        <v>15.172000000000001</v>
      </c>
      <c r="CQ316" s="112">
        <v>15.887</v>
      </c>
      <c r="CR316" s="112">
        <v>16.635000000000002</v>
      </c>
      <c r="CS316" s="112">
        <v>17.419</v>
      </c>
      <c r="CT316" s="112">
        <v>18.239999999999998</v>
      </c>
      <c r="CU316" s="112">
        <v>19.100000000000001</v>
      </c>
      <c r="CV316" s="112">
        <v>20</v>
      </c>
      <c r="CW316" s="112">
        <v>20.943000000000001</v>
      </c>
      <c r="CX316" s="112">
        <v>21.93</v>
      </c>
      <c r="CY316" s="112">
        <v>22.963000000000001</v>
      </c>
      <c r="CZ316" s="112">
        <v>24.045000000000002</v>
      </c>
      <c r="DA316" s="112">
        <v>25.178999999999998</v>
      </c>
      <c r="DB316" s="112">
        <v>26.364999999999998</v>
      </c>
      <c r="DC316" s="112">
        <v>27.608000000000001</v>
      </c>
      <c r="DD316" s="112">
        <v>28.908999999999999</v>
      </c>
      <c r="DE316" s="112">
        <v>30.271000000000001</v>
      </c>
      <c r="DF316" s="112">
        <v>31.698</v>
      </c>
      <c r="DG316" s="112">
        <v>33.192</v>
      </c>
      <c r="DH316" s="112">
        <v>34.756</v>
      </c>
      <c r="DI316" s="112">
        <v>36.393999999999998</v>
      </c>
      <c r="DJ316" s="112">
        <v>38.109000000000002</v>
      </c>
      <c r="DK316" s="112">
        <v>39.905000000000001</v>
      </c>
      <c r="DL316" s="112">
        <v>41.786000000000001</v>
      </c>
      <c r="DM316" s="112">
        <v>43.755000000000003</v>
      </c>
      <c r="DN316" s="112">
        <v>45.817</v>
      </c>
      <c r="DO316" s="112">
        <v>47.976999999999997</v>
      </c>
      <c r="DP316" s="112">
        <v>50.238</v>
      </c>
      <c r="DQ316" s="112">
        <v>52.604999999999997</v>
      </c>
      <c r="DR316" s="112">
        <v>55.085000000000001</v>
      </c>
      <c r="DS316" s="112">
        <v>57.680999999999997</v>
      </c>
      <c r="DT316" s="112">
        <v>60.399000000000001</v>
      </c>
      <c r="DU316" s="112">
        <v>63.246000000000002</v>
      </c>
      <c r="DV316" s="112">
        <v>66.225999999999999</v>
      </c>
      <c r="DW316" s="112">
        <v>69.346999999999994</v>
      </c>
      <c r="DX316" s="112">
        <v>72.616</v>
      </c>
      <c r="DY316" s="112">
        <v>76.037999999999997</v>
      </c>
      <c r="DZ316" s="112">
        <v>79.620999999999995</v>
      </c>
      <c r="EA316" s="112">
        <v>83.373999999999995</v>
      </c>
      <c r="EB316" s="112">
        <v>87.302999999999997</v>
      </c>
      <c r="EC316" s="112">
        <v>91.418000000000006</v>
      </c>
      <c r="ED316" s="112">
        <v>95.725999999999999</v>
      </c>
      <c r="EE316" s="112">
        <v>100.23699999999999</v>
      </c>
      <c r="EF316" s="112">
        <v>104.961</v>
      </c>
      <c r="EG316" s="112">
        <v>109.908</v>
      </c>
      <c r="EH316" s="112">
        <v>115.08799999999999</v>
      </c>
      <c r="EI316" s="112">
        <v>120.512</v>
      </c>
      <c r="EJ316" s="112">
        <v>126.191</v>
      </c>
      <c r="EK316" s="112">
        <v>132.13900000000001</v>
      </c>
      <c r="EL316" s="112">
        <v>138.36600000000001</v>
      </c>
      <c r="EM316" s="112">
        <v>144.887</v>
      </c>
      <c r="EN316" s="112">
        <v>151.71600000000001</v>
      </c>
      <c r="EO316" s="112">
        <v>158.86600000000001</v>
      </c>
      <c r="EP316" s="112">
        <v>166.35300000000001</v>
      </c>
      <c r="EQ316" s="112">
        <v>174.19300000000001</v>
      </c>
      <c r="ER316" s="112">
        <v>182.40199999999999</v>
      </c>
      <c r="ES316" s="112">
        <v>190.999</v>
      </c>
      <c r="ET316" s="112">
        <v>200</v>
      </c>
      <c r="EU316" s="112">
        <v>209.42599999999999</v>
      </c>
      <c r="EV316" s="112">
        <v>219.29599999999999</v>
      </c>
      <c r="EW316" s="112">
        <v>229.631</v>
      </c>
      <c r="EX316" s="112">
        <v>240.453</v>
      </c>
      <c r="EY316" s="112">
        <v>251.785</v>
      </c>
      <c r="EZ316" s="112">
        <v>263.65100000000001</v>
      </c>
      <c r="FA316" s="112">
        <v>276.077</v>
      </c>
      <c r="FB316" s="112">
        <v>289.08800000000002</v>
      </c>
      <c r="FC316" s="112">
        <v>302.71199999999999</v>
      </c>
    </row>
    <row r="317" spans="48:170" hidden="1">
      <c r="AW317" s="112">
        <v>0.1</v>
      </c>
      <c r="AX317" s="7">
        <v>0.67410000000000003</v>
      </c>
      <c r="AY317" s="7">
        <v>0.68300000000000005</v>
      </c>
      <c r="AZ317" s="7">
        <v>0.69169999999999998</v>
      </c>
      <c r="BA317" s="7">
        <v>0.70020000000000004</v>
      </c>
      <c r="BB317" s="7">
        <v>0.70850000000000002</v>
      </c>
      <c r="BC317" s="7">
        <v>0.7167</v>
      </c>
      <c r="BD317" s="7">
        <v>0.72470000000000001</v>
      </c>
      <c r="BE317" s="7">
        <v>0.73250000000000004</v>
      </c>
      <c r="BF317" s="7">
        <v>0.74019999999999997</v>
      </c>
      <c r="BG317" s="7">
        <v>0.74770000000000003</v>
      </c>
      <c r="BH317" s="7">
        <v>0.755</v>
      </c>
      <c r="BI317" s="7">
        <v>0.76229999999999998</v>
      </c>
      <c r="BJ317" s="7">
        <v>0.76939999999999997</v>
      </c>
      <c r="BK317" s="7">
        <v>0.77629999999999999</v>
      </c>
      <c r="BL317" s="7">
        <v>0.78310000000000002</v>
      </c>
      <c r="BM317" s="7">
        <v>0.78979999999999995</v>
      </c>
      <c r="BN317" s="7">
        <v>0.7964</v>
      </c>
      <c r="BO317" s="7">
        <v>0.80279999999999996</v>
      </c>
      <c r="BP317" s="7">
        <v>0.80920000000000003</v>
      </c>
      <c r="BQ317" s="7">
        <v>0.81540000000000001</v>
      </c>
      <c r="BR317" s="7">
        <v>0.82150000000000001</v>
      </c>
      <c r="BS317" s="7">
        <v>0.82750000000000001</v>
      </c>
      <c r="BT317" s="7">
        <v>0.83340000000000003</v>
      </c>
      <c r="BU317" s="7">
        <v>0.83919999999999995</v>
      </c>
      <c r="BV317" s="7">
        <v>0.84489999999999998</v>
      </c>
      <c r="BW317" s="7">
        <v>0.85050000000000003</v>
      </c>
      <c r="BX317" s="7">
        <v>0.85599999999999998</v>
      </c>
      <c r="BY317" s="7">
        <v>0.86140000000000005</v>
      </c>
      <c r="BZ317" s="7">
        <v>0.86670000000000003</v>
      </c>
      <c r="CA317" s="7">
        <v>0.87190000000000001</v>
      </c>
      <c r="CB317" s="7">
        <v>0.87709999999999999</v>
      </c>
      <c r="CC317" s="7">
        <v>0.8821</v>
      </c>
      <c r="CD317" s="7">
        <v>0.8871</v>
      </c>
      <c r="CE317" s="7">
        <v>0.89200000000000002</v>
      </c>
      <c r="CF317" s="7">
        <v>0.89690000000000003</v>
      </c>
      <c r="CG317" s="7">
        <v>0.90159999999999996</v>
      </c>
      <c r="CH317" s="7">
        <v>0.90629999999999999</v>
      </c>
      <c r="CI317" s="7">
        <v>0.91090000000000004</v>
      </c>
      <c r="CJ317" s="7">
        <v>0.91539999999999999</v>
      </c>
      <c r="CK317" s="7">
        <v>0.91990000000000005</v>
      </c>
      <c r="CL317" s="7">
        <v>0.92430000000000001</v>
      </c>
      <c r="CM317" s="7">
        <v>0.92869999999999997</v>
      </c>
      <c r="CN317" s="7">
        <v>0.93289999999999995</v>
      </c>
      <c r="CO317" s="7">
        <v>0.93710000000000004</v>
      </c>
      <c r="CP317" s="7">
        <v>0.94130000000000003</v>
      </c>
      <c r="CQ317" s="7">
        <v>0.94540000000000002</v>
      </c>
      <c r="CR317" s="7">
        <v>0.94940000000000002</v>
      </c>
      <c r="CS317" s="7">
        <v>0.95340000000000003</v>
      </c>
      <c r="CT317" s="7">
        <v>0.95730000000000004</v>
      </c>
      <c r="CU317" s="7">
        <v>0.96120000000000005</v>
      </c>
      <c r="CV317" s="7">
        <v>0.96499999999999997</v>
      </c>
      <c r="CW317" s="7">
        <v>0.96879999999999999</v>
      </c>
      <c r="CX317" s="7">
        <v>0.97250000000000003</v>
      </c>
      <c r="CY317" s="7">
        <v>0.97619999999999996</v>
      </c>
      <c r="CZ317" s="7">
        <v>0.9798</v>
      </c>
      <c r="DA317" s="7">
        <v>0.98340000000000005</v>
      </c>
      <c r="DB317" s="7">
        <v>0.9869</v>
      </c>
      <c r="DC317" s="7">
        <v>0.99039999999999995</v>
      </c>
      <c r="DD317" s="7">
        <v>0.99380000000000002</v>
      </c>
      <c r="DE317" s="7">
        <v>0.99719999999999998</v>
      </c>
      <c r="DF317" s="7">
        <v>1.0009999999999999</v>
      </c>
      <c r="DG317" s="7">
        <v>1.0009999999999999</v>
      </c>
      <c r="DH317" s="7">
        <v>1.0009999999999999</v>
      </c>
      <c r="DI317" s="7">
        <v>1.0009999999999999</v>
      </c>
      <c r="DJ317" s="7">
        <v>1.0009999999999999</v>
      </c>
      <c r="DK317" s="7">
        <v>1.0009999999999999</v>
      </c>
      <c r="DL317" s="7">
        <v>1.0009999999999999</v>
      </c>
      <c r="DM317" s="7">
        <v>1.0009999999999999</v>
      </c>
      <c r="DN317" s="7">
        <v>1.0009999999999999</v>
      </c>
      <c r="DO317" s="7">
        <v>1.0009999999999999</v>
      </c>
      <c r="DP317" s="7">
        <v>1.0009999999999999</v>
      </c>
      <c r="DQ317" s="7">
        <v>1.0009999999999999</v>
      </c>
      <c r="DR317" s="7">
        <v>1.0009999999999999</v>
      </c>
      <c r="DS317" s="7">
        <v>1.0009999999999999</v>
      </c>
      <c r="DT317" s="7">
        <v>1.0009999999999999</v>
      </c>
      <c r="DU317" s="7">
        <v>1.0009999999999999</v>
      </c>
      <c r="DV317" s="7">
        <v>1.0009999999999999</v>
      </c>
      <c r="DW317" s="7">
        <v>1.0009999999999999</v>
      </c>
      <c r="DX317" s="7">
        <v>1.0009999999999999</v>
      </c>
      <c r="DY317" s="7">
        <v>1.0009999999999999</v>
      </c>
      <c r="DZ317" s="7">
        <v>1.0009999999999999</v>
      </c>
      <c r="EA317" s="7">
        <v>1.0009999999999999</v>
      </c>
      <c r="EB317" s="7">
        <v>1.0009999999999999</v>
      </c>
      <c r="EC317" s="7">
        <v>1.0009999999999999</v>
      </c>
      <c r="ED317" s="7">
        <v>1.0009999999999999</v>
      </c>
      <c r="EE317" s="7">
        <v>1.0009999999999999</v>
      </c>
      <c r="EF317" s="7">
        <v>1.0009999999999999</v>
      </c>
      <c r="EG317" s="7">
        <v>1.0009999999999999</v>
      </c>
      <c r="EH317" s="7">
        <v>1.0009999999999999</v>
      </c>
      <c r="EI317" s="7">
        <v>1.0009999999999999</v>
      </c>
      <c r="EJ317" s="7">
        <v>1.0009999999999999</v>
      </c>
      <c r="EK317" s="7">
        <v>1.0009999999999999</v>
      </c>
      <c r="EL317" s="7">
        <v>1.0009999999999999</v>
      </c>
      <c r="EM317" s="7">
        <v>1.0009999999999999</v>
      </c>
      <c r="EN317" s="7">
        <v>1.0009999999999999</v>
      </c>
      <c r="EO317" s="7">
        <v>1.0009999999999999</v>
      </c>
      <c r="EP317" s="7">
        <v>1.0009999999999999</v>
      </c>
      <c r="EQ317" s="7">
        <v>1.0009999999999999</v>
      </c>
      <c r="ER317" s="7">
        <v>1.0009999999999999</v>
      </c>
      <c r="ES317" s="7">
        <v>1.0009999999999999</v>
      </c>
      <c r="ET317" s="7">
        <v>1.0009999999999999</v>
      </c>
      <c r="EU317" s="7">
        <v>1.0009999999999999</v>
      </c>
      <c r="EV317" s="7">
        <v>1.0009999999999999</v>
      </c>
      <c r="EW317" s="7">
        <v>1.0009999999999999</v>
      </c>
      <c r="EX317" s="7">
        <v>1.0009999999999999</v>
      </c>
      <c r="EY317" s="7">
        <v>1.0009999999999999</v>
      </c>
      <c r="EZ317" s="7">
        <v>1.0009999999999999</v>
      </c>
      <c r="FA317" s="7">
        <v>1.0009999999999999</v>
      </c>
      <c r="FB317" s="7">
        <v>1.0009999999999999</v>
      </c>
      <c r="FC317" s="7">
        <v>1.0009999999999999</v>
      </c>
      <c r="FE317" s="50">
        <f ca="1">FORECAST(J$39,OFFSET($AX317,0,MATCH(J$39,$AX$316:$FC$316,1)-1,1,2),OFFSET($AX$316,0,MATCH(J$39,$AX$316:$FC$316,1)-1,1,2))</f>
        <v>1.0009999999999999</v>
      </c>
      <c r="FF317" s="50">
        <f ca="1">FORECAST(L$39,OFFSET($AX317,0,MATCH(L$39,$AX$316:$FC$316,1)-1,1,2),OFFSET($AX$316,0,MATCH(L$39,$AX$316:$FC$316,1)-1,1,2))</f>
        <v>1.0009999999999999</v>
      </c>
      <c r="FG317" s="50">
        <f ca="1">FORECAST(N$39,OFFSET($AX317,0,MATCH(N$39,$AX$316:$FC$316,1)-1,1,2),OFFSET($AX$316,0,MATCH(N$39,$AX$316:$FC$316,1)-1,1,2))</f>
        <v>1.0009999999999999</v>
      </c>
      <c r="FH317" s="50">
        <f ca="1">FORECAST(P$39,OFFSET($AX317,0,MATCH(P$39,$AX$316:$FC$316,1)-1,1,2),OFFSET($AX$316,0,MATCH(P$39,$AX$316:$FC$316,1)-1,1,2))</f>
        <v>1.0009999999999999</v>
      </c>
      <c r="FI317" s="50"/>
      <c r="FK317" s="50">
        <f t="shared" ref="FK317:FK348" ca="1" si="36">FORECAST(AN$22,OFFSET($AX317,0,MATCH(AN$22,$AX$316:$FC$316,1)-1,1,2),OFFSET($AX$316,0,MATCH(AN$22,$AX$316:$FC$316,1)-1,1,2))</f>
        <v>1.0009999999999999</v>
      </c>
      <c r="FL317" s="50"/>
      <c r="FM317" s="50"/>
      <c r="FN317" s="50"/>
    </row>
    <row r="318" spans="48:170" hidden="1">
      <c r="AW318" s="112">
        <v>0.107</v>
      </c>
      <c r="AX318" s="7">
        <v>0.67120000000000002</v>
      </c>
      <c r="AY318" s="7">
        <v>0.68</v>
      </c>
      <c r="AZ318" s="7">
        <v>0.68869999999999998</v>
      </c>
      <c r="BA318" s="7">
        <v>0.69710000000000005</v>
      </c>
      <c r="BB318" s="7">
        <v>0.70540000000000003</v>
      </c>
      <c r="BC318" s="7">
        <v>0.71350000000000002</v>
      </c>
      <c r="BD318" s="7">
        <v>0.72150000000000003</v>
      </c>
      <c r="BE318" s="7">
        <v>0.72929999999999995</v>
      </c>
      <c r="BF318" s="7">
        <v>0.7369</v>
      </c>
      <c r="BG318" s="7">
        <v>0.74439999999999995</v>
      </c>
      <c r="BH318" s="7">
        <v>0.75170000000000003</v>
      </c>
      <c r="BI318" s="7">
        <v>0.75890000000000002</v>
      </c>
      <c r="BJ318" s="7">
        <v>0.76600000000000001</v>
      </c>
      <c r="BK318" s="7">
        <v>0.77290000000000003</v>
      </c>
      <c r="BL318" s="7">
        <v>0.77969999999999995</v>
      </c>
      <c r="BM318" s="7">
        <v>0.78639999999999999</v>
      </c>
      <c r="BN318" s="7">
        <v>0.79290000000000005</v>
      </c>
      <c r="BO318" s="7">
        <v>0.79930000000000001</v>
      </c>
      <c r="BP318" s="7">
        <v>0.80559999999999998</v>
      </c>
      <c r="BQ318" s="7">
        <v>0.81179999999999997</v>
      </c>
      <c r="BR318" s="7">
        <v>0.81789999999999996</v>
      </c>
      <c r="BS318" s="7">
        <v>0.82389999999999997</v>
      </c>
      <c r="BT318" s="7">
        <v>0.82969999999999999</v>
      </c>
      <c r="BU318" s="7">
        <v>0.83550000000000002</v>
      </c>
      <c r="BV318" s="7">
        <v>0.84119999999999995</v>
      </c>
      <c r="BW318" s="7">
        <v>0.84670000000000001</v>
      </c>
      <c r="BX318" s="7">
        <v>0.85219999999999996</v>
      </c>
      <c r="BY318" s="7">
        <v>0.85760000000000003</v>
      </c>
      <c r="BZ318" s="7">
        <v>0.8629</v>
      </c>
      <c r="CA318" s="7">
        <v>0.86809999999999998</v>
      </c>
      <c r="CB318" s="7">
        <v>0.87319999999999998</v>
      </c>
      <c r="CC318" s="7">
        <v>0.87829999999999997</v>
      </c>
      <c r="CD318" s="7">
        <v>0.88329999999999997</v>
      </c>
      <c r="CE318" s="7">
        <v>0.8881</v>
      </c>
      <c r="CF318" s="7">
        <v>0.89290000000000003</v>
      </c>
      <c r="CG318" s="7">
        <v>0.89770000000000005</v>
      </c>
      <c r="CH318" s="7">
        <v>0.90229999999999999</v>
      </c>
      <c r="CI318" s="7">
        <v>0.90690000000000004</v>
      </c>
      <c r="CJ318" s="7">
        <v>0.91139999999999999</v>
      </c>
      <c r="CK318" s="7">
        <v>0.91590000000000005</v>
      </c>
      <c r="CL318" s="7">
        <v>0.92030000000000001</v>
      </c>
      <c r="CM318" s="7">
        <v>0.92459999999999998</v>
      </c>
      <c r="CN318" s="7">
        <v>0.92889999999999995</v>
      </c>
      <c r="CO318" s="7">
        <v>0.93310000000000004</v>
      </c>
      <c r="CP318" s="7">
        <v>0.93720000000000003</v>
      </c>
      <c r="CQ318" s="7">
        <v>0.94130000000000003</v>
      </c>
      <c r="CR318" s="7">
        <v>0.94530000000000003</v>
      </c>
      <c r="CS318" s="7">
        <v>0.94930000000000003</v>
      </c>
      <c r="CT318" s="7">
        <v>0.95320000000000005</v>
      </c>
      <c r="CU318" s="7">
        <v>0.95699999999999996</v>
      </c>
      <c r="CV318" s="7">
        <v>0.96079999999999999</v>
      </c>
      <c r="CW318" s="7">
        <v>0.96460000000000001</v>
      </c>
      <c r="CX318" s="7">
        <v>0.96830000000000005</v>
      </c>
      <c r="CY318" s="7">
        <v>0.97189999999999999</v>
      </c>
      <c r="CZ318" s="7">
        <v>0.97550000000000003</v>
      </c>
      <c r="DA318" s="7">
        <v>0.97909999999999997</v>
      </c>
      <c r="DB318" s="7">
        <v>0.98260000000000003</v>
      </c>
      <c r="DC318" s="7">
        <v>0.98609999999999998</v>
      </c>
      <c r="DD318" s="7">
        <v>0.98950000000000005</v>
      </c>
      <c r="DE318" s="7">
        <v>0.9929</v>
      </c>
      <c r="DF318" s="7">
        <v>0.99619999999999997</v>
      </c>
      <c r="DG318" s="7">
        <v>0.99950000000000006</v>
      </c>
      <c r="DH318" s="7">
        <v>1.0009999999999999</v>
      </c>
      <c r="DI318" s="7">
        <v>1.0009999999999999</v>
      </c>
      <c r="DJ318" s="7">
        <v>1.0009999999999999</v>
      </c>
      <c r="DK318" s="7">
        <v>1.0009999999999999</v>
      </c>
      <c r="DL318" s="7">
        <v>1.0009999999999999</v>
      </c>
      <c r="DM318" s="7">
        <v>1.0009999999999999</v>
      </c>
      <c r="DN318" s="7">
        <v>1.0009999999999999</v>
      </c>
      <c r="DO318" s="7">
        <v>1.0009999999999999</v>
      </c>
      <c r="DP318" s="7">
        <v>1.0009999999999999</v>
      </c>
      <c r="DQ318" s="7">
        <v>1.0009999999999999</v>
      </c>
      <c r="DR318" s="7">
        <v>1.0009999999999999</v>
      </c>
      <c r="DS318" s="7">
        <v>1.0009999999999999</v>
      </c>
      <c r="DT318" s="7">
        <v>1.0009999999999999</v>
      </c>
      <c r="DU318" s="7">
        <v>1.0009999999999999</v>
      </c>
      <c r="DV318" s="7">
        <v>1.0009999999999999</v>
      </c>
      <c r="DW318" s="7">
        <v>1.0009999999999999</v>
      </c>
      <c r="DX318" s="7">
        <v>1.0009999999999999</v>
      </c>
      <c r="DY318" s="7">
        <v>1.0009999999999999</v>
      </c>
      <c r="DZ318" s="7">
        <v>1.0009999999999999</v>
      </c>
      <c r="EA318" s="7">
        <v>1.0009999999999999</v>
      </c>
      <c r="EB318" s="7">
        <v>1.0009999999999999</v>
      </c>
      <c r="EC318" s="7">
        <v>1.0009999999999999</v>
      </c>
      <c r="ED318" s="7">
        <v>1.0009999999999999</v>
      </c>
      <c r="EE318" s="7">
        <v>1.0009999999999999</v>
      </c>
      <c r="EF318" s="7">
        <v>1.0009999999999999</v>
      </c>
      <c r="EG318" s="7">
        <v>1.0009999999999999</v>
      </c>
      <c r="EH318" s="7">
        <v>1.0009999999999999</v>
      </c>
      <c r="EI318" s="7">
        <v>1.0009999999999999</v>
      </c>
      <c r="EJ318" s="7">
        <v>1.0009999999999999</v>
      </c>
      <c r="EK318" s="7">
        <v>1.0009999999999999</v>
      </c>
      <c r="EL318" s="7">
        <v>1.0009999999999999</v>
      </c>
      <c r="EM318" s="7">
        <v>1.0009999999999999</v>
      </c>
      <c r="EN318" s="7">
        <v>1.0009999999999999</v>
      </c>
      <c r="EO318" s="7">
        <v>1.0009999999999999</v>
      </c>
      <c r="EP318" s="7">
        <v>1.0009999999999999</v>
      </c>
      <c r="EQ318" s="7">
        <v>1.0009999999999999</v>
      </c>
      <c r="ER318" s="7">
        <v>1.0009999999999999</v>
      </c>
      <c r="ES318" s="7">
        <v>1.0009999999999999</v>
      </c>
      <c r="ET318" s="7">
        <v>1.0009999999999999</v>
      </c>
      <c r="EU318" s="7">
        <v>1.0009999999999999</v>
      </c>
      <c r="EV318" s="7">
        <v>1.0009999999999999</v>
      </c>
      <c r="EW318" s="7">
        <v>1.0009999999999999</v>
      </c>
      <c r="EX318" s="7">
        <v>1.0009999999999999</v>
      </c>
      <c r="EY318" s="7">
        <v>1.0009999999999999</v>
      </c>
      <c r="EZ318" s="7">
        <v>1.0009999999999999</v>
      </c>
      <c r="FA318" s="7">
        <v>1.0009999999999999</v>
      </c>
      <c r="FB318" s="7">
        <v>1.0009999999999999</v>
      </c>
      <c r="FC318" s="7">
        <v>1.0009999999999999</v>
      </c>
      <c r="FE318" s="50">
        <f t="shared" ref="FE318:FE381" ca="1" si="37">FORECAST(J$39,OFFSET($AX318,0,MATCH(J$39,$AX$316:$FC$316,1)-1,1,2),OFFSET($AX$316,0,MATCH(J$39,$AX$316:$FC$316,1)-1,1,2))</f>
        <v>1.0009999999999999</v>
      </c>
      <c r="FF318" s="50">
        <f t="shared" ref="FF318:FF381" ca="1" si="38">FORECAST(L$39,OFFSET($AX318,0,MATCH(L$39,$AX$316:$FC$316,1)-1,1,2),OFFSET($AX$316,0,MATCH(L$39,$AX$316:$FC$316,1)-1,1,2))</f>
        <v>1.0009999999999999</v>
      </c>
      <c r="FG318" s="50">
        <f t="shared" ref="FG318:FG381" ca="1" si="39">FORECAST(N$39,OFFSET($AX318,0,MATCH(N$39,$AX$316:$FC$316,1)-1,1,2),OFFSET($AX$316,0,MATCH(N$39,$AX$316:$FC$316,1)-1,1,2))</f>
        <v>1.0009999999999999</v>
      </c>
      <c r="FH318" s="50">
        <f t="shared" ref="FH318:FH381" ca="1" si="40">FORECAST(P$39,OFFSET($AX318,0,MATCH(P$39,$AX$316:$FC$316,1)-1,1,2),OFFSET($AX$316,0,MATCH(P$39,$AX$316:$FC$316,1)-1,1,2))</f>
        <v>1.0009999999999999</v>
      </c>
      <c r="FI318" s="50"/>
      <c r="FK318" s="50">
        <f t="shared" ca="1" si="36"/>
        <v>1.0009999999999999</v>
      </c>
      <c r="FL318" s="50"/>
      <c r="FM318" s="50"/>
      <c r="FN318" s="50"/>
    </row>
    <row r="319" spans="48:170" hidden="1">
      <c r="AW319" s="112">
        <v>0.115</v>
      </c>
      <c r="AX319" s="7">
        <v>0.66830000000000001</v>
      </c>
      <c r="AY319" s="7">
        <v>0.67710000000000004</v>
      </c>
      <c r="AZ319" s="7">
        <v>0.68569999999999998</v>
      </c>
      <c r="BA319" s="7">
        <v>0.69410000000000005</v>
      </c>
      <c r="BB319" s="7">
        <v>0.70240000000000002</v>
      </c>
      <c r="BC319" s="7">
        <v>0.71050000000000002</v>
      </c>
      <c r="BD319" s="7">
        <v>0.71840000000000004</v>
      </c>
      <c r="BE319" s="7">
        <v>0.72619999999999996</v>
      </c>
      <c r="BF319" s="7">
        <v>0.73380000000000001</v>
      </c>
      <c r="BG319" s="7">
        <v>0.74119999999999997</v>
      </c>
      <c r="BH319" s="7">
        <v>0.74850000000000005</v>
      </c>
      <c r="BI319" s="7">
        <v>0.75570000000000004</v>
      </c>
      <c r="BJ319" s="7">
        <v>0.76270000000000004</v>
      </c>
      <c r="BK319" s="7">
        <v>0.76959999999999995</v>
      </c>
      <c r="BL319" s="7">
        <v>0.77639999999999998</v>
      </c>
      <c r="BM319" s="7">
        <v>0.78300000000000003</v>
      </c>
      <c r="BN319" s="7">
        <v>0.78949999999999998</v>
      </c>
      <c r="BO319" s="7">
        <v>0.79590000000000005</v>
      </c>
      <c r="BP319" s="7">
        <v>0.80220000000000002</v>
      </c>
      <c r="BQ319" s="7">
        <v>0.80830000000000002</v>
      </c>
      <c r="BR319" s="7">
        <v>0.81440000000000001</v>
      </c>
      <c r="BS319" s="7">
        <v>0.82030000000000003</v>
      </c>
      <c r="BT319" s="7">
        <v>0.82620000000000005</v>
      </c>
      <c r="BU319" s="7">
        <v>0.83189999999999997</v>
      </c>
      <c r="BV319" s="7">
        <v>0.83760000000000001</v>
      </c>
      <c r="BW319" s="7">
        <v>0.84309999999999996</v>
      </c>
      <c r="BX319" s="7">
        <v>0.84860000000000002</v>
      </c>
      <c r="BY319" s="7">
        <v>0.85389999999999999</v>
      </c>
      <c r="BZ319" s="7">
        <v>0.85919999999999996</v>
      </c>
      <c r="CA319" s="7">
        <v>0.86439999999999995</v>
      </c>
      <c r="CB319" s="7">
        <v>0.86950000000000005</v>
      </c>
      <c r="CC319" s="7">
        <v>0.87450000000000006</v>
      </c>
      <c r="CD319" s="7">
        <v>0.87949999999999995</v>
      </c>
      <c r="CE319" s="7">
        <v>0.88429999999999997</v>
      </c>
      <c r="CF319" s="7">
        <v>0.8891</v>
      </c>
      <c r="CG319" s="7">
        <v>0.89380000000000004</v>
      </c>
      <c r="CH319" s="7">
        <v>0.89849999999999997</v>
      </c>
      <c r="CI319" s="7">
        <v>0.90300000000000002</v>
      </c>
      <c r="CJ319" s="7">
        <v>0.90749999999999997</v>
      </c>
      <c r="CK319" s="7">
        <v>0.91200000000000003</v>
      </c>
      <c r="CL319" s="7">
        <v>0.9163</v>
      </c>
      <c r="CM319" s="7">
        <v>0.92059999999999997</v>
      </c>
      <c r="CN319" s="7">
        <v>0.92490000000000006</v>
      </c>
      <c r="CO319" s="7">
        <v>0.92900000000000005</v>
      </c>
      <c r="CP319" s="7">
        <v>0.93320000000000003</v>
      </c>
      <c r="CQ319" s="7">
        <v>0.93720000000000003</v>
      </c>
      <c r="CR319" s="7">
        <v>0.94120000000000004</v>
      </c>
      <c r="CS319" s="7">
        <v>0.94520000000000004</v>
      </c>
      <c r="CT319" s="7">
        <v>0.94910000000000005</v>
      </c>
      <c r="CU319" s="7">
        <v>0.95289999999999997</v>
      </c>
      <c r="CV319" s="7">
        <v>0.95669999999999999</v>
      </c>
      <c r="CW319" s="7">
        <v>0.96040000000000003</v>
      </c>
      <c r="CX319" s="7">
        <v>0.96409999999999996</v>
      </c>
      <c r="CY319" s="7">
        <v>0.96779999999999999</v>
      </c>
      <c r="CZ319" s="7">
        <v>0.97130000000000005</v>
      </c>
      <c r="DA319" s="7">
        <v>0.97489999999999999</v>
      </c>
      <c r="DB319" s="7">
        <v>0.97840000000000005</v>
      </c>
      <c r="DC319" s="7">
        <v>0.98180000000000001</v>
      </c>
      <c r="DD319" s="7">
        <v>0.98519999999999996</v>
      </c>
      <c r="DE319" s="7">
        <v>0.98860000000000003</v>
      </c>
      <c r="DF319" s="7">
        <v>0.9919</v>
      </c>
      <c r="DG319" s="7">
        <v>0.99519999999999997</v>
      </c>
      <c r="DH319" s="7">
        <v>0.99850000000000005</v>
      </c>
      <c r="DI319" s="7">
        <v>1.0009999999999999</v>
      </c>
      <c r="DJ319" s="7">
        <v>1.0009999999999999</v>
      </c>
      <c r="DK319" s="7">
        <v>1.0009999999999999</v>
      </c>
      <c r="DL319" s="7">
        <v>1.0009999999999999</v>
      </c>
      <c r="DM319" s="7">
        <v>1.0009999999999999</v>
      </c>
      <c r="DN319" s="7">
        <v>1.0009999999999999</v>
      </c>
      <c r="DO319" s="7">
        <v>1.0009999999999999</v>
      </c>
      <c r="DP319" s="7">
        <v>1.0009999999999999</v>
      </c>
      <c r="DQ319" s="7">
        <v>1.0009999999999999</v>
      </c>
      <c r="DR319" s="7">
        <v>1.0009999999999999</v>
      </c>
      <c r="DS319" s="7">
        <v>1.0009999999999999</v>
      </c>
      <c r="DT319" s="7">
        <v>1.0009999999999999</v>
      </c>
      <c r="DU319" s="7">
        <v>1.0009999999999999</v>
      </c>
      <c r="DV319" s="7">
        <v>1.0009999999999999</v>
      </c>
      <c r="DW319" s="7">
        <v>1.0009999999999999</v>
      </c>
      <c r="DX319" s="7">
        <v>1.0009999999999999</v>
      </c>
      <c r="DY319" s="7">
        <v>1.0009999999999999</v>
      </c>
      <c r="DZ319" s="7">
        <v>1.0009999999999999</v>
      </c>
      <c r="EA319" s="7">
        <v>1.0009999999999999</v>
      </c>
      <c r="EB319" s="7">
        <v>1.0009999999999999</v>
      </c>
      <c r="EC319" s="7">
        <v>1.0009999999999999</v>
      </c>
      <c r="ED319" s="7">
        <v>1.0009999999999999</v>
      </c>
      <c r="EE319" s="7">
        <v>1.0009999999999999</v>
      </c>
      <c r="EF319" s="7">
        <v>1.0009999999999999</v>
      </c>
      <c r="EG319" s="7">
        <v>1.0009999999999999</v>
      </c>
      <c r="EH319" s="7">
        <v>1.0009999999999999</v>
      </c>
      <c r="EI319" s="7">
        <v>1.0009999999999999</v>
      </c>
      <c r="EJ319" s="7">
        <v>1.0009999999999999</v>
      </c>
      <c r="EK319" s="7">
        <v>1.0009999999999999</v>
      </c>
      <c r="EL319" s="7">
        <v>1.0009999999999999</v>
      </c>
      <c r="EM319" s="7">
        <v>1.0009999999999999</v>
      </c>
      <c r="EN319" s="7">
        <v>1.0009999999999999</v>
      </c>
      <c r="EO319" s="7">
        <v>1.0009999999999999</v>
      </c>
      <c r="EP319" s="7">
        <v>1.0009999999999999</v>
      </c>
      <c r="EQ319" s="7">
        <v>1.0009999999999999</v>
      </c>
      <c r="ER319" s="7">
        <v>1.0009999999999999</v>
      </c>
      <c r="ES319" s="7">
        <v>1.0009999999999999</v>
      </c>
      <c r="ET319" s="7">
        <v>1.0009999999999999</v>
      </c>
      <c r="EU319" s="7">
        <v>1.0009999999999999</v>
      </c>
      <c r="EV319" s="7">
        <v>1.0009999999999999</v>
      </c>
      <c r="EW319" s="7">
        <v>1.0009999999999999</v>
      </c>
      <c r="EX319" s="7">
        <v>1.0009999999999999</v>
      </c>
      <c r="EY319" s="7">
        <v>1.0009999999999999</v>
      </c>
      <c r="EZ319" s="7">
        <v>1.0009999999999999</v>
      </c>
      <c r="FA319" s="7">
        <v>1.0009999999999999</v>
      </c>
      <c r="FB319" s="7">
        <v>1.0009999999999999</v>
      </c>
      <c r="FC319" s="7">
        <v>1.0009999999999999</v>
      </c>
      <c r="FE319" s="50">
        <f t="shared" ca="1" si="37"/>
        <v>1.0009999999999999</v>
      </c>
      <c r="FF319" s="50">
        <f t="shared" ca="1" si="38"/>
        <v>1.0009999999999999</v>
      </c>
      <c r="FG319" s="50">
        <f t="shared" ca="1" si="39"/>
        <v>1.0009999999999999</v>
      </c>
      <c r="FH319" s="50">
        <f t="shared" ca="1" si="40"/>
        <v>1.0009999999999999</v>
      </c>
      <c r="FI319" s="50"/>
      <c r="FK319" s="50">
        <f t="shared" ca="1" si="36"/>
        <v>1.0009999999999999</v>
      </c>
      <c r="FL319" s="50"/>
      <c r="FM319" s="50"/>
      <c r="FN319" s="50"/>
    </row>
    <row r="320" spans="48:170" hidden="1">
      <c r="AW320" s="112">
        <v>0.123</v>
      </c>
      <c r="AX320" s="7">
        <v>0.66549999999999998</v>
      </c>
      <c r="AY320" s="7">
        <v>0.67420000000000002</v>
      </c>
      <c r="AZ320" s="7">
        <v>0.68279999999999996</v>
      </c>
      <c r="BA320" s="7">
        <v>0.69120000000000004</v>
      </c>
      <c r="BB320" s="7">
        <v>0.69940000000000002</v>
      </c>
      <c r="BC320" s="7">
        <v>0.70750000000000002</v>
      </c>
      <c r="BD320" s="7">
        <v>0.71530000000000005</v>
      </c>
      <c r="BE320" s="7">
        <v>0.72309999999999997</v>
      </c>
      <c r="BF320" s="7">
        <v>0.73060000000000003</v>
      </c>
      <c r="BG320" s="7">
        <v>0.73809999999999998</v>
      </c>
      <c r="BH320" s="7">
        <v>0.74529999999999996</v>
      </c>
      <c r="BI320" s="7">
        <v>0.75249999999999995</v>
      </c>
      <c r="BJ320" s="7">
        <v>0.75949999999999995</v>
      </c>
      <c r="BK320" s="7">
        <v>0.76629999999999998</v>
      </c>
      <c r="BL320" s="7">
        <v>0.77310000000000001</v>
      </c>
      <c r="BM320" s="7">
        <v>0.77969999999999995</v>
      </c>
      <c r="BN320" s="7">
        <v>0.78620000000000001</v>
      </c>
      <c r="BO320" s="7">
        <v>0.79249999999999998</v>
      </c>
      <c r="BP320" s="7">
        <v>0.79879999999999995</v>
      </c>
      <c r="BQ320" s="7">
        <v>0.80489999999999995</v>
      </c>
      <c r="BR320" s="7">
        <v>0.81089999999999995</v>
      </c>
      <c r="BS320" s="7">
        <v>0.81689999999999996</v>
      </c>
      <c r="BT320" s="7">
        <v>0.82269999999999999</v>
      </c>
      <c r="BU320" s="7">
        <v>0.82840000000000003</v>
      </c>
      <c r="BV320" s="7">
        <v>0.83399999999999996</v>
      </c>
      <c r="BW320" s="7">
        <v>0.83950000000000002</v>
      </c>
      <c r="BX320" s="7">
        <v>0.84499999999999997</v>
      </c>
      <c r="BY320" s="7">
        <v>0.85029999999999994</v>
      </c>
      <c r="BZ320" s="7">
        <v>0.85560000000000003</v>
      </c>
      <c r="CA320" s="7">
        <v>0.86070000000000002</v>
      </c>
      <c r="CB320" s="7">
        <v>0.86580000000000001</v>
      </c>
      <c r="CC320" s="7">
        <v>0.87080000000000002</v>
      </c>
      <c r="CD320" s="7">
        <v>0.87570000000000003</v>
      </c>
      <c r="CE320" s="7">
        <v>0.88060000000000005</v>
      </c>
      <c r="CF320" s="7">
        <v>0.88529999999999998</v>
      </c>
      <c r="CG320" s="7">
        <v>0.89</v>
      </c>
      <c r="CH320" s="7">
        <v>0.89459999999999995</v>
      </c>
      <c r="CI320" s="7">
        <v>0.8992</v>
      </c>
      <c r="CJ320" s="7">
        <v>0.90369999999999995</v>
      </c>
      <c r="CK320" s="7">
        <v>0.90810000000000002</v>
      </c>
      <c r="CL320" s="7">
        <v>0.91239999999999999</v>
      </c>
      <c r="CM320" s="7">
        <v>0.91669999999999996</v>
      </c>
      <c r="CN320" s="7">
        <v>0.92090000000000005</v>
      </c>
      <c r="CO320" s="7">
        <v>0.92510000000000003</v>
      </c>
      <c r="CP320" s="7">
        <v>0.92920000000000003</v>
      </c>
      <c r="CQ320" s="7">
        <v>0.93330000000000002</v>
      </c>
      <c r="CR320" s="7">
        <v>0.93720000000000003</v>
      </c>
      <c r="CS320" s="7">
        <v>0.94120000000000004</v>
      </c>
      <c r="CT320" s="7">
        <v>0.94499999999999995</v>
      </c>
      <c r="CU320" s="7">
        <v>0.94889999999999997</v>
      </c>
      <c r="CV320" s="7">
        <v>0.9526</v>
      </c>
      <c r="CW320" s="7">
        <v>0.95640000000000003</v>
      </c>
      <c r="CX320" s="7">
        <v>0.96</v>
      </c>
      <c r="CY320" s="7">
        <v>0.9637</v>
      </c>
      <c r="CZ320" s="7">
        <v>0.96719999999999995</v>
      </c>
      <c r="DA320" s="7">
        <v>0.9708</v>
      </c>
      <c r="DB320" s="7">
        <v>0.97419999999999995</v>
      </c>
      <c r="DC320" s="7">
        <v>0.97770000000000001</v>
      </c>
      <c r="DD320" s="7">
        <v>0.98109999999999997</v>
      </c>
      <c r="DE320" s="7">
        <v>0.98440000000000005</v>
      </c>
      <c r="DF320" s="7">
        <v>0.98770000000000002</v>
      </c>
      <c r="DG320" s="7">
        <v>0.99099999999999999</v>
      </c>
      <c r="DH320" s="7">
        <v>0.99419999999999997</v>
      </c>
      <c r="DI320" s="7">
        <v>0.99739999999999995</v>
      </c>
      <c r="DJ320" s="7">
        <v>1.0009999999999999</v>
      </c>
      <c r="DK320" s="7">
        <v>1.0009999999999999</v>
      </c>
      <c r="DL320" s="7">
        <v>1.0009999999999999</v>
      </c>
      <c r="DM320" s="7">
        <v>1.0009999999999999</v>
      </c>
      <c r="DN320" s="7">
        <v>1.0009999999999999</v>
      </c>
      <c r="DO320" s="7">
        <v>1.0009999999999999</v>
      </c>
      <c r="DP320" s="7">
        <v>1.0009999999999999</v>
      </c>
      <c r="DQ320" s="7">
        <v>1.0009999999999999</v>
      </c>
      <c r="DR320" s="7">
        <v>1.0009999999999999</v>
      </c>
      <c r="DS320" s="7">
        <v>1.0009999999999999</v>
      </c>
      <c r="DT320" s="7">
        <v>1.0009999999999999</v>
      </c>
      <c r="DU320" s="7">
        <v>1.0009999999999999</v>
      </c>
      <c r="DV320" s="7">
        <v>1.0009999999999999</v>
      </c>
      <c r="DW320" s="7">
        <v>1.0009999999999999</v>
      </c>
      <c r="DX320" s="7">
        <v>1.0009999999999999</v>
      </c>
      <c r="DY320" s="7">
        <v>1.0009999999999999</v>
      </c>
      <c r="DZ320" s="7">
        <v>1.0009999999999999</v>
      </c>
      <c r="EA320" s="7">
        <v>1.0009999999999999</v>
      </c>
      <c r="EB320" s="7">
        <v>1.0009999999999999</v>
      </c>
      <c r="EC320" s="7">
        <v>1.0009999999999999</v>
      </c>
      <c r="ED320" s="7">
        <v>1.0009999999999999</v>
      </c>
      <c r="EE320" s="7">
        <v>1.0009999999999999</v>
      </c>
      <c r="EF320" s="7">
        <v>1.0009999999999999</v>
      </c>
      <c r="EG320" s="7">
        <v>1.0009999999999999</v>
      </c>
      <c r="EH320" s="7">
        <v>1.0009999999999999</v>
      </c>
      <c r="EI320" s="7">
        <v>1.0009999999999999</v>
      </c>
      <c r="EJ320" s="7">
        <v>1.0009999999999999</v>
      </c>
      <c r="EK320" s="7">
        <v>1.0009999999999999</v>
      </c>
      <c r="EL320" s="7">
        <v>1.0009999999999999</v>
      </c>
      <c r="EM320" s="7">
        <v>1.0009999999999999</v>
      </c>
      <c r="EN320" s="7">
        <v>1.0009999999999999</v>
      </c>
      <c r="EO320" s="7">
        <v>1.0009999999999999</v>
      </c>
      <c r="EP320" s="7">
        <v>1.0009999999999999</v>
      </c>
      <c r="EQ320" s="7">
        <v>1.0009999999999999</v>
      </c>
      <c r="ER320" s="7">
        <v>1.0009999999999999</v>
      </c>
      <c r="ES320" s="7">
        <v>1.0009999999999999</v>
      </c>
      <c r="ET320" s="7">
        <v>1.0009999999999999</v>
      </c>
      <c r="EU320" s="7">
        <v>1.0009999999999999</v>
      </c>
      <c r="EV320" s="7">
        <v>1.0009999999999999</v>
      </c>
      <c r="EW320" s="7">
        <v>1.0009999999999999</v>
      </c>
      <c r="EX320" s="7">
        <v>1.0009999999999999</v>
      </c>
      <c r="EY320" s="7">
        <v>1.0009999999999999</v>
      </c>
      <c r="EZ320" s="7">
        <v>1.0009999999999999</v>
      </c>
      <c r="FA320" s="7">
        <v>1.0009999999999999</v>
      </c>
      <c r="FB320" s="7">
        <v>1.0009999999999999</v>
      </c>
      <c r="FC320" s="7">
        <v>1.0009999999999999</v>
      </c>
      <c r="FE320" s="50">
        <f t="shared" ca="1" si="37"/>
        <v>1.0009999999999999</v>
      </c>
      <c r="FF320" s="50">
        <f t="shared" ca="1" si="38"/>
        <v>1.0009999999999999</v>
      </c>
      <c r="FG320" s="50">
        <f t="shared" ca="1" si="39"/>
        <v>1.0009999999999999</v>
      </c>
      <c r="FH320" s="50">
        <f t="shared" ca="1" si="40"/>
        <v>1.0009999999999999</v>
      </c>
      <c r="FI320" s="50"/>
      <c r="FK320" s="50">
        <f t="shared" ca="1" si="36"/>
        <v>1.0009999999999999</v>
      </c>
      <c r="FL320" s="50"/>
      <c r="FM320" s="50"/>
      <c r="FN320" s="50"/>
    </row>
    <row r="321" spans="49:170" hidden="1">
      <c r="AW321" s="112">
        <v>0.13200000000000001</v>
      </c>
      <c r="AX321" s="7">
        <v>0.66269999999999996</v>
      </c>
      <c r="AY321" s="7">
        <v>0.6714</v>
      </c>
      <c r="AZ321" s="7">
        <v>0.67989999999999995</v>
      </c>
      <c r="BA321" s="7">
        <v>0.68830000000000002</v>
      </c>
      <c r="BB321" s="7">
        <v>0.69650000000000001</v>
      </c>
      <c r="BC321" s="7">
        <v>0.70450000000000002</v>
      </c>
      <c r="BD321" s="7">
        <v>0.71240000000000003</v>
      </c>
      <c r="BE321" s="7">
        <v>0.72009999999999996</v>
      </c>
      <c r="BF321" s="7">
        <v>0.72760000000000002</v>
      </c>
      <c r="BG321" s="7">
        <v>0.73499999999999999</v>
      </c>
      <c r="BH321" s="7">
        <v>0.74219999999999997</v>
      </c>
      <c r="BI321" s="7">
        <v>0.74929999999999997</v>
      </c>
      <c r="BJ321" s="7">
        <v>0.75629999999999997</v>
      </c>
      <c r="BK321" s="7">
        <v>0.7631</v>
      </c>
      <c r="BL321" s="7">
        <v>0.76980000000000004</v>
      </c>
      <c r="BM321" s="7">
        <v>0.77639999999999998</v>
      </c>
      <c r="BN321" s="7">
        <v>0.78290000000000004</v>
      </c>
      <c r="BO321" s="7">
        <v>0.78920000000000001</v>
      </c>
      <c r="BP321" s="7">
        <v>0.7954</v>
      </c>
      <c r="BQ321" s="7">
        <v>0.80149999999999999</v>
      </c>
      <c r="BR321" s="7">
        <v>0.8075</v>
      </c>
      <c r="BS321" s="7">
        <v>0.81340000000000001</v>
      </c>
      <c r="BT321" s="7">
        <v>0.81920000000000004</v>
      </c>
      <c r="BU321" s="7">
        <v>0.82489999999999997</v>
      </c>
      <c r="BV321" s="7">
        <v>0.83050000000000002</v>
      </c>
      <c r="BW321" s="7">
        <v>0.83599999999999997</v>
      </c>
      <c r="BX321" s="7">
        <v>0.84140000000000004</v>
      </c>
      <c r="BY321" s="7">
        <v>0.8468</v>
      </c>
      <c r="BZ321" s="7">
        <v>0.85199999999999998</v>
      </c>
      <c r="CA321" s="7">
        <v>0.85709999999999997</v>
      </c>
      <c r="CB321" s="7">
        <v>0.86219999999999997</v>
      </c>
      <c r="CC321" s="7">
        <v>0.86719999999999997</v>
      </c>
      <c r="CD321" s="7">
        <v>0.87209999999999999</v>
      </c>
      <c r="CE321" s="7">
        <v>0.87690000000000001</v>
      </c>
      <c r="CF321" s="7">
        <v>0.88160000000000005</v>
      </c>
      <c r="CG321" s="7">
        <v>0.88629999999999998</v>
      </c>
      <c r="CH321" s="7">
        <v>0.89090000000000003</v>
      </c>
      <c r="CI321" s="7">
        <v>0.89539999999999997</v>
      </c>
      <c r="CJ321" s="7">
        <v>0.89990000000000003</v>
      </c>
      <c r="CK321" s="7">
        <v>0.90429999999999999</v>
      </c>
      <c r="CL321" s="7">
        <v>0.90859999999999996</v>
      </c>
      <c r="CM321" s="7">
        <v>0.91290000000000004</v>
      </c>
      <c r="CN321" s="7">
        <v>0.91710000000000003</v>
      </c>
      <c r="CO321" s="7">
        <v>0.92120000000000002</v>
      </c>
      <c r="CP321" s="7">
        <v>0.92530000000000001</v>
      </c>
      <c r="CQ321" s="7">
        <v>0.9294</v>
      </c>
      <c r="CR321" s="7">
        <v>0.93330000000000002</v>
      </c>
      <c r="CS321" s="7">
        <v>0.93720000000000003</v>
      </c>
      <c r="CT321" s="7">
        <v>0.94110000000000005</v>
      </c>
      <c r="CU321" s="7">
        <v>0.94489999999999996</v>
      </c>
      <c r="CV321" s="7">
        <v>0.94869999999999999</v>
      </c>
      <c r="CW321" s="7">
        <v>0.95240000000000002</v>
      </c>
      <c r="CX321" s="7">
        <v>0.95599999999999996</v>
      </c>
      <c r="CY321" s="7">
        <v>0.95960000000000001</v>
      </c>
      <c r="CZ321" s="7">
        <v>0.96319999999999995</v>
      </c>
      <c r="DA321" s="7">
        <v>0.9667</v>
      </c>
      <c r="DB321" s="7">
        <v>0.97019999999999995</v>
      </c>
      <c r="DC321" s="7">
        <v>0.97360000000000002</v>
      </c>
      <c r="DD321" s="7">
        <v>0.97699999999999998</v>
      </c>
      <c r="DE321" s="7">
        <v>0.98029999999999995</v>
      </c>
      <c r="DF321" s="7">
        <v>0.98360000000000003</v>
      </c>
      <c r="DG321" s="7">
        <v>0.9869</v>
      </c>
      <c r="DH321" s="7">
        <v>0.99009999999999998</v>
      </c>
      <c r="DI321" s="7">
        <v>0.99329999999999996</v>
      </c>
      <c r="DJ321" s="7">
        <v>0.99639999999999995</v>
      </c>
      <c r="DK321" s="7">
        <v>0.99950000000000006</v>
      </c>
      <c r="DL321" s="7">
        <v>1.0009999999999999</v>
      </c>
      <c r="DM321" s="7">
        <v>1.0009999999999999</v>
      </c>
      <c r="DN321" s="7">
        <v>1.0009999999999999</v>
      </c>
      <c r="DO321" s="7">
        <v>1.0009999999999999</v>
      </c>
      <c r="DP321" s="7">
        <v>1.0009999999999999</v>
      </c>
      <c r="DQ321" s="7">
        <v>1.0009999999999999</v>
      </c>
      <c r="DR321" s="7">
        <v>1.0009999999999999</v>
      </c>
      <c r="DS321" s="7">
        <v>1.0009999999999999</v>
      </c>
      <c r="DT321" s="7">
        <v>1.0009999999999999</v>
      </c>
      <c r="DU321" s="7">
        <v>1.0009999999999999</v>
      </c>
      <c r="DV321" s="7">
        <v>1.0009999999999999</v>
      </c>
      <c r="DW321" s="7">
        <v>1.0009999999999999</v>
      </c>
      <c r="DX321" s="7">
        <v>1.0009999999999999</v>
      </c>
      <c r="DY321" s="7">
        <v>1.0009999999999999</v>
      </c>
      <c r="DZ321" s="7">
        <v>1.0009999999999999</v>
      </c>
      <c r="EA321" s="7">
        <v>1.0009999999999999</v>
      </c>
      <c r="EB321" s="7">
        <v>1.0009999999999999</v>
      </c>
      <c r="EC321" s="7">
        <v>1.0009999999999999</v>
      </c>
      <c r="ED321" s="7">
        <v>1.0009999999999999</v>
      </c>
      <c r="EE321" s="7">
        <v>1.0009999999999999</v>
      </c>
      <c r="EF321" s="7">
        <v>1.0009999999999999</v>
      </c>
      <c r="EG321" s="7">
        <v>1.0009999999999999</v>
      </c>
      <c r="EH321" s="7">
        <v>1.0009999999999999</v>
      </c>
      <c r="EI321" s="7">
        <v>1.0009999999999999</v>
      </c>
      <c r="EJ321" s="7">
        <v>1.0009999999999999</v>
      </c>
      <c r="EK321" s="7">
        <v>1.0009999999999999</v>
      </c>
      <c r="EL321" s="7">
        <v>1.0009999999999999</v>
      </c>
      <c r="EM321" s="7">
        <v>1.0009999999999999</v>
      </c>
      <c r="EN321" s="7">
        <v>1.0009999999999999</v>
      </c>
      <c r="EO321" s="7">
        <v>1.0009999999999999</v>
      </c>
      <c r="EP321" s="7">
        <v>1.0009999999999999</v>
      </c>
      <c r="EQ321" s="7">
        <v>1.0009999999999999</v>
      </c>
      <c r="ER321" s="7">
        <v>1.0009999999999999</v>
      </c>
      <c r="ES321" s="7">
        <v>1.0009999999999999</v>
      </c>
      <c r="ET321" s="7">
        <v>1.0009999999999999</v>
      </c>
      <c r="EU321" s="7">
        <v>1.0009999999999999</v>
      </c>
      <c r="EV321" s="7">
        <v>1.0009999999999999</v>
      </c>
      <c r="EW321" s="7">
        <v>1.0009999999999999</v>
      </c>
      <c r="EX321" s="7">
        <v>1.0009999999999999</v>
      </c>
      <c r="EY321" s="7">
        <v>1.0009999999999999</v>
      </c>
      <c r="EZ321" s="7">
        <v>1.0009999999999999</v>
      </c>
      <c r="FA321" s="7">
        <v>1.0009999999999999</v>
      </c>
      <c r="FB321" s="7">
        <v>1.0009999999999999</v>
      </c>
      <c r="FC321" s="7">
        <v>1.0009999999999999</v>
      </c>
      <c r="FE321" s="50">
        <f t="shared" ca="1" si="37"/>
        <v>1.0009999999999999</v>
      </c>
      <c r="FF321" s="50">
        <f t="shared" ca="1" si="38"/>
        <v>1.0009999999999999</v>
      </c>
      <c r="FG321" s="50">
        <f t="shared" ca="1" si="39"/>
        <v>1.0009999999999999</v>
      </c>
      <c r="FH321" s="50">
        <f t="shared" ca="1" si="40"/>
        <v>1.0009999999999999</v>
      </c>
      <c r="FI321" s="50"/>
      <c r="FK321" s="50">
        <f t="shared" ca="1" si="36"/>
        <v>1.0009999999999999</v>
      </c>
      <c r="FL321" s="50"/>
      <c r="FM321" s="50"/>
      <c r="FN321" s="50"/>
    </row>
    <row r="322" spans="49:170" hidden="1">
      <c r="AW322" s="112">
        <v>0.14099999999999999</v>
      </c>
      <c r="AX322" s="7">
        <v>0.66</v>
      </c>
      <c r="AY322" s="7">
        <v>0.66859999999999997</v>
      </c>
      <c r="AZ322" s="7">
        <v>0.67720000000000002</v>
      </c>
      <c r="BA322" s="7">
        <v>0.6855</v>
      </c>
      <c r="BB322" s="7">
        <v>0.69359999999999999</v>
      </c>
      <c r="BC322" s="7">
        <v>0.7016</v>
      </c>
      <c r="BD322" s="7">
        <v>0.70940000000000003</v>
      </c>
      <c r="BE322" s="7">
        <v>0.71709999999999996</v>
      </c>
      <c r="BF322" s="7">
        <v>0.72460000000000002</v>
      </c>
      <c r="BG322" s="7">
        <v>0.73199999999999998</v>
      </c>
      <c r="BH322" s="7">
        <v>0.73919999999999997</v>
      </c>
      <c r="BI322" s="7">
        <v>0.74629999999999996</v>
      </c>
      <c r="BJ322" s="7">
        <v>0.75319999999999998</v>
      </c>
      <c r="BK322" s="7">
        <v>0.76</v>
      </c>
      <c r="BL322" s="7">
        <v>0.76670000000000005</v>
      </c>
      <c r="BM322" s="7">
        <v>0.7732</v>
      </c>
      <c r="BN322" s="7">
        <v>0.77969999999999995</v>
      </c>
      <c r="BO322" s="7">
        <v>0.78600000000000003</v>
      </c>
      <c r="BP322" s="7">
        <v>0.79220000000000002</v>
      </c>
      <c r="BQ322" s="7">
        <v>0.79830000000000001</v>
      </c>
      <c r="BR322" s="7">
        <v>0.80420000000000003</v>
      </c>
      <c r="BS322" s="7">
        <v>0.81010000000000004</v>
      </c>
      <c r="BT322" s="7">
        <v>0.81589999999999996</v>
      </c>
      <c r="BU322" s="7">
        <v>0.82150000000000001</v>
      </c>
      <c r="BV322" s="7">
        <v>0.82709999999999995</v>
      </c>
      <c r="BW322" s="7">
        <v>0.83260000000000001</v>
      </c>
      <c r="BX322" s="7">
        <v>0.83799999999999997</v>
      </c>
      <c r="BY322" s="7">
        <v>0.84330000000000005</v>
      </c>
      <c r="BZ322" s="7">
        <v>0.84850000000000003</v>
      </c>
      <c r="CA322" s="7">
        <v>0.85360000000000003</v>
      </c>
      <c r="CB322" s="7">
        <v>0.85860000000000003</v>
      </c>
      <c r="CC322" s="7">
        <v>0.86360000000000003</v>
      </c>
      <c r="CD322" s="7">
        <v>0.86850000000000005</v>
      </c>
      <c r="CE322" s="7">
        <v>0.87329999999999997</v>
      </c>
      <c r="CF322" s="7">
        <v>0.878</v>
      </c>
      <c r="CG322" s="7">
        <v>0.88270000000000004</v>
      </c>
      <c r="CH322" s="7">
        <v>0.88719999999999999</v>
      </c>
      <c r="CI322" s="7">
        <v>0.89180000000000004</v>
      </c>
      <c r="CJ322" s="7">
        <v>0.8962</v>
      </c>
      <c r="CK322" s="7">
        <v>0.90059999999999996</v>
      </c>
      <c r="CL322" s="7">
        <v>0.90490000000000004</v>
      </c>
      <c r="CM322" s="7">
        <v>0.90910000000000002</v>
      </c>
      <c r="CN322" s="7">
        <v>0.9133</v>
      </c>
      <c r="CO322" s="7">
        <v>0.91749999999999998</v>
      </c>
      <c r="CP322" s="7">
        <v>0.92149999999999999</v>
      </c>
      <c r="CQ322" s="7">
        <v>0.92549999999999999</v>
      </c>
      <c r="CR322" s="7">
        <v>0.92949999999999999</v>
      </c>
      <c r="CS322" s="7">
        <v>0.93340000000000001</v>
      </c>
      <c r="CT322" s="7">
        <v>0.93720000000000003</v>
      </c>
      <c r="CU322" s="7">
        <v>0.94099999999999995</v>
      </c>
      <c r="CV322" s="7">
        <v>0.94479999999999997</v>
      </c>
      <c r="CW322" s="7">
        <v>0.94850000000000001</v>
      </c>
      <c r="CX322" s="7">
        <v>0.95209999999999995</v>
      </c>
      <c r="CY322" s="7">
        <v>0.95569999999999999</v>
      </c>
      <c r="CZ322" s="7">
        <v>0.95920000000000005</v>
      </c>
      <c r="DA322" s="7">
        <v>0.9627</v>
      </c>
      <c r="DB322" s="7">
        <v>0.96619999999999995</v>
      </c>
      <c r="DC322" s="7">
        <v>0.96960000000000002</v>
      </c>
      <c r="DD322" s="7">
        <v>0.97299999999999998</v>
      </c>
      <c r="DE322" s="7">
        <v>0.97629999999999995</v>
      </c>
      <c r="DF322" s="7">
        <v>0.97960000000000003</v>
      </c>
      <c r="DG322" s="7">
        <v>0.98280000000000001</v>
      </c>
      <c r="DH322" s="7">
        <v>0.98599999999999999</v>
      </c>
      <c r="DI322" s="7">
        <v>0.98919999999999997</v>
      </c>
      <c r="DJ322" s="7">
        <v>0.99229999999999996</v>
      </c>
      <c r="DK322" s="7">
        <v>0.99539999999999995</v>
      </c>
      <c r="DL322" s="7">
        <v>0.99850000000000005</v>
      </c>
      <c r="DM322" s="7">
        <v>1.0009999999999999</v>
      </c>
      <c r="DN322" s="7">
        <v>1.0009999999999999</v>
      </c>
      <c r="DO322" s="7">
        <v>1.0009999999999999</v>
      </c>
      <c r="DP322" s="7">
        <v>1.0009999999999999</v>
      </c>
      <c r="DQ322" s="7">
        <v>1.0009999999999999</v>
      </c>
      <c r="DR322" s="7">
        <v>1.0009999999999999</v>
      </c>
      <c r="DS322" s="7">
        <v>1.0009999999999999</v>
      </c>
      <c r="DT322" s="7">
        <v>1.0009999999999999</v>
      </c>
      <c r="DU322" s="7">
        <v>1.0009999999999999</v>
      </c>
      <c r="DV322" s="7">
        <v>1.0009999999999999</v>
      </c>
      <c r="DW322" s="7">
        <v>1.0009999999999999</v>
      </c>
      <c r="DX322" s="7">
        <v>1.0009999999999999</v>
      </c>
      <c r="DY322" s="7">
        <v>1.0009999999999999</v>
      </c>
      <c r="DZ322" s="7">
        <v>1.0009999999999999</v>
      </c>
      <c r="EA322" s="7">
        <v>1.0009999999999999</v>
      </c>
      <c r="EB322" s="7">
        <v>1.0009999999999999</v>
      </c>
      <c r="EC322" s="7">
        <v>1.0009999999999999</v>
      </c>
      <c r="ED322" s="7">
        <v>1.0009999999999999</v>
      </c>
      <c r="EE322" s="7">
        <v>1.0009999999999999</v>
      </c>
      <c r="EF322" s="7">
        <v>1.0009999999999999</v>
      </c>
      <c r="EG322" s="7">
        <v>1.0009999999999999</v>
      </c>
      <c r="EH322" s="7">
        <v>1.0009999999999999</v>
      </c>
      <c r="EI322" s="7">
        <v>1.0009999999999999</v>
      </c>
      <c r="EJ322" s="7">
        <v>1.0009999999999999</v>
      </c>
      <c r="EK322" s="7">
        <v>1.0009999999999999</v>
      </c>
      <c r="EL322" s="7">
        <v>1.0009999999999999</v>
      </c>
      <c r="EM322" s="7">
        <v>1.0009999999999999</v>
      </c>
      <c r="EN322" s="7">
        <v>1.0009999999999999</v>
      </c>
      <c r="EO322" s="7">
        <v>1.0009999999999999</v>
      </c>
      <c r="EP322" s="7">
        <v>1.0009999999999999</v>
      </c>
      <c r="EQ322" s="7">
        <v>1.0009999999999999</v>
      </c>
      <c r="ER322" s="7">
        <v>1.0009999999999999</v>
      </c>
      <c r="ES322" s="7">
        <v>1.0009999999999999</v>
      </c>
      <c r="ET322" s="7">
        <v>1.0009999999999999</v>
      </c>
      <c r="EU322" s="7">
        <v>1.0009999999999999</v>
      </c>
      <c r="EV322" s="7">
        <v>1.0009999999999999</v>
      </c>
      <c r="EW322" s="7">
        <v>1.0009999999999999</v>
      </c>
      <c r="EX322" s="7">
        <v>1.0009999999999999</v>
      </c>
      <c r="EY322" s="7">
        <v>1.0009999999999999</v>
      </c>
      <c r="EZ322" s="7">
        <v>1.0009999999999999</v>
      </c>
      <c r="FA322" s="7">
        <v>1.0009999999999999</v>
      </c>
      <c r="FB322" s="7">
        <v>1.0009999999999999</v>
      </c>
      <c r="FC322" s="7">
        <v>1.0009999999999999</v>
      </c>
      <c r="FE322" s="50">
        <f t="shared" ca="1" si="37"/>
        <v>1.0009999999999999</v>
      </c>
      <c r="FF322" s="50">
        <f t="shared" ca="1" si="38"/>
        <v>1.0009999999999999</v>
      </c>
      <c r="FG322" s="50">
        <f t="shared" ca="1" si="39"/>
        <v>1.0009999999999999</v>
      </c>
      <c r="FH322" s="50">
        <f t="shared" ca="1" si="40"/>
        <v>1.0009999999999999</v>
      </c>
      <c r="FI322" s="50"/>
      <c r="FK322" s="50">
        <f t="shared" ca="1" si="36"/>
        <v>1.0009999999999999</v>
      </c>
      <c r="FL322" s="50"/>
      <c r="FM322" s="50"/>
      <c r="FN322" s="50"/>
    </row>
    <row r="323" spans="49:170" hidden="1">
      <c r="AW323" s="112">
        <v>0.151</v>
      </c>
      <c r="AX323" s="7">
        <v>0.6573</v>
      </c>
      <c r="AY323" s="7">
        <v>0.66590000000000005</v>
      </c>
      <c r="AZ323" s="7">
        <v>0.6744</v>
      </c>
      <c r="BA323" s="7">
        <v>0.68269999999999997</v>
      </c>
      <c r="BB323" s="7">
        <v>0.69079999999999997</v>
      </c>
      <c r="BC323" s="7">
        <v>0.69879999999999998</v>
      </c>
      <c r="BD323" s="7">
        <v>0.70660000000000001</v>
      </c>
      <c r="BE323" s="7">
        <v>0.71419999999999995</v>
      </c>
      <c r="BF323" s="7">
        <v>0.72170000000000001</v>
      </c>
      <c r="BG323" s="7">
        <v>0.72899999999999998</v>
      </c>
      <c r="BH323" s="7">
        <v>0.73619999999999997</v>
      </c>
      <c r="BI323" s="7">
        <v>0.74319999999999997</v>
      </c>
      <c r="BJ323" s="7">
        <v>0.75009999999999999</v>
      </c>
      <c r="BK323" s="7">
        <v>0.75690000000000002</v>
      </c>
      <c r="BL323" s="7">
        <v>0.76359999999999995</v>
      </c>
      <c r="BM323" s="7">
        <v>0.77010000000000001</v>
      </c>
      <c r="BN323" s="7">
        <v>0.77649999999999997</v>
      </c>
      <c r="BO323" s="7">
        <v>0.78280000000000005</v>
      </c>
      <c r="BP323" s="7">
        <v>0.78900000000000003</v>
      </c>
      <c r="BQ323" s="7">
        <v>0.79500000000000004</v>
      </c>
      <c r="BR323" s="7">
        <v>0.80100000000000005</v>
      </c>
      <c r="BS323" s="7">
        <v>0.80679999999999996</v>
      </c>
      <c r="BT323" s="7">
        <v>0.81259999999999999</v>
      </c>
      <c r="BU323" s="7">
        <v>0.81820000000000004</v>
      </c>
      <c r="BV323" s="7">
        <v>0.82379999999999998</v>
      </c>
      <c r="BW323" s="7">
        <v>0.82920000000000005</v>
      </c>
      <c r="BX323" s="7">
        <v>0.83460000000000001</v>
      </c>
      <c r="BY323" s="7">
        <v>0.83989999999999998</v>
      </c>
      <c r="BZ323" s="7">
        <v>0.84499999999999997</v>
      </c>
      <c r="CA323" s="7">
        <v>0.85009999999999997</v>
      </c>
      <c r="CB323" s="7">
        <v>0.85519999999999996</v>
      </c>
      <c r="CC323" s="7">
        <v>0.86009999999999998</v>
      </c>
      <c r="CD323" s="7">
        <v>0.86499999999999999</v>
      </c>
      <c r="CE323" s="7">
        <v>0.86970000000000003</v>
      </c>
      <c r="CF323" s="7">
        <v>0.87450000000000006</v>
      </c>
      <c r="CG323" s="7">
        <v>0.87909999999999999</v>
      </c>
      <c r="CH323" s="7">
        <v>0.88370000000000004</v>
      </c>
      <c r="CI323" s="7">
        <v>0.88819999999999999</v>
      </c>
      <c r="CJ323" s="7">
        <v>0.89259999999999995</v>
      </c>
      <c r="CK323" s="7">
        <v>0.89690000000000003</v>
      </c>
      <c r="CL323" s="7">
        <v>0.9012</v>
      </c>
      <c r="CM323" s="7">
        <v>0.90549999999999997</v>
      </c>
      <c r="CN323" s="7">
        <v>0.90959999999999996</v>
      </c>
      <c r="CO323" s="7">
        <v>0.91369999999999996</v>
      </c>
      <c r="CP323" s="7">
        <v>0.91779999999999995</v>
      </c>
      <c r="CQ323" s="7">
        <v>0.92179999999999995</v>
      </c>
      <c r="CR323" s="7">
        <v>0.92569999999999997</v>
      </c>
      <c r="CS323" s="7">
        <v>0.92959999999999998</v>
      </c>
      <c r="CT323" s="7">
        <v>0.93340000000000001</v>
      </c>
      <c r="CU323" s="7">
        <v>0.93720000000000003</v>
      </c>
      <c r="CV323" s="7">
        <v>0.94089999999999996</v>
      </c>
      <c r="CW323" s="7">
        <v>0.9446</v>
      </c>
      <c r="CX323" s="7">
        <v>0.94820000000000004</v>
      </c>
      <c r="CY323" s="7">
        <v>0.95179999999999998</v>
      </c>
      <c r="CZ323" s="7">
        <v>0.95530000000000004</v>
      </c>
      <c r="DA323" s="7">
        <v>0.95879999999999999</v>
      </c>
      <c r="DB323" s="7">
        <v>0.96230000000000004</v>
      </c>
      <c r="DC323" s="7">
        <v>0.9657</v>
      </c>
      <c r="DD323" s="7">
        <v>0.96899999999999997</v>
      </c>
      <c r="DE323" s="7">
        <v>0.97230000000000005</v>
      </c>
      <c r="DF323" s="7">
        <v>0.97560000000000002</v>
      </c>
      <c r="DG323" s="7">
        <v>0.9788</v>
      </c>
      <c r="DH323" s="7">
        <v>0.98199999999999998</v>
      </c>
      <c r="DI323" s="7">
        <v>0.98519999999999996</v>
      </c>
      <c r="DJ323" s="7">
        <v>0.98829999999999996</v>
      </c>
      <c r="DK323" s="7">
        <v>0.99139999999999995</v>
      </c>
      <c r="DL323" s="7">
        <v>0.99439999999999995</v>
      </c>
      <c r="DM323" s="7">
        <v>0.99739999999999995</v>
      </c>
      <c r="DN323" s="7">
        <v>1.0009999999999999</v>
      </c>
      <c r="DO323" s="7">
        <v>1.0009999999999999</v>
      </c>
      <c r="DP323" s="7">
        <v>1.0009999999999999</v>
      </c>
      <c r="DQ323" s="7">
        <v>1.0009999999999999</v>
      </c>
      <c r="DR323" s="7">
        <v>1.0009999999999999</v>
      </c>
      <c r="DS323" s="7">
        <v>1.0009999999999999</v>
      </c>
      <c r="DT323" s="7">
        <v>1.0009999999999999</v>
      </c>
      <c r="DU323" s="7">
        <v>1.0009999999999999</v>
      </c>
      <c r="DV323" s="7">
        <v>1.0009999999999999</v>
      </c>
      <c r="DW323" s="7">
        <v>1.0009999999999999</v>
      </c>
      <c r="DX323" s="7">
        <v>1.0009999999999999</v>
      </c>
      <c r="DY323" s="7">
        <v>1.0009999999999999</v>
      </c>
      <c r="DZ323" s="7">
        <v>1.0009999999999999</v>
      </c>
      <c r="EA323" s="7">
        <v>1.0009999999999999</v>
      </c>
      <c r="EB323" s="7">
        <v>1.0009999999999999</v>
      </c>
      <c r="EC323" s="7">
        <v>1.0009999999999999</v>
      </c>
      <c r="ED323" s="7">
        <v>1.0009999999999999</v>
      </c>
      <c r="EE323" s="7">
        <v>1.0009999999999999</v>
      </c>
      <c r="EF323" s="7">
        <v>1.0009999999999999</v>
      </c>
      <c r="EG323" s="7">
        <v>1.0009999999999999</v>
      </c>
      <c r="EH323" s="7">
        <v>1.0009999999999999</v>
      </c>
      <c r="EI323" s="7">
        <v>1.0009999999999999</v>
      </c>
      <c r="EJ323" s="7">
        <v>1.0009999999999999</v>
      </c>
      <c r="EK323" s="7">
        <v>1.0009999999999999</v>
      </c>
      <c r="EL323" s="7">
        <v>1.0009999999999999</v>
      </c>
      <c r="EM323" s="7">
        <v>1.0009999999999999</v>
      </c>
      <c r="EN323" s="7">
        <v>1.0009999999999999</v>
      </c>
      <c r="EO323" s="7">
        <v>1.0009999999999999</v>
      </c>
      <c r="EP323" s="7">
        <v>1.0009999999999999</v>
      </c>
      <c r="EQ323" s="7">
        <v>1.0009999999999999</v>
      </c>
      <c r="ER323" s="7">
        <v>1.0009999999999999</v>
      </c>
      <c r="ES323" s="7">
        <v>1.0009999999999999</v>
      </c>
      <c r="ET323" s="7">
        <v>1.0009999999999999</v>
      </c>
      <c r="EU323" s="7">
        <v>1.0009999999999999</v>
      </c>
      <c r="EV323" s="7">
        <v>1.0009999999999999</v>
      </c>
      <c r="EW323" s="7">
        <v>1.0009999999999999</v>
      </c>
      <c r="EX323" s="7">
        <v>1.0009999999999999</v>
      </c>
      <c r="EY323" s="7">
        <v>1.0009999999999999</v>
      </c>
      <c r="EZ323" s="7">
        <v>1.0009999999999999</v>
      </c>
      <c r="FA323" s="7">
        <v>1.0009999999999999</v>
      </c>
      <c r="FB323" s="7">
        <v>1.0009999999999999</v>
      </c>
      <c r="FC323" s="7">
        <v>1.0009999999999999</v>
      </c>
      <c r="FE323" s="50">
        <f t="shared" ca="1" si="37"/>
        <v>1.0009999999999999</v>
      </c>
      <c r="FF323" s="50">
        <f t="shared" ca="1" si="38"/>
        <v>1.0009999999999999</v>
      </c>
      <c r="FG323" s="50">
        <f t="shared" ca="1" si="39"/>
        <v>1.0009999999999999</v>
      </c>
      <c r="FH323" s="50">
        <f t="shared" ca="1" si="40"/>
        <v>1.0009999999999999</v>
      </c>
      <c r="FI323" s="50"/>
      <c r="FK323" s="50">
        <f t="shared" ca="1" si="36"/>
        <v>1.0009999999999999</v>
      </c>
      <c r="FL323" s="50"/>
      <c r="FM323" s="50"/>
      <c r="FN323" s="50"/>
    </row>
    <row r="324" spans="49:170" hidden="1">
      <c r="AW324" s="112">
        <v>0</v>
      </c>
      <c r="AX324" s="7">
        <v>0.65469999999999995</v>
      </c>
      <c r="AY324" s="7">
        <v>0.6633</v>
      </c>
      <c r="AZ324" s="7">
        <v>0.67169999999999996</v>
      </c>
      <c r="BA324" s="7">
        <v>0.68</v>
      </c>
      <c r="BB324" s="7">
        <v>0.68810000000000004</v>
      </c>
      <c r="BC324" s="7">
        <v>0.69599999999999995</v>
      </c>
      <c r="BD324" s="7">
        <v>0.70369999999999999</v>
      </c>
      <c r="BE324" s="7">
        <v>0.71130000000000004</v>
      </c>
      <c r="BF324" s="7">
        <v>0.71879999999999999</v>
      </c>
      <c r="BG324" s="7">
        <v>0.72609999999999997</v>
      </c>
      <c r="BH324" s="7">
        <v>0.73319999999999996</v>
      </c>
      <c r="BI324" s="7">
        <v>0.74029999999999996</v>
      </c>
      <c r="BJ324" s="7">
        <v>0.74709999999999999</v>
      </c>
      <c r="BK324" s="7">
        <v>0.75390000000000001</v>
      </c>
      <c r="BL324" s="7">
        <v>0.76049999999999995</v>
      </c>
      <c r="BM324" s="7">
        <v>0.76700000000000002</v>
      </c>
      <c r="BN324" s="7">
        <v>0.77339999999999998</v>
      </c>
      <c r="BO324" s="7">
        <v>0.77969999999999995</v>
      </c>
      <c r="BP324" s="7">
        <v>0.78580000000000005</v>
      </c>
      <c r="BQ324" s="7">
        <v>0.79179999999999995</v>
      </c>
      <c r="BR324" s="7">
        <v>0.79779999999999995</v>
      </c>
      <c r="BS324" s="7">
        <v>0.80359999999999998</v>
      </c>
      <c r="BT324" s="7">
        <v>0.80930000000000002</v>
      </c>
      <c r="BU324" s="7">
        <v>0.81499999999999995</v>
      </c>
      <c r="BV324" s="7">
        <v>0.82050000000000001</v>
      </c>
      <c r="BW324" s="7">
        <v>0.82589999999999997</v>
      </c>
      <c r="BX324" s="7">
        <v>0.83130000000000004</v>
      </c>
      <c r="BY324" s="7">
        <v>0.83650000000000002</v>
      </c>
      <c r="BZ324" s="7">
        <v>0.8417</v>
      </c>
      <c r="CA324" s="7">
        <v>0.8468</v>
      </c>
      <c r="CB324" s="7">
        <v>0.8518</v>
      </c>
      <c r="CC324" s="7">
        <v>0.85670000000000002</v>
      </c>
      <c r="CD324" s="7">
        <v>0.86150000000000004</v>
      </c>
      <c r="CE324" s="7">
        <v>0.86629999999999996</v>
      </c>
      <c r="CF324" s="7">
        <v>0.871</v>
      </c>
      <c r="CG324" s="7">
        <v>0.87560000000000004</v>
      </c>
      <c r="CH324" s="7">
        <v>0.88009999999999999</v>
      </c>
      <c r="CI324" s="7">
        <v>0.88460000000000005</v>
      </c>
      <c r="CJ324" s="7">
        <v>0.88900000000000001</v>
      </c>
      <c r="CK324" s="7">
        <v>0.89339999999999997</v>
      </c>
      <c r="CL324" s="7">
        <v>0.89759999999999995</v>
      </c>
      <c r="CM324" s="7">
        <v>0.90190000000000003</v>
      </c>
      <c r="CN324" s="7">
        <v>0.90600000000000003</v>
      </c>
      <c r="CO324" s="7">
        <v>0.91010000000000002</v>
      </c>
      <c r="CP324" s="7">
        <v>0.91410000000000002</v>
      </c>
      <c r="CQ324" s="7">
        <v>0.91810000000000003</v>
      </c>
      <c r="CR324" s="7">
        <v>0.92200000000000004</v>
      </c>
      <c r="CS324" s="7">
        <v>0.92589999999999995</v>
      </c>
      <c r="CT324" s="7">
        <v>0.92969999999999997</v>
      </c>
      <c r="CU324" s="7">
        <v>0.9335</v>
      </c>
      <c r="CV324" s="7">
        <v>0.93720000000000003</v>
      </c>
      <c r="CW324" s="7">
        <v>0.94079999999999997</v>
      </c>
      <c r="CX324" s="7">
        <v>0.94450000000000001</v>
      </c>
      <c r="CY324" s="7">
        <v>0.94799999999999995</v>
      </c>
      <c r="CZ324" s="7">
        <v>0.95150000000000001</v>
      </c>
      <c r="DA324" s="7">
        <v>0.95499999999999996</v>
      </c>
      <c r="DB324" s="7">
        <v>0.95840000000000003</v>
      </c>
      <c r="DC324" s="7">
        <v>0.96179999999999999</v>
      </c>
      <c r="DD324" s="7">
        <v>0.96519999999999995</v>
      </c>
      <c r="DE324" s="7">
        <v>0.96850000000000003</v>
      </c>
      <c r="DF324" s="7">
        <v>0.97170000000000001</v>
      </c>
      <c r="DG324" s="7">
        <v>0.97489999999999999</v>
      </c>
      <c r="DH324" s="7">
        <v>0.97809999999999997</v>
      </c>
      <c r="DI324" s="7">
        <v>0.98129999999999995</v>
      </c>
      <c r="DJ324" s="7">
        <v>0.98440000000000005</v>
      </c>
      <c r="DK324" s="7">
        <v>0.98740000000000006</v>
      </c>
      <c r="DL324" s="7">
        <v>0.99050000000000005</v>
      </c>
      <c r="DM324" s="7">
        <v>0.99350000000000005</v>
      </c>
      <c r="DN324" s="7">
        <v>0.99639999999999995</v>
      </c>
      <c r="DO324" s="7">
        <v>0.99929999999999997</v>
      </c>
      <c r="DP324" s="7">
        <v>1.0009999999999999</v>
      </c>
      <c r="DQ324" s="7">
        <v>1.0009999999999999</v>
      </c>
      <c r="DR324" s="7">
        <v>1.0009999999999999</v>
      </c>
      <c r="DS324" s="7">
        <v>1.0009999999999999</v>
      </c>
      <c r="DT324" s="7">
        <v>1.0009999999999999</v>
      </c>
      <c r="DU324" s="7">
        <v>1.0009999999999999</v>
      </c>
      <c r="DV324" s="7">
        <v>1.0009999999999999</v>
      </c>
      <c r="DW324" s="7">
        <v>1.0009999999999999</v>
      </c>
      <c r="DX324" s="7">
        <v>1.0009999999999999</v>
      </c>
      <c r="DY324" s="7">
        <v>1.0009999999999999</v>
      </c>
      <c r="DZ324" s="7">
        <v>1.0009999999999999</v>
      </c>
      <c r="EA324" s="7">
        <v>1.0009999999999999</v>
      </c>
      <c r="EB324" s="7">
        <v>1.0009999999999999</v>
      </c>
      <c r="EC324" s="7">
        <v>1.0009999999999999</v>
      </c>
      <c r="ED324" s="7">
        <v>1.0009999999999999</v>
      </c>
      <c r="EE324" s="7">
        <v>1.0009999999999999</v>
      </c>
      <c r="EF324" s="7">
        <v>1.0009999999999999</v>
      </c>
      <c r="EG324" s="7">
        <v>1.0009999999999999</v>
      </c>
      <c r="EH324" s="7">
        <v>1.0009999999999999</v>
      </c>
      <c r="EI324" s="7">
        <v>1.0009999999999999</v>
      </c>
      <c r="EJ324" s="7">
        <v>1.0009999999999999</v>
      </c>
      <c r="EK324" s="7">
        <v>1.0009999999999999</v>
      </c>
      <c r="EL324" s="7">
        <v>1.0009999999999999</v>
      </c>
      <c r="EM324" s="7">
        <v>1.0009999999999999</v>
      </c>
      <c r="EN324" s="7">
        <v>1.0009999999999999</v>
      </c>
      <c r="EO324" s="7">
        <v>1.0009999999999999</v>
      </c>
      <c r="EP324" s="7">
        <v>1.0009999999999999</v>
      </c>
      <c r="EQ324" s="7">
        <v>1.0009999999999999</v>
      </c>
      <c r="ER324" s="7">
        <v>1.0009999999999999</v>
      </c>
      <c r="ES324" s="7">
        <v>1.0009999999999999</v>
      </c>
      <c r="ET324" s="7">
        <v>1.0009999999999999</v>
      </c>
      <c r="EU324" s="7">
        <v>1.0009999999999999</v>
      </c>
      <c r="EV324" s="7">
        <v>1.0009999999999999</v>
      </c>
      <c r="EW324" s="7">
        <v>1.0009999999999999</v>
      </c>
      <c r="EX324" s="7">
        <v>1.0009999999999999</v>
      </c>
      <c r="EY324" s="7">
        <v>1.0009999999999999</v>
      </c>
      <c r="EZ324" s="7">
        <v>1.0009999999999999</v>
      </c>
      <c r="FA324" s="7">
        <v>1.0009999999999999</v>
      </c>
      <c r="FB324" s="7">
        <v>1.0009999999999999</v>
      </c>
      <c r="FC324" s="7">
        <v>1.0009999999999999</v>
      </c>
      <c r="FE324" s="50">
        <f t="shared" ca="1" si="37"/>
        <v>1.0009999999999999</v>
      </c>
      <c r="FF324" s="50">
        <f t="shared" ca="1" si="38"/>
        <v>1.0009999999999999</v>
      </c>
      <c r="FG324" s="50">
        <f t="shared" ca="1" si="39"/>
        <v>1.0009999999999999</v>
      </c>
      <c r="FH324" s="50">
        <f t="shared" ca="1" si="40"/>
        <v>1.0009999999999999</v>
      </c>
      <c r="FI324" s="50"/>
      <c r="FK324" s="50">
        <f t="shared" ca="1" si="36"/>
        <v>1.0009999999999999</v>
      </c>
      <c r="FL324" s="50"/>
      <c r="FM324" s="50"/>
      <c r="FN324" s="50"/>
    </row>
    <row r="325" spans="49:170" hidden="1">
      <c r="AW325" s="112">
        <v>0.17399999999999999</v>
      </c>
      <c r="AX325" s="7">
        <v>0.65210000000000001</v>
      </c>
      <c r="AY325" s="7">
        <v>0.66069999999999995</v>
      </c>
      <c r="AZ325" s="7">
        <v>0.66910000000000003</v>
      </c>
      <c r="BA325" s="7">
        <v>0.67730000000000001</v>
      </c>
      <c r="BB325" s="7">
        <v>0.68540000000000001</v>
      </c>
      <c r="BC325" s="7">
        <v>0.69330000000000003</v>
      </c>
      <c r="BD325" s="7">
        <v>0.70099999999999996</v>
      </c>
      <c r="BE325" s="7">
        <v>0.70850000000000002</v>
      </c>
      <c r="BF325" s="7">
        <v>0.71599999999999997</v>
      </c>
      <c r="BG325" s="7">
        <v>0.72319999999999995</v>
      </c>
      <c r="BH325" s="7">
        <v>0.73040000000000005</v>
      </c>
      <c r="BI325" s="7">
        <v>0.73740000000000006</v>
      </c>
      <c r="BJ325" s="7">
        <v>0.74419999999999997</v>
      </c>
      <c r="BK325" s="7">
        <v>0.75090000000000001</v>
      </c>
      <c r="BL325" s="7">
        <v>0.75749999999999995</v>
      </c>
      <c r="BM325" s="7">
        <v>0.76400000000000001</v>
      </c>
      <c r="BN325" s="7">
        <v>0.77039999999999997</v>
      </c>
      <c r="BO325" s="7">
        <v>0.77659999999999996</v>
      </c>
      <c r="BP325" s="7">
        <v>0.78269999999999995</v>
      </c>
      <c r="BQ325" s="7">
        <v>0.78869999999999996</v>
      </c>
      <c r="BR325" s="7">
        <v>0.79459999999999997</v>
      </c>
      <c r="BS325" s="7">
        <v>0.8004</v>
      </c>
      <c r="BT325" s="7">
        <v>0.80610000000000004</v>
      </c>
      <c r="BU325" s="7">
        <v>0.81169999999999998</v>
      </c>
      <c r="BV325" s="7">
        <v>0.81730000000000003</v>
      </c>
      <c r="BW325" s="7">
        <v>0.82269999999999999</v>
      </c>
      <c r="BX325" s="7">
        <v>0.82799999999999996</v>
      </c>
      <c r="BY325" s="7">
        <v>0.83320000000000005</v>
      </c>
      <c r="BZ325" s="7">
        <v>0.83840000000000003</v>
      </c>
      <c r="CA325" s="7">
        <v>0.84340000000000004</v>
      </c>
      <c r="CB325" s="7">
        <v>0.84840000000000004</v>
      </c>
      <c r="CC325" s="7">
        <v>0.85329999999999995</v>
      </c>
      <c r="CD325" s="7">
        <v>0.85809999999999997</v>
      </c>
      <c r="CE325" s="7">
        <v>0.8629</v>
      </c>
      <c r="CF325" s="7">
        <v>0.86750000000000005</v>
      </c>
      <c r="CG325" s="7">
        <v>0.87209999999999999</v>
      </c>
      <c r="CH325" s="7">
        <v>0.87670000000000003</v>
      </c>
      <c r="CI325" s="7">
        <v>0.88109999999999999</v>
      </c>
      <c r="CJ325" s="7">
        <v>0.88549999999999995</v>
      </c>
      <c r="CK325" s="7">
        <v>0.88980000000000004</v>
      </c>
      <c r="CL325" s="7">
        <v>0.89410000000000001</v>
      </c>
      <c r="CM325" s="7">
        <v>0.89829999999999999</v>
      </c>
      <c r="CN325" s="7">
        <v>0.90239999999999998</v>
      </c>
      <c r="CO325" s="7">
        <v>0.90649999999999997</v>
      </c>
      <c r="CP325" s="7">
        <v>0.91049999999999998</v>
      </c>
      <c r="CQ325" s="7">
        <v>0.91449999999999998</v>
      </c>
      <c r="CR325" s="7">
        <v>0.91839999999999999</v>
      </c>
      <c r="CS325" s="7">
        <v>0.92230000000000001</v>
      </c>
      <c r="CT325" s="7">
        <v>0.92610000000000003</v>
      </c>
      <c r="CU325" s="7">
        <v>0.92979999999999996</v>
      </c>
      <c r="CV325" s="7">
        <v>0.9335</v>
      </c>
      <c r="CW325" s="7">
        <v>0.93710000000000004</v>
      </c>
      <c r="CX325" s="7">
        <v>0.94069999999999998</v>
      </c>
      <c r="CY325" s="7">
        <v>0.94430000000000003</v>
      </c>
      <c r="CZ325" s="7">
        <v>0.94779999999999998</v>
      </c>
      <c r="DA325" s="7">
        <v>0.95130000000000003</v>
      </c>
      <c r="DB325" s="7">
        <v>0.95469999999999999</v>
      </c>
      <c r="DC325" s="7">
        <v>0.95799999999999996</v>
      </c>
      <c r="DD325" s="7">
        <v>0.96140000000000003</v>
      </c>
      <c r="DE325" s="7">
        <v>0.9647</v>
      </c>
      <c r="DF325" s="7">
        <v>0.96789999999999998</v>
      </c>
      <c r="DG325" s="7">
        <v>0.97109999999999996</v>
      </c>
      <c r="DH325" s="7">
        <v>0.97430000000000005</v>
      </c>
      <c r="DI325" s="7">
        <v>0.97740000000000005</v>
      </c>
      <c r="DJ325" s="7">
        <v>0.98050000000000004</v>
      </c>
      <c r="DK325" s="7">
        <v>0.98350000000000004</v>
      </c>
      <c r="DL325" s="7">
        <v>0.98660000000000003</v>
      </c>
      <c r="DM325" s="7">
        <v>0.98960000000000004</v>
      </c>
      <c r="DN325" s="7">
        <v>0.99250000000000005</v>
      </c>
      <c r="DO325" s="7">
        <v>0.99539999999999995</v>
      </c>
      <c r="DP325" s="7">
        <v>0.99829999999999997</v>
      </c>
      <c r="DQ325" s="7">
        <v>1.0009999999999999</v>
      </c>
      <c r="DR325" s="7">
        <v>1.0009999999999999</v>
      </c>
      <c r="DS325" s="7">
        <v>1.0009999999999999</v>
      </c>
      <c r="DT325" s="7">
        <v>1.0009999999999999</v>
      </c>
      <c r="DU325" s="7">
        <v>1.0009999999999999</v>
      </c>
      <c r="DV325" s="7">
        <v>1.0009999999999999</v>
      </c>
      <c r="DW325" s="7">
        <v>1.0009999999999999</v>
      </c>
      <c r="DX325" s="7">
        <v>1.0009999999999999</v>
      </c>
      <c r="DY325" s="7">
        <v>1.0009999999999999</v>
      </c>
      <c r="DZ325" s="7">
        <v>1.0009999999999999</v>
      </c>
      <c r="EA325" s="7">
        <v>1.0009999999999999</v>
      </c>
      <c r="EB325" s="7">
        <v>1.0009999999999999</v>
      </c>
      <c r="EC325" s="7">
        <v>1.0009999999999999</v>
      </c>
      <c r="ED325" s="7">
        <v>1.0009999999999999</v>
      </c>
      <c r="EE325" s="7">
        <v>1.0009999999999999</v>
      </c>
      <c r="EF325" s="7">
        <v>1.0009999999999999</v>
      </c>
      <c r="EG325" s="7">
        <v>1.0009999999999999</v>
      </c>
      <c r="EH325" s="7">
        <v>1.0009999999999999</v>
      </c>
      <c r="EI325" s="7">
        <v>1.0009999999999999</v>
      </c>
      <c r="EJ325" s="7">
        <v>1.0009999999999999</v>
      </c>
      <c r="EK325" s="7">
        <v>1.0009999999999999</v>
      </c>
      <c r="EL325" s="7">
        <v>1.0009999999999999</v>
      </c>
      <c r="EM325" s="7">
        <v>1.0009999999999999</v>
      </c>
      <c r="EN325" s="7">
        <v>1.0009999999999999</v>
      </c>
      <c r="EO325" s="7">
        <v>1.0009999999999999</v>
      </c>
      <c r="EP325" s="7">
        <v>1.0009999999999999</v>
      </c>
      <c r="EQ325" s="7">
        <v>1.0009999999999999</v>
      </c>
      <c r="ER325" s="7">
        <v>1.0009999999999999</v>
      </c>
      <c r="ES325" s="7">
        <v>1.0009999999999999</v>
      </c>
      <c r="ET325" s="7">
        <v>1.0009999999999999</v>
      </c>
      <c r="EU325" s="7">
        <v>1.0009999999999999</v>
      </c>
      <c r="EV325" s="7">
        <v>1.0009999999999999</v>
      </c>
      <c r="EW325" s="7">
        <v>1.0009999999999999</v>
      </c>
      <c r="EX325" s="7">
        <v>1.0009999999999999</v>
      </c>
      <c r="EY325" s="7">
        <v>1.0009999999999999</v>
      </c>
      <c r="EZ325" s="7">
        <v>1.0009999999999999</v>
      </c>
      <c r="FA325" s="7">
        <v>1.0009999999999999</v>
      </c>
      <c r="FB325" s="7">
        <v>1.0009999999999999</v>
      </c>
      <c r="FC325" s="7">
        <v>1.0009999999999999</v>
      </c>
      <c r="FE325" s="50">
        <f t="shared" ca="1" si="37"/>
        <v>1.0009999999999999</v>
      </c>
      <c r="FF325" s="50">
        <f t="shared" ca="1" si="38"/>
        <v>1.0009999999999999</v>
      </c>
      <c r="FG325" s="50">
        <f t="shared" ca="1" si="39"/>
        <v>1.0009999999999999</v>
      </c>
      <c r="FH325" s="50">
        <f t="shared" ca="1" si="40"/>
        <v>1.0009999999999999</v>
      </c>
      <c r="FI325" s="50"/>
      <c r="FK325" s="50">
        <f t="shared" ca="1" si="36"/>
        <v>1.0009999999999999</v>
      </c>
      <c r="FL325" s="50"/>
      <c r="FM325" s="50"/>
      <c r="FN325" s="50"/>
    </row>
    <row r="326" spans="49:170" hidden="1">
      <c r="AW326" s="112">
        <v>0.186</v>
      </c>
      <c r="AX326" s="7">
        <v>0.64959999999999996</v>
      </c>
      <c r="AY326" s="7">
        <v>0.65810000000000002</v>
      </c>
      <c r="AZ326" s="7">
        <v>0.66649999999999998</v>
      </c>
      <c r="BA326" s="7">
        <v>0.67469999999999997</v>
      </c>
      <c r="BB326" s="7">
        <v>0.68269999999999997</v>
      </c>
      <c r="BC326" s="7">
        <v>0.69059999999999999</v>
      </c>
      <c r="BD326" s="7">
        <v>0.69830000000000003</v>
      </c>
      <c r="BE326" s="7">
        <v>0.70579999999999998</v>
      </c>
      <c r="BF326" s="7">
        <v>0.71319999999999995</v>
      </c>
      <c r="BG326" s="7">
        <v>0.72040000000000004</v>
      </c>
      <c r="BH326" s="7">
        <v>0.72750000000000004</v>
      </c>
      <c r="BI326" s="7">
        <v>0.73450000000000004</v>
      </c>
      <c r="BJ326" s="7">
        <v>0.74129999999999996</v>
      </c>
      <c r="BK326" s="7">
        <v>0.748</v>
      </c>
      <c r="BL326" s="7">
        <v>0.75460000000000005</v>
      </c>
      <c r="BM326" s="7">
        <v>0.76100000000000001</v>
      </c>
      <c r="BN326" s="7">
        <v>0.76739999999999997</v>
      </c>
      <c r="BO326" s="7">
        <v>0.77359999999999995</v>
      </c>
      <c r="BP326" s="7">
        <v>0.77969999999999995</v>
      </c>
      <c r="BQ326" s="7">
        <v>0.78569999999999995</v>
      </c>
      <c r="BR326" s="7">
        <v>0.79159999999999997</v>
      </c>
      <c r="BS326" s="7">
        <v>0.79730000000000001</v>
      </c>
      <c r="BT326" s="7">
        <v>0.80300000000000005</v>
      </c>
      <c r="BU326" s="7">
        <v>0.80859999999999999</v>
      </c>
      <c r="BV326" s="7">
        <v>0.81410000000000005</v>
      </c>
      <c r="BW326" s="7">
        <v>0.81950000000000001</v>
      </c>
      <c r="BX326" s="7">
        <v>0.82479999999999998</v>
      </c>
      <c r="BY326" s="7">
        <v>0.83</v>
      </c>
      <c r="BZ326" s="7">
        <v>0.83509999999999995</v>
      </c>
      <c r="CA326" s="7">
        <v>0.84019999999999995</v>
      </c>
      <c r="CB326" s="7">
        <v>0.84509999999999996</v>
      </c>
      <c r="CC326" s="7">
        <v>0.85</v>
      </c>
      <c r="CD326" s="7">
        <v>0.8548</v>
      </c>
      <c r="CE326" s="7">
        <v>0.85950000000000004</v>
      </c>
      <c r="CF326" s="7">
        <v>0.86419999999999997</v>
      </c>
      <c r="CG326" s="7">
        <v>0.86880000000000002</v>
      </c>
      <c r="CH326" s="7">
        <v>0.87329999999999997</v>
      </c>
      <c r="CI326" s="7">
        <v>0.87770000000000004</v>
      </c>
      <c r="CJ326" s="7">
        <v>0.8821</v>
      </c>
      <c r="CK326" s="7">
        <v>0.88639999999999997</v>
      </c>
      <c r="CL326" s="7">
        <v>0.89059999999999995</v>
      </c>
      <c r="CM326" s="7">
        <v>0.89480000000000004</v>
      </c>
      <c r="CN326" s="7">
        <v>0.89900000000000002</v>
      </c>
      <c r="CO326" s="7">
        <v>0.90300000000000002</v>
      </c>
      <c r="CP326" s="7">
        <v>0.90700000000000003</v>
      </c>
      <c r="CQ326" s="7">
        <v>0.91100000000000003</v>
      </c>
      <c r="CR326" s="7">
        <v>0.91490000000000005</v>
      </c>
      <c r="CS326" s="7">
        <v>0.91869999999999996</v>
      </c>
      <c r="CT326" s="7">
        <v>0.92249999999999999</v>
      </c>
      <c r="CU326" s="7">
        <v>0.92620000000000002</v>
      </c>
      <c r="CV326" s="7">
        <v>0.92989999999999995</v>
      </c>
      <c r="CW326" s="7">
        <v>0.9335</v>
      </c>
      <c r="CX326" s="7">
        <v>0.93710000000000004</v>
      </c>
      <c r="CY326" s="7">
        <v>0.94059999999999999</v>
      </c>
      <c r="CZ326" s="7">
        <v>0.94410000000000005</v>
      </c>
      <c r="DA326" s="7">
        <v>0.9476</v>
      </c>
      <c r="DB326" s="7">
        <v>0.95099999999999996</v>
      </c>
      <c r="DC326" s="7">
        <v>0.95430000000000004</v>
      </c>
      <c r="DD326" s="7">
        <v>0.95760000000000001</v>
      </c>
      <c r="DE326" s="7">
        <v>0.96089999999999998</v>
      </c>
      <c r="DF326" s="7">
        <v>0.96419999999999995</v>
      </c>
      <c r="DG326" s="7">
        <v>0.96730000000000005</v>
      </c>
      <c r="DH326" s="7">
        <v>0.97050000000000003</v>
      </c>
      <c r="DI326" s="7">
        <v>0.97360000000000002</v>
      </c>
      <c r="DJ326" s="7">
        <v>0.97670000000000001</v>
      </c>
      <c r="DK326" s="7">
        <v>0.97970000000000002</v>
      </c>
      <c r="DL326" s="7">
        <v>0.98270000000000002</v>
      </c>
      <c r="DM326" s="7">
        <v>0.98570000000000002</v>
      </c>
      <c r="DN326" s="7">
        <v>0.98870000000000002</v>
      </c>
      <c r="DO326" s="7">
        <v>0.99160000000000004</v>
      </c>
      <c r="DP326" s="7">
        <v>0.99439999999999995</v>
      </c>
      <c r="DQ326" s="7">
        <v>0.99729999999999996</v>
      </c>
      <c r="DR326" s="7">
        <v>1.0009999999999999</v>
      </c>
      <c r="DS326" s="7">
        <v>1.0009999999999999</v>
      </c>
      <c r="DT326" s="7">
        <v>1.0009999999999999</v>
      </c>
      <c r="DU326" s="7">
        <v>1.0009999999999999</v>
      </c>
      <c r="DV326" s="7">
        <v>1.0009999999999999</v>
      </c>
      <c r="DW326" s="7">
        <v>1.0009999999999999</v>
      </c>
      <c r="DX326" s="7">
        <v>1.0009999999999999</v>
      </c>
      <c r="DY326" s="7">
        <v>1.0009999999999999</v>
      </c>
      <c r="DZ326" s="7">
        <v>1.0009999999999999</v>
      </c>
      <c r="EA326" s="7">
        <v>1.0009999999999999</v>
      </c>
      <c r="EB326" s="7">
        <v>1.0009999999999999</v>
      </c>
      <c r="EC326" s="7">
        <v>1.0009999999999999</v>
      </c>
      <c r="ED326" s="7">
        <v>1.0009999999999999</v>
      </c>
      <c r="EE326" s="7">
        <v>1.0009999999999999</v>
      </c>
      <c r="EF326" s="7">
        <v>1.0009999999999999</v>
      </c>
      <c r="EG326" s="7">
        <v>1.0009999999999999</v>
      </c>
      <c r="EH326" s="7">
        <v>1.0009999999999999</v>
      </c>
      <c r="EI326" s="7">
        <v>1.0009999999999999</v>
      </c>
      <c r="EJ326" s="7">
        <v>1.0009999999999999</v>
      </c>
      <c r="EK326" s="7">
        <v>1.0009999999999999</v>
      </c>
      <c r="EL326" s="7">
        <v>1.0009999999999999</v>
      </c>
      <c r="EM326" s="7">
        <v>1.0009999999999999</v>
      </c>
      <c r="EN326" s="7">
        <v>1.0009999999999999</v>
      </c>
      <c r="EO326" s="7">
        <v>1.0009999999999999</v>
      </c>
      <c r="EP326" s="7">
        <v>1.0009999999999999</v>
      </c>
      <c r="EQ326" s="7">
        <v>1.0009999999999999</v>
      </c>
      <c r="ER326" s="7">
        <v>1.0009999999999999</v>
      </c>
      <c r="ES326" s="7">
        <v>1.0009999999999999</v>
      </c>
      <c r="ET326" s="7">
        <v>1.0009999999999999</v>
      </c>
      <c r="EU326" s="7">
        <v>1.0009999999999999</v>
      </c>
      <c r="EV326" s="7">
        <v>1.0009999999999999</v>
      </c>
      <c r="EW326" s="7">
        <v>1.0009999999999999</v>
      </c>
      <c r="EX326" s="7">
        <v>1.0009999999999999</v>
      </c>
      <c r="EY326" s="7">
        <v>1.0009999999999999</v>
      </c>
      <c r="EZ326" s="7">
        <v>1.0009999999999999</v>
      </c>
      <c r="FA326" s="7">
        <v>1.0009999999999999</v>
      </c>
      <c r="FB326" s="7">
        <v>1.0009999999999999</v>
      </c>
      <c r="FC326" s="7">
        <v>1.0009999999999999</v>
      </c>
      <c r="FE326" s="50">
        <f t="shared" ca="1" si="37"/>
        <v>1.0009999999999999</v>
      </c>
      <c r="FF326" s="50">
        <f t="shared" ca="1" si="38"/>
        <v>1.0009999999999999</v>
      </c>
      <c r="FG326" s="50">
        <f t="shared" ca="1" si="39"/>
        <v>1.0009999999999999</v>
      </c>
      <c r="FH326" s="50">
        <f t="shared" ca="1" si="40"/>
        <v>1.0009999999999999</v>
      </c>
      <c r="FI326" s="50"/>
      <c r="FK326" s="50">
        <f t="shared" ca="1" si="36"/>
        <v>1.0009999999999999</v>
      </c>
      <c r="FL326" s="50"/>
      <c r="FM326" s="50"/>
      <c r="FN326" s="50"/>
    </row>
    <row r="327" spans="49:170" hidden="1">
      <c r="AW327" s="112">
        <v>0.2</v>
      </c>
      <c r="AX327" s="7">
        <v>0.64710000000000001</v>
      </c>
      <c r="AY327" s="7">
        <v>0.65559999999999996</v>
      </c>
      <c r="AZ327" s="7">
        <v>0.66390000000000005</v>
      </c>
      <c r="BA327" s="7">
        <v>0.67210000000000003</v>
      </c>
      <c r="BB327" s="7">
        <v>0.68010000000000004</v>
      </c>
      <c r="BC327" s="7">
        <v>0.68789999999999996</v>
      </c>
      <c r="BD327" s="7">
        <v>0.6956</v>
      </c>
      <c r="BE327" s="7">
        <v>0.70309999999999995</v>
      </c>
      <c r="BF327" s="7">
        <v>0.71050000000000002</v>
      </c>
      <c r="BG327" s="7">
        <v>0.7177</v>
      </c>
      <c r="BH327" s="7">
        <v>0.7248</v>
      </c>
      <c r="BI327" s="7">
        <v>0.73170000000000002</v>
      </c>
      <c r="BJ327" s="7">
        <v>0.73850000000000005</v>
      </c>
      <c r="BK327" s="7">
        <v>0.74519999999999997</v>
      </c>
      <c r="BL327" s="7">
        <v>0.75170000000000003</v>
      </c>
      <c r="BM327" s="7">
        <v>0.7581</v>
      </c>
      <c r="BN327" s="7">
        <v>0.76449999999999996</v>
      </c>
      <c r="BO327" s="7">
        <v>0.77059999999999995</v>
      </c>
      <c r="BP327" s="7">
        <v>0.77669999999999995</v>
      </c>
      <c r="BQ327" s="7">
        <v>0.78269999999999995</v>
      </c>
      <c r="BR327" s="7">
        <v>0.78849999999999998</v>
      </c>
      <c r="BS327" s="7">
        <v>0.79430000000000001</v>
      </c>
      <c r="BT327" s="7">
        <v>0.8</v>
      </c>
      <c r="BU327" s="7">
        <v>0.80549999999999999</v>
      </c>
      <c r="BV327" s="7">
        <v>0.81100000000000005</v>
      </c>
      <c r="BW327" s="7">
        <v>0.81640000000000001</v>
      </c>
      <c r="BX327" s="7">
        <v>0.8216</v>
      </c>
      <c r="BY327" s="7">
        <v>0.82679999999999998</v>
      </c>
      <c r="BZ327" s="7">
        <v>0.83189999999999997</v>
      </c>
      <c r="CA327" s="7">
        <v>0.83699999999999997</v>
      </c>
      <c r="CB327" s="7">
        <v>0.84189999999999998</v>
      </c>
      <c r="CC327" s="7">
        <v>0.8468</v>
      </c>
      <c r="CD327" s="7">
        <v>0.85160000000000002</v>
      </c>
      <c r="CE327" s="7">
        <v>0.85629999999999995</v>
      </c>
      <c r="CF327" s="7">
        <v>0.8609</v>
      </c>
      <c r="CG327" s="7">
        <v>0.86550000000000005</v>
      </c>
      <c r="CH327" s="7">
        <v>0.86990000000000001</v>
      </c>
      <c r="CI327" s="7">
        <v>0.87439999999999996</v>
      </c>
      <c r="CJ327" s="7">
        <v>0.87870000000000004</v>
      </c>
      <c r="CK327" s="7">
        <v>0.88300000000000001</v>
      </c>
      <c r="CL327" s="7">
        <v>0.88729999999999998</v>
      </c>
      <c r="CM327" s="7">
        <v>0.89139999999999997</v>
      </c>
      <c r="CN327" s="7">
        <v>0.89549999999999996</v>
      </c>
      <c r="CO327" s="7">
        <v>0.89959999999999996</v>
      </c>
      <c r="CP327" s="7">
        <v>0.90359999999999996</v>
      </c>
      <c r="CQ327" s="7">
        <v>0.90749999999999997</v>
      </c>
      <c r="CR327" s="7">
        <v>0.91139999999999999</v>
      </c>
      <c r="CS327" s="7">
        <v>0.91520000000000001</v>
      </c>
      <c r="CT327" s="7">
        <v>0.91900000000000004</v>
      </c>
      <c r="CU327" s="7">
        <v>0.92269999999999996</v>
      </c>
      <c r="CV327" s="7">
        <v>0.92630000000000001</v>
      </c>
      <c r="CW327" s="7">
        <v>0.93</v>
      </c>
      <c r="CX327" s="7">
        <v>0.9335</v>
      </c>
      <c r="CY327" s="7">
        <v>0.93710000000000004</v>
      </c>
      <c r="CZ327" s="7">
        <v>0.9405</v>
      </c>
      <c r="DA327" s="7">
        <v>0.94399999999999995</v>
      </c>
      <c r="DB327" s="7">
        <v>0.94730000000000003</v>
      </c>
      <c r="DC327" s="7">
        <v>0.95069999999999999</v>
      </c>
      <c r="DD327" s="7">
        <v>0.95399999999999996</v>
      </c>
      <c r="DE327" s="7">
        <v>0.95730000000000004</v>
      </c>
      <c r="DF327" s="7">
        <v>0.96050000000000002</v>
      </c>
      <c r="DG327" s="7">
        <v>0.9637</v>
      </c>
      <c r="DH327" s="7">
        <v>0.96679999999999999</v>
      </c>
      <c r="DI327" s="7">
        <v>0.96989999999999998</v>
      </c>
      <c r="DJ327" s="7">
        <v>0.97299999999999998</v>
      </c>
      <c r="DK327" s="7">
        <v>0.97599999999999998</v>
      </c>
      <c r="DL327" s="7">
        <v>0.97899999999999998</v>
      </c>
      <c r="DM327" s="7">
        <v>0.98199999999999998</v>
      </c>
      <c r="DN327" s="7">
        <v>0.9849</v>
      </c>
      <c r="DO327" s="7">
        <v>0.98780000000000001</v>
      </c>
      <c r="DP327" s="7">
        <v>0.99070000000000003</v>
      </c>
      <c r="DQ327" s="7">
        <v>0.99350000000000005</v>
      </c>
      <c r="DR327" s="7">
        <v>0.99629999999999996</v>
      </c>
      <c r="DS327" s="7">
        <v>0.99909999999999999</v>
      </c>
      <c r="DT327" s="7">
        <v>1.0009999999999999</v>
      </c>
      <c r="DU327" s="7">
        <v>1.0009999999999999</v>
      </c>
      <c r="DV327" s="7">
        <v>1.0009999999999999</v>
      </c>
      <c r="DW327" s="7">
        <v>1.0009999999999999</v>
      </c>
      <c r="DX327" s="7">
        <v>1.0009999999999999</v>
      </c>
      <c r="DY327" s="7">
        <v>1.0009999999999999</v>
      </c>
      <c r="DZ327" s="7">
        <v>1.0009999999999999</v>
      </c>
      <c r="EA327" s="7">
        <v>1.0009999999999999</v>
      </c>
      <c r="EB327" s="7">
        <v>1.0009999999999999</v>
      </c>
      <c r="EC327" s="7">
        <v>1.0009999999999999</v>
      </c>
      <c r="ED327" s="7">
        <v>1.0009999999999999</v>
      </c>
      <c r="EE327" s="7">
        <v>1.0009999999999999</v>
      </c>
      <c r="EF327" s="7">
        <v>1.0009999999999999</v>
      </c>
      <c r="EG327" s="7">
        <v>1.0009999999999999</v>
      </c>
      <c r="EH327" s="7">
        <v>1.0009999999999999</v>
      </c>
      <c r="EI327" s="7">
        <v>1.0009999999999999</v>
      </c>
      <c r="EJ327" s="7">
        <v>1.0009999999999999</v>
      </c>
      <c r="EK327" s="7">
        <v>1.0009999999999999</v>
      </c>
      <c r="EL327" s="7">
        <v>1.0009999999999999</v>
      </c>
      <c r="EM327" s="7">
        <v>1.0009999999999999</v>
      </c>
      <c r="EN327" s="7">
        <v>1.0009999999999999</v>
      </c>
      <c r="EO327" s="7">
        <v>1.0009999999999999</v>
      </c>
      <c r="EP327" s="7">
        <v>1.0009999999999999</v>
      </c>
      <c r="EQ327" s="7">
        <v>1.0009999999999999</v>
      </c>
      <c r="ER327" s="7">
        <v>1.0009999999999999</v>
      </c>
      <c r="ES327" s="7">
        <v>1.0009999999999999</v>
      </c>
      <c r="ET327" s="7">
        <v>1.0009999999999999</v>
      </c>
      <c r="EU327" s="7">
        <v>1.0009999999999999</v>
      </c>
      <c r="EV327" s="7">
        <v>1.0009999999999999</v>
      </c>
      <c r="EW327" s="7">
        <v>1.0009999999999999</v>
      </c>
      <c r="EX327" s="7">
        <v>1.0009999999999999</v>
      </c>
      <c r="EY327" s="7">
        <v>1.0009999999999999</v>
      </c>
      <c r="EZ327" s="7">
        <v>1.0009999999999999</v>
      </c>
      <c r="FA327" s="7">
        <v>1.0009999999999999</v>
      </c>
      <c r="FB327" s="7">
        <v>1.0009999999999999</v>
      </c>
      <c r="FC327" s="7">
        <v>1.0009999999999999</v>
      </c>
      <c r="FE327" s="50">
        <f t="shared" ca="1" si="37"/>
        <v>1.0009999999999999</v>
      </c>
      <c r="FF327" s="50">
        <f t="shared" ca="1" si="38"/>
        <v>1.0009999999999999</v>
      </c>
      <c r="FG327" s="50">
        <f t="shared" ca="1" si="39"/>
        <v>1.0009999999999999</v>
      </c>
      <c r="FH327" s="50">
        <f t="shared" ca="1" si="40"/>
        <v>1.0009999999999999</v>
      </c>
      <c r="FI327" s="50"/>
      <c r="FK327" s="50">
        <f t="shared" ca="1" si="36"/>
        <v>1.0009999999999999</v>
      </c>
      <c r="FL327" s="50"/>
      <c r="FM327" s="50"/>
      <c r="FN327" s="50"/>
    </row>
    <row r="328" spans="49:170" hidden="1">
      <c r="AW328" s="112">
        <v>0.214</v>
      </c>
      <c r="AX328" s="7">
        <v>0.64470000000000005</v>
      </c>
      <c r="AY328" s="7">
        <v>0.65310000000000001</v>
      </c>
      <c r="AZ328" s="7">
        <v>0.66149999999999998</v>
      </c>
      <c r="BA328" s="7">
        <v>0.66959999999999997</v>
      </c>
      <c r="BB328" s="7">
        <v>0.67759999999999998</v>
      </c>
      <c r="BC328" s="7">
        <v>0.68540000000000001</v>
      </c>
      <c r="BD328" s="7">
        <v>0.69299999999999995</v>
      </c>
      <c r="BE328" s="7">
        <v>0.70050000000000001</v>
      </c>
      <c r="BF328" s="7">
        <v>0.70779999999999998</v>
      </c>
      <c r="BG328" s="7">
        <v>0.71499999999999997</v>
      </c>
      <c r="BH328" s="7">
        <v>0.72199999999999998</v>
      </c>
      <c r="BI328" s="7">
        <v>0.72899999999999998</v>
      </c>
      <c r="BJ328" s="7">
        <v>0.73570000000000002</v>
      </c>
      <c r="BK328" s="7">
        <v>0.74239999999999995</v>
      </c>
      <c r="BL328" s="7">
        <v>0.74890000000000001</v>
      </c>
      <c r="BM328" s="7">
        <v>0.75529999999999997</v>
      </c>
      <c r="BN328" s="7">
        <v>0.76160000000000005</v>
      </c>
      <c r="BO328" s="7">
        <v>0.76770000000000005</v>
      </c>
      <c r="BP328" s="7">
        <v>0.77380000000000004</v>
      </c>
      <c r="BQ328" s="7">
        <v>0.77969999999999995</v>
      </c>
      <c r="BR328" s="7">
        <v>0.78559999999999997</v>
      </c>
      <c r="BS328" s="7">
        <v>0.7913</v>
      </c>
      <c r="BT328" s="7">
        <v>0.79700000000000004</v>
      </c>
      <c r="BU328" s="7">
        <v>0.80249999999999999</v>
      </c>
      <c r="BV328" s="7">
        <v>0.80789999999999995</v>
      </c>
      <c r="BW328" s="7">
        <v>0.81330000000000002</v>
      </c>
      <c r="BX328" s="7">
        <v>0.81859999999999999</v>
      </c>
      <c r="BY328" s="7">
        <v>0.82369999999999999</v>
      </c>
      <c r="BZ328" s="7">
        <v>0.82879999999999998</v>
      </c>
      <c r="CA328" s="7">
        <v>0.83379999999999999</v>
      </c>
      <c r="CB328" s="7">
        <v>0.8387</v>
      </c>
      <c r="CC328" s="7">
        <v>0.84360000000000002</v>
      </c>
      <c r="CD328" s="7">
        <v>0.84840000000000004</v>
      </c>
      <c r="CE328" s="7">
        <v>0.85299999999999998</v>
      </c>
      <c r="CF328" s="7">
        <v>0.85770000000000002</v>
      </c>
      <c r="CG328" s="7">
        <v>0.86219999999999997</v>
      </c>
      <c r="CH328" s="7">
        <v>0.86670000000000003</v>
      </c>
      <c r="CI328" s="7">
        <v>0.87109999999999999</v>
      </c>
      <c r="CJ328" s="7">
        <v>0.87539999999999996</v>
      </c>
      <c r="CK328" s="7">
        <v>0.87970000000000004</v>
      </c>
      <c r="CL328" s="7">
        <v>0.88390000000000002</v>
      </c>
      <c r="CM328" s="7">
        <v>0.8881</v>
      </c>
      <c r="CN328" s="7">
        <v>0.89219999999999999</v>
      </c>
      <c r="CO328" s="7">
        <v>0.8962</v>
      </c>
      <c r="CP328" s="7">
        <v>0.9002</v>
      </c>
      <c r="CQ328" s="7">
        <v>0.90410000000000001</v>
      </c>
      <c r="CR328" s="7">
        <v>0.90790000000000004</v>
      </c>
      <c r="CS328" s="7">
        <v>0.91169999999999995</v>
      </c>
      <c r="CT328" s="7">
        <v>0.91549999999999998</v>
      </c>
      <c r="CU328" s="7">
        <v>0.91920000000000002</v>
      </c>
      <c r="CV328" s="7">
        <v>0.92290000000000005</v>
      </c>
      <c r="CW328" s="7">
        <v>0.92649999999999999</v>
      </c>
      <c r="CX328" s="7">
        <v>0.93</v>
      </c>
      <c r="CY328" s="7">
        <v>0.9335</v>
      </c>
      <c r="CZ328" s="7">
        <v>0.93700000000000006</v>
      </c>
      <c r="DA328" s="7">
        <v>0.94040000000000001</v>
      </c>
      <c r="DB328" s="7">
        <v>0.94379999999999997</v>
      </c>
      <c r="DC328" s="7">
        <v>0.94710000000000005</v>
      </c>
      <c r="DD328" s="7">
        <v>0.95040000000000002</v>
      </c>
      <c r="DE328" s="7">
        <v>0.95369999999999999</v>
      </c>
      <c r="DF328" s="7">
        <v>0.95689999999999997</v>
      </c>
      <c r="DG328" s="7">
        <v>0.96</v>
      </c>
      <c r="DH328" s="7">
        <v>0.96319999999999995</v>
      </c>
      <c r="DI328" s="7">
        <v>0.96630000000000005</v>
      </c>
      <c r="DJ328" s="7">
        <v>0.96930000000000005</v>
      </c>
      <c r="DK328" s="7">
        <v>0.97230000000000005</v>
      </c>
      <c r="DL328" s="7">
        <v>0.97529999999999994</v>
      </c>
      <c r="DM328" s="7">
        <v>0.97829999999999995</v>
      </c>
      <c r="DN328" s="7">
        <v>0.98119999999999996</v>
      </c>
      <c r="DO328" s="7">
        <v>0.98409999999999997</v>
      </c>
      <c r="DP328" s="7">
        <v>0.9869</v>
      </c>
      <c r="DQ328" s="7">
        <v>0.98980000000000001</v>
      </c>
      <c r="DR328" s="7">
        <v>0.99250000000000005</v>
      </c>
      <c r="DS328" s="7">
        <v>0.99529999999999996</v>
      </c>
      <c r="DT328" s="7">
        <v>0.998</v>
      </c>
      <c r="DU328" s="7">
        <v>1.0009999999999999</v>
      </c>
      <c r="DV328" s="7">
        <v>1.0009999999999999</v>
      </c>
      <c r="DW328" s="7">
        <v>1.0009999999999999</v>
      </c>
      <c r="DX328" s="7">
        <v>1.0009999999999999</v>
      </c>
      <c r="DY328" s="7">
        <v>1.0009999999999999</v>
      </c>
      <c r="DZ328" s="7">
        <v>1.0009999999999999</v>
      </c>
      <c r="EA328" s="7">
        <v>1.0009999999999999</v>
      </c>
      <c r="EB328" s="7">
        <v>1.0009999999999999</v>
      </c>
      <c r="EC328" s="7">
        <v>1.0009999999999999</v>
      </c>
      <c r="ED328" s="7">
        <v>1.0009999999999999</v>
      </c>
      <c r="EE328" s="7">
        <v>1.0009999999999999</v>
      </c>
      <c r="EF328" s="7">
        <v>1.0009999999999999</v>
      </c>
      <c r="EG328" s="7">
        <v>1.0009999999999999</v>
      </c>
      <c r="EH328" s="7">
        <v>1.0009999999999999</v>
      </c>
      <c r="EI328" s="7">
        <v>1.0009999999999999</v>
      </c>
      <c r="EJ328" s="7">
        <v>1.0009999999999999</v>
      </c>
      <c r="EK328" s="7">
        <v>1.0009999999999999</v>
      </c>
      <c r="EL328" s="7">
        <v>1.0009999999999999</v>
      </c>
      <c r="EM328" s="7">
        <v>1.0009999999999999</v>
      </c>
      <c r="EN328" s="7">
        <v>1.0009999999999999</v>
      </c>
      <c r="EO328" s="7">
        <v>1.0009999999999999</v>
      </c>
      <c r="EP328" s="7">
        <v>1.0009999999999999</v>
      </c>
      <c r="EQ328" s="7">
        <v>1.0009999999999999</v>
      </c>
      <c r="ER328" s="7">
        <v>1.0009999999999999</v>
      </c>
      <c r="ES328" s="7">
        <v>1.0009999999999999</v>
      </c>
      <c r="ET328" s="7">
        <v>1.0009999999999999</v>
      </c>
      <c r="EU328" s="7">
        <v>1.0009999999999999</v>
      </c>
      <c r="EV328" s="7">
        <v>1.0009999999999999</v>
      </c>
      <c r="EW328" s="7">
        <v>1.0009999999999999</v>
      </c>
      <c r="EX328" s="7">
        <v>1.0009999999999999</v>
      </c>
      <c r="EY328" s="7">
        <v>1.0009999999999999</v>
      </c>
      <c r="EZ328" s="7">
        <v>1.0009999999999999</v>
      </c>
      <c r="FA328" s="7">
        <v>1.0009999999999999</v>
      </c>
      <c r="FB328" s="7">
        <v>1.0009999999999999</v>
      </c>
      <c r="FC328" s="7">
        <v>1.0009999999999999</v>
      </c>
      <c r="FE328" s="50">
        <f t="shared" ca="1" si="37"/>
        <v>1.0009999999999999</v>
      </c>
      <c r="FF328" s="50">
        <f t="shared" ca="1" si="38"/>
        <v>1.0009999999999999</v>
      </c>
      <c r="FG328" s="50">
        <f t="shared" ca="1" si="39"/>
        <v>1.0009999999999999</v>
      </c>
      <c r="FH328" s="50">
        <f t="shared" ca="1" si="40"/>
        <v>1.0009999999999999</v>
      </c>
      <c r="FI328" s="50"/>
      <c r="FK328" s="50">
        <f t="shared" ca="1" si="36"/>
        <v>1.0009999999999999</v>
      </c>
      <c r="FL328" s="50"/>
      <c r="FM328" s="50"/>
      <c r="FN328" s="50"/>
    </row>
    <row r="329" spans="49:170" hidden="1">
      <c r="AW329" s="112">
        <v>0.22900000000000001</v>
      </c>
      <c r="AX329" s="7">
        <v>0.64229999999999998</v>
      </c>
      <c r="AY329" s="7">
        <v>0.65069999999999995</v>
      </c>
      <c r="AZ329" s="7">
        <v>0.65900000000000003</v>
      </c>
      <c r="BA329" s="7">
        <v>0.66710000000000003</v>
      </c>
      <c r="BB329" s="7">
        <v>0.67500000000000004</v>
      </c>
      <c r="BC329" s="7">
        <v>0.68279999999999996</v>
      </c>
      <c r="BD329" s="7">
        <v>0.69040000000000001</v>
      </c>
      <c r="BE329" s="7">
        <v>0.69789999999999996</v>
      </c>
      <c r="BF329" s="7">
        <v>0.70520000000000005</v>
      </c>
      <c r="BG329" s="7">
        <v>0.71240000000000003</v>
      </c>
      <c r="BH329" s="7">
        <v>0.71940000000000004</v>
      </c>
      <c r="BI329" s="7">
        <v>0.72629999999999995</v>
      </c>
      <c r="BJ329" s="7">
        <v>0.73299999999999998</v>
      </c>
      <c r="BK329" s="7">
        <v>0.73960000000000004</v>
      </c>
      <c r="BL329" s="7">
        <v>0.74609999999999999</v>
      </c>
      <c r="BM329" s="7">
        <v>0.75249999999999995</v>
      </c>
      <c r="BN329" s="7">
        <v>0.75880000000000003</v>
      </c>
      <c r="BO329" s="7">
        <v>0.76490000000000002</v>
      </c>
      <c r="BP329" s="7">
        <v>0.77090000000000003</v>
      </c>
      <c r="BQ329" s="7">
        <v>0.77690000000000003</v>
      </c>
      <c r="BR329" s="7">
        <v>0.78269999999999995</v>
      </c>
      <c r="BS329" s="7">
        <v>0.78839999999999999</v>
      </c>
      <c r="BT329" s="7">
        <v>0.79400000000000004</v>
      </c>
      <c r="BU329" s="7">
        <v>0.79949999999999999</v>
      </c>
      <c r="BV329" s="7">
        <v>0.80500000000000005</v>
      </c>
      <c r="BW329" s="7">
        <v>0.81030000000000002</v>
      </c>
      <c r="BX329" s="7">
        <v>0.8155</v>
      </c>
      <c r="BY329" s="7">
        <v>0.82069999999999999</v>
      </c>
      <c r="BZ329" s="7">
        <v>0.82569999999999999</v>
      </c>
      <c r="CA329" s="7">
        <v>0.83069999999999999</v>
      </c>
      <c r="CB329" s="7">
        <v>0.83560000000000001</v>
      </c>
      <c r="CC329" s="7">
        <v>0.84050000000000002</v>
      </c>
      <c r="CD329" s="7">
        <v>0.84519999999999995</v>
      </c>
      <c r="CE329" s="7">
        <v>0.84989999999999999</v>
      </c>
      <c r="CF329" s="7">
        <v>0.85450000000000004</v>
      </c>
      <c r="CG329" s="7">
        <v>0.85899999999999999</v>
      </c>
      <c r="CH329" s="7">
        <v>0.86350000000000005</v>
      </c>
      <c r="CI329" s="7">
        <v>0.8679</v>
      </c>
      <c r="CJ329" s="7">
        <v>0.87219999999999998</v>
      </c>
      <c r="CK329" s="7">
        <v>0.87649999999999995</v>
      </c>
      <c r="CL329" s="7">
        <v>0.88060000000000005</v>
      </c>
      <c r="CM329" s="7">
        <v>0.88480000000000003</v>
      </c>
      <c r="CN329" s="7">
        <v>0.88890000000000002</v>
      </c>
      <c r="CO329" s="7">
        <v>0.89290000000000003</v>
      </c>
      <c r="CP329" s="7">
        <v>0.89680000000000004</v>
      </c>
      <c r="CQ329" s="7">
        <v>0.90069999999999995</v>
      </c>
      <c r="CR329" s="7">
        <v>0.90459999999999996</v>
      </c>
      <c r="CS329" s="7">
        <v>0.90839999999999999</v>
      </c>
      <c r="CT329" s="7">
        <v>0.91210000000000002</v>
      </c>
      <c r="CU329" s="7">
        <v>0.91579999999999995</v>
      </c>
      <c r="CV329" s="7">
        <v>0.9194</v>
      </c>
      <c r="CW329" s="7">
        <v>0.92300000000000004</v>
      </c>
      <c r="CX329" s="7">
        <v>0.92659999999999998</v>
      </c>
      <c r="CY329" s="7">
        <v>0.93010000000000004</v>
      </c>
      <c r="CZ329" s="7">
        <v>0.9335</v>
      </c>
      <c r="DA329" s="7">
        <v>0.93689999999999996</v>
      </c>
      <c r="DB329" s="7">
        <v>0.94030000000000002</v>
      </c>
      <c r="DC329" s="7">
        <v>0.94359999999999999</v>
      </c>
      <c r="DD329" s="7">
        <v>0.94689999999999996</v>
      </c>
      <c r="DE329" s="7">
        <v>0.95009999999999994</v>
      </c>
      <c r="DF329" s="7">
        <v>0.95330000000000004</v>
      </c>
      <c r="DG329" s="7">
        <v>0.95650000000000002</v>
      </c>
      <c r="DH329" s="7">
        <v>0.95960000000000001</v>
      </c>
      <c r="DI329" s="7">
        <v>0.9627</v>
      </c>
      <c r="DJ329" s="7">
        <v>0.9657</v>
      </c>
      <c r="DK329" s="7">
        <v>0.96870000000000001</v>
      </c>
      <c r="DL329" s="7">
        <v>0.97170000000000001</v>
      </c>
      <c r="DM329" s="7">
        <v>0.97470000000000001</v>
      </c>
      <c r="DN329" s="7">
        <v>0.97760000000000002</v>
      </c>
      <c r="DO329" s="7">
        <v>0.98040000000000005</v>
      </c>
      <c r="DP329" s="7">
        <v>0.98329999999999995</v>
      </c>
      <c r="DQ329" s="7">
        <v>0.98609999999999998</v>
      </c>
      <c r="DR329" s="7">
        <v>0.9889</v>
      </c>
      <c r="DS329" s="7">
        <v>0.99160000000000004</v>
      </c>
      <c r="DT329" s="7">
        <v>0.99429999999999996</v>
      </c>
      <c r="DU329" s="7">
        <v>0.997</v>
      </c>
      <c r="DV329" s="7">
        <v>0.99970000000000003</v>
      </c>
      <c r="DW329" s="7">
        <v>1.0009999999999999</v>
      </c>
      <c r="DX329" s="7">
        <v>1.0009999999999999</v>
      </c>
      <c r="DY329" s="7">
        <v>1.0009999999999999</v>
      </c>
      <c r="DZ329" s="7">
        <v>1.0009999999999999</v>
      </c>
      <c r="EA329" s="7">
        <v>1.0009999999999999</v>
      </c>
      <c r="EB329" s="7">
        <v>1.0009999999999999</v>
      </c>
      <c r="EC329" s="7">
        <v>1.0009999999999999</v>
      </c>
      <c r="ED329" s="7">
        <v>1.0009999999999999</v>
      </c>
      <c r="EE329" s="7">
        <v>1.0009999999999999</v>
      </c>
      <c r="EF329" s="7">
        <v>1.0009999999999999</v>
      </c>
      <c r="EG329" s="7">
        <v>1.0009999999999999</v>
      </c>
      <c r="EH329" s="7">
        <v>1.0009999999999999</v>
      </c>
      <c r="EI329" s="7">
        <v>1.0009999999999999</v>
      </c>
      <c r="EJ329" s="7">
        <v>1.0009999999999999</v>
      </c>
      <c r="EK329" s="7">
        <v>1.0009999999999999</v>
      </c>
      <c r="EL329" s="7">
        <v>1.0009999999999999</v>
      </c>
      <c r="EM329" s="7">
        <v>1.0009999999999999</v>
      </c>
      <c r="EN329" s="7">
        <v>1.0009999999999999</v>
      </c>
      <c r="EO329" s="7">
        <v>1.0009999999999999</v>
      </c>
      <c r="EP329" s="7">
        <v>1.0009999999999999</v>
      </c>
      <c r="EQ329" s="7">
        <v>1.0009999999999999</v>
      </c>
      <c r="ER329" s="7">
        <v>1.0009999999999999</v>
      </c>
      <c r="ES329" s="7">
        <v>1.0009999999999999</v>
      </c>
      <c r="ET329" s="7">
        <v>1.0009999999999999</v>
      </c>
      <c r="EU329" s="7">
        <v>1.0009999999999999</v>
      </c>
      <c r="EV329" s="7">
        <v>1.0009999999999999</v>
      </c>
      <c r="EW329" s="7">
        <v>1.0009999999999999</v>
      </c>
      <c r="EX329" s="7">
        <v>1.0009999999999999</v>
      </c>
      <c r="EY329" s="7">
        <v>1.0009999999999999</v>
      </c>
      <c r="EZ329" s="7">
        <v>1.0009999999999999</v>
      </c>
      <c r="FA329" s="7">
        <v>1.0009999999999999</v>
      </c>
      <c r="FB329" s="7">
        <v>1.0009999999999999</v>
      </c>
      <c r="FC329" s="7">
        <v>1.0009999999999999</v>
      </c>
      <c r="FE329" s="50">
        <f t="shared" ca="1" si="37"/>
        <v>1.0009999999999999</v>
      </c>
      <c r="FF329" s="50">
        <f t="shared" ca="1" si="38"/>
        <v>1.0004389298301826</v>
      </c>
      <c r="FG329" s="50">
        <f t="shared" ca="1" si="39"/>
        <v>0.9994952348993289</v>
      </c>
      <c r="FH329" s="50">
        <f t="shared" ca="1" si="40"/>
        <v>0.99768315436241617</v>
      </c>
      <c r="FI329" s="50"/>
      <c r="FK329" s="50">
        <f t="shared" ca="1" si="36"/>
        <v>1.0004389298301826</v>
      </c>
      <c r="FL329" s="50"/>
      <c r="FM329" s="50"/>
      <c r="FN329" s="50"/>
    </row>
    <row r="330" spans="49:170" hidden="1">
      <c r="AW330" s="112">
        <v>0.245</v>
      </c>
      <c r="AX330" s="7">
        <v>0.63990000000000002</v>
      </c>
      <c r="AY330" s="7">
        <v>0.64839999999999998</v>
      </c>
      <c r="AZ330" s="7">
        <v>0.65659999999999996</v>
      </c>
      <c r="BA330" s="7">
        <v>0.66469999999999996</v>
      </c>
      <c r="BB330" s="7">
        <v>0.67259999999999998</v>
      </c>
      <c r="BC330" s="7">
        <v>0.68030000000000002</v>
      </c>
      <c r="BD330" s="7">
        <v>0.68789999999999996</v>
      </c>
      <c r="BE330" s="7">
        <v>0.69530000000000003</v>
      </c>
      <c r="BF330" s="7">
        <v>0.7026</v>
      </c>
      <c r="BG330" s="7">
        <v>0.70979999999999999</v>
      </c>
      <c r="BH330" s="7">
        <v>0.7167</v>
      </c>
      <c r="BI330" s="7">
        <v>0.72360000000000002</v>
      </c>
      <c r="BJ330" s="7">
        <v>0.73029999999999995</v>
      </c>
      <c r="BK330" s="7">
        <v>0.7369</v>
      </c>
      <c r="BL330" s="7">
        <v>0.74339999999999995</v>
      </c>
      <c r="BM330" s="7">
        <v>0.74980000000000002</v>
      </c>
      <c r="BN330" s="7">
        <v>0.75600000000000001</v>
      </c>
      <c r="BO330" s="7">
        <v>0.7621</v>
      </c>
      <c r="BP330" s="7">
        <v>0.7681</v>
      </c>
      <c r="BQ330" s="7">
        <v>0.77400000000000002</v>
      </c>
      <c r="BR330" s="7">
        <v>0.77980000000000005</v>
      </c>
      <c r="BS330" s="7">
        <v>0.78549999999999998</v>
      </c>
      <c r="BT330" s="7">
        <v>0.79110000000000003</v>
      </c>
      <c r="BU330" s="7">
        <v>0.79659999999999997</v>
      </c>
      <c r="BV330" s="7">
        <v>0.80200000000000005</v>
      </c>
      <c r="BW330" s="7">
        <v>0.80730000000000002</v>
      </c>
      <c r="BX330" s="7">
        <v>0.81259999999999999</v>
      </c>
      <c r="BY330" s="7">
        <v>0.81769999999999998</v>
      </c>
      <c r="BZ330" s="7">
        <v>0.82269999999999999</v>
      </c>
      <c r="CA330" s="7">
        <v>0.82769999999999999</v>
      </c>
      <c r="CB330" s="7">
        <v>0.83260000000000001</v>
      </c>
      <c r="CC330" s="7">
        <v>0.83740000000000003</v>
      </c>
      <c r="CD330" s="7">
        <v>0.84209999999999996</v>
      </c>
      <c r="CE330" s="7">
        <v>0.8468</v>
      </c>
      <c r="CF330" s="7">
        <v>0.85140000000000005</v>
      </c>
      <c r="CG330" s="7">
        <v>0.85589999999999999</v>
      </c>
      <c r="CH330" s="7">
        <v>0.86029999999999995</v>
      </c>
      <c r="CI330" s="7">
        <v>0.86470000000000002</v>
      </c>
      <c r="CJ330" s="7">
        <v>0.86899999999999999</v>
      </c>
      <c r="CK330" s="7">
        <v>0.87329999999999997</v>
      </c>
      <c r="CL330" s="7">
        <v>0.87739999999999996</v>
      </c>
      <c r="CM330" s="7">
        <v>0.88160000000000005</v>
      </c>
      <c r="CN330" s="7">
        <v>0.88560000000000005</v>
      </c>
      <c r="CO330" s="7">
        <v>0.88959999999999995</v>
      </c>
      <c r="CP330" s="7">
        <v>0.89359999999999995</v>
      </c>
      <c r="CQ330" s="7">
        <v>0.89749999999999996</v>
      </c>
      <c r="CR330" s="7">
        <v>0.90129999999999999</v>
      </c>
      <c r="CS330" s="7">
        <v>0.90510000000000002</v>
      </c>
      <c r="CT330" s="7">
        <v>0.90880000000000005</v>
      </c>
      <c r="CU330" s="7">
        <v>0.91249999999999998</v>
      </c>
      <c r="CV330" s="7">
        <v>0.91610000000000003</v>
      </c>
      <c r="CW330" s="7">
        <v>0.91969999999999996</v>
      </c>
      <c r="CX330" s="7">
        <v>0.92320000000000002</v>
      </c>
      <c r="CY330" s="7">
        <v>0.92669999999999997</v>
      </c>
      <c r="CZ330" s="7">
        <v>0.93010000000000004</v>
      </c>
      <c r="DA330" s="7">
        <v>0.9335</v>
      </c>
      <c r="DB330" s="7">
        <v>0.93689999999999996</v>
      </c>
      <c r="DC330" s="7">
        <v>0.94020000000000004</v>
      </c>
      <c r="DD330" s="7">
        <v>0.94340000000000002</v>
      </c>
      <c r="DE330" s="7">
        <v>0.94669999999999999</v>
      </c>
      <c r="DF330" s="7">
        <v>0.94989999999999997</v>
      </c>
      <c r="DG330" s="7">
        <v>0.95299999999999996</v>
      </c>
      <c r="DH330" s="7">
        <v>0.95609999999999995</v>
      </c>
      <c r="DI330" s="7">
        <v>0.95920000000000005</v>
      </c>
      <c r="DJ330" s="7">
        <v>0.96220000000000006</v>
      </c>
      <c r="DK330" s="7">
        <v>0.96519999999999995</v>
      </c>
      <c r="DL330" s="7">
        <v>0.96819999999999995</v>
      </c>
      <c r="DM330" s="7">
        <v>0.97109999999999996</v>
      </c>
      <c r="DN330" s="7">
        <v>0.97399999999999998</v>
      </c>
      <c r="DO330" s="7">
        <v>0.97689999999999999</v>
      </c>
      <c r="DP330" s="7">
        <v>0.97970000000000002</v>
      </c>
      <c r="DQ330" s="7">
        <v>0.98250000000000004</v>
      </c>
      <c r="DR330" s="7">
        <v>0.98529999999999995</v>
      </c>
      <c r="DS330" s="7">
        <v>0.98799999999999999</v>
      </c>
      <c r="DT330" s="7">
        <v>0.99070000000000003</v>
      </c>
      <c r="DU330" s="7">
        <v>0.99339999999999995</v>
      </c>
      <c r="DV330" s="7">
        <v>0.99609999999999999</v>
      </c>
      <c r="DW330" s="7">
        <v>0.99870000000000003</v>
      </c>
      <c r="DX330" s="7">
        <v>1.0009999999999999</v>
      </c>
      <c r="DY330" s="7">
        <v>1.0009999999999999</v>
      </c>
      <c r="DZ330" s="7">
        <v>1.0009999999999999</v>
      </c>
      <c r="EA330" s="7">
        <v>1.0009999999999999</v>
      </c>
      <c r="EB330" s="7">
        <v>1.0009999999999999</v>
      </c>
      <c r="EC330" s="7">
        <v>1.0009999999999999</v>
      </c>
      <c r="ED330" s="7">
        <v>1.0009999999999999</v>
      </c>
      <c r="EE330" s="7">
        <v>1.0009999999999999</v>
      </c>
      <c r="EF330" s="7">
        <v>1.0009999999999999</v>
      </c>
      <c r="EG330" s="7">
        <v>1.0009999999999999</v>
      </c>
      <c r="EH330" s="7">
        <v>1.0009999999999999</v>
      </c>
      <c r="EI330" s="7">
        <v>1.0009999999999999</v>
      </c>
      <c r="EJ330" s="7">
        <v>1.0009999999999999</v>
      </c>
      <c r="EK330" s="7">
        <v>1.0009999999999999</v>
      </c>
      <c r="EL330" s="7">
        <v>1.0009999999999999</v>
      </c>
      <c r="EM330" s="7">
        <v>1.0009999999999999</v>
      </c>
      <c r="EN330" s="7">
        <v>1.0009999999999999</v>
      </c>
      <c r="EO330" s="7">
        <v>1.0009999999999999</v>
      </c>
      <c r="EP330" s="7">
        <v>1.0009999999999999</v>
      </c>
      <c r="EQ330" s="7">
        <v>1.0009999999999999</v>
      </c>
      <c r="ER330" s="7">
        <v>1.0009999999999999</v>
      </c>
      <c r="ES330" s="7">
        <v>1.0009999999999999</v>
      </c>
      <c r="ET330" s="7">
        <v>1.0009999999999999</v>
      </c>
      <c r="EU330" s="7">
        <v>1.0009999999999999</v>
      </c>
      <c r="EV330" s="7">
        <v>1.0009999999999999</v>
      </c>
      <c r="EW330" s="7">
        <v>1.0009999999999999</v>
      </c>
      <c r="EX330" s="7">
        <v>1.0009999999999999</v>
      </c>
      <c r="EY330" s="7">
        <v>1.0009999999999999</v>
      </c>
      <c r="EZ330" s="7">
        <v>1.0009999999999999</v>
      </c>
      <c r="FA330" s="7">
        <v>1.0009999999999999</v>
      </c>
      <c r="FB330" s="7">
        <v>1.0009999999999999</v>
      </c>
      <c r="FC330" s="7">
        <v>1.0009999999999999</v>
      </c>
      <c r="FE330" s="50">
        <f t="shared" ca="1" si="37"/>
        <v>0.99915943713673894</v>
      </c>
      <c r="FF330" s="50">
        <f t="shared" ca="1" si="38"/>
        <v>0.99757785966036538</v>
      </c>
      <c r="FG330" s="50">
        <f t="shared" ca="1" si="39"/>
        <v>0.99589523489932885</v>
      </c>
      <c r="FH330" s="50">
        <f t="shared" ca="1" si="40"/>
        <v>0.99408315436241612</v>
      </c>
      <c r="FI330" s="50"/>
      <c r="FK330" s="50">
        <f t="shared" ca="1" si="36"/>
        <v>0.99757785966036538</v>
      </c>
      <c r="FL330" s="50"/>
      <c r="FM330" s="50"/>
      <c r="FN330" s="50"/>
    </row>
    <row r="331" spans="49:170" hidden="1">
      <c r="AW331" s="112">
        <v>0.26300000000000001</v>
      </c>
      <c r="AX331" s="7">
        <v>0.63759999999999994</v>
      </c>
      <c r="AY331" s="7">
        <v>0.64600000000000002</v>
      </c>
      <c r="AZ331" s="7">
        <v>0.6542</v>
      </c>
      <c r="BA331" s="7">
        <v>0.6623</v>
      </c>
      <c r="BB331" s="7">
        <v>0.67020000000000002</v>
      </c>
      <c r="BC331" s="7">
        <v>0.67789999999999995</v>
      </c>
      <c r="BD331" s="7">
        <v>0.68540000000000001</v>
      </c>
      <c r="BE331" s="7">
        <v>0.69279999999999997</v>
      </c>
      <c r="BF331" s="7">
        <v>0.70009999999999994</v>
      </c>
      <c r="BG331" s="7">
        <v>0.70720000000000005</v>
      </c>
      <c r="BH331" s="7">
        <v>0.71419999999999995</v>
      </c>
      <c r="BI331" s="7">
        <v>0.72099999999999997</v>
      </c>
      <c r="BJ331" s="7">
        <v>0.72770000000000001</v>
      </c>
      <c r="BK331" s="7">
        <v>0.73429999999999995</v>
      </c>
      <c r="BL331" s="7">
        <v>0.74070000000000003</v>
      </c>
      <c r="BM331" s="7">
        <v>0.74709999999999999</v>
      </c>
      <c r="BN331" s="7">
        <v>0.75329999999999997</v>
      </c>
      <c r="BO331" s="7">
        <v>0.75939999999999996</v>
      </c>
      <c r="BP331" s="7">
        <v>0.76539999999999997</v>
      </c>
      <c r="BQ331" s="7">
        <v>0.77129999999999999</v>
      </c>
      <c r="BR331" s="7">
        <v>0.77700000000000002</v>
      </c>
      <c r="BS331" s="7">
        <v>0.78269999999999995</v>
      </c>
      <c r="BT331" s="7">
        <v>0.7883</v>
      </c>
      <c r="BU331" s="7">
        <v>0.79379999999999995</v>
      </c>
      <c r="BV331" s="7">
        <v>0.79910000000000003</v>
      </c>
      <c r="BW331" s="7">
        <v>0.8044</v>
      </c>
      <c r="BX331" s="7">
        <v>0.80959999999999999</v>
      </c>
      <c r="BY331" s="7">
        <v>0.81479999999999997</v>
      </c>
      <c r="BZ331" s="7">
        <v>0.81979999999999997</v>
      </c>
      <c r="CA331" s="7">
        <v>0.82469999999999999</v>
      </c>
      <c r="CB331" s="7">
        <v>0.8296</v>
      </c>
      <c r="CC331" s="7">
        <v>0.83440000000000003</v>
      </c>
      <c r="CD331" s="7">
        <v>0.83909999999999996</v>
      </c>
      <c r="CE331" s="7">
        <v>0.84370000000000001</v>
      </c>
      <c r="CF331" s="7">
        <v>0.84830000000000005</v>
      </c>
      <c r="CG331" s="7">
        <v>0.8528</v>
      </c>
      <c r="CH331" s="7">
        <v>0.85719999999999996</v>
      </c>
      <c r="CI331" s="7">
        <v>0.86160000000000003</v>
      </c>
      <c r="CJ331" s="7">
        <v>0.8659</v>
      </c>
      <c r="CK331" s="7">
        <v>0.87009999999999998</v>
      </c>
      <c r="CL331" s="7">
        <v>0.87429999999999997</v>
      </c>
      <c r="CM331" s="7">
        <v>0.87839999999999996</v>
      </c>
      <c r="CN331" s="7">
        <v>0.88239999999999996</v>
      </c>
      <c r="CO331" s="7">
        <v>0.88639999999999997</v>
      </c>
      <c r="CP331" s="7">
        <v>0.89039999999999997</v>
      </c>
      <c r="CQ331" s="7">
        <v>0.89419999999999999</v>
      </c>
      <c r="CR331" s="7">
        <v>0.89800000000000002</v>
      </c>
      <c r="CS331" s="7">
        <v>0.90180000000000005</v>
      </c>
      <c r="CT331" s="7">
        <v>0.90549999999999997</v>
      </c>
      <c r="CU331" s="7">
        <v>0.90920000000000001</v>
      </c>
      <c r="CV331" s="7">
        <v>0.91279999999999994</v>
      </c>
      <c r="CW331" s="7">
        <v>0.91639999999999999</v>
      </c>
      <c r="CX331" s="7">
        <v>0.91990000000000005</v>
      </c>
      <c r="CY331" s="7">
        <v>0.9234</v>
      </c>
      <c r="CZ331" s="7">
        <v>0.92679999999999996</v>
      </c>
      <c r="DA331" s="7">
        <v>0.93020000000000003</v>
      </c>
      <c r="DB331" s="7">
        <v>0.9335</v>
      </c>
      <c r="DC331" s="7">
        <v>0.93679999999999997</v>
      </c>
      <c r="DD331" s="7">
        <v>0.94010000000000005</v>
      </c>
      <c r="DE331" s="7">
        <v>0.94330000000000003</v>
      </c>
      <c r="DF331" s="7">
        <v>0.94640000000000002</v>
      </c>
      <c r="DG331" s="7">
        <v>0.9496</v>
      </c>
      <c r="DH331" s="7">
        <v>0.95269999999999999</v>
      </c>
      <c r="DI331" s="7">
        <v>0.95569999999999999</v>
      </c>
      <c r="DJ331" s="7">
        <v>0.95879999999999999</v>
      </c>
      <c r="DK331" s="7">
        <v>0.9617</v>
      </c>
      <c r="DL331" s="7">
        <v>0.9647</v>
      </c>
      <c r="DM331" s="7">
        <v>0.96760000000000002</v>
      </c>
      <c r="DN331" s="7">
        <v>0.97050000000000003</v>
      </c>
      <c r="DO331" s="7">
        <v>0.97340000000000004</v>
      </c>
      <c r="DP331" s="7">
        <v>0.97619999999999996</v>
      </c>
      <c r="DQ331" s="7">
        <v>0.97899999999999998</v>
      </c>
      <c r="DR331" s="7">
        <v>0.98170000000000002</v>
      </c>
      <c r="DS331" s="7">
        <v>0.98450000000000004</v>
      </c>
      <c r="DT331" s="7">
        <v>0.98719999999999997</v>
      </c>
      <c r="DU331" s="7">
        <v>0.98980000000000001</v>
      </c>
      <c r="DV331" s="7">
        <v>0.99250000000000005</v>
      </c>
      <c r="DW331" s="7">
        <v>0.99509999999999998</v>
      </c>
      <c r="DX331" s="7">
        <v>0.99770000000000003</v>
      </c>
      <c r="DY331" s="7">
        <v>1.0009999999999999</v>
      </c>
      <c r="DZ331" s="7">
        <v>1.0009999999999999</v>
      </c>
      <c r="EA331" s="7">
        <v>1.0009999999999999</v>
      </c>
      <c r="EB331" s="7">
        <v>1.0009999999999999</v>
      </c>
      <c r="EC331" s="7">
        <v>1.0009999999999999</v>
      </c>
      <c r="ED331" s="7">
        <v>1.0009999999999999</v>
      </c>
      <c r="EE331" s="7">
        <v>1.0009999999999999</v>
      </c>
      <c r="EF331" s="7">
        <v>1.0009999999999999</v>
      </c>
      <c r="EG331" s="7">
        <v>1.0009999999999999</v>
      </c>
      <c r="EH331" s="7">
        <v>1.0009999999999999</v>
      </c>
      <c r="EI331" s="7">
        <v>1.0009999999999999</v>
      </c>
      <c r="EJ331" s="7">
        <v>1.0009999999999999</v>
      </c>
      <c r="EK331" s="7">
        <v>1.0009999999999999</v>
      </c>
      <c r="EL331" s="7">
        <v>1.0009999999999999</v>
      </c>
      <c r="EM331" s="7">
        <v>1.0009999999999999</v>
      </c>
      <c r="EN331" s="7">
        <v>1.0009999999999999</v>
      </c>
      <c r="EO331" s="7">
        <v>1.0009999999999999</v>
      </c>
      <c r="EP331" s="7">
        <v>1.0009999999999999</v>
      </c>
      <c r="EQ331" s="7">
        <v>1.0009999999999999</v>
      </c>
      <c r="ER331" s="7">
        <v>1.0009999999999999</v>
      </c>
      <c r="ES331" s="7">
        <v>1.0009999999999999</v>
      </c>
      <c r="ET331" s="7">
        <v>1.0009999999999999</v>
      </c>
      <c r="EU331" s="7">
        <v>1.0009999999999999</v>
      </c>
      <c r="EV331" s="7">
        <v>1.0009999999999999</v>
      </c>
      <c r="EW331" s="7">
        <v>1.0009999999999999</v>
      </c>
      <c r="EX331" s="7">
        <v>1.0009999999999999</v>
      </c>
      <c r="EY331" s="7">
        <v>1.0009999999999999</v>
      </c>
      <c r="EZ331" s="7">
        <v>1.0009999999999999</v>
      </c>
      <c r="FA331" s="7">
        <v>1.0009999999999999</v>
      </c>
      <c r="FB331" s="7">
        <v>1.0009999999999999</v>
      </c>
      <c r="FC331" s="7">
        <v>1.0009999999999999</v>
      </c>
      <c r="FE331" s="50">
        <f t="shared" ca="1" si="37"/>
        <v>0.99561936371979187</v>
      </c>
      <c r="FF331" s="50">
        <f t="shared" ca="1" si="38"/>
        <v>0.99397785966036523</v>
      </c>
      <c r="FG331" s="50">
        <f t="shared" ca="1" si="39"/>
        <v>0.9922952348993288</v>
      </c>
      <c r="FH331" s="50">
        <f t="shared" ca="1" si="40"/>
        <v>0.99048315436241607</v>
      </c>
      <c r="FI331" s="50"/>
      <c r="FK331" s="50">
        <f t="shared" ca="1" si="36"/>
        <v>0.99397785966036523</v>
      </c>
      <c r="FL331" s="50"/>
      <c r="FM331" s="50"/>
      <c r="FN331" s="50"/>
    </row>
    <row r="332" spans="49:170" hidden="1">
      <c r="AW332" s="112">
        <v>0.28199999999999997</v>
      </c>
      <c r="AX332" s="7">
        <v>0.63539999999999996</v>
      </c>
      <c r="AY332" s="7">
        <v>0.64370000000000005</v>
      </c>
      <c r="AZ332" s="7">
        <v>0.65190000000000003</v>
      </c>
      <c r="BA332" s="7">
        <v>0.66</v>
      </c>
      <c r="BB332" s="7">
        <v>0.66779999999999995</v>
      </c>
      <c r="BC332" s="7">
        <v>0.67549999999999999</v>
      </c>
      <c r="BD332" s="7">
        <v>0.68300000000000005</v>
      </c>
      <c r="BE332" s="7">
        <v>0.69040000000000001</v>
      </c>
      <c r="BF332" s="7">
        <v>0.6976</v>
      </c>
      <c r="BG332" s="7">
        <v>0.70469999999999999</v>
      </c>
      <c r="BH332" s="7">
        <v>0.7117</v>
      </c>
      <c r="BI332" s="7">
        <v>0.71850000000000003</v>
      </c>
      <c r="BJ332" s="7">
        <v>0.72509999999999997</v>
      </c>
      <c r="BK332" s="7">
        <v>0.73170000000000002</v>
      </c>
      <c r="BL332" s="7">
        <v>0.73809999999999998</v>
      </c>
      <c r="BM332" s="7">
        <v>0.74439999999999995</v>
      </c>
      <c r="BN332" s="7">
        <v>0.75060000000000004</v>
      </c>
      <c r="BO332" s="7">
        <v>0.75670000000000004</v>
      </c>
      <c r="BP332" s="7">
        <v>0.76270000000000004</v>
      </c>
      <c r="BQ332" s="7">
        <v>0.76849999999999996</v>
      </c>
      <c r="BR332" s="7">
        <v>0.77429999999999999</v>
      </c>
      <c r="BS332" s="7">
        <v>0.77990000000000004</v>
      </c>
      <c r="BT332" s="7">
        <v>0.78549999999999998</v>
      </c>
      <c r="BU332" s="7">
        <v>0.79090000000000005</v>
      </c>
      <c r="BV332" s="7">
        <v>0.79630000000000001</v>
      </c>
      <c r="BW332" s="7">
        <v>0.80159999999999998</v>
      </c>
      <c r="BX332" s="7">
        <v>0.80679999999999996</v>
      </c>
      <c r="BY332" s="7">
        <v>0.81189999999999996</v>
      </c>
      <c r="BZ332" s="7">
        <v>0.81689999999999996</v>
      </c>
      <c r="CA332" s="7">
        <v>0.82179999999999997</v>
      </c>
      <c r="CB332" s="7">
        <v>0.82669999999999999</v>
      </c>
      <c r="CC332" s="7">
        <v>0.83140000000000003</v>
      </c>
      <c r="CD332" s="7">
        <v>0.83609999999999995</v>
      </c>
      <c r="CE332" s="7">
        <v>0.84079999999999999</v>
      </c>
      <c r="CF332" s="7">
        <v>0.84530000000000005</v>
      </c>
      <c r="CG332" s="7">
        <v>0.8498</v>
      </c>
      <c r="CH332" s="7">
        <v>0.85419999999999996</v>
      </c>
      <c r="CI332" s="7">
        <v>0.85860000000000003</v>
      </c>
      <c r="CJ332" s="7">
        <v>0.86280000000000001</v>
      </c>
      <c r="CK332" s="7">
        <v>0.86699999999999999</v>
      </c>
      <c r="CL332" s="7">
        <v>0.87119999999999997</v>
      </c>
      <c r="CM332" s="7">
        <v>0.87529999999999997</v>
      </c>
      <c r="CN332" s="7">
        <v>0.87929999999999997</v>
      </c>
      <c r="CO332" s="7">
        <v>0.88329999999999997</v>
      </c>
      <c r="CP332" s="7">
        <v>0.88719999999999999</v>
      </c>
      <c r="CQ332" s="7">
        <v>0.8911</v>
      </c>
      <c r="CR332" s="7">
        <v>0.89490000000000003</v>
      </c>
      <c r="CS332" s="7">
        <v>0.89859999999999995</v>
      </c>
      <c r="CT332" s="7">
        <v>0.90229999999999999</v>
      </c>
      <c r="CU332" s="7">
        <v>0.90600000000000003</v>
      </c>
      <c r="CV332" s="7">
        <v>0.90959999999999996</v>
      </c>
      <c r="CW332" s="7">
        <v>0.91310000000000002</v>
      </c>
      <c r="CX332" s="7">
        <v>0.91659999999999997</v>
      </c>
      <c r="CY332" s="7">
        <v>0.92010000000000003</v>
      </c>
      <c r="CZ332" s="7">
        <v>0.92349999999999999</v>
      </c>
      <c r="DA332" s="7">
        <v>0.92689999999999995</v>
      </c>
      <c r="DB332" s="7">
        <v>0.93020000000000003</v>
      </c>
      <c r="DC332" s="7">
        <v>0.9335</v>
      </c>
      <c r="DD332" s="7">
        <v>0.93669999999999998</v>
      </c>
      <c r="DE332" s="7">
        <v>0.93989999999999996</v>
      </c>
      <c r="DF332" s="7">
        <v>0.94310000000000005</v>
      </c>
      <c r="DG332" s="7">
        <v>0.94620000000000004</v>
      </c>
      <c r="DH332" s="7">
        <v>0.94930000000000003</v>
      </c>
      <c r="DI332" s="7">
        <v>0.95240000000000002</v>
      </c>
      <c r="DJ332" s="7">
        <v>0.95540000000000003</v>
      </c>
      <c r="DK332" s="7">
        <v>0.95830000000000004</v>
      </c>
      <c r="DL332" s="7">
        <v>0.96130000000000004</v>
      </c>
      <c r="DM332" s="7">
        <v>0.96419999999999995</v>
      </c>
      <c r="DN332" s="7">
        <v>0.96709999999999996</v>
      </c>
      <c r="DO332" s="7">
        <v>0.96989999999999998</v>
      </c>
      <c r="DP332" s="7">
        <v>0.97270000000000001</v>
      </c>
      <c r="DQ332" s="7">
        <v>0.97550000000000003</v>
      </c>
      <c r="DR332" s="7">
        <v>0.97829999999999995</v>
      </c>
      <c r="DS332" s="7">
        <v>0.98099999999999998</v>
      </c>
      <c r="DT332" s="7">
        <v>0.98370000000000002</v>
      </c>
      <c r="DU332" s="7">
        <v>0.98629999999999995</v>
      </c>
      <c r="DV332" s="7">
        <v>0.98899999999999999</v>
      </c>
      <c r="DW332" s="7">
        <v>0.99160000000000004</v>
      </c>
      <c r="DX332" s="7">
        <v>0.99419999999999997</v>
      </c>
      <c r="DY332" s="7">
        <v>0.99670000000000003</v>
      </c>
      <c r="DZ332" s="7">
        <v>0.99919999999999998</v>
      </c>
      <c r="EA332" s="7">
        <v>1.0009999999999999</v>
      </c>
      <c r="EB332" s="7">
        <v>1.0009999999999999</v>
      </c>
      <c r="EC332" s="7">
        <v>1.0009999999999999</v>
      </c>
      <c r="ED332" s="7">
        <v>1.0009999999999999</v>
      </c>
      <c r="EE332" s="7">
        <v>1.0009999999999999</v>
      </c>
      <c r="EF332" s="7">
        <v>1.0009999999999999</v>
      </c>
      <c r="EG332" s="7">
        <v>1.0009999999999999</v>
      </c>
      <c r="EH332" s="7">
        <v>1.0009999999999999</v>
      </c>
      <c r="EI332" s="7">
        <v>1.0009999999999999</v>
      </c>
      <c r="EJ332" s="7">
        <v>1.0009999999999999</v>
      </c>
      <c r="EK332" s="7">
        <v>1.0009999999999999</v>
      </c>
      <c r="EL332" s="7">
        <v>1.0009999999999999</v>
      </c>
      <c r="EM332" s="7">
        <v>1.0009999999999999</v>
      </c>
      <c r="EN332" s="7">
        <v>1.0009999999999999</v>
      </c>
      <c r="EO332" s="7">
        <v>1.0009999999999999</v>
      </c>
      <c r="EP332" s="7">
        <v>1.0009999999999999</v>
      </c>
      <c r="EQ332" s="7">
        <v>1.0009999999999999</v>
      </c>
      <c r="ER332" s="7">
        <v>1.0009999999999999</v>
      </c>
      <c r="ES332" s="7">
        <v>1.0009999999999999</v>
      </c>
      <c r="ET332" s="7">
        <v>1.0009999999999999</v>
      </c>
      <c r="EU332" s="7">
        <v>1.0009999999999999</v>
      </c>
      <c r="EV332" s="7">
        <v>1.0009999999999999</v>
      </c>
      <c r="EW332" s="7">
        <v>1.0009999999999999</v>
      </c>
      <c r="EX332" s="7">
        <v>1.0009999999999999</v>
      </c>
      <c r="EY332" s="7">
        <v>1.0009999999999999</v>
      </c>
      <c r="EZ332" s="7">
        <v>1.0009999999999999</v>
      </c>
      <c r="FA332" s="7">
        <v>1.0009999999999999</v>
      </c>
      <c r="FB332" s="7">
        <v>1.0009999999999999</v>
      </c>
      <c r="FC332" s="7">
        <v>1.0009999999999999</v>
      </c>
      <c r="FE332" s="50">
        <f t="shared" ca="1" si="37"/>
        <v>0.99211936371979204</v>
      </c>
      <c r="FF332" s="50">
        <f t="shared" ca="1" si="38"/>
        <v>0.99047785966036528</v>
      </c>
      <c r="FG332" s="50">
        <f t="shared" ca="1" si="39"/>
        <v>0.98879523489932875</v>
      </c>
      <c r="FH332" s="50">
        <f t="shared" ca="1" si="40"/>
        <v>0.98698315436241602</v>
      </c>
      <c r="FI332" s="50"/>
      <c r="FK332" s="50">
        <f t="shared" ca="1" si="36"/>
        <v>0.99047785966036528</v>
      </c>
      <c r="FL332" s="50"/>
      <c r="FM332" s="50"/>
      <c r="FN332" s="50"/>
    </row>
    <row r="333" spans="49:170" hidden="1">
      <c r="AW333" s="112">
        <v>0.30199999999999999</v>
      </c>
      <c r="AX333" s="7">
        <v>0.63319999999999999</v>
      </c>
      <c r="AY333" s="7">
        <v>0.64149999999999996</v>
      </c>
      <c r="AZ333" s="7">
        <v>0.64970000000000006</v>
      </c>
      <c r="BA333" s="7">
        <v>0.65769999999999995</v>
      </c>
      <c r="BB333" s="7">
        <v>0.66549999999999998</v>
      </c>
      <c r="BC333" s="7">
        <v>0.67310000000000003</v>
      </c>
      <c r="BD333" s="7">
        <v>0.68059999999999998</v>
      </c>
      <c r="BE333" s="7">
        <v>0.68799999999999994</v>
      </c>
      <c r="BF333" s="7">
        <v>0.69520000000000004</v>
      </c>
      <c r="BG333" s="7">
        <v>0.70220000000000005</v>
      </c>
      <c r="BH333" s="7">
        <v>0.70920000000000005</v>
      </c>
      <c r="BI333" s="7">
        <v>0.71599999999999997</v>
      </c>
      <c r="BJ333" s="7">
        <v>0.72260000000000002</v>
      </c>
      <c r="BK333" s="7">
        <v>0.72909999999999997</v>
      </c>
      <c r="BL333" s="7">
        <v>0.73550000000000004</v>
      </c>
      <c r="BM333" s="7">
        <v>0.74180000000000001</v>
      </c>
      <c r="BN333" s="7">
        <v>0.748</v>
      </c>
      <c r="BO333" s="7">
        <v>0.75409999999999999</v>
      </c>
      <c r="BP333" s="7">
        <v>0.76</v>
      </c>
      <c r="BQ333" s="7">
        <v>0.76580000000000004</v>
      </c>
      <c r="BR333" s="7">
        <v>0.77159999999999995</v>
      </c>
      <c r="BS333" s="7">
        <v>0.7772</v>
      </c>
      <c r="BT333" s="7">
        <v>0.78280000000000005</v>
      </c>
      <c r="BU333" s="7">
        <v>0.78820000000000001</v>
      </c>
      <c r="BV333" s="7">
        <v>0.79349999999999998</v>
      </c>
      <c r="BW333" s="7">
        <v>0.79879999999999995</v>
      </c>
      <c r="BX333" s="7">
        <v>0.80400000000000005</v>
      </c>
      <c r="BY333" s="7">
        <v>0.80900000000000005</v>
      </c>
      <c r="BZ333" s="7">
        <v>0.81399999999999995</v>
      </c>
      <c r="CA333" s="7">
        <v>0.81899999999999995</v>
      </c>
      <c r="CB333" s="7">
        <v>0.82379999999999998</v>
      </c>
      <c r="CC333" s="7">
        <v>0.82850000000000001</v>
      </c>
      <c r="CD333" s="7">
        <v>0.83320000000000005</v>
      </c>
      <c r="CE333" s="7">
        <v>0.83779999999999999</v>
      </c>
      <c r="CF333" s="7">
        <v>0.84240000000000004</v>
      </c>
      <c r="CG333" s="7">
        <v>0.8468</v>
      </c>
      <c r="CH333" s="7">
        <v>0.85119999999999996</v>
      </c>
      <c r="CI333" s="7">
        <v>0.85560000000000003</v>
      </c>
      <c r="CJ333" s="7">
        <v>0.85980000000000001</v>
      </c>
      <c r="CK333" s="7">
        <v>0.86399999999999999</v>
      </c>
      <c r="CL333" s="7">
        <v>0.86819999999999997</v>
      </c>
      <c r="CM333" s="7">
        <v>0.87219999999999998</v>
      </c>
      <c r="CN333" s="7">
        <v>0.87629999999999997</v>
      </c>
      <c r="CO333" s="7">
        <v>0.88019999999999998</v>
      </c>
      <c r="CP333" s="7">
        <v>0.8841</v>
      </c>
      <c r="CQ333" s="7">
        <v>0.88800000000000001</v>
      </c>
      <c r="CR333" s="7">
        <v>0.89180000000000004</v>
      </c>
      <c r="CS333" s="7">
        <v>0.89549999999999996</v>
      </c>
      <c r="CT333" s="7">
        <v>0.8992</v>
      </c>
      <c r="CU333" s="7">
        <v>0.90280000000000005</v>
      </c>
      <c r="CV333" s="7">
        <v>0.90639999999999998</v>
      </c>
      <c r="CW333" s="7">
        <v>0.90990000000000004</v>
      </c>
      <c r="CX333" s="7">
        <v>0.91339999999999999</v>
      </c>
      <c r="CY333" s="7">
        <v>0.91690000000000005</v>
      </c>
      <c r="CZ333" s="7">
        <v>0.92030000000000001</v>
      </c>
      <c r="DA333" s="7">
        <v>0.92359999999999998</v>
      </c>
      <c r="DB333" s="7">
        <v>0.92700000000000005</v>
      </c>
      <c r="DC333" s="7">
        <v>0.93020000000000003</v>
      </c>
      <c r="DD333" s="7">
        <v>0.9335</v>
      </c>
      <c r="DE333" s="7">
        <v>0.93669999999999998</v>
      </c>
      <c r="DF333" s="7">
        <v>0.93979999999999997</v>
      </c>
      <c r="DG333" s="7">
        <v>0.94289999999999996</v>
      </c>
      <c r="DH333" s="7">
        <v>0.94599999999999995</v>
      </c>
      <c r="DI333" s="7">
        <v>0.94899999999999995</v>
      </c>
      <c r="DJ333" s="7">
        <v>0.95199999999999996</v>
      </c>
      <c r="DK333" s="7">
        <v>0.95499999999999996</v>
      </c>
      <c r="DL333" s="7">
        <v>0.95789999999999997</v>
      </c>
      <c r="DM333" s="7">
        <v>0.96079999999999999</v>
      </c>
      <c r="DN333" s="7">
        <v>0.9637</v>
      </c>
      <c r="DO333" s="7">
        <v>0.96650000000000003</v>
      </c>
      <c r="DP333" s="7">
        <v>0.96930000000000005</v>
      </c>
      <c r="DQ333" s="7">
        <v>0.97209999999999996</v>
      </c>
      <c r="DR333" s="7">
        <v>0.9748</v>
      </c>
      <c r="DS333" s="7">
        <v>0.97760000000000002</v>
      </c>
      <c r="DT333" s="7">
        <v>0.98019999999999996</v>
      </c>
      <c r="DU333" s="7">
        <v>0.9829</v>
      </c>
      <c r="DV333" s="7">
        <v>0.98550000000000004</v>
      </c>
      <c r="DW333" s="7">
        <v>0.98809999999999998</v>
      </c>
      <c r="DX333" s="7">
        <v>0.99070000000000003</v>
      </c>
      <c r="DY333" s="7">
        <v>0.99319999999999997</v>
      </c>
      <c r="DZ333" s="7">
        <v>0.99580000000000002</v>
      </c>
      <c r="EA333" s="7">
        <v>0.99829999999999997</v>
      </c>
      <c r="EB333" s="7">
        <v>1.0009999999999999</v>
      </c>
      <c r="EC333" s="7">
        <v>1.0009999999999999</v>
      </c>
      <c r="ED333" s="7">
        <v>1.0009999999999999</v>
      </c>
      <c r="EE333" s="7">
        <v>1.0009999999999999</v>
      </c>
      <c r="EF333" s="7">
        <v>1.0009999999999999</v>
      </c>
      <c r="EG333" s="7">
        <v>1.0009999999999999</v>
      </c>
      <c r="EH333" s="7">
        <v>1.0009999999999999</v>
      </c>
      <c r="EI333" s="7">
        <v>1.0009999999999999</v>
      </c>
      <c r="EJ333" s="7">
        <v>1.0009999999999999</v>
      </c>
      <c r="EK333" s="7">
        <v>1.0009999999999999</v>
      </c>
      <c r="EL333" s="7">
        <v>1.0009999999999999</v>
      </c>
      <c r="EM333" s="7">
        <v>1.0009999999999999</v>
      </c>
      <c r="EN333" s="7">
        <v>1.0009999999999999</v>
      </c>
      <c r="EO333" s="7">
        <v>1.0009999999999999</v>
      </c>
      <c r="EP333" s="7">
        <v>1.0009999999999999</v>
      </c>
      <c r="EQ333" s="7">
        <v>1.0009999999999999</v>
      </c>
      <c r="ER333" s="7">
        <v>1.0009999999999999</v>
      </c>
      <c r="ES333" s="7">
        <v>1.0009999999999999</v>
      </c>
      <c r="ET333" s="7">
        <v>1.0009999999999999</v>
      </c>
      <c r="EU333" s="7">
        <v>1.0009999999999999</v>
      </c>
      <c r="EV333" s="7">
        <v>1.0009999999999999</v>
      </c>
      <c r="EW333" s="7">
        <v>1.0009999999999999</v>
      </c>
      <c r="EX333" s="7">
        <v>1.0009999999999999</v>
      </c>
      <c r="EY333" s="7">
        <v>1.0009999999999999</v>
      </c>
      <c r="EZ333" s="7">
        <v>1.0009999999999999</v>
      </c>
      <c r="FA333" s="7">
        <v>1.0009999999999999</v>
      </c>
      <c r="FB333" s="7">
        <v>1.0009999999999999</v>
      </c>
      <c r="FC333" s="7">
        <v>1.0009999999999999</v>
      </c>
      <c r="FE333" s="50">
        <f t="shared" ca="1" si="37"/>
        <v>0.98861936371979198</v>
      </c>
      <c r="FF333" s="50">
        <f t="shared" ca="1" si="38"/>
        <v>0.98697785966036522</v>
      </c>
      <c r="FG333" s="50">
        <f t="shared" ca="1" si="39"/>
        <v>0.98530281879194626</v>
      </c>
      <c r="FH333" s="50">
        <f t="shared" ca="1" si="40"/>
        <v>0.98355785234899318</v>
      </c>
      <c r="FI333" s="50"/>
      <c r="FK333" s="50">
        <f t="shared" ca="1" si="36"/>
        <v>0.98697785966036522</v>
      </c>
      <c r="FL333" s="50"/>
      <c r="FM333" s="50"/>
      <c r="FN333" s="50"/>
    </row>
    <row r="334" spans="49:170" hidden="1">
      <c r="AW334" s="112">
        <v>0.32400000000000001</v>
      </c>
      <c r="AX334" s="7">
        <v>0.63100000000000001</v>
      </c>
      <c r="AY334" s="7">
        <v>0.63929999999999998</v>
      </c>
      <c r="AZ334" s="7">
        <v>0.64739999999999998</v>
      </c>
      <c r="BA334" s="7">
        <v>0.65539999999999998</v>
      </c>
      <c r="BB334" s="7">
        <v>0.66320000000000001</v>
      </c>
      <c r="BC334" s="7">
        <v>0.67079999999999995</v>
      </c>
      <c r="BD334" s="7">
        <v>0.67830000000000001</v>
      </c>
      <c r="BE334" s="7">
        <v>0.68559999999999999</v>
      </c>
      <c r="BF334" s="7">
        <v>0.69279999999999997</v>
      </c>
      <c r="BG334" s="7">
        <v>0.69979999999999998</v>
      </c>
      <c r="BH334" s="7">
        <v>0.70669999999999999</v>
      </c>
      <c r="BI334" s="7">
        <v>0.71350000000000002</v>
      </c>
      <c r="BJ334" s="7">
        <v>0.72009999999999996</v>
      </c>
      <c r="BK334" s="7">
        <v>0.72660000000000002</v>
      </c>
      <c r="BL334" s="7">
        <v>0.73299999999999998</v>
      </c>
      <c r="BM334" s="7">
        <v>0.73929999999999996</v>
      </c>
      <c r="BN334" s="7">
        <v>0.74539999999999995</v>
      </c>
      <c r="BO334" s="7">
        <v>0.75149999999999995</v>
      </c>
      <c r="BP334" s="7">
        <v>0.75739999999999996</v>
      </c>
      <c r="BQ334" s="7">
        <v>0.76319999999999999</v>
      </c>
      <c r="BR334" s="7">
        <v>0.76890000000000003</v>
      </c>
      <c r="BS334" s="7">
        <v>0.77449999999999997</v>
      </c>
      <c r="BT334" s="7">
        <v>0.78010000000000002</v>
      </c>
      <c r="BU334" s="7">
        <v>0.78549999999999998</v>
      </c>
      <c r="BV334" s="7">
        <v>0.79079999999999995</v>
      </c>
      <c r="BW334" s="7">
        <v>0.79610000000000003</v>
      </c>
      <c r="BX334" s="7">
        <v>0.80120000000000002</v>
      </c>
      <c r="BY334" s="7">
        <v>0.80630000000000002</v>
      </c>
      <c r="BZ334" s="7">
        <v>0.81120000000000003</v>
      </c>
      <c r="CA334" s="7">
        <v>0.81610000000000005</v>
      </c>
      <c r="CB334" s="7">
        <v>0.82099999999999995</v>
      </c>
      <c r="CC334" s="7">
        <v>0.82569999999999999</v>
      </c>
      <c r="CD334" s="7">
        <v>0.83040000000000003</v>
      </c>
      <c r="CE334" s="7">
        <v>0.83499999999999996</v>
      </c>
      <c r="CF334" s="7">
        <v>0.83950000000000002</v>
      </c>
      <c r="CG334" s="7">
        <v>0.84389999999999998</v>
      </c>
      <c r="CH334" s="7">
        <v>0.84830000000000005</v>
      </c>
      <c r="CI334" s="7">
        <v>0.85260000000000002</v>
      </c>
      <c r="CJ334" s="7">
        <v>0.8569</v>
      </c>
      <c r="CK334" s="7">
        <v>0.86109999999999998</v>
      </c>
      <c r="CL334" s="7">
        <v>0.86519999999999997</v>
      </c>
      <c r="CM334" s="7">
        <v>0.86919999999999997</v>
      </c>
      <c r="CN334" s="7">
        <v>0.87319999999999998</v>
      </c>
      <c r="CO334" s="7">
        <v>0.87719999999999998</v>
      </c>
      <c r="CP334" s="7">
        <v>0.88109999999999999</v>
      </c>
      <c r="CQ334" s="7">
        <v>0.88490000000000002</v>
      </c>
      <c r="CR334" s="7">
        <v>0.88870000000000005</v>
      </c>
      <c r="CS334" s="7">
        <v>0.89239999999999997</v>
      </c>
      <c r="CT334" s="7">
        <v>0.89610000000000001</v>
      </c>
      <c r="CU334" s="7">
        <v>0.89970000000000006</v>
      </c>
      <c r="CV334" s="7">
        <v>0.90329999999999999</v>
      </c>
      <c r="CW334" s="7">
        <v>0.90680000000000005</v>
      </c>
      <c r="CX334" s="7">
        <v>0.9103</v>
      </c>
      <c r="CY334" s="7">
        <v>0.91369999999999996</v>
      </c>
      <c r="CZ334" s="7">
        <v>0.91710000000000003</v>
      </c>
      <c r="DA334" s="7">
        <v>0.92049999999999998</v>
      </c>
      <c r="DB334" s="7">
        <v>0.92379999999999995</v>
      </c>
      <c r="DC334" s="7">
        <v>0.92700000000000005</v>
      </c>
      <c r="DD334" s="7">
        <v>0.93030000000000002</v>
      </c>
      <c r="DE334" s="7">
        <v>0.93340000000000001</v>
      </c>
      <c r="DF334" s="7">
        <v>0.93659999999999999</v>
      </c>
      <c r="DG334" s="7">
        <v>0.93969999999999998</v>
      </c>
      <c r="DH334" s="7">
        <v>0.94269999999999998</v>
      </c>
      <c r="DI334" s="7">
        <v>0.94579999999999997</v>
      </c>
      <c r="DJ334" s="7">
        <v>0.94879999999999998</v>
      </c>
      <c r="DK334" s="7">
        <v>0.95169999999999999</v>
      </c>
      <c r="DL334" s="7">
        <v>0.9546</v>
      </c>
      <c r="DM334" s="7">
        <v>0.95750000000000002</v>
      </c>
      <c r="DN334" s="7">
        <v>0.96040000000000003</v>
      </c>
      <c r="DO334" s="7">
        <v>0.96319999999999995</v>
      </c>
      <c r="DP334" s="7">
        <v>0.96599999999999997</v>
      </c>
      <c r="DQ334" s="7">
        <v>0.96879999999999999</v>
      </c>
      <c r="DR334" s="7">
        <v>0.97150000000000003</v>
      </c>
      <c r="DS334" s="7">
        <v>0.97419999999999995</v>
      </c>
      <c r="DT334" s="7">
        <v>0.97689999999999999</v>
      </c>
      <c r="DU334" s="7">
        <v>0.97950000000000004</v>
      </c>
      <c r="DV334" s="7">
        <v>0.98209999999999997</v>
      </c>
      <c r="DW334" s="7">
        <v>0.98470000000000002</v>
      </c>
      <c r="DX334" s="7">
        <v>0.98729999999999996</v>
      </c>
      <c r="DY334" s="7">
        <v>0.98980000000000001</v>
      </c>
      <c r="DZ334" s="7">
        <v>0.99229999999999996</v>
      </c>
      <c r="EA334" s="7">
        <v>0.99480000000000002</v>
      </c>
      <c r="EB334" s="7">
        <v>0.99729999999999996</v>
      </c>
      <c r="EC334" s="7">
        <v>0.99970000000000003</v>
      </c>
      <c r="ED334" s="7">
        <v>1.0009999999999999</v>
      </c>
      <c r="EE334" s="7">
        <v>1.0009999999999999</v>
      </c>
      <c r="EF334" s="7">
        <v>1.0009999999999999</v>
      </c>
      <c r="EG334" s="7">
        <v>1.0009999999999999</v>
      </c>
      <c r="EH334" s="7">
        <v>1.0009999999999999</v>
      </c>
      <c r="EI334" s="7">
        <v>1.0009999999999999</v>
      </c>
      <c r="EJ334" s="7">
        <v>1.0009999999999999</v>
      </c>
      <c r="EK334" s="7">
        <v>1.0009999999999999</v>
      </c>
      <c r="EL334" s="7">
        <v>1.0009999999999999</v>
      </c>
      <c r="EM334" s="7">
        <v>1.0009999999999999</v>
      </c>
      <c r="EN334" s="7">
        <v>1.0009999999999999</v>
      </c>
      <c r="EO334" s="7">
        <v>1.0009999999999999</v>
      </c>
      <c r="EP334" s="7">
        <v>1.0009999999999999</v>
      </c>
      <c r="EQ334" s="7">
        <v>1.0009999999999999</v>
      </c>
      <c r="ER334" s="7">
        <v>1.0009999999999999</v>
      </c>
      <c r="ES334" s="7">
        <v>1.0009999999999999</v>
      </c>
      <c r="ET334" s="7">
        <v>1.0009999999999999</v>
      </c>
      <c r="EU334" s="7">
        <v>1.0009999999999999</v>
      </c>
      <c r="EV334" s="7">
        <v>1.0009999999999999</v>
      </c>
      <c r="EW334" s="7">
        <v>1.0009999999999999</v>
      </c>
      <c r="EX334" s="7">
        <v>1.0009999999999999</v>
      </c>
      <c r="EY334" s="7">
        <v>1.0009999999999999</v>
      </c>
      <c r="EZ334" s="7">
        <v>1.0009999999999999</v>
      </c>
      <c r="FA334" s="7">
        <v>1.0009999999999999</v>
      </c>
      <c r="FB334" s="7">
        <v>1.0009999999999999</v>
      </c>
      <c r="FC334" s="7">
        <v>1.0009999999999999</v>
      </c>
      <c r="FE334" s="50">
        <f t="shared" ca="1" si="37"/>
        <v>0.98521936371979202</v>
      </c>
      <c r="FF334" s="50">
        <f t="shared" ca="1" si="38"/>
        <v>0.98357785966036537</v>
      </c>
      <c r="FG334" s="50">
        <f t="shared" ca="1" si="39"/>
        <v>0.9819028187919463</v>
      </c>
      <c r="FH334" s="50">
        <f t="shared" ca="1" si="40"/>
        <v>0.98015785234899333</v>
      </c>
      <c r="FI334" s="50"/>
      <c r="FK334" s="50">
        <f t="shared" ca="1" si="36"/>
        <v>0.98357785966036537</v>
      </c>
      <c r="FL334" s="50"/>
      <c r="FM334" s="50"/>
      <c r="FN334" s="50"/>
    </row>
    <row r="335" spans="49:170" hidden="1">
      <c r="AW335" s="112">
        <v>0.34699999999999998</v>
      </c>
      <c r="AX335" s="7">
        <v>0.62890000000000001</v>
      </c>
      <c r="AY335" s="7">
        <v>0.6371</v>
      </c>
      <c r="AZ335" s="7">
        <v>0.6452</v>
      </c>
      <c r="BA335" s="7">
        <v>0.6532</v>
      </c>
      <c r="BB335" s="7">
        <v>0.66090000000000004</v>
      </c>
      <c r="BC335" s="7">
        <v>0.66859999999999997</v>
      </c>
      <c r="BD335" s="7">
        <v>0.67600000000000005</v>
      </c>
      <c r="BE335" s="7">
        <v>0.68330000000000002</v>
      </c>
      <c r="BF335" s="7">
        <v>0.6905</v>
      </c>
      <c r="BG335" s="7">
        <v>0.69750000000000001</v>
      </c>
      <c r="BH335" s="7">
        <v>0.70430000000000004</v>
      </c>
      <c r="BI335" s="7">
        <v>0.71109999999999995</v>
      </c>
      <c r="BJ335" s="7">
        <v>0.7177</v>
      </c>
      <c r="BK335" s="7">
        <v>0.72419999999999995</v>
      </c>
      <c r="BL335" s="7">
        <v>0.73050000000000004</v>
      </c>
      <c r="BM335" s="7">
        <v>0.73680000000000001</v>
      </c>
      <c r="BN335" s="7">
        <v>0.7429</v>
      </c>
      <c r="BO335" s="7">
        <v>0.74890000000000001</v>
      </c>
      <c r="BP335" s="7">
        <v>0.75480000000000003</v>
      </c>
      <c r="BQ335" s="7">
        <v>0.76060000000000005</v>
      </c>
      <c r="BR335" s="7">
        <v>0.76629999999999998</v>
      </c>
      <c r="BS335" s="7">
        <v>0.77190000000000003</v>
      </c>
      <c r="BT335" s="7">
        <v>0.77739999999999998</v>
      </c>
      <c r="BU335" s="7">
        <v>0.78280000000000005</v>
      </c>
      <c r="BV335" s="7">
        <v>0.78810000000000002</v>
      </c>
      <c r="BW335" s="7">
        <v>0.79339999999999999</v>
      </c>
      <c r="BX335" s="7">
        <v>0.79849999999999999</v>
      </c>
      <c r="BY335" s="7">
        <v>0.80349999999999999</v>
      </c>
      <c r="BZ335" s="7">
        <v>0.8085</v>
      </c>
      <c r="CA335" s="7">
        <v>0.81340000000000001</v>
      </c>
      <c r="CB335" s="7">
        <v>0.81820000000000004</v>
      </c>
      <c r="CC335" s="7">
        <v>0.82289999999999996</v>
      </c>
      <c r="CD335" s="7">
        <v>0.8276</v>
      </c>
      <c r="CE335" s="7">
        <v>0.83209999999999995</v>
      </c>
      <c r="CF335" s="7">
        <v>0.83660000000000001</v>
      </c>
      <c r="CG335" s="7">
        <v>0.84109999999999996</v>
      </c>
      <c r="CH335" s="7">
        <v>0.84540000000000004</v>
      </c>
      <c r="CI335" s="7">
        <v>0.84970000000000001</v>
      </c>
      <c r="CJ335" s="7">
        <v>0.85399999999999998</v>
      </c>
      <c r="CK335" s="7">
        <v>0.85809999999999997</v>
      </c>
      <c r="CL335" s="7">
        <v>0.86229999999999996</v>
      </c>
      <c r="CM335" s="7">
        <v>0.86629999999999996</v>
      </c>
      <c r="CN335" s="7">
        <v>0.87029999999999996</v>
      </c>
      <c r="CO335" s="7">
        <v>0.87419999999999998</v>
      </c>
      <c r="CP335" s="7">
        <v>0.87809999999999999</v>
      </c>
      <c r="CQ335" s="7">
        <v>0.88190000000000002</v>
      </c>
      <c r="CR335" s="7">
        <v>0.88570000000000004</v>
      </c>
      <c r="CS335" s="7">
        <v>0.88939999999999997</v>
      </c>
      <c r="CT335" s="7">
        <v>0.8931</v>
      </c>
      <c r="CU335" s="7">
        <v>0.89670000000000005</v>
      </c>
      <c r="CV335" s="7">
        <v>0.9002</v>
      </c>
      <c r="CW335" s="7">
        <v>0.90380000000000005</v>
      </c>
      <c r="CX335" s="7">
        <v>0.90720000000000001</v>
      </c>
      <c r="CY335" s="7">
        <v>0.91059999999999997</v>
      </c>
      <c r="CZ335" s="7">
        <v>0.91400000000000003</v>
      </c>
      <c r="DA335" s="7">
        <v>0.91739999999999999</v>
      </c>
      <c r="DB335" s="7">
        <v>0.92069999999999996</v>
      </c>
      <c r="DC335" s="7">
        <v>0.92390000000000005</v>
      </c>
      <c r="DD335" s="7">
        <v>0.92710000000000004</v>
      </c>
      <c r="DE335" s="7">
        <v>0.93030000000000002</v>
      </c>
      <c r="DF335" s="7">
        <v>0.93340000000000001</v>
      </c>
      <c r="DG335" s="7">
        <v>0.9365</v>
      </c>
      <c r="DH335" s="7">
        <v>0.93959999999999999</v>
      </c>
      <c r="DI335" s="7">
        <v>0.94259999999999999</v>
      </c>
      <c r="DJ335" s="7">
        <v>0.9456</v>
      </c>
      <c r="DK335" s="7">
        <v>0.94850000000000001</v>
      </c>
      <c r="DL335" s="7">
        <v>0.95140000000000002</v>
      </c>
      <c r="DM335" s="7">
        <v>0.95430000000000004</v>
      </c>
      <c r="DN335" s="7">
        <v>0.95709999999999995</v>
      </c>
      <c r="DO335" s="7">
        <v>0.96</v>
      </c>
      <c r="DP335" s="7">
        <v>0.9627</v>
      </c>
      <c r="DQ335" s="7">
        <v>0.96550000000000002</v>
      </c>
      <c r="DR335" s="7">
        <v>0.96819999999999995</v>
      </c>
      <c r="DS335" s="7">
        <v>0.97089999999999999</v>
      </c>
      <c r="DT335" s="7">
        <v>0.97360000000000002</v>
      </c>
      <c r="DU335" s="7">
        <v>0.97619999999999996</v>
      </c>
      <c r="DV335" s="7">
        <v>0.9788</v>
      </c>
      <c r="DW335" s="7">
        <v>0.98140000000000005</v>
      </c>
      <c r="DX335" s="7">
        <v>0.98399999999999999</v>
      </c>
      <c r="DY335" s="7">
        <v>0.98650000000000004</v>
      </c>
      <c r="DZ335" s="7">
        <v>0.98899999999999999</v>
      </c>
      <c r="EA335" s="7">
        <v>0.99150000000000005</v>
      </c>
      <c r="EB335" s="7">
        <v>0.99390000000000001</v>
      </c>
      <c r="EC335" s="7">
        <v>0.99639999999999995</v>
      </c>
      <c r="ED335" s="7">
        <v>0.99880000000000002</v>
      </c>
      <c r="EE335" s="7">
        <v>1.0009999999999999</v>
      </c>
      <c r="EF335" s="7">
        <v>1.0009999999999999</v>
      </c>
      <c r="EG335" s="7">
        <v>1.0009999999999999</v>
      </c>
      <c r="EH335" s="7">
        <v>1.0009999999999999</v>
      </c>
      <c r="EI335" s="7">
        <v>1.0009999999999999</v>
      </c>
      <c r="EJ335" s="7">
        <v>1.0009999999999999</v>
      </c>
      <c r="EK335" s="7">
        <v>1.0009999999999999</v>
      </c>
      <c r="EL335" s="7">
        <v>1.0009999999999999</v>
      </c>
      <c r="EM335" s="7">
        <v>1.0009999999999999</v>
      </c>
      <c r="EN335" s="7">
        <v>1.0009999999999999</v>
      </c>
      <c r="EO335" s="7">
        <v>1.0009999999999999</v>
      </c>
      <c r="EP335" s="7">
        <v>1.0009999999999999</v>
      </c>
      <c r="EQ335" s="7">
        <v>1.0009999999999999</v>
      </c>
      <c r="ER335" s="7">
        <v>1.0009999999999999</v>
      </c>
      <c r="ES335" s="7">
        <v>1.0009999999999999</v>
      </c>
      <c r="ET335" s="7">
        <v>1.0009999999999999</v>
      </c>
      <c r="EU335" s="7">
        <v>1.0009999999999999</v>
      </c>
      <c r="EV335" s="7">
        <v>1.0009999999999999</v>
      </c>
      <c r="EW335" s="7">
        <v>1.0009999999999999</v>
      </c>
      <c r="EX335" s="7">
        <v>1.0009999999999999</v>
      </c>
      <c r="EY335" s="7">
        <v>1.0009999999999999</v>
      </c>
      <c r="EZ335" s="7">
        <v>1.0009999999999999</v>
      </c>
      <c r="FA335" s="7">
        <v>1.0009999999999999</v>
      </c>
      <c r="FB335" s="7">
        <v>1.0009999999999999</v>
      </c>
      <c r="FC335" s="7">
        <v>1.0009999999999999</v>
      </c>
      <c r="FE335" s="50">
        <f t="shared" ca="1" si="37"/>
        <v>0.98191936371979205</v>
      </c>
      <c r="FF335" s="50">
        <f t="shared" ca="1" si="38"/>
        <v>0.98027785966036529</v>
      </c>
      <c r="FG335" s="50">
        <f t="shared" ca="1" si="39"/>
        <v>0.97860281879194633</v>
      </c>
      <c r="FH335" s="50">
        <f t="shared" ca="1" si="40"/>
        <v>0.97685785234899325</v>
      </c>
      <c r="FI335" s="50"/>
      <c r="FK335" s="50">
        <f t="shared" ca="1" si="36"/>
        <v>0.98027785966036529</v>
      </c>
      <c r="FL335" s="50"/>
      <c r="FM335" s="50"/>
      <c r="FN335" s="50"/>
    </row>
    <row r="336" spans="49:170" hidden="1">
      <c r="AW336" s="112">
        <v>0.372</v>
      </c>
      <c r="AX336" s="7">
        <v>0.62680000000000002</v>
      </c>
      <c r="AY336" s="7">
        <v>0.63500000000000001</v>
      </c>
      <c r="AZ336" s="7">
        <v>0.6431</v>
      </c>
      <c r="BA336" s="7">
        <v>0.65100000000000002</v>
      </c>
      <c r="BB336" s="7">
        <v>0.65869999999999995</v>
      </c>
      <c r="BC336" s="7">
        <v>0.6663</v>
      </c>
      <c r="BD336" s="7">
        <v>0.67379999999999995</v>
      </c>
      <c r="BE336" s="7">
        <v>0.68100000000000005</v>
      </c>
      <c r="BF336" s="7">
        <v>0.68820000000000003</v>
      </c>
      <c r="BG336" s="7">
        <v>0.69510000000000005</v>
      </c>
      <c r="BH336" s="7">
        <v>0.70199999999999996</v>
      </c>
      <c r="BI336" s="7">
        <v>0.7087</v>
      </c>
      <c r="BJ336" s="7">
        <v>0.71530000000000005</v>
      </c>
      <c r="BK336" s="7">
        <v>0.7218</v>
      </c>
      <c r="BL336" s="7">
        <v>0.72809999999999997</v>
      </c>
      <c r="BM336" s="7">
        <v>0.73429999999999995</v>
      </c>
      <c r="BN336" s="7">
        <v>0.74039999999999995</v>
      </c>
      <c r="BO336" s="7">
        <v>0.74639999999999995</v>
      </c>
      <c r="BP336" s="7">
        <v>0.75229999999999997</v>
      </c>
      <c r="BQ336" s="7">
        <v>0.7581</v>
      </c>
      <c r="BR336" s="7">
        <v>0.76380000000000003</v>
      </c>
      <c r="BS336" s="7">
        <v>0.76939999999999997</v>
      </c>
      <c r="BT336" s="7">
        <v>0.77480000000000004</v>
      </c>
      <c r="BU336" s="7">
        <v>0.7802</v>
      </c>
      <c r="BV336" s="7">
        <v>0.78549999999999998</v>
      </c>
      <c r="BW336" s="7">
        <v>0.79069999999999996</v>
      </c>
      <c r="BX336" s="7">
        <v>0.79579999999999995</v>
      </c>
      <c r="BY336" s="7">
        <v>0.80089999999999995</v>
      </c>
      <c r="BZ336" s="7">
        <v>0.80579999999999996</v>
      </c>
      <c r="CA336" s="7">
        <v>0.81069999999999998</v>
      </c>
      <c r="CB336" s="7">
        <v>0.8155</v>
      </c>
      <c r="CC336" s="7">
        <v>0.82020000000000004</v>
      </c>
      <c r="CD336" s="7">
        <v>0.82479999999999998</v>
      </c>
      <c r="CE336" s="7">
        <v>0.82940000000000003</v>
      </c>
      <c r="CF336" s="7">
        <v>0.83389999999999997</v>
      </c>
      <c r="CG336" s="7">
        <v>0.83830000000000005</v>
      </c>
      <c r="CH336" s="7">
        <v>0.84260000000000002</v>
      </c>
      <c r="CI336" s="7">
        <v>0.84689999999999999</v>
      </c>
      <c r="CJ336" s="7">
        <v>0.85109999999999997</v>
      </c>
      <c r="CK336" s="7">
        <v>0.85529999999999995</v>
      </c>
      <c r="CL336" s="7">
        <v>0.85940000000000005</v>
      </c>
      <c r="CM336" s="7">
        <v>0.86339999999999995</v>
      </c>
      <c r="CN336" s="7">
        <v>0.86739999999999995</v>
      </c>
      <c r="CO336" s="7">
        <v>0.87129999999999996</v>
      </c>
      <c r="CP336" s="7">
        <v>0.87519999999999998</v>
      </c>
      <c r="CQ336" s="7">
        <v>0.879</v>
      </c>
      <c r="CR336" s="7">
        <v>0.88270000000000004</v>
      </c>
      <c r="CS336" s="7">
        <v>0.88639999999999997</v>
      </c>
      <c r="CT336" s="7">
        <v>0.8901</v>
      </c>
      <c r="CU336" s="7">
        <v>0.89370000000000005</v>
      </c>
      <c r="CV336" s="7">
        <v>0.8972</v>
      </c>
      <c r="CW336" s="7">
        <v>0.90069999999999995</v>
      </c>
      <c r="CX336" s="7">
        <v>0.9042</v>
      </c>
      <c r="CY336" s="7">
        <v>0.90759999999999996</v>
      </c>
      <c r="CZ336" s="7">
        <v>0.91100000000000003</v>
      </c>
      <c r="DA336" s="7">
        <v>0.9143</v>
      </c>
      <c r="DB336" s="7">
        <v>0.91759999999999997</v>
      </c>
      <c r="DC336" s="7">
        <v>0.92079999999999995</v>
      </c>
      <c r="DD336" s="7">
        <v>0.92400000000000004</v>
      </c>
      <c r="DE336" s="7">
        <v>0.92720000000000002</v>
      </c>
      <c r="DF336" s="7">
        <v>0.93030000000000002</v>
      </c>
      <c r="DG336" s="7">
        <v>0.93340000000000001</v>
      </c>
      <c r="DH336" s="7">
        <v>0.93640000000000001</v>
      </c>
      <c r="DI336" s="7">
        <v>0.93940000000000001</v>
      </c>
      <c r="DJ336" s="7">
        <v>0.94240000000000002</v>
      </c>
      <c r="DK336" s="7">
        <v>0.94530000000000003</v>
      </c>
      <c r="DL336" s="7">
        <v>0.94820000000000004</v>
      </c>
      <c r="DM336" s="7">
        <v>0.95109999999999995</v>
      </c>
      <c r="DN336" s="7">
        <v>0.95399999999999996</v>
      </c>
      <c r="DO336" s="7">
        <v>0.95679999999999998</v>
      </c>
      <c r="DP336" s="7">
        <v>0.95950000000000002</v>
      </c>
      <c r="DQ336" s="7">
        <v>0.96230000000000004</v>
      </c>
      <c r="DR336" s="7">
        <v>0.96499999999999997</v>
      </c>
      <c r="DS336" s="7">
        <v>0.9677</v>
      </c>
      <c r="DT336" s="7">
        <v>0.97030000000000005</v>
      </c>
      <c r="DU336" s="7">
        <v>0.97299999999999998</v>
      </c>
      <c r="DV336" s="7">
        <v>0.97560000000000002</v>
      </c>
      <c r="DW336" s="7">
        <v>0.97809999999999997</v>
      </c>
      <c r="DX336" s="7">
        <v>0.98070000000000002</v>
      </c>
      <c r="DY336" s="7">
        <v>0.98319999999999996</v>
      </c>
      <c r="DZ336" s="7">
        <v>0.98570000000000002</v>
      </c>
      <c r="EA336" s="7">
        <v>0.98819999999999997</v>
      </c>
      <c r="EB336" s="7">
        <v>0.99060000000000004</v>
      </c>
      <c r="EC336" s="7">
        <v>0.99299999999999999</v>
      </c>
      <c r="ED336" s="7">
        <v>0.99539999999999995</v>
      </c>
      <c r="EE336" s="7">
        <v>0.99780000000000002</v>
      </c>
      <c r="EF336" s="7">
        <v>1.0009999999999999</v>
      </c>
      <c r="EG336" s="7">
        <v>1.0009999999999999</v>
      </c>
      <c r="EH336" s="7">
        <v>1.0009999999999999</v>
      </c>
      <c r="EI336" s="7">
        <v>1.0009999999999999</v>
      </c>
      <c r="EJ336" s="7">
        <v>1.0009999999999999</v>
      </c>
      <c r="EK336" s="7">
        <v>1.0009999999999999</v>
      </c>
      <c r="EL336" s="7">
        <v>1.0009999999999999</v>
      </c>
      <c r="EM336" s="7">
        <v>1.0009999999999999</v>
      </c>
      <c r="EN336" s="7">
        <v>1.0009999999999999</v>
      </c>
      <c r="EO336" s="7">
        <v>1.0009999999999999</v>
      </c>
      <c r="EP336" s="7">
        <v>1.0009999999999999</v>
      </c>
      <c r="EQ336" s="7">
        <v>1.0009999999999999</v>
      </c>
      <c r="ER336" s="7">
        <v>1.0009999999999999</v>
      </c>
      <c r="ES336" s="7">
        <v>1.0009999999999999</v>
      </c>
      <c r="ET336" s="7">
        <v>1.0009999999999999</v>
      </c>
      <c r="EU336" s="7">
        <v>1.0009999999999999</v>
      </c>
      <c r="EV336" s="7">
        <v>1.0009999999999999</v>
      </c>
      <c r="EW336" s="7">
        <v>1.0009999999999999</v>
      </c>
      <c r="EX336" s="7">
        <v>1.0009999999999999</v>
      </c>
      <c r="EY336" s="7">
        <v>1.0009999999999999</v>
      </c>
      <c r="EZ336" s="7">
        <v>1.0009999999999999</v>
      </c>
      <c r="FA336" s="7">
        <v>1.0009999999999999</v>
      </c>
      <c r="FB336" s="7">
        <v>1.0009999999999999</v>
      </c>
      <c r="FC336" s="7">
        <v>1.0009999999999999</v>
      </c>
      <c r="FE336" s="50">
        <f t="shared" ca="1" si="37"/>
        <v>0.97861936371979197</v>
      </c>
      <c r="FF336" s="50">
        <f t="shared" ca="1" si="38"/>
        <v>0.97702101890419735</v>
      </c>
      <c r="FG336" s="50">
        <f t="shared" ca="1" si="39"/>
        <v>0.97540281879194624</v>
      </c>
      <c r="FH336" s="50">
        <f t="shared" ca="1" si="40"/>
        <v>0.97365785234899316</v>
      </c>
      <c r="FI336" s="50"/>
      <c r="FK336" s="50">
        <f t="shared" ca="1" si="36"/>
        <v>0.97702101890419735</v>
      </c>
      <c r="FL336" s="50"/>
      <c r="FM336" s="50"/>
      <c r="FN336" s="50"/>
    </row>
    <row r="337" spans="49:170" hidden="1">
      <c r="AW337" s="112">
        <v>0.39800000000000002</v>
      </c>
      <c r="AX337" s="7">
        <v>0.62470000000000003</v>
      </c>
      <c r="AY337" s="7">
        <v>0.63290000000000002</v>
      </c>
      <c r="AZ337" s="7">
        <v>0.64100000000000001</v>
      </c>
      <c r="BA337" s="7">
        <v>0.64890000000000003</v>
      </c>
      <c r="BB337" s="7">
        <v>0.65659999999999996</v>
      </c>
      <c r="BC337" s="7">
        <v>0.66410000000000002</v>
      </c>
      <c r="BD337" s="7">
        <v>0.67149999999999999</v>
      </c>
      <c r="BE337" s="7">
        <v>0.67879999999999996</v>
      </c>
      <c r="BF337" s="7">
        <v>0.68589999999999995</v>
      </c>
      <c r="BG337" s="7">
        <v>0.69289999999999996</v>
      </c>
      <c r="BH337" s="7">
        <v>0.69969999999999999</v>
      </c>
      <c r="BI337" s="7">
        <v>0.70640000000000003</v>
      </c>
      <c r="BJ337" s="7">
        <v>0.71299999999999997</v>
      </c>
      <c r="BK337" s="7">
        <v>0.71940000000000004</v>
      </c>
      <c r="BL337" s="7">
        <v>0.72570000000000001</v>
      </c>
      <c r="BM337" s="7">
        <v>0.7319</v>
      </c>
      <c r="BN337" s="7">
        <v>0.73799999999999999</v>
      </c>
      <c r="BO337" s="7">
        <v>0.74399999999999999</v>
      </c>
      <c r="BP337" s="7">
        <v>0.74980000000000002</v>
      </c>
      <c r="BQ337" s="7">
        <v>0.75560000000000005</v>
      </c>
      <c r="BR337" s="7">
        <v>0.76129999999999998</v>
      </c>
      <c r="BS337" s="7">
        <v>0.76680000000000004</v>
      </c>
      <c r="BT337" s="7">
        <v>0.77229999999999999</v>
      </c>
      <c r="BU337" s="7">
        <v>0.77769999999999995</v>
      </c>
      <c r="BV337" s="7">
        <v>0.78290000000000004</v>
      </c>
      <c r="BW337" s="7">
        <v>0.78810000000000002</v>
      </c>
      <c r="BX337" s="7">
        <v>0.79320000000000002</v>
      </c>
      <c r="BY337" s="7">
        <v>0.79820000000000002</v>
      </c>
      <c r="BZ337" s="7">
        <v>0.80320000000000003</v>
      </c>
      <c r="CA337" s="7">
        <v>0.80800000000000005</v>
      </c>
      <c r="CB337" s="7">
        <v>0.81279999999999997</v>
      </c>
      <c r="CC337" s="7">
        <v>0.8175</v>
      </c>
      <c r="CD337" s="7">
        <v>0.82210000000000005</v>
      </c>
      <c r="CE337" s="7">
        <v>0.8266</v>
      </c>
      <c r="CF337" s="7">
        <v>0.83109999999999995</v>
      </c>
      <c r="CG337" s="7">
        <v>0.83550000000000002</v>
      </c>
      <c r="CH337" s="7">
        <v>0.83989999999999998</v>
      </c>
      <c r="CI337" s="7">
        <v>0.84409999999999996</v>
      </c>
      <c r="CJ337" s="7">
        <v>0.84830000000000005</v>
      </c>
      <c r="CK337" s="7">
        <v>0.85250000000000004</v>
      </c>
      <c r="CL337" s="7">
        <v>0.85660000000000003</v>
      </c>
      <c r="CM337" s="7">
        <v>0.86060000000000003</v>
      </c>
      <c r="CN337" s="7">
        <v>0.86450000000000005</v>
      </c>
      <c r="CO337" s="7">
        <v>0.86839999999999995</v>
      </c>
      <c r="CP337" s="7">
        <v>0.87229999999999996</v>
      </c>
      <c r="CQ337" s="7">
        <v>0.87609999999999999</v>
      </c>
      <c r="CR337" s="7">
        <v>0.87980000000000003</v>
      </c>
      <c r="CS337" s="7">
        <v>0.88349999999999995</v>
      </c>
      <c r="CT337" s="7">
        <v>0.88719999999999999</v>
      </c>
      <c r="CU337" s="7">
        <v>0.89080000000000004</v>
      </c>
      <c r="CV337" s="7">
        <v>0.89429999999999998</v>
      </c>
      <c r="CW337" s="7">
        <v>0.89780000000000004</v>
      </c>
      <c r="CX337" s="7">
        <v>0.9012</v>
      </c>
      <c r="CY337" s="7">
        <v>0.90459999999999996</v>
      </c>
      <c r="CZ337" s="7">
        <v>0.90800000000000003</v>
      </c>
      <c r="DA337" s="7">
        <v>0.9113</v>
      </c>
      <c r="DB337" s="7">
        <v>0.91459999999999997</v>
      </c>
      <c r="DC337" s="7">
        <v>0.91779999999999995</v>
      </c>
      <c r="DD337" s="7">
        <v>0.92100000000000004</v>
      </c>
      <c r="DE337" s="7">
        <v>0.92410000000000003</v>
      </c>
      <c r="DF337" s="7">
        <v>0.92720000000000002</v>
      </c>
      <c r="DG337" s="7">
        <v>0.93030000000000002</v>
      </c>
      <c r="DH337" s="7">
        <v>0.93340000000000001</v>
      </c>
      <c r="DI337" s="7">
        <v>0.93640000000000001</v>
      </c>
      <c r="DJ337" s="7">
        <v>0.93930000000000002</v>
      </c>
      <c r="DK337" s="7">
        <v>0.94220000000000004</v>
      </c>
      <c r="DL337" s="7">
        <v>0.94510000000000005</v>
      </c>
      <c r="DM337" s="7">
        <v>0.94799999999999995</v>
      </c>
      <c r="DN337" s="7">
        <v>0.95079999999999998</v>
      </c>
      <c r="DO337" s="7">
        <v>0.9536</v>
      </c>
      <c r="DP337" s="7">
        <v>0.95640000000000003</v>
      </c>
      <c r="DQ337" s="7">
        <v>0.95909999999999995</v>
      </c>
      <c r="DR337" s="7">
        <v>0.96179999999999999</v>
      </c>
      <c r="DS337" s="7">
        <v>0.96450000000000002</v>
      </c>
      <c r="DT337" s="7">
        <v>0.96709999999999996</v>
      </c>
      <c r="DU337" s="7">
        <v>0.9698</v>
      </c>
      <c r="DV337" s="7">
        <v>0.97240000000000004</v>
      </c>
      <c r="DW337" s="7">
        <v>0.97489999999999999</v>
      </c>
      <c r="DX337" s="7">
        <v>0.97750000000000004</v>
      </c>
      <c r="DY337" s="7">
        <v>0.98</v>
      </c>
      <c r="DZ337" s="7">
        <v>0.98250000000000004</v>
      </c>
      <c r="EA337" s="7">
        <v>0.9849</v>
      </c>
      <c r="EB337" s="7">
        <v>0.98740000000000006</v>
      </c>
      <c r="EC337" s="7">
        <v>0.98980000000000001</v>
      </c>
      <c r="ED337" s="7">
        <v>0.99219999999999997</v>
      </c>
      <c r="EE337" s="7">
        <v>0.99460000000000004</v>
      </c>
      <c r="EF337" s="7">
        <v>0.99690000000000001</v>
      </c>
      <c r="EG337" s="7">
        <v>0.99919999999999998</v>
      </c>
      <c r="EH337" s="7">
        <v>1.0009999999999999</v>
      </c>
      <c r="EI337" s="7">
        <v>1.0009999999999999</v>
      </c>
      <c r="EJ337" s="7">
        <v>1.0009999999999999</v>
      </c>
      <c r="EK337" s="7">
        <v>1.0009999999999999</v>
      </c>
      <c r="EL337" s="7">
        <v>1.0009999999999999</v>
      </c>
      <c r="EM337" s="7">
        <v>1.0009999999999999</v>
      </c>
      <c r="EN337" s="7">
        <v>1.0009999999999999</v>
      </c>
      <c r="EO337" s="7">
        <v>1.0009999999999999</v>
      </c>
      <c r="EP337" s="7">
        <v>1.0009999999999999</v>
      </c>
      <c r="EQ337" s="7">
        <v>1.0009999999999999</v>
      </c>
      <c r="ER337" s="7">
        <v>1.0009999999999999</v>
      </c>
      <c r="ES337" s="7">
        <v>1.0009999999999999</v>
      </c>
      <c r="ET337" s="7">
        <v>1.0009999999999999</v>
      </c>
      <c r="EU337" s="7">
        <v>1.0009999999999999</v>
      </c>
      <c r="EV337" s="7">
        <v>1.0009999999999999</v>
      </c>
      <c r="EW337" s="7">
        <v>1.0009999999999999</v>
      </c>
      <c r="EX337" s="7">
        <v>1.0009999999999999</v>
      </c>
      <c r="EY337" s="7">
        <v>1.0009999999999999</v>
      </c>
      <c r="EZ337" s="7">
        <v>1.0009999999999999</v>
      </c>
      <c r="FA337" s="7">
        <v>1.0009999999999999</v>
      </c>
      <c r="FB337" s="7">
        <v>1.0009999999999999</v>
      </c>
      <c r="FC337" s="7">
        <v>1.0009999999999999</v>
      </c>
      <c r="FE337" s="50">
        <f t="shared" ca="1" si="37"/>
        <v>0.97541936371979188</v>
      </c>
      <c r="FF337" s="50">
        <f t="shared" ca="1" si="38"/>
        <v>0.97382101890419737</v>
      </c>
      <c r="FG337" s="50">
        <f t="shared" ca="1" si="39"/>
        <v>0.97220281879194637</v>
      </c>
      <c r="FH337" s="50">
        <f t="shared" ca="1" si="40"/>
        <v>0.97045785234899329</v>
      </c>
      <c r="FI337" s="50"/>
      <c r="FK337" s="50">
        <f t="shared" ca="1" si="36"/>
        <v>0.97382101890419737</v>
      </c>
      <c r="FL337" s="50"/>
      <c r="FM337" s="50"/>
      <c r="FN337" s="50"/>
    </row>
    <row r="338" spans="49:170" hidden="1">
      <c r="AW338" s="112">
        <v>0.42699999999999999</v>
      </c>
      <c r="AX338" s="7">
        <v>0.62270000000000003</v>
      </c>
      <c r="AY338" s="7">
        <v>0.63090000000000002</v>
      </c>
      <c r="AZ338" s="7">
        <v>0.63890000000000002</v>
      </c>
      <c r="BA338" s="7">
        <v>0.64680000000000004</v>
      </c>
      <c r="BB338" s="7">
        <v>0.65449999999999997</v>
      </c>
      <c r="BC338" s="7">
        <v>0.66200000000000003</v>
      </c>
      <c r="BD338" s="7">
        <v>0.6694</v>
      </c>
      <c r="BE338" s="7">
        <v>0.67659999999999998</v>
      </c>
      <c r="BF338" s="7">
        <v>0.68369999999999997</v>
      </c>
      <c r="BG338" s="7">
        <v>0.69059999999999999</v>
      </c>
      <c r="BH338" s="7">
        <v>0.69740000000000002</v>
      </c>
      <c r="BI338" s="7">
        <v>0.70409999999999995</v>
      </c>
      <c r="BJ338" s="7">
        <v>0.71060000000000001</v>
      </c>
      <c r="BK338" s="7">
        <v>0.71709999999999996</v>
      </c>
      <c r="BL338" s="7">
        <v>0.72340000000000004</v>
      </c>
      <c r="BM338" s="7">
        <v>0.72960000000000003</v>
      </c>
      <c r="BN338" s="7">
        <v>0.73560000000000003</v>
      </c>
      <c r="BO338" s="7">
        <v>0.74160000000000004</v>
      </c>
      <c r="BP338" s="7">
        <v>0.74739999999999995</v>
      </c>
      <c r="BQ338" s="7">
        <v>0.75319999999999998</v>
      </c>
      <c r="BR338" s="7">
        <v>0.75880000000000003</v>
      </c>
      <c r="BS338" s="7">
        <v>0.76429999999999998</v>
      </c>
      <c r="BT338" s="7">
        <v>0.76980000000000004</v>
      </c>
      <c r="BU338" s="7">
        <v>0.77510000000000001</v>
      </c>
      <c r="BV338" s="7">
        <v>0.78039999999999998</v>
      </c>
      <c r="BW338" s="7">
        <v>0.78559999999999997</v>
      </c>
      <c r="BX338" s="7">
        <v>0.79069999999999996</v>
      </c>
      <c r="BY338" s="7">
        <v>0.79559999999999997</v>
      </c>
      <c r="BZ338" s="7">
        <v>0.80059999999999998</v>
      </c>
      <c r="CA338" s="7">
        <v>0.8054</v>
      </c>
      <c r="CB338" s="7">
        <v>0.81010000000000004</v>
      </c>
      <c r="CC338" s="7">
        <v>0.81479999999999997</v>
      </c>
      <c r="CD338" s="7">
        <v>0.81940000000000002</v>
      </c>
      <c r="CE338" s="7">
        <v>0.82399999999999995</v>
      </c>
      <c r="CF338" s="7">
        <v>0.82840000000000003</v>
      </c>
      <c r="CG338" s="7">
        <v>0.83279999999999998</v>
      </c>
      <c r="CH338" s="7">
        <v>0.83709999999999996</v>
      </c>
      <c r="CI338" s="7">
        <v>0.84140000000000004</v>
      </c>
      <c r="CJ338" s="7">
        <v>0.84560000000000002</v>
      </c>
      <c r="CK338" s="7">
        <v>0.84970000000000001</v>
      </c>
      <c r="CL338" s="7">
        <v>0.8538</v>
      </c>
      <c r="CM338" s="7">
        <v>0.85780000000000001</v>
      </c>
      <c r="CN338" s="7">
        <v>0.86170000000000002</v>
      </c>
      <c r="CO338" s="7">
        <v>0.86560000000000004</v>
      </c>
      <c r="CP338" s="7">
        <v>0.86950000000000005</v>
      </c>
      <c r="CQ338" s="7">
        <v>0.87329999999999997</v>
      </c>
      <c r="CR338" s="7">
        <v>0.877</v>
      </c>
      <c r="CS338" s="7">
        <v>0.88070000000000004</v>
      </c>
      <c r="CT338" s="7">
        <v>0.88429999999999997</v>
      </c>
      <c r="CU338" s="7">
        <v>0.88790000000000002</v>
      </c>
      <c r="CV338" s="7">
        <v>0.89139999999999997</v>
      </c>
      <c r="CW338" s="7">
        <v>0.89490000000000003</v>
      </c>
      <c r="CX338" s="7">
        <v>0.89829999999999999</v>
      </c>
      <c r="CY338" s="7">
        <v>0.90169999999999995</v>
      </c>
      <c r="CZ338" s="7">
        <v>0.90510000000000002</v>
      </c>
      <c r="DA338" s="7">
        <v>0.90839999999999999</v>
      </c>
      <c r="DB338" s="7">
        <v>0.91159999999999997</v>
      </c>
      <c r="DC338" s="7">
        <v>0.91479999999999995</v>
      </c>
      <c r="DD338" s="7">
        <v>0.91800000000000004</v>
      </c>
      <c r="DE338" s="7">
        <v>0.92110000000000003</v>
      </c>
      <c r="DF338" s="7">
        <v>0.92420000000000002</v>
      </c>
      <c r="DG338" s="7">
        <v>0.92730000000000001</v>
      </c>
      <c r="DH338" s="7">
        <v>0.93030000000000002</v>
      </c>
      <c r="DI338" s="7">
        <v>0.93330000000000002</v>
      </c>
      <c r="DJ338" s="7">
        <v>0.93630000000000002</v>
      </c>
      <c r="DK338" s="7">
        <v>0.93920000000000003</v>
      </c>
      <c r="DL338" s="7">
        <v>0.94210000000000005</v>
      </c>
      <c r="DM338" s="7">
        <v>0.94489999999999996</v>
      </c>
      <c r="DN338" s="7">
        <v>0.94769999999999999</v>
      </c>
      <c r="DO338" s="7">
        <v>0.95050000000000001</v>
      </c>
      <c r="DP338" s="7">
        <v>0.95330000000000004</v>
      </c>
      <c r="DQ338" s="7">
        <v>0.95599999999999996</v>
      </c>
      <c r="DR338" s="7">
        <v>0.9587</v>
      </c>
      <c r="DS338" s="7">
        <v>0.96140000000000003</v>
      </c>
      <c r="DT338" s="7">
        <v>0.96399999999999997</v>
      </c>
      <c r="DU338" s="7">
        <v>0.96660000000000001</v>
      </c>
      <c r="DV338" s="7">
        <v>0.96919999999999995</v>
      </c>
      <c r="DW338" s="7">
        <v>0.9718</v>
      </c>
      <c r="DX338" s="7">
        <v>0.97430000000000005</v>
      </c>
      <c r="DY338" s="7">
        <v>0.9768</v>
      </c>
      <c r="DZ338" s="7">
        <v>0.97929999999999995</v>
      </c>
      <c r="EA338" s="7">
        <v>0.98170000000000002</v>
      </c>
      <c r="EB338" s="7">
        <v>0.98419999999999996</v>
      </c>
      <c r="EC338" s="7">
        <v>0.98660000000000003</v>
      </c>
      <c r="ED338" s="7">
        <v>0.98899999999999999</v>
      </c>
      <c r="EE338" s="7">
        <v>0.99129999999999996</v>
      </c>
      <c r="EF338" s="7">
        <v>0.99370000000000003</v>
      </c>
      <c r="EG338" s="7">
        <v>0.996</v>
      </c>
      <c r="EH338" s="7">
        <v>0.99829999999999997</v>
      </c>
      <c r="EI338" s="7">
        <v>1.0009999999999999</v>
      </c>
      <c r="EJ338" s="7">
        <v>1.0009999999999999</v>
      </c>
      <c r="EK338" s="7">
        <v>1.0009999999999999</v>
      </c>
      <c r="EL338" s="7">
        <v>1.0009999999999999</v>
      </c>
      <c r="EM338" s="7">
        <v>1.0009999999999999</v>
      </c>
      <c r="EN338" s="7">
        <v>1.0009999999999999</v>
      </c>
      <c r="EO338" s="7">
        <v>1.0009999999999999</v>
      </c>
      <c r="EP338" s="7">
        <v>1.0009999999999999</v>
      </c>
      <c r="EQ338" s="7">
        <v>1.0009999999999999</v>
      </c>
      <c r="ER338" s="7">
        <v>1.0009999999999999</v>
      </c>
      <c r="ES338" s="7">
        <v>1.0009999999999999</v>
      </c>
      <c r="ET338" s="7">
        <v>1.0009999999999999</v>
      </c>
      <c r="EU338" s="7">
        <v>1.0009999999999999</v>
      </c>
      <c r="EV338" s="7">
        <v>1.0009999999999999</v>
      </c>
      <c r="EW338" s="7">
        <v>1.0009999999999999</v>
      </c>
      <c r="EX338" s="7">
        <v>1.0009999999999999</v>
      </c>
      <c r="EY338" s="7">
        <v>1.0009999999999999</v>
      </c>
      <c r="EZ338" s="7">
        <v>1.0009999999999999</v>
      </c>
      <c r="FA338" s="7">
        <v>1.0009999999999999</v>
      </c>
      <c r="FB338" s="7">
        <v>1.0009999999999999</v>
      </c>
      <c r="FC338" s="7">
        <v>1.0009999999999999</v>
      </c>
      <c r="FE338" s="50">
        <f t="shared" ca="1" si="37"/>
        <v>0.97229938819210771</v>
      </c>
      <c r="FF338" s="50">
        <f t="shared" ca="1" si="38"/>
        <v>0.97067785966036524</v>
      </c>
      <c r="FG338" s="50">
        <f t="shared" ca="1" si="39"/>
        <v>0.96900281879194627</v>
      </c>
      <c r="FH338" s="50">
        <f t="shared" ca="1" si="40"/>
        <v>0.96725785234899331</v>
      </c>
      <c r="FI338" s="50"/>
      <c r="FK338" s="50">
        <f t="shared" ca="1" si="36"/>
        <v>0.97067785966036524</v>
      </c>
      <c r="FL338" s="50"/>
      <c r="FM338" s="50"/>
      <c r="FN338" s="50"/>
    </row>
    <row r="339" spans="49:170" hidden="1">
      <c r="AW339" s="112">
        <v>0.45700000000000002</v>
      </c>
      <c r="AX339" s="7">
        <v>0.62070000000000003</v>
      </c>
      <c r="AY339" s="7">
        <v>0.62890000000000001</v>
      </c>
      <c r="AZ339" s="7">
        <v>0.63690000000000002</v>
      </c>
      <c r="BA339" s="7">
        <v>0.64470000000000005</v>
      </c>
      <c r="BB339" s="7">
        <v>0.65239999999999998</v>
      </c>
      <c r="BC339" s="7">
        <v>0.65990000000000004</v>
      </c>
      <c r="BD339" s="7">
        <v>0.66720000000000002</v>
      </c>
      <c r="BE339" s="7">
        <v>0.6744</v>
      </c>
      <c r="BF339" s="7">
        <v>0.68149999999999999</v>
      </c>
      <c r="BG339" s="7">
        <v>0.68840000000000001</v>
      </c>
      <c r="BH339" s="7">
        <v>0.69520000000000004</v>
      </c>
      <c r="BI339" s="7">
        <v>0.70189999999999997</v>
      </c>
      <c r="BJ339" s="7">
        <v>0.70840000000000003</v>
      </c>
      <c r="BK339" s="7">
        <v>0.71479999999999999</v>
      </c>
      <c r="BL339" s="7">
        <v>0.72109999999999996</v>
      </c>
      <c r="BM339" s="7">
        <v>0.72719999999999996</v>
      </c>
      <c r="BN339" s="7">
        <v>0.73329999999999995</v>
      </c>
      <c r="BO339" s="7">
        <v>0.73919999999999997</v>
      </c>
      <c r="BP339" s="7">
        <v>0.745</v>
      </c>
      <c r="BQ339" s="7">
        <v>0.75080000000000002</v>
      </c>
      <c r="BR339" s="7">
        <v>0.75639999999999996</v>
      </c>
      <c r="BS339" s="7">
        <v>0.76190000000000002</v>
      </c>
      <c r="BT339" s="7">
        <v>0.76729999999999998</v>
      </c>
      <c r="BU339" s="7">
        <v>0.77270000000000005</v>
      </c>
      <c r="BV339" s="7">
        <v>0.77790000000000004</v>
      </c>
      <c r="BW339" s="7">
        <v>0.78310000000000002</v>
      </c>
      <c r="BX339" s="7">
        <v>0.78810000000000002</v>
      </c>
      <c r="BY339" s="7">
        <v>0.79310000000000003</v>
      </c>
      <c r="BZ339" s="7">
        <v>0.79800000000000004</v>
      </c>
      <c r="CA339" s="7">
        <v>0.80279999999999996</v>
      </c>
      <c r="CB339" s="7">
        <v>0.80759999999999998</v>
      </c>
      <c r="CC339" s="7">
        <v>0.81220000000000003</v>
      </c>
      <c r="CD339" s="7">
        <v>0.81679999999999997</v>
      </c>
      <c r="CE339" s="7">
        <v>0.82130000000000003</v>
      </c>
      <c r="CF339" s="7">
        <v>0.82579999999999998</v>
      </c>
      <c r="CG339" s="7">
        <v>0.83020000000000005</v>
      </c>
      <c r="CH339" s="7">
        <v>0.83450000000000002</v>
      </c>
      <c r="CI339" s="7">
        <v>0.8387</v>
      </c>
      <c r="CJ339" s="7">
        <v>0.84289999999999998</v>
      </c>
      <c r="CK339" s="7">
        <v>0.84699999999999998</v>
      </c>
      <c r="CL339" s="7">
        <v>0.85109999999999997</v>
      </c>
      <c r="CM339" s="7">
        <v>0.85509999999999997</v>
      </c>
      <c r="CN339" s="7">
        <v>0.85899999999999999</v>
      </c>
      <c r="CO339" s="7">
        <v>0.8629</v>
      </c>
      <c r="CP339" s="7">
        <v>0.86670000000000003</v>
      </c>
      <c r="CQ339" s="7">
        <v>0.87050000000000005</v>
      </c>
      <c r="CR339" s="7">
        <v>0.87419999999999998</v>
      </c>
      <c r="CS339" s="7">
        <v>0.87790000000000001</v>
      </c>
      <c r="CT339" s="7">
        <v>0.88149999999999995</v>
      </c>
      <c r="CU339" s="7">
        <v>0.88500000000000001</v>
      </c>
      <c r="CV339" s="7">
        <v>0.88859999999999995</v>
      </c>
      <c r="CW339" s="7">
        <v>0.89200000000000002</v>
      </c>
      <c r="CX339" s="7">
        <v>0.89549999999999996</v>
      </c>
      <c r="CY339" s="7">
        <v>0.89880000000000004</v>
      </c>
      <c r="CZ339" s="7">
        <v>0.9022</v>
      </c>
      <c r="DA339" s="7">
        <v>0.90549999999999997</v>
      </c>
      <c r="DB339" s="7">
        <v>0.90869999999999995</v>
      </c>
      <c r="DC339" s="7">
        <v>0.91190000000000004</v>
      </c>
      <c r="DD339" s="7">
        <v>0.91510000000000002</v>
      </c>
      <c r="DE339" s="7">
        <v>0.91820000000000002</v>
      </c>
      <c r="DF339" s="7">
        <v>0.92130000000000001</v>
      </c>
      <c r="DG339" s="7">
        <v>0.9244</v>
      </c>
      <c r="DH339" s="7">
        <v>0.9274</v>
      </c>
      <c r="DI339" s="7">
        <v>0.93030000000000002</v>
      </c>
      <c r="DJ339" s="7">
        <v>0.93330000000000002</v>
      </c>
      <c r="DK339" s="7">
        <v>0.93620000000000003</v>
      </c>
      <c r="DL339" s="7">
        <v>0.93910000000000005</v>
      </c>
      <c r="DM339" s="7">
        <v>0.94189999999999996</v>
      </c>
      <c r="DN339" s="7">
        <v>0.94469999999999998</v>
      </c>
      <c r="DO339" s="7">
        <v>0.94750000000000001</v>
      </c>
      <c r="DP339" s="7">
        <v>0.95020000000000004</v>
      </c>
      <c r="DQ339" s="7">
        <v>0.95299999999999996</v>
      </c>
      <c r="DR339" s="7">
        <v>0.95569999999999999</v>
      </c>
      <c r="DS339" s="7">
        <v>0.95830000000000004</v>
      </c>
      <c r="DT339" s="7">
        <v>0.96089999999999998</v>
      </c>
      <c r="DU339" s="7">
        <v>0.96350000000000002</v>
      </c>
      <c r="DV339" s="7">
        <v>0.96609999999999996</v>
      </c>
      <c r="DW339" s="7">
        <v>0.96870000000000001</v>
      </c>
      <c r="DX339" s="7">
        <v>0.97119999999999995</v>
      </c>
      <c r="DY339" s="7">
        <v>0.97370000000000001</v>
      </c>
      <c r="DZ339" s="7">
        <v>0.97619999999999996</v>
      </c>
      <c r="EA339" s="7">
        <v>0.97860000000000003</v>
      </c>
      <c r="EB339" s="7">
        <v>0.98099999999999998</v>
      </c>
      <c r="EC339" s="7">
        <v>0.98340000000000005</v>
      </c>
      <c r="ED339" s="7">
        <v>0.98580000000000001</v>
      </c>
      <c r="EE339" s="7">
        <v>0.98819999999999997</v>
      </c>
      <c r="EF339" s="7">
        <v>0.99050000000000005</v>
      </c>
      <c r="EG339" s="7">
        <v>0.99280000000000002</v>
      </c>
      <c r="EH339" s="7">
        <v>0.99509999999999998</v>
      </c>
      <c r="EI339" s="7">
        <v>0.99739999999999995</v>
      </c>
      <c r="EJ339" s="7">
        <v>0.99970000000000003</v>
      </c>
      <c r="EK339" s="7">
        <v>1.0009999999999999</v>
      </c>
      <c r="EL339" s="7">
        <v>1.0009999999999999</v>
      </c>
      <c r="EM339" s="7">
        <v>1.0009999999999999</v>
      </c>
      <c r="EN339" s="7">
        <v>1.0009999999999999</v>
      </c>
      <c r="EO339" s="7">
        <v>1.0009999999999999</v>
      </c>
      <c r="EP339" s="7">
        <v>1.0009999999999999</v>
      </c>
      <c r="EQ339" s="7">
        <v>1.0009999999999999</v>
      </c>
      <c r="ER339" s="7">
        <v>1.0009999999999999</v>
      </c>
      <c r="ES339" s="7">
        <v>1.0009999999999999</v>
      </c>
      <c r="ET339" s="7">
        <v>1.0009999999999999</v>
      </c>
      <c r="EU339" s="7">
        <v>1.0009999999999999</v>
      </c>
      <c r="EV339" s="7">
        <v>1.0009999999999999</v>
      </c>
      <c r="EW339" s="7">
        <v>1.0009999999999999</v>
      </c>
      <c r="EX339" s="7">
        <v>1.0009999999999999</v>
      </c>
      <c r="EY339" s="7">
        <v>1.0009999999999999</v>
      </c>
      <c r="EZ339" s="7">
        <v>1.0009999999999999</v>
      </c>
      <c r="FA339" s="7">
        <v>1.0009999999999999</v>
      </c>
      <c r="FB339" s="7">
        <v>1.0009999999999999</v>
      </c>
      <c r="FC339" s="7">
        <v>1.0009999999999999</v>
      </c>
      <c r="FE339" s="50">
        <f t="shared" ca="1" si="37"/>
        <v>0.9691993881921076</v>
      </c>
      <c r="FF339" s="50">
        <f t="shared" ca="1" si="38"/>
        <v>0.96757785966036536</v>
      </c>
      <c r="FG339" s="50">
        <f t="shared" ca="1" si="39"/>
        <v>0.96590281879194628</v>
      </c>
      <c r="FH339" s="50">
        <f t="shared" ca="1" si="40"/>
        <v>0.96415785234899332</v>
      </c>
      <c r="FI339" s="50"/>
      <c r="FK339" s="50">
        <f t="shared" ca="1" si="36"/>
        <v>0.96757785966036536</v>
      </c>
      <c r="FL339" s="50"/>
      <c r="FM339" s="50"/>
      <c r="FN339" s="50"/>
    </row>
    <row r="340" spans="49:170" hidden="1">
      <c r="AW340" s="112">
        <v>0.49</v>
      </c>
      <c r="AX340" s="7">
        <v>0.61870000000000003</v>
      </c>
      <c r="AY340" s="7">
        <v>0.62690000000000001</v>
      </c>
      <c r="AZ340" s="7">
        <v>0.63490000000000002</v>
      </c>
      <c r="BA340" s="7">
        <v>0.64270000000000005</v>
      </c>
      <c r="BB340" s="7">
        <v>0.65029999999999999</v>
      </c>
      <c r="BC340" s="7">
        <v>0.65780000000000005</v>
      </c>
      <c r="BD340" s="7">
        <v>0.66510000000000002</v>
      </c>
      <c r="BE340" s="7">
        <v>0.67230000000000001</v>
      </c>
      <c r="BF340" s="7">
        <v>0.6794</v>
      </c>
      <c r="BG340" s="7">
        <v>0.68630000000000002</v>
      </c>
      <c r="BH340" s="7">
        <v>0.69299999999999995</v>
      </c>
      <c r="BI340" s="7">
        <v>0.69969999999999999</v>
      </c>
      <c r="BJ340" s="7">
        <v>0.70620000000000005</v>
      </c>
      <c r="BK340" s="7">
        <v>0.71250000000000002</v>
      </c>
      <c r="BL340" s="7">
        <v>0.71879999999999999</v>
      </c>
      <c r="BM340" s="7">
        <v>0.72489999999999999</v>
      </c>
      <c r="BN340" s="7">
        <v>0.73099999999999998</v>
      </c>
      <c r="BO340" s="7">
        <v>0.7369</v>
      </c>
      <c r="BP340" s="7">
        <v>0.74270000000000003</v>
      </c>
      <c r="BQ340" s="7">
        <v>0.74839999999999995</v>
      </c>
      <c r="BR340" s="7">
        <v>0.754</v>
      </c>
      <c r="BS340" s="7">
        <v>0.75949999999999995</v>
      </c>
      <c r="BT340" s="7">
        <v>0.76490000000000002</v>
      </c>
      <c r="BU340" s="7">
        <v>0.7702</v>
      </c>
      <c r="BV340" s="7">
        <v>0.77549999999999997</v>
      </c>
      <c r="BW340" s="7">
        <v>0.78059999999999996</v>
      </c>
      <c r="BX340" s="7">
        <v>0.78569999999999995</v>
      </c>
      <c r="BY340" s="7">
        <v>0.79059999999999997</v>
      </c>
      <c r="BZ340" s="7">
        <v>0.79549999999999998</v>
      </c>
      <c r="CA340" s="7">
        <v>0.80030000000000001</v>
      </c>
      <c r="CB340" s="7">
        <v>0.80500000000000005</v>
      </c>
      <c r="CC340" s="7">
        <v>0.80969999999999998</v>
      </c>
      <c r="CD340" s="7">
        <v>0.81430000000000002</v>
      </c>
      <c r="CE340" s="7">
        <v>0.81879999999999997</v>
      </c>
      <c r="CF340" s="7">
        <v>0.82320000000000004</v>
      </c>
      <c r="CG340" s="7">
        <v>0.8276</v>
      </c>
      <c r="CH340" s="7">
        <v>0.83179999999999998</v>
      </c>
      <c r="CI340" s="7">
        <v>0.83609999999999995</v>
      </c>
      <c r="CJ340" s="7">
        <v>0.84019999999999995</v>
      </c>
      <c r="CK340" s="7">
        <v>0.84430000000000005</v>
      </c>
      <c r="CL340" s="7">
        <v>0.84840000000000004</v>
      </c>
      <c r="CM340" s="7">
        <v>0.85240000000000005</v>
      </c>
      <c r="CN340" s="7">
        <v>0.85629999999999995</v>
      </c>
      <c r="CO340" s="7">
        <v>0.86019999999999996</v>
      </c>
      <c r="CP340" s="7">
        <v>0.86399999999999999</v>
      </c>
      <c r="CQ340" s="7">
        <v>0.86770000000000003</v>
      </c>
      <c r="CR340" s="7">
        <v>0.87139999999999995</v>
      </c>
      <c r="CS340" s="7">
        <v>0.87509999999999999</v>
      </c>
      <c r="CT340" s="7">
        <v>0.87870000000000004</v>
      </c>
      <c r="CU340" s="7">
        <v>0.88229999999999997</v>
      </c>
      <c r="CV340" s="7">
        <v>0.88580000000000003</v>
      </c>
      <c r="CW340" s="7">
        <v>0.88919999999999999</v>
      </c>
      <c r="CX340" s="7">
        <v>0.89259999999999995</v>
      </c>
      <c r="CY340" s="7">
        <v>0.89600000000000002</v>
      </c>
      <c r="CZ340" s="7">
        <v>0.89929999999999999</v>
      </c>
      <c r="DA340" s="7">
        <v>0.90259999999999996</v>
      </c>
      <c r="DB340" s="7">
        <v>0.90590000000000004</v>
      </c>
      <c r="DC340" s="7">
        <v>0.90910000000000002</v>
      </c>
      <c r="DD340" s="7">
        <v>0.91220000000000001</v>
      </c>
      <c r="DE340" s="7">
        <v>0.9153</v>
      </c>
      <c r="DF340" s="7">
        <v>0.91839999999999999</v>
      </c>
      <c r="DG340" s="7">
        <v>0.9214</v>
      </c>
      <c r="DH340" s="7">
        <v>0.92449999999999999</v>
      </c>
      <c r="DI340" s="7">
        <v>0.9274</v>
      </c>
      <c r="DJ340" s="7">
        <v>0.9304</v>
      </c>
      <c r="DK340" s="7">
        <v>0.93330000000000002</v>
      </c>
      <c r="DL340" s="7">
        <v>0.93610000000000004</v>
      </c>
      <c r="DM340" s="7">
        <v>0.93899999999999995</v>
      </c>
      <c r="DN340" s="7">
        <v>0.94179999999999997</v>
      </c>
      <c r="DO340" s="7">
        <v>0.94450000000000001</v>
      </c>
      <c r="DP340" s="7">
        <v>0.94730000000000003</v>
      </c>
      <c r="DQ340" s="7">
        <v>0.95</v>
      </c>
      <c r="DR340" s="7">
        <v>0.9526</v>
      </c>
      <c r="DS340" s="7">
        <v>0.95530000000000004</v>
      </c>
      <c r="DT340" s="7">
        <v>0.95789999999999997</v>
      </c>
      <c r="DU340" s="7">
        <v>0.96050000000000002</v>
      </c>
      <c r="DV340" s="7">
        <v>0.96309999999999996</v>
      </c>
      <c r="DW340" s="7">
        <v>0.96560000000000001</v>
      </c>
      <c r="DX340" s="7">
        <v>0.96809999999999996</v>
      </c>
      <c r="DY340" s="7">
        <v>0.97060000000000002</v>
      </c>
      <c r="DZ340" s="7">
        <v>0.97309999999999997</v>
      </c>
      <c r="EA340" s="7">
        <v>0.97550000000000003</v>
      </c>
      <c r="EB340" s="7">
        <v>0.97789999999999999</v>
      </c>
      <c r="EC340" s="7">
        <v>0.98029999999999995</v>
      </c>
      <c r="ED340" s="7">
        <v>0.98270000000000002</v>
      </c>
      <c r="EE340" s="7">
        <v>0.98509999999999998</v>
      </c>
      <c r="EF340" s="7">
        <v>0.98740000000000006</v>
      </c>
      <c r="EG340" s="7">
        <v>0.98970000000000002</v>
      </c>
      <c r="EH340" s="7">
        <v>0.99199999999999999</v>
      </c>
      <c r="EI340" s="7">
        <v>0.99429999999999996</v>
      </c>
      <c r="EJ340" s="7">
        <v>0.99650000000000005</v>
      </c>
      <c r="EK340" s="7">
        <v>0.99870000000000003</v>
      </c>
      <c r="EL340" s="7">
        <v>1.0009999999999999</v>
      </c>
      <c r="EM340" s="7">
        <v>1.0009999999999999</v>
      </c>
      <c r="EN340" s="7">
        <v>1.0009999999999999</v>
      </c>
      <c r="EO340" s="7">
        <v>1.0009999999999999</v>
      </c>
      <c r="EP340" s="7">
        <v>1.0009999999999999</v>
      </c>
      <c r="EQ340" s="7">
        <v>1.0009999999999999</v>
      </c>
      <c r="ER340" s="7">
        <v>1.0009999999999999</v>
      </c>
      <c r="ES340" s="7">
        <v>1.0009999999999999</v>
      </c>
      <c r="ET340" s="7">
        <v>1.0009999999999999</v>
      </c>
      <c r="EU340" s="7">
        <v>1.0009999999999999</v>
      </c>
      <c r="EV340" s="7">
        <v>1.0009999999999999</v>
      </c>
      <c r="EW340" s="7">
        <v>1.0009999999999999</v>
      </c>
      <c r="EX340" s="7">
        <v>1.0009999999999999</v>
      </c>
      <c r="EY340" s="7">
        <v>1.0009999999999999</v>
      </c>
      <c r="EZ340" s="7">
        <v>1.0009999999999999</v>
      </c>
      <c r="FA340" s="7">
        <v>1.0009999999999999</v>
      </c>
      <c r="FB340" s="7">
        <v>1.0009999999999999</v>
      </c>
      <c r="FC340" s="7">
        <v>1.0009999999999999</v>
      </c>
      <c r="FE340" s="50">
        <f t="shared" ca="1" si="37"/>
        <v>0.96609938819210761</v>
      </c>
      <c r="FF340" s="50">
        <f t="shared" ca="1" si="38"/>
        <v>0.96452101890419739</v>
      </c>
      <c r="FG340" s="50">
        <f t="shared" ca="1" si="39"/>
        <v>0.96290281879194628</v>
      </c>
      <c r="FH340" s="50">
        <f t="shared" ca="1" si="40"/>
        <v>0.96115785234899331</v>
      </c>
      <c r="FI340" s="50"/>
      <c r="FK340" s="50">
        <f t="shared" ca="1" si="36"/>
        <v>0.96452101890419739</v>
      </c>
      <c r="FL340" s="50"/>
      <c r="FM340" s="50"/>
      <c r="FN340" s="50"/>
    </row>
    <row r="341" spans="49:170" hidden="1">
      <c r="AW341" s="112">
        <v>0.52500000000000002</v>
      </c>
      <c r="AX341" s="7">
        <v>0.61680000000000001</v>
      </c>
      <c r="AY341" s="7">
        <v>0.625</v>
      </c>
      <c r="AZ341" s="7">
        <v>0.63290000000000002</v>
      </c>
      <c r="BA341" s="7">
        <v>0.64070000000000005</v>
      </c>
      <c r="BB341" s="7">
        <v>0.64829999999999999</v>
      </c>
      <c r="BC341" s="7">
        <v>0.65580000000000005</v>
      </c>
      <c r="BD341" s="7">
        <v>0.66310000000000002</v>
      </c>
      <c r="BE341" s="7">
        <v>0.67020000000000002</v>
      </c>
      <c r="BF341" s="7">
        <v>0.67730000000000001</v>
      </c>
      <c r="BG341" s="7">
        <v>0.68410000000000004</v>
      </c>
      <c r="BH341" s="7">
        <v>0.69089999999999996</v>
      </c>
      <c r="BI341" s="7">
        <v>0.69750000000000001</v>
      </c>
      <c r="BJ341" s="7">
        <v>0.70399999999999996</v>
      </c>
      <c r="BK341" s="7">
        <v>0.71030000000000004</v>
      </c>
      <c r="BL341" s="7">
        <v>0.71660000000000001</v>
      </c>
      <c r="BM341" s="7">
        <v>0.72270000000000001</v>
      </c>
      <c r="BN341" s="7">
        <v>0.72870000000000001</v>
      </c>
      <c r="BO341" s="7">
        <v>0.73460000000000003</v>
      </c>
      <c r="BP341" s="7">
        <v>0.74039999999999995</v>
      </c>
      <c r="BQ341" s="7">
        <v>0.74609999999999999</v>
      </c>
      <c r="BR341" s="7">
        <v>0.75170000000000003</v>
      </c>
      <c r="BS341" s="7">
        <v>0.75719999999999998</v>
      </c>
      <c r="BT341" s="7">
        <v>0.76259999999999994</v>
      </c>
      <c r="BU341" s="7">
        <v>0.76790000000000003</v>
      </c>
      <c r="BV341" s="7">
        <v>0.77310000000000001</v>
      </c>
      <c r="BW341" s="7">
        <v>0.7782</v>
      </c>
      <c r="BX341" s="7">
        <v>0.78320000000000001</v>
      </c>
      <c r="BY341" s="7">
        <v>0.78820000000000001</v>
      </c>
      <c r="BZ341" s="7">
        <v>0.79300000000000004</v>
      </c>
      <c r="CA341" s="7">
        <v>0.79779999999999995</v>
      </c>
      <c r="CB341" s="7">
        <v>0.80249999999999999</v>
      </c>
      <c r="CC341" s="7">
        <v>0.80720000000000003</v>
      </c>
      <c r="CD341" s="7">
        <v>0.81169999999999998</v>
      </c>
      <c r="CE341" s="7">
        <v>0.81620000000000004</v>
      </c>
      <c r="CF341" s="7">
        <v>0.8206</v>
      </c>
      <c r="CG341" s="7">
        <v>0.82499999999999996</v>
      </c>
      <c r="CH341" s="7">
        <v>0.82930000000000004</v>
      </c>
      <c r="CI341" s="7">
        <v>0.83350000000000002</v>
      </c>
      <c r="CJ341" s="7">
        <v>0.83760000000000001</v>
      </c>
      <c r="CK341" s="7">
        <v>0.8417</v>
      </c>
      <c r="CL341" s="7">
        <v>0.8458</v>
      </c>
      <c r="CM341" s="7">
        <v>0.84970000000000001</v>
      </c>
      <c r="CN341" s="7">
        <v>0.85360000000000003</v>
      </c>
      <c r="CO341" s="7">
        <v>0.85750000000000004</v>
      </c>
      <c r="CP341" s="7">
        <v>0.86129999999999995</v>
      </c>
      <c r="CQ341" s="7">
        <v>0.86509999999999998</v>
      </c>
      <c r="CR341" s="7">
        <v>0.86880000000000002</v>
      </c>
      <c r="CS341" s="7">
        <v>0.87239999999999995</v>
      </c>
      <c r="CT341" s="7">
        <v>0.876</v>
      </c>
      <c r="CU341" s="7">
        <v>0.87949999999999995</v>
      </c>
      <c r="CV341" s="7">
        <v>0.88300000000000001</v>
      </c>
      <c r="CW341" s="7">
        <v>0.88649999999999995</v>
      </c>
      <c r="CX341" s="7">
        <v>0.88990000000000002</v>
      </c>
      <c r="CY341" s="7">
        <v>0.89319999999999999</v>
      </c>
      <c r="CZ341" s="7">
        <v>0.89649999999999996</v>
      </c>
      <c r="DA341" s="7">
        <v>0.89980000000000004</v>
      </c>
      <c r="DB341" s="7">
        <v>0.90300000000000002</v>
      </c>
      <c r="DC341" s="7">
        <v>0.90620000000000001</v>
      </c>
      <c r="DD341" s="7">
        <v>0.90939999999999999</v>
      </c>
      <c r="DE341" s="7">
        <v>0.91249999999999998</v>
      </c>
      <c r="DF341" s="7">
        <v>0.91559999999999997</v>
      </c>
      <c r="DG341" s="7">
        <v>0.91859999999999997</v>
      </c>
      <c r="DH341" s="7">
        <v>0.92159999999999997</v>
      </c>
      <c r="DI341" s="7">
        <v>0.92459999999999998</v>
      </c>
      <c r="DJ341" s="7">
        <v>0.92749999999999999</v>
      </c>
      <c r="DK341" s="7">
        <v>0.9304</v>
      </c>
      <c r="DL341" s="7">
        <v>0.93320000000000003</v>
      </c>
      <c r="DM341" s="7">
        <v>0.93600000000000005</v>
      </c>
      <c r="DN341" s="7">
        <v>0.93879999999999997</v>
      </c>
      <c r="DO341" s="7">
        <v>0.94159999999999999</v>
      </c>
      <c r="DP341" s="7">
        <v>0.94430000000000003</v>
      </c>
      <c r="DQ341" s="7">
        <v>0.94699999999999995</v>
      </c>
      <c r="DR341" s="7">
        <v>0.94969999999999999</v>
      </c>
      <c r="DS341" s="7">
        <v>0.95230000000000004</v>
      </c>
      <c r="DT341" s="7">
        <v>0.95499999999999996</v>
      </c>
      <c r="DU341" s="7">
        <v>0.95750000000000002</v>
      </c>
      <c r="DV341" s="7">
        <v>0.96009999999999995</v>
      </c>
      <c r="DW341" s="7">
        <v>0.96260000000000001</v>
      </c>
      <c r="DX341" s="7">
        <v>0.96509999999999996</v>
      </c>
      <c r="DY341" s="7">
        <v>0.96760000000000002</v>
      </c>
      <c r="DZ341" s="7">
        <v>0.97009999999999996</v>
      </c>
      <c r="EA341" s="7">
        <v>0.97250000000000003</v>
      </c>
      <c r="EB341" s="7">
        <v>0.97489999999999999</v>
      </c>
      <c r="EC341" s="7">
        <v>0.97729999999999995</v>
      </c>
      <c r="ED341" s="7">
        <v>0.97970000000000002</v>
      </c>
      <c r="EE341" s="7">
        <v>0.98199999999999998</v>
      </c>
      <c r="EF341" s="7">
        <v>0.98429999999999995</v>
      </c>
      <c r="EG341" s="7">
        <v>0.98660000000000003</v>
      </c>
      <c r="EH341" s="7">
        <v>0.9889</v>
      </c>
      <c r="EI341" s="7">
        <v>0.99119999999999997</v>
      </c>
      <c r="EJ341" s="7">
        <v>0.99339999999999995</v>
      </c>
      <c r="EK341" s="7">
        <v>0.99570000000000003</v>
      </c>
      <c r="EL341" s="7">
        <v>0.99790000000000001</v>
      </c>
      <c r="EM341" s="7">
        <v>1.0009999999999999</v>
      </c>
      <c r="EN341" s="7">
        <v>1.0009999999999999</v>
      </c>
      <c r="EO341" s="7">
        <v>1.0009999999999999</v>
      </c>
      <c r="EP341" s="7">
        <v>1.0009999999999999</v>
      </c>
      <c r="EQ341" s="7">
        <v>1.0009999999999999</v>
      </c>
      <c r="ER341" s="7">
        <v>1.0009999999999999</v>
      </c>
      <c r="ES341" s="7">
        <v>1.0009999999999999</v>
      </c>
      <c r="ET341" s="7">
        <v>1.0009999999999999</v>
      </c>
      <c r="EU341" s="7">
        <v>1.0009999999999999</v>
      </c>
      <c r="EV341" s="7">
        <v>1.0009999999999999</v>
      </c>
      <c r="EW341" s="7">
        <v>1.0009999999999999</v>
      </c>
      <c r="EX341" s="7">
        <v>1.0009999999999999</v>
      </c>
      <c r="EY341" s="7">
        <v>1.0009999999999999</v>
      </c>
      <c r="EZ341" s="7">
        <v>1.0009999999999999</v>
      </c>
      <c r="FA341" s="7">
        <v>1.0009999999999999</v>
      </c>
      <c r="FB341" s="7">
        <v>1.0009999999999999</v>
      </c>
      <c r="FC341" s="7">
        <v>1.0009999999999999</v>
      </c>
      <c r="FE341" s="50">
        <f t="shared" ca="1" si="37"/>
        <v>0.96309938819210761</v>
      </c>
      <c r="FF341" s="50">
        <f t="shared" ca="1" si="38"/>
        <v>0.96152101890419728</v>
      </c>
      <c r="FG341" s="50">
        <f t="shared" ca="1" si="39"/>
        <v>0.95990281879194628</v>
      </c>
      <c r="FH341" s="50">
        <f t="shared" ca="1" si="40"/>
        <v>0.95815785234899331</v>
      </c>
      <c r="FI341" s="50"/>
      <c r="FK341" s="50">
        <f t="shared" ca="1" si="36"/>
        <v>0.96152101890419728</v>
      </c>
      <c r="FL341" s="50"/>
      <c r="FM341" s="50"/>
      <c r="FN341" s="50"/>
    </row>
    <row r="342" spans="49:170" hidden="1">
      <c r="AW342" s="112">
        <v>0.56200000000000006</v>
      </c>
      <c r="AX342" s="7">
        <v>0.6149</v>
      </c>
      <c r="AY342" s="7">
        <v>0.623</v>
      </c>
      <c r="AZ342" s="7">
        <v>0.63100000000000001</v>
      </c>
      <c r="BA342" s="7">
        <v>0.63870000000000005</v>
      </c>
      <c r="BB342" s="7">
        <v>0.64629999999999999</v>
      </c>
      <c r="BC342" s="7">
        <v>0.65380000000000005</v>
      </c>
      <c r="BD342" s="7">
        <v>0.66110000000000002</v>
      </c>
      <c r="BE342" s="7">
        <v>0.66820000000000002</v>
      </c>
      <c r="BF342" s="7">
        <v>0.67520000000000002</v>
      </c>
      <c r="BG342" s="7">
        <v>0.68200000000000005</v>
      </c>
      <c r="BH342" s="7">
        <v>0.68879999999999997</v>
      </c>
      <c r="BI342" s="7">
        <v>0.69540000000000002</v>
      </c>
      <c r="BJ342" s="7">
        <v>0.70179999999999998</v>
      </c>
      <c r="BK342" s="7">
        <v>0.70820000000000005</v>
      </c>
      <c r="BL342" s="7">
        <v>0.71440000000000003</v>
      </c>
      <c r="BM342" s="7">
        <v>0.72050000000000003</v>
      </c>
      <c r="BN342" s="7">
        <v>0.72650000000000003</v>
      </c>
      <c r="BO342" s="7">
        <v>0.73240000000000005</v>
      </c>
      <c r="BP342" s="7">
        <v>0.73809999999999998</v>
      </c>
      <c r="BQ342" s="7">
        <v>0.74380000000000002</v>
      </c>
      <c r="BR342" s="7">
        <v>0.74939999999999996</v>
      </c>
      <c r="BS342" s="7">
        <v>0.75490000000000002</v>
      </c>
      <c r="BT342" s="7">
        <v>0.76019999999999999</v>
      </c>
      <c r="BU342" s="7">
        <v>0.76549999999999996</v>
      </c>
      <c r="BV342" s="7">
        <v>0.77070000000000005</v>
      </c>
      <c r="BW342" s="7">
        <v>0.77580000000000005</v>
      </c>
      <c r="BX342" s="7">
        <v>0.78080000000000005</v>
      </c>
      <c r="BY342" s="7">
        <v>0.78580000000000005</v>
      </c>
      <c r="BZ342" s="7">
        <v>0.79059999999999997</v>
      </c>
      <c r="CA342" s="7">
        <v>0.7954</v>
      </c>
      <c r="CB342" s="7">
        <v>0.80010000000000003</v>
      </c>
      <c r="CC342" s="7">
        <v>0.80469999999999997</v>
      </c>
      <c r="CD342" s="7">
        <v>0.80930000000000002</v>
      </c>
      <c r="CE342" s="7">
        <v>0.81369999999999998</v>
      </c>
      <c r="CF342" s="7">
        <v>0.81810000000000005</v>
      </c>
      <c r="CG342" s="7">
        <v>0.82250000000000001</v>
      </c>
      <c r="CH342" s="7">
        <v>0.82669999999999999</v>
      </c>
      <c r="CI342" s="7">
        <v>0.83089999999999997</v>
      </c>
      <c r="CJ342" s="7">
        <v>0.83509999999999995</v>
      </c>
      <c r="CK342" s="7">
        <v>0.83919999999999995</v>
      </c>
      <c r="CL342" s="7">
        <v>0.84319999999999995</v>
      </c>
      <c r="CM342" s="7">
        <v>0.84709999999999996</v>
      </c>
      <c r="CN342" s="7">
        <v>0.85099999999999998</v>
      </c>
      <c r="CO342" s="7">
        <v>0.85489999999999999</v>
      </c>
      <c r="CP342" s="7">
        <v>0.85870000000000002</v>
      </c>
      <c r="CQ342" s="7">
        <v>0.86240000000000006</v>
      </c>
      <c r="CR342" s="7">
        <v>0.86609999999999998</v>
      </c>
      <c r="CS342" s="7">
        <v>0.86970000000000003</v>
      </c>
      <c r="CT342" s="7">
        <v>0.87329999999999997</v>
      </c>
      <c r="CU342" s="7">
        <v>0.87680000000000002</v>
      </c>
      <c r="CV342" s="7">
        <v>0.88029999999999997</v>
      </c>
      <c r="CW342" s="7">
        <v>0.88380000000000003</v>
      </c>
      <c r="CX342" s="7">
        <v>0.88719999999999999</v>
      </c>
      <c r="CY342" s="7">
        <v>0.89049999999999996</v>
      </c>
      <c r="CZ342" s="7">
        <v>0.89380000000000004</v>
      </c>
      <c r="DA342" s="7">
        <v>0.89710000000000001</v>
      </c>
      <c r="DB342" s="7">
        <v>0.90029999999999999</v>
      </c>
      <c r="DC342" s="7">
        <v>0.90349999999999997</v>
      </c>
      <c r="DD342" s="7">
        <v>0.90659999999999996</v>
      </c>
      <c r="DE342" s="7">
        <v>0.90969999999999995</v>
      </c>
      <c r="DF342" s="7">
        <v>0.91279999999999994</v>
      </c>
      <c r="DG342" s="7">
        <v>0.91579999999999995</v>
      </c>
      <c r="DH342" s="7">
        <v>0.91879999999999995</v>
      </c>
      <c r="DI342" s="7">
        <v>0.92169999999999996</v>
      </c>
      <c r="DJ342" s="7">
        <v>0.92459999999999998</v>
      </c>
      <c r="DK342" s="7">
        <v>0.92749999999999999</v>
      </c>
      <c r="DL342" s="7">
        <v>0.9304</v>
      </c>
      <c r="DM342" s="7">
        <v>0.93320000000000003</v>
      </c>
      <c r="DN342" s="7">
        <v>0.93600000000000005</v>
      </c>
      <c r="DO342" s="7">
        <v>0.93869999999999998</v>
      </c>
      <c r="DP342" s="7">
        <v>0.94140000000000001</v>
      </c>
      <c r="DQ342" s="7">
        <v>0.94410000000000005</v>
      </c>
      <c r="DR342" s="7">
        <v>0.94679999999999997</v>
      </c>
      <c r="DS342" s="7">
        <v>0.94940000000000002</v>
      </c>
      <c r="DT342" s="7">
        <v>0.95199999999999996</v>
      </c>
      <c r="DU342" s="7">
        <v>0.9546</v>
      </c>
      <c r="DV342" s="7">
        <v>0.95720000000000005</v>
      </c>
      <c r="DW342" s="7">
        <v>0.9597</v>
      </c>
      <c r="DX342" s="7">
        <v>0.96220000000000006</v>
      </c>
      <c r="DY342" s="7">
        <v>0.9647</v>
      </c>
      <c r="DZ342" s="7">
        <v>0.96709999999999996</v>
      </c>
      <c r="EA342" s="7">
        <v>0.96950000000000003</v>
      </c>
      <c r="EB342" s="7">
        <v>0.97189999999999999</v>
      </c>
      <c r="EC342" s="7">
        <v>0.97430000000000005</v>
      </c>
      <c r="ED342" s="7">
        <v>0.97670000000000001</v>
      </c>
      <c r="EE342" s="7">
        <v>0.97899999999999998</v>
      </c>
      <c r="EF342" s="7">
        <v>0.98129999999999995</v>
      </c>
      <c r="EG342" s="7">
        <v>0.98360000000000003</v>
      </c>
      <c r="EH342" s="7">
        <v>0.9859</v>
      </c>
      <c r="EI342" s="7">
        <v>0.98819999999999997</v>
      </c>
      <c r="EJ342" s="7">
        <v>0.99039999999999995</v>
      </c>
      <c r="EK342" s="7">
        <v>0.99260000000000004</v>
      </c>
      <c r="EL342" s="7">
        <v>0.99480000000000002</v>
      </c>
      <c r="EM342" s="7">
        <v>0.997</v>
      </c>
      <c r="EN342" s="7">
        <v>0.99919999999999998</v>
      </c>
      <c r="EO342" s="7">
        <v>1.0009999999999999</v>
      </c>
      <c r="EP342" s="7">
        <v>1.0009999999999999</v>
      </c>
      <c r="EQ342" s="7">
        <v>1.0009999999999999</v>
      </c>
      <c r="ER342" s="7">
        <v>1.0009999999999999</v>
      </c>
      <c r="ES342" s="7">
        <v>1.0009999999999999</v>
      </c>
      <c r="ET342" s="7">
        <v>1.0009999999999999</v>
      </c>
      <c r="EU342" s="7">
        <v>1.0009999999999999</v>
      </c>
      <c r="EV342" s="7">
        <v>1.0009999999999999</v>
      </c>
      <c r="EW342" s="7">
        <v>1.0009999999999999</v>
      </c>
      <c r="EX342" s="7">
        <v>1.0009999999999999</v>
      </c>
      <c r="EY342" s="7">
        <v>1.0009999999999999</v>
      </c>
      <c r="EZ342" s="7">
        <v>1.0009999999999999</v>
      </c>
      <c r="FA342" s="7">
        <v>1.0009999999999999</v>
      </c>
      <c r="FB342" s="7">
        <v>1.0009999999999999</v>
      </c>
      <c r="FC342" s="7">
        <v>1.0009999999999999</v>
      </c>
      <c r="FE342" s="50">
        <f t="shared" ca="1" si="37"/>
        <v>0.96019938819210771</v>
      </c>
      <c r="FF342" s="50">
        <f t="shared" ca="1" si="38"/>
        <v>0.95862101890419738</v>
      </c>
      <c r="FG342" s="50">
        <f t="shared" ca="1" si="39"/>
        <v>0.95700281879194626</v>
      </c>
      <c r="FH342" s="50">
        <f t="shared" ca="1" si="40"/>
        <v>0.95525785234899319</v>
      </c>
      <c r="FI342" s="50"/>
      <c r="FK342" s="50">
        <f t="shared" ca="1" si="36"/>
        <v>0.95862101890419738</v>
      </c>
      <c r="FL342" s="50"/>
      <c r="FM342" s="50"/>
      <c r="FN342" s="50"/>
    </row>
    <row r="343" spans="49:170" hidden="1">
      <c r="AW343" s="112">
        <v>0.60299999999999998</v>
      </c>
      <c r="AX343" s="7">
        <v>0.61309999999999998</v>
      </c>
      <c r="AY343" s="7">
        <v>0.62119999999999997</v>
      </c>
      <c r="AZ343" s="7">
        <v>0.62909999999999999</v>
      </c>
      <c r="BA343" s="7">
        <v>0.63680000000000003</v>
      </c>
      <c r="BB343" s="7">
        <v>0.64439999999999997</v>
      </c>
      <c r="BC343" s="7">
        <v>0.65180000000000005</v>
      </c>
      <c r="BD343" s="7">
        <v>0.65910000000000002</v>
      </c>
      <c r="BE343" s="7">
        <v>0.66620000000000001</v>
      </c>
      <c r="BF343" s="7">
        <v>0.67320000000000002</v>
      </c>
      <c r="BG343" s="7">
        <v>0.68</v>
      </c>
      <c r="BH343" s="7">
        <v>0.68669999999999998</v>
      </c>
      <c r="BI343" s="7">
        <v>0.69330000000000003</v>
      </c>
      <c r="BJ343" s="7">
        <v>0.69969999999999999</v>
      </c>
      <c r="BK343" s="7">
        <v>0.70599999999999996</v>
      </c>
      <c r="BL343" s="7">
        <v>0.71220000000000006</v>
      </c>
      <c r="BM343" s="7">
        <v>0.71830000000000005</v>
      </c>
      <c r="BN343" s="7">
        <v>0.72430000000000005</v>
      </c>
      <c r="BO343" s="7">
        <v>0.73019999999999996</v>
      </c>
      <c r="BP343" s="7">
        <v>0.7359</v>
      </c>
      <c r="BQ343" s="7">
        <v>0.74160000000000004</v>
      </c>
      <c r="BR343" s="7">
        <v>0.74709999999999999</v>
      </c>
      <c r="BS343" s="7">
        <v>0.75260000000000005</v>
      </c>
      <c r="BT343" s="7">
        <v>0.75790000000000002</v>
      </c>
      <c r="BU343" s="7">
        <v>0.76319999999999999</v>
      </c>
      <c r="BV343" s="7">
        <v>0.76839999999999997</v>
      </c>
      <c r="BW343" s="7">
        <v>0.77349999999999997</v>
      </c>
      <c r="BX343" s="7">
        <v>0.77849999999999997</v>
      </c>
      <c r="BY343" s="7">
        <v>0.78339999999999999</v>
      </c>
      <c r="BZ343" s="7">
        <v>0.78820000000000001</v>
      </c>
      <c r="CA343" s="7">
        <v>0.79300000000000004</v>
      </c>
      <c r="CB343" s="7">
        <v>0.79769999999999996</v>
      </c>
      <c r="CC343" s="7">
        <v>0.80230000000000001</v>
      </c>
      <c r="CD343" s="7">
        <v>0.80679999999999996</v>
      </c>
      <c r="CE343" s="7">
        <v>0.81130000000000002</v>
      </c>
      <c r="CF343" s="7">
        <v>0.81569999999999998</v>
      </c>
      <c r="CG343" s="7">
        <v>0.82</v>
      </c>
      <c r="CH343" s="7">
        <v>0.82430000000000003</v>
      </c>
      <c r="CI343" s="7">
        <v>0.82840000000000003</v>
      </c>
      <c r="CJ343" s="7">
        <v>0.83260000000000001</v>
      </c>
      <c r="CK343" s="7">
        <v>0.83660000000000001</v>
      </c>
      <c r="CL343" s="7">
        <v>0.84060000000000001</v>
      </c>
      <c r="CM343" s="7">
        <v>0.84460000000000002</v>
      </c>
      <c r="CN343" s="7">
        <v>0.84850000000000003</v>
      </c>
      <c r="CO343" s="7">
        <v>0.85229999999999995</v>
      </c>
      <c r="CP343" s="7">
        <v>0.85609999999999997</v>
      </c>
      <c r="CQ343" s="7">
        <v>0.85980000000000001</v>
      </c>
      <c r="CR343" s="7">
        <v>0.86350000000000005</v>
      </c>
      <c r="CS343" s="7">
        <v>0.86709999999999998</v>
      </c>
      <c r="CT343" s="7">
        <v>0.87070000000000003</v>
      </c>
      <c r="CU343" s="7">
        <v>0.87419999999999998</v>
      </c>
      <c r="CV343" s="7">
        <v>0.87770000000000004</v>
      </c>
      <c r="CW343" s="7">
        <v>0.88109999999999999</v>
      </c>
      <c r="CX343" s="7">
        <v>0.88449999999999995</v>
      </c>
      <c r="CY343" s="7">
        <v>0.88780000000000003</v>
      </c>
      <c r="CZ343" s="7">
        <v>0.8911</v>
      </c>
      <c r="DA343" s="7">
        <v>0.89439999999999997</v>
      </c>
      <c r="DB343" s="7">
        <v>0.89759999999999995</v>
      </c>
      <c r="DC343" s="7">
        <v>0.90080000000000005</v>
      </c>
      <c r="DD343" s="7">
        <v>0.90390000000000004</v>
      </c>
      <c r="DE343" s="7">
        <v>0.90700000000000003</v>
      </c>
      <c r="DF343" s="7">
        <v>0.91</v>
      </c>
      <c r="DG343" s="7">
        <v>0.91300000000000003</v>
      </c>
      <c r="DH343" s="7">
        <v>0.91600000000000004</v>
      </c>
      <c r="DI343" s="7">
        <v>0.91900000000000004</v>
      </c>
      <c r="DJ343" s="7">
        <v>0.92190000000000005</v>
      </c>
      <c r="DK343" s="7">
        <v>0.92469999999999997</v>
      </c>
      <c r="DL343" s="7">
        <v>0.92759999999999998</v>
      </c>
      <c r="DM343" s="7">
        <v>0.9304</v>
      </c>
      <c r="DN343" s="7">
        <v>0.93320000000000003</v>
      </c>
      <c r="DO343" s="7">
        <v>0.93589999999999995</v>
      </c>
      <c r="DP343" s="7">
        <v>0.93859999999999999</v>
      </c>
      <c r="DQ343" s="7">
        <v>0.94130000000000003</v>
      </c>
      <c r="DR343" s="7">
        <v>0.94399999999999995</v>
      </c>
      <c r="DS343" s="7">
        <v>0.9466</v>
      </c>
      <c r="DT343" s="7">
        <v>0.94920000000000004</v>
      </c>
      <c r="DU343" s="7">
        <v>0.95169999999999999</v>
      </c>
      <c r="DV343" s="7">
        <v>0.95430000000000004</v>
      </c>
      <c r="DW343" s="7">
        <v>0.95679999999999998</v>
      </c>
      <c r="DX343" s="7">
        <v>0.95930000000000004</v>
      </c>
      <c r="DY343" s="7">
        <v>0.96179999999999999</v>
      </c>
      <c r="DZ343" s="7">
        <v>0.96419999999999995</v>
      </c>
      <c r="EA343" s="7">
        <v>0.96660000000000001</v>
      </c>
      <c r="EB343" s="7">
        <v>0.96899999999999997</v>
      </c>
      <c r="EC343" s="7">
        <v>0.97140000000000004</v>
      </c>
      <c r="ED343" s="7">
        <v>0.97370000000000001</v>
      </c>
      <c r="EE343" s="7">
        <v>0.97609999999999997</v>
      </c>
      <c r="EF343" s="7">
        <v>0.97840000000000005</v>
      </c>
      <c r="EG343" s="7">
        <v>0.98070000000000002</v>
      </c>
      <c r="EH343" s="7">
        <v>0.9829</v>
      </c>
      <c r="EI343" s="7">
        <v>0.98519999999999996</v>
      </c>
      <c r="EJ343" s="7">
        <v>0.98740000000000006</v>
      </c>
      <c r="EK343" s="7">
        <v>0.98960000000000004</v>
      </c>
      <c r="EL343" s="7">
        <v>0.99180000000000001</v>
      </c>
      <c r="EM343" s="7">
        <v>0.99399999999999999</v>
      </c>
      <c r="EN343" s="7">
        <v>0.99619999999999997</v>
      </c>
      <c r="EO343" s="7">
        <v>0.99829999999999997</v>
      </c>
      <c r="EP343" s="7">
        <v>1.0009999999999999</v>
      </c>
      <c r="EQ343" s="7">
        <v>1.0009999999999999</v>
      </c>
      <c r="ER343" s="7">
        <v>1.0009999999999999</v>
      </c>
      <c r="ES343" s="7">
        <v>1.0009999999999999</v>
      </c>
      <c r="ET343" s="7">
        <v>1.0009999999999999</v>
      </c>
      <c r="EU343" s="7">
        <v>1.0009999999999999</v>
      </c>
      <c r="EV343" s="7">
        <v>1.0009999999999999</v>
      </c>
      <c r="EW343" s="7">
        <v>1.0009999999999999</v>
      </c>
      <c r="EX343" s="7">
        <v>1.0009999999999999</v>
      </c>
      <c r="EY343" s="7">
        <v>1.0009999999999999</v>
      </c>
      <c r="EZ343" s="7">
        <v>1.0009999999999999</v>
      </c>
      <c r="FA343" s="7">
        <v>1.0009999999999999</v>
      </c>
      <c r="FB343" s="7">
        <v>1.0009999999999999</v>
      </c>
      <c r="FC343" s="7">
        <v>1.0009999999999999</v>
      </c>
      <c r="FE343" s="50">
        <f t="shared" ca="1" si="37"/>
        <v>0.9572993881921078</v>
      </c>
      <c r="FF343" s="50">
        <f t="shared" ca="1" si="38"/>
        <v>0.95572101890419736</v>
      </c>
      <c r="FG343" s="50">
        <f t="shared" ca="1" si="39"/>
        <v>0.95410281879194636</v>
      </c>
      <c r="FH343" s="50">
        <f t="shared" ca="1" si="40"/>
        <v>0.95235785234899328</v>
      </c>
      <c r="FI343" s="50"/>
      <c r="FK343" s="50">
        <f t="shared" ca="1" si="36"/>
        <v>0.95572101890419736</v>
      </c>
      <c r="FL343" s="50"/>
      <c r="FM343" s="50"/>
      <c r="FN343" s="50"/>
    </row>
    <row r="344" spans="49:170" hidden="1">
      <c r="AW344" s="112">
        <v>0.64600000000000002</v>
      </c>
      <c r="AX344" s="7">
        <v>0.61129999999999995</v>
      </c>
      <c r="AY344" s="7">
        <v>0.61929999999999996</v>
      </c>
      <c r="AZ344" s="7">
        <v>0.62719999999999998</v>
      </c>
      <c r="BA344" s="7">
        <v>0.63490000000000002</v>
      </c>
      <c r="BB344" s="7">
        <v>0.64249999999999996</v>
      </c>
      <c r="BC344" s="7">
        <v>0.64990000000000003</v>
      </c>
      <c r="BD344" s="7">
        <v>0.65710000000000002</v>
      </c>
      <c r="BE344" s="7">
        <v>0.66420000000000001</v>
      </c>
      <c r="BF344" s="7">
        <v>0.67120000000000002</v>
      </c>
      <c r="BG344" s="7">
        <v>0.67800000000000005</v>
      </c>
      <c r="BH344" s="7">
        <v>0.68469999999999998</v>
      </c>
      <c r="BI344" s="7">
        <v>0.69120000000000004</v>
      </c>
      <c r="BJ344" s="7">
        <v>0.6976</v>
      </c>
      <c r="BK344" s="7">
        <v>0.70389999999999997</v>
      </c>
      <c r="BL344" s="7">
        <v>0.71009999999999995</v>
      </c>
      <c r="BM344" s="7">
        <v>0.71619999999999995</v>
      </c>
      <c r="BN344" s="7">
        <v>0.72219999999999995</v>
      </c>
      <c r="BO344" s="7">
        <v>0.72799999999999998</v>
      </c>
      <c r="BP344" s="7">
        <v>0.73370000000000002</v>
      </c>
      <c r="BQ344" s="7">
        <v>0.73939999999999995</v>
      </c>
      <c r="BR344" s="7">
        <v>0.74490000000000001</v>
      </c>
      <c r="BS344" s="7">
        <v>0.75039999999999996</v>
      </c>
      <c r="BT344" s="7">
        <v>0.75570000000000004</v>
      </c>
      <c r="BU344" s="7">
        <v>0.76100000000000001</v>
      </c>
      <c r="BV344" s="7">
        <v>0.7661</v>
      </c>
      <c r="BW344" s="7">
        <v>0.7712</v>
      </c>
      <c r="BX344" s="7">
        <v>0.7762</v>
      </c>
      <c r="BY344" s="7">
        <v>0.78110000000000002</v>
      </c>
      <c r="BZ344" s="7">
        <v>0.78590000000000004</v>
      </c>
      <c r="CA344" s="7">
        <v>0.79069999999999996</v>
      </c>
      <c r="CB344" s="7">
        <v>0.79530000000000001</v>
      </c>
      <c r="CC344" s="7">
        <v>0.79990000000000006</v>
      </c>
      <c r="CD344" s="7">
        <v>0.8044</v>
      </c>
      <c r="CE344" s="7">
        <v>0.80889999999999995</v>
      </c>
      <c r="CF344" s="7">
        <v>0.81330000000000002</v>
      </c>
      <c r="CG344" s="7">
        <v>0.81759999999999999</v>
      </c>
      <c r="CH344" s="7">
        <v>0.82179999999999997</v>
      </c>
      <c r="CI344" s="7">
        <v>0.82599999999999996</v>
      </c>
      <c r="CJ344" s="7">
        <v>0.83009999999999995</v>
      </c>
      <c r="CK344" s="7">
        <v>0.83420000000000005</v>
      </c>
      <c r="CL344" s="7">
        <v>0.83819999999999995</v>
      </c>
      <c r="CM344" s="7">
        <v>0.84209999999999996</v>
      </c>
      <c r="CN344" s="7">
        <v>0.84599999999999997</v>
      </c>
      <c r="CO344" s="7">
        <v>0.8498</v>
      </c>
      <c r="CP344" s="7">
        <v>0.85360000000000003</v>
      </c>
      <c r="CQ344" s="7">
        <v>0.85729999999999995</v>
      </c>
      <c r="CR344" s="7">
        <v>0.8609</v>
      </c>
      <c r="CS344" s="7">
        <v>0.86450000000000005</v>
      </c>
      <c r="CT344" s="7">
        <v>0.86809999999999998</v>
      </c>
      <c r="CU344" s="7">
        <v>0.87160000000000004</v>
      </c>
      <c r="CV344" s="7">
        <v>0.87509999999999999</v>
      </c>
      <c r="CW344" s="7">
        <v>0.87849999999999995</v>
      </c>
      <c r="CX344" s="7">
        <v>0.88190000000000002</v>
      </c>
      <c r="CY344" s="7">
        <v>0.88519999999999999</v>
      </c>
      <c r="CZ344" s="7">
        <v>0.88849999999999996</v>
      </c>
      <c r="DA344" s="7">
        <v>0.89170000000000005</v>
      </c>
      <c r="DB344" s="7">
        <v>0.89490000000000003</v>
      </c>
      <c r="DC344" s="7">
        <v>0.89810000000000001</v>
      </c>
      <c r="DD344" s="7">
        <v>0.9012</v>
      </c>
      <c r="DE344" s="7">
        <v>0.90429999999999999</v>
      </c>
      <c r="DF344" s="7">
        <v>0.9073</v>
      </c>
      <c r="DG344" s="7">
        <v>0.9103</v>
      </c>
      <c r="DH344" s="7">
        <v>0.9133</v>
      </c>
      <c r="DI344" s="7">
        <v>0.91620000000000001</v>
      </c>
      <c r="DJ344" s="7">
        <v>0.91910000000000003</v>
      </c>
      <c r="DK344" s="7">
        <v>0.92200000000000004</v>
      </c>
      <c r="DL344" s="7">
        <v>0.92479999999999996</v>
      </c>
      <c r="DM344" s="7">
        <v>0.92759999999999998</v>
      </c>
      <c r="DN344" s="7">
        <v>0.9304</v>
      </c>
      <c r="DO344" s="7">
        <v>0.93310000000000004</v>
      </c>
      <c r="DP344" s="7">
        <v>0.93579999999999997</v>
      </c>
      <c r="DQ344" s="7">
        <v>0.9385</v>
      </c>
      <c r="DR344" s="7">
        <v>0.94120000000000004</v>
      </c>
      <c r="DS344" s="7">
        <v>0.94379999999999997</v>
      </c>
      <c r="DT344" s="7">
        <v>0.94640000000000002</v>
      </c>
      <c r="DU344" s="7">
        <v>0.94889999999999997</v>
      </c>
      <c r="DV344" s="7">
        <v>0.95150000000000001</v>
      </c>
      <c r="DW344" s="7">
        <v>0.95399999999999996</v>
      </c>
      <c r="DX344" s="7">
        <v>0.95650000000000002</v>
      </c>
      <c r="DY344" s="7">
        <v>0.95889999999999997</v>
      </c>
      <c r="DZ344" s="7">
        <v>0.96140000000000003</v>
      </c>
      <c r="EA344" s="7">
        <v>0.96379999999999999</v>
      </c>
      <c r="EB344" s="7">
        <v>0.96619999999999995</v>
      </c>
      <c r="EC344" s="7">
        <v>0.96850000000000003</v>
      </c>
      <c r="ED344" s="7">
        <v>0.97089999999999999</v>
      </c>
      <c r="EE344" s="7">
        <v>0.97319999999999995</v>
      </c>
      <c r="EF344" s="7">
        <v>0.97550000000000003</v>
      </c>
      <c r="EG344" s="7">
        <v>0.9778</v>
      </c>
      <c r="EH344" s="7">
        <v>0.98</v>
      </c>
      <c r="EI344" s="7">
        <v>0.98229999999999995</v>
      </c>
      <c r="EJ344" s="7">
        <v>0.98450000000000004</v>
      </c>
      <c r="EK344" s="7">
        <v>0.98670000000000002</v>
      </c>
      <c r="EL344" s="7">
        <v>0.9889</v>
      </c>
      <c r="EM344" s="7">
        <v>0.99109999999999998</v>
      </c>
      <c r="EN344" s="7">
        <v>0.99319999999999997</v>
      </c>
      <c r="EO344" s="7">
        <v>0.99529999999999996</v>
      </c>
      <c r="EP344" s="7">
        <v>0.99750000000000005</v>
      </c>
      <c r="EQ344" s="7">
        <v>0.99960000000000004</v>
      </c>
      <c r="ER344" s="7">
        <v>1.0009999999999999</v>
      </c>
      <c r="ES344" s="7">
        <v>1.0009999999999999</v>
      </c>
      <c r="ET344" s="7">
        <v>1.0009999999999999</v>
      </c>
      <c r="EU344" s="7">
        <v>1.0009999999999999</v>
      </c>
      <c r="EV344" s="7">
        <v>1.0009999999999999</v>
      </c>
      <c r="EW344" s="7">
        <v>1.0009999999999999</v>
      </c>
      <c r="EX344" s="7">
        <v>1.0009999999999999</v>
      </c>
      <c r="EY344" s="7">
        <v>1.0009999999999999</v>
      </c>
      <c r="EZ344" s="7">
        <v>1.0009999999999999</v>
      </c>
      <c r="FA344" s="7">
        <v>1.0009999999999999</v>
      </c>
      <c r="FB344" s="7">
        <v>1.0009999999999999</v>
      </c>
      <c r="FC344" s="7">
        <v>1.0009999999999999</v>
      </c>
      <c r="FE344" s="50">
        <f t="shared" ca="1" si="37"/>
        <v>0.95449938819210767</v>
      </c>
      <c r="FF344" s="50">
        <f t="shared" ca="1" si="38"/>
        <v>0.95292101890419734</v>
      </c>
      <c r="FG344" s="50">
        <f t="shared" ca="1" si="39"/>
        <v>0.95130281879194623</v>
      </c>
      <c r="FH344" s="50">
        <f t="shared" ca="1" si="40"/>
        <v>0.94955785234899315</v>
      </c>
      <c r="FI344" s="50"/>
      <c r="FK344" s="50">
        <f t="shared" ca="1" si="36"/>
        <v>0.95292101890419734</v>
      </c>
      <c r="FL344" s="50"/>
      <c r="FM344" s="50"/>
      <c r="FN344" s="50"/>
    </row>
    <row r="345" spans="49:170" hidden="1">
      <c r="AW345" s="112">
        <v>0.69199999999999995</v>
      </c>
      <c r="AX345" s="7">
        <v>0.60950000000000004</v>
      </c>
      <c r="AY345" s="7">
        <v>0.61750000000000005</v>
      </c>
      <c r="AZ345" s="7">
        <v>0.62539999999999996</v>
      </c>
      <c r="BA345" s="7">
        <v>0.6331</v>
      </c>
      <c r="BB345" s="7">
        <v>0.64059999999999995</v>
      </c>
      <c r="BC345" s="7">
        <v>0.64800000000000002</v>
      </c>
      <c r="BD345" s="7">
        <v>0.6552</v>
      </c>
      <c r="BE345" s="7">
        <v>0.6623</v>
      </c>
      <c r="BF345" s="7">
        <v>0.66920000000000002</v>
      </c>
      <c r="BG345" s="7">
        <v>0.67600000000000005</v>
      </c>
      <c r="BH345" s="7">
        <v>0.68269999999999997</v>
      </c>
      <c r="BI345" s="7">
        <v>0.68920000000000003</v>
      </c>
      <c r="BJ345" s="7">
        <v>0.6956</v>
      </c>
      <c r="BK345" s="7">
        <v>0.70189999999999997</v>
      </c>
      <c r="BL345" s="7">
        <v>0.70809999999999995</v>
      </c>
      <c r="BM345" s="7">
        <v>0.71409999999999996</v>
      </c>
      <c r="BN345" s="7">
        <v>0.72</v>
      </c>
      <c r="BO345" s="7">
        <v>0.72589999999999999</v>
      </c>
      <c r="BP345" s="7">
        <v>0.73160000000000003</v>
      </c>
      <c r="BQ345" s="7">
        <v>0.73719999999999997</v>
      </c>
      <c r="BR345" s="7">
        <v>0.74270000000000003</v>
      </c>
      <c r="BS345" s="7">
        <v>0.74819999999999998</v>
      </c>
      <c r="BT345" s="7">
        <v>0.75349999999999995</v>
      </c>
      <c r="BU345" s="7">
        <v>0.75870000000000004</v>
      </c>
      <c r="BV345" s="7">
        <v>0.76390000000000002</v>
      </c>
      <c r="BW345" s="7">
        <v>0.76890000000000003</v>
      </c>
      <c r="BX345" s="7">
        <v>0.77390000000000003</v>
      </c>
      <c r="BY345" s="7">
        <v>0.77880000000000005</v>
      </c>
      <c r="BZ345" s="7">
        <v>0.78359999999999996</v>
      </c>
      <c r="CA345" s="7">
        <v>0.7883</v>
      </c>
      <c r="CB345" s="7">
        <v>0.79300000000000004</v>
      </c>
      <c r="CC345" s="7">
        <v>0.79759999999999998</v>
      </c>
      <c r="CD345" s="7">
        <v>0.80210000000000004</v>
      </c>
      <c r="CE345" s="7">
        <v>0.80649999999999999</v>
      </c>
      <c r="CF345" s="7">
        <v>0.81089999999999995</v>
      </c>
      <c r="CG345" s="7">
        <v>0.81520000000000004</v>
      </c>
      <c r="CH345" s="7">
        <v>0.81940000000000002</v>
      </c>
      <c r="CI345" s="7">
        <v>0.8236</v>
      </c>
      <c r="CJ345" s="7">
        <v>0.82769999999999999</v>
      </c>
      <c r="CK345" s="7">
        <v>0.83169999999999999</v>
      </c>
      <c r="CL345" s="7">
        <v>0.8357</v>
      </c>
      <c r="CM345" s="7">
        <v>0.83960000000000001</v>
      </c>
      <c r="CN345" s="7">
        <v>0.84350000000000003</v>
      </c>
      <c r="CO345" s="7">
        <v>0.84730000000000005</v>
      </c>
      <c r="CP345" s="7">
        <v>0.85109999999999997</v>
      </c>
      <c r="CQ345" s="7">
        <v>0.8548</v>
      </c>
      <c r="CR345" s="7">
        <v>0.85840000000000005</v>
      </c>
      <c r="CS345" s="7">
        <v>0.86199999999999999</v>
      </c>
      <c r="CT345" s="7">
        <v>0.86560000000000004</v>
      </c>
      <c r="CU345" s="7">
        <v>0.86909999999999998</v>
      </c>
      <c r="CV345" s="7">
        <v>0.87250000000000005</v>
      </c>
      <c r="CW345" s="7">
        <v>0.87590000000000001</v>
      </c>
      <c r="CX345" s="7">
        <v>0.87929999999999997</v>
      </c>
      <c r="CY345" s="7">
        <v>0.88260000000000005</v>
      </c>
      <c r="CZ345" s="7">
        <v>0.88590000000000002</v>
      </c>
      <c r="DA345" s="7">
        <v>0.8891</v>
      </c>
      <c r="DB345" s="7">
        <v>0.89229999999999998</v>
      </c>
      <c r="DC345" s="7">
        <v>0.89549999999999996</v>
      </c>
      <c r="DD345" s="7">
        <v>0.89859999999999995</v>
      </c>
      <c r="DE345" s="7">
        <v>0.90159999999999996</v>
      </c>
      <c r="DF345" s="7">
        <v>0.90469999999999995</v>
      </c>
      <c r="DG345" s="7">
        <v>0.90769999999999995</v>
      </c>
      <c r="DH345" s="7">
        <v>0.91059999999999997</v>
      </c>
      <c r="DI345" s="7">
        <v>0.91359999999999997</v>
      </c>
      <c r="DJ345" s="7">
        <v>0.91639999999999999</v>
      </c>
      <c r="DK345" s="7">
        <v>0.91930000000000001</v>
      </c>
      <c r="DL345" s="7">
        <v>0.92210000000000003</v>
      </c>
      <c r="DM345" s="7">
        <v>0.92490000000000006</v>
      </c>
      <c r="DN345" s="7">
        <v>0.92769999999999997</v>
      </c>
      <c r="DO345" s="7">
        <v>0.9304</v>
      </c>
      <c r="DP345" s="7">
        <v>0.93310000000000004</v>
      </c>
      <c r="DQ345" s="7">
        <v>0.93579999999999997</v>
      </c>
      <c r="DR345" s="7">
        <v>0.93840000000000001</v>
      </c>
      <c r="DS345" s="7">
        <v>0.94099999999999995</v>
      </c>
      <c r="DT345" s="7">
        <v>0.94359999999999999</v>
      </c>
      <c r="DU345" s="7">
        <v>0.94620000000000004</v>
      </c>
      <c r="DV345" s="7">
        <v>0.94869999999999999</v>
      </c>
      <c r="DW345" s="7">
        <v>0.95120000000000005</v>
      </c>
      <c r="DX345" s="7">
        <v>0.95369999999999999</v>
      </c>
      <c r="DY345" s="7">
        <v>0.95609999999999995</v>
      </c>
      <c r="DZ345" s="7">
        <v>0.95850000000000002</v>
      </c>
      <c r="EA345" s="7">
        <v>0.96089999999999998</v>
      </c>
      <c r="EB345" s="7">
        <v>0.96330000000000005</v>
      </c>
      <c r="EC345" s="7">
        <v>0.9657</v>
      </c>
      <c r="ED345" s="7">
        <v>0.96799999999999997</v>
      </c>
      <c r="EE345" s="7">
        <v>0.97030000000000005</v>
      </c>
      <c r="EF345" s="7">
        <v>0.97260000000000002</v>
      </c>
      <c r="EG345" s="7">
        <v>0.97489999999999999</v>
      </c>
      <c r="EH345" s="7">
        <v>0.97719999999999996</v>
      </c>
      <c r="EI345" s="7">
        <v>0.97940000000000005</v>
      </c>
      <c r="EJ345" s="7">
        <v>0.98160000000000003</v>
      </c>
      <c r="EK345" s="7">
        <v>0.98380000000000001</v>
      </c>
      <c r="EL345" s="7">
        <v>0.98599999999999999</v>
      </c>
      <c r="EM345" s="7">
        <v>0.98819999999999997</v>
      </c>
      <c r="EN345" s="7">
        <v>0.99029999999999996</v>
      </c>
      <c r="EO345" s="7">
        <v>0.99239999999999995</v>
      </c>
      <c r="EP345" s="7">
        <v>0.99450000000000005</v>
      </c>
      <c r="EQ345" s="7">
        <v>0.99660000000000004</v>
      </c>
      <c r="ER345" s="7">
        <v>0.99870000000000003</v>
      </c>
      <c r="ES345" s="7">
        <v>1.0009999999999999</v>
      </c>
      <c r="ET345" s="7">
        <v>1.0009999999999999</v>
      </c>
      <c r="EU345" s="7">
        <v>1.0009999999999999</v>
      </c>
      <c r="EV345" s="7">
        <v>1.0009999999999999</v>
      </c>
      <c r="EW345" s="7">
        <v>1.0009999999999999</v>
      </c>
      <c r="EX345" s="7">
        <v>1.0009999999999999</v>
      </c>
      <c r="EY345" s="7">
        <v>1.0009999999999999</v>
      </c>
      <c r="EZ345" s="7">
        <v>1.0009999999999999</v>
      </c>
      <c r="FA345" s="7">
        <v>1.0009999999999999</v>
      </c>
      <c r="FB345" s="7">
        <v>1.0009999999999999</v>
      </c>
      <c r="FC345" s="7">
        <v>1.0009999999999999</v>
      </c>
      <c r="FE345" s="50">
        <f t="shared" ca="1" si="37"/>
        <v>0.95169938819210764</v>
      </c>
      <c r="FF345" s="50">
        <f t="shared" ca="1" si="38"/>
        <v>0.95012101890419742</v>
      </c>
      <c r="FG345" s="50">
        <f t="shared" ca="1" si="39"/>
        <v>0.94851040268456366</v>
      </c>
      <c r="FH345" s="50">
        <f t="shared" ca="1" si="40"/>
        <v>0.94683255033557046</v>
      </c>
      <c r="FI345" s="50"/>
      <c r="FK345" s="50">
        <f t="shared" ca="1" si="36"/>
        <v>0.95012101890419742</v>
      </c>
      <c r="FL345" s="50"/>
      <c r="FM345" s="50"/>
      <c r="FN345" s="50"/>
    </row>
    <row r="346" spans="49:170" hidden="1">
      <c r="AW346" s="112">
        <v>0.74099999999999999</v>
      </c>
      <c r="AX346" s="7">
        <v>0.60770000000000002</v>
      </c>
      <c r="AY346" s="7">
        <v>0.61570000000000003</v>
      </c>
      <c r="AZ346" s="7">
        <v>0.62360000000000004</v>
      </c>
      <c r="BA346" s="7">
        <v>0.63119999999999998</v>
      </c>
      <c r="BB346" s="7">
        <v>0.63880000000000003</v>
      </c>
      <c r="BC346" s="7">
        <v>0.64610000000000001</v>
      </c>
      <c r="BD346" s="7">
        <v>0.65329999999999999</v>
      </c>
      <c r="BE346" s="7">
        <v>0.66039999999999999</v>
      </c>
      <c r="BF346" s="7">
        <v>0.6673</v>
      </c>
      <c r="BG346" s="7">
        <v>0.67410000000000003</v>
      </c>
      <c r="BH346" s="7">
        <v>0.68069999999999997</v>
      </c>
      <c r="BI346" s="7">
        <v>0.68720000000000003</v>
      </c>
      <c r="BJ346" s="7">
        <v>0.69359999999999999</v>
      </c>
      <c r="BK346" s="7">
        <v>0.69989999999999997</v>
      </c>
      <c r="BL346" s="7">
        <v>0.70599999999999996</v>
      </c>
      <c r="BM346" s="7">
        <v>0.71199999999999997</v>
      </c>
      <c r="BN346" s="7">
        <v>0.71799999999999997</v>
      </c>
      <c r="BO346" s="7">
        <v>0.7238</v>
      </c>
      <c r="BP346" s="7">
        <v>0.72950000000000004</v>
      </c>
      <c r="BQ346" s="7">
        <v>0.73509999999999998</v>
      </c>
      <c r="BR346" s="7">
        <v>0.74060000000000004</v>
      </c>
      <c r="BS346" s="7">
        <v>0.746</v>
      </c>
      <c r="BT346" s="7">
        <v>0.75129999999999997</v>
      </c>
      <c r="BU346" s="7">
        <v>0.75649999999999995</v>
      </c>
      <c r="BV346" s="7">
        <v>0.76170000000000004</v>
      </c>
      <c r="BW346" s="7">
        <v>0.76670000000000005</v>
      </c>
      <c r="BX346" s="7">
        <v>0.77170000000000005</v>
      </c>
      <c r="BY346" s="7">
        <v>0.77659999999999996</v>
      </c>
      <c r="BZ346" s="7">
        <v>0.78139999999999998</v>
      </c>
      <c r="CA346" s="7">
        <v>0.78610000000000002</v>
      </c>
      <c r="CB346" s="7">
        <v>0.79069999999999996</v>
      </c>
      <c r="CC346" s="7">
        <v>0.79530000000000001</v>
      </c>
      <c r="CD346" s="7">
        <v>0.79979999999999996</v>
      </c>
      <c r="CE346" s="7">
        <v>0.80420000000000003</v>
      </c>
      <c r="CF346" s="7">
        <v>0.8085</v>
      </c>
      <c r="CG346" s="7">
        <v>0.81279999999999997</v>
      </c>
      <c r="CH346" s="7">
        <v>0.81710000000000005</v>
      </c>
      <c r="CI346" s="7">
        <v>0.82120000000000004</v>
      </c>
      <c r="CJ346" s="7">
        <v>0.82530000000000003</v>
      </c>
      <c r="CK346" s="7">
        <v>0.82930000000000004</v>
      </c>
      <c r="CL346" s="7">
        <v>0.83330000000000004</v>
      </c>
      <c r="CM346" s="7">
        <v>0.83720000000000006</v>
      </c>
      <c r="CN346" s="7">
        <v>0.84109999999999996</v>
      </c>
      <c r="CO346" s="7">
        <v>0.84489999999999998</v>
      </c>
      <c r="CP346" s="7">
        <v>0.84860000000000002</v>
      </c>
      <c r="CQ346" s="7">
        <v>0.85229999999999995</v>
      </c>
      <c r="CR346" s="7">
        <v>0.85599999999999998</v>
      </c>
      <c r="CS346" s="7">
        <v>0.85950000000000004</v>
      </c>
      <c r="CT346" s="7">
        <v>0.86309999999999998</v>
      </c>
      <c r="CU346" s="7">
        <v>0.86660000000000004</v>
      </c>
      <c r="CV346" s="7">
        <v>0.87</v>
      </c>
      <c r="CW346" s="7">
        <v>0.87339999999999995</v>
      </c>
      <c r="CX346" s="7">
        <v>0.87680000000000002</v>
      </c>
      <c r="CY346" s="7">
        <v>0.88009999999999999</v>
      </c>
      <c r="CZ346" s="7">
        <v>0.88329999999999997</v>
      </c>
      <c r="DA346" s="7">
        <v>0.88660000000000005</v>
      </c>
      <c r="DB346" s="7">
        <v>0.88970000000000005</v>
      </c>
      <c r="DC346" s="7">
        <v>0.89290000000000003</v>
      </c>
      <c r="DD346" s="7">
        <v>0.89600000000000002</v>
      </c>
      <c r="DE346" s="7">
        <v>0.89900000000000002</v>
      </c>
      <c r="DF346" s="7">
        <v>0.90210000000000001</v>
      </c>
      <c r="DG346" s="7">
        <v>0.90510000000000002</v>
      </c>
      <c r="DH346" s="7">
        <v>0.90800000000000003</v>
      </c>
      <c r="DI346" s="7">
        <v>0.91090000000000004</v>
      </c>
      <c r="DJ346" s="7">
        <v>0.91379999999999995</v>
      </c>
      <c r="DK346" s="7">
        <v>0.91669999999999996</v>
      </c>
      <c r="DL346" s="7">
        <v>0.91949999999999998</v>
      </c>
      <c r="DM346" s="7">
        <v>0.92230000000000001</v>
      </c>
      <c r="DN346" s="7">
        <v>0.92500000000000004</v>
      </c>
      <c r="DO346" s="7">
        <v>0.92769999999999997</v>
      </c>
      <c r="DP346" s="7">
        <v>0.9304</v>
      </c>
      <c r="DQ346" s="7">
        <v>0.93310000000000004</v>
      </c>
      <c r="DR346" s="7">
        <v>0.93569999999999998</v>
      </c>
      <c r="DS346" s="7">
        <v>0.93830000000000002</v>
      </c>
      <c r="DT346" s="7">
        <v>0.94089999999999996</v>
      </c>
      <c r="DU346" s="7">
        <v>0.94340000000000002</v>
      </c>
      <c r="DV346" s="7">
        <v>0.94599999999999995</v>
      </c>
      <c r="DW346" s="7">
        <v>0.94840000000000002</v>
      </c>
      <c r="DX346" s="7">
        <v>0.95089999999999997</v>
      </c>
      <c r="DY346" s="7">
        <v>0.95340000000000003</v>
      </c>
      <c r="DZ346" s="7">
        <v>0.95579999999999998</v>
      </c>
      <c r="EA346" s="7">
        <v>0.95820000000000005</v>
      </c>
      <c r="EB346" s="7">
        <v>0.96060000000000001</v>
      </c>
      <c r="EC346" s="7">
        <v>0.96289999999999998</v>
      </c>
      <c r="ED346" s="7">
        <v>0.96519999999999995</v>
      </c>
      <c r="EE346" s="7">
        <v>0.96750000000000003</v>
      </c>
      <c r="EF346" s="7">
        <v>0.9698</v>
      </c>
      <c r="EG346" s="7">
        <v>0.97209999999999996</v>
      </c>
      <c r="EH346" s="7">
        <v>0.97440000000000004</v>
      </c>
      <c r="EI346" s="7">
        <v>0.97660000000000002</v>
      </c>
      <c r="EJ346" s="7">
        <v>0.9788</v>
      </c>
      <c r="EK346" s="7">
        <v>0.98099999999999998</v>
      </c>
      <c r="EL346" s="7">
        <v>0.98319999999999996</v>
      </c>
      <c r="EM346" s="7">
        <v>0.98529999999999995</v>
      </c>
      <c r="EN346" s="7">
        <v>0.98740000000000006</v>
      </c>
      <c r="EO346" s="7">
        <v>0.98960000000000004</v>
      </c>
      <c r="EP346" s="7">
        <v>0.99170000000000003</v>
      </c>
      <c r="EQ346" s="7">
        <v>0.99380000000000002</v>
      </c>
      <c r="ER346" s="7">
        <v>0.99580000000000002</v>
      </c>
      <c r="ES346" s="7">
        <v>0.99790000000000001</v>
      </c>
      <c r="ET346" s="7">
        <v>1.0009999999999999</v>
      </c>
      <c r="EU346" s="7">
        <v>1.0009999999999999</v>
      </c>
      <c r="EV346" s="7">
        <v>1.0009999999999999</v>
      </c>
      <c r="EW346" s="7">
        <v>1.0009999999999999</v>
      </c>
      <c r="EX346" s="7">
        <v>1.0009999999999999</v>
      </c>
      <c r="EY346" s="7">
        <v>1.0009999999999999</v>
      </c>
      <c r="EZ346" s="7">
        <v>1.0009999999999999</v>
      </c>
      <c r="FA346" s="7">
        <v>1.0009999999999999</v>
      </c>
      <c r="FB346" s="7">
        <v>1.0009999999999999</v>
      </c>
      <c r="FC346" s="7">
        <v>1.0009999999999999</v>
      </c>
      <c r="FE346" s="50">
        <f t="shared" ca="1" si="37"/>
        <v>0.94889938819210762</v>
      </c>
      <c r="FF346" s="50">
        <f t="shared" ca="1" si="38"/>
        <v>0.94736417814802953</v>
      </c>
      <c r="FG346" s="50">
        <f t="shared" ca="1" si="39"/>
        <v>0.94580281879194628</v>
      </c>
      <c r="FH346" s="50">
        <f t="shared" ca="1" si="40"/>
        <v>0.94405785234899331</v>
      </c>
      <c r="FI346" s="50"/>
      <c r="FK346" s="50">
        <f t="shared" ca="1" si="36"/>
        <v>0.94736417814802953</v>
      </c>
      <c r="FL346" s="50"/>
      <c r="FM346" s="50"/>
      <c r="FN346" s="50"/>
    </row>
    <row r="347" spans="49:170" hidden="1">
      <c r="AW347" s="112">
        <v>0.79400000000000004</v>
      </c>
      <c r="AX347" s="7">
        <v>0.60599999999999998</v>
      </c>
      <c r="AY347" s="7">
        <v>0.61399999999999999</v>
      </c>
      <c r="AZ347" s="7">
        <v>0.62180000000000002</v>
      </c>
      <c r="BA347" s="7">
        <v>0.62949999999999995</v>
      </c>
      <c r="BB347" s="7">
        <v>0.63690000000000002</v>
      </c>
      <c r="BC347" s="7">
        <v>0.64429999999999998</v>
      </c>
      <c r="BD347" s="7">
        <v>0.65149999999999997</v>
      </c>
      <c r="BE347" s="7">
        <v>0.65849999999999997</v>
      </c>
      <c r="BF347" s="7">
        <v>0.66539999999999999</v>
      </c>
      <c r="BG347" s="7">
        <v>0.67210000000000003</v>
      </c>
      <c r="BH347" s="7">
        <v>0.67879999999999996</v>
      </c>
      <c r="BI347" s="7">
        <v>0.68530000000000002</v>
      </c>
      <c r="BJ347" s="7">
        <v>0.69159999999999999</v>
      </c>
      <c r="BK347" s="7">
        <v>0.69789999999999996</v>
      </c>
      <c r="BL347" s="7">
        <v>0.70399999999999996</v>
      </c>
      <c r="BM347" s="7">
        <v>0.71</v>
      </c>
      <c r="BN347" s="7">
        <v>0.71589999999999998</v>
      </c>
      <c r="BO347" s="7">
        <v>0.72170000000000001</v>
      </c>
      <c r="BP347" s="7">
        <v>0.72740000000000005</v>
      </c>
      <c r="BQ347" s="7">
        <v>0.73299999999999998</v>
      </c>
      <c r="BR347" s="7">
        <v>0.73850000000000005</v>
      </c>
      <c r="BS347" s="7">
        <v>0.74390000000000001</v>
      </c>
      <c r="BT347" s="7">
        <v>0.74919999999999998</v>
      </c>
      <c r="BU347" s="7">
        <v>0.75439999999999996</v>
      </c>
      <c r="BV347" s="7">
        <v>0.75949999999999995</v>
      </c>
      <c r="BW347" s="7">
        <v>0.76449999999999996</v>
      </c>
      <c r="BX347" s="7">
        <v>0.76949999999999996</v>
      </c>
      <c r="BY347" s="7">
        <v>0.77439999999999998</v>
      </c>
      <c r="BZ347" s="7">
        <v>0.77910000000000001</v>
      </c>
      <c r="CA347" s="7">
        <v>0.78380000000000005</v>
      </c>
      <c r="CB347" s="7">
        <v>0.78849999999999998</v>
      </c>
      <c r="CC347" s="7">
        <v>0.79300000000000004</v>
      </c>
      <c r="CD347" s="7">
        <v>0.79749999999999999</v>
      </c>
      <c r="CE347" s="7">
        <v>0.80189999999999995</v>
      </c>
      <c r="CF347" s="7">
        <v>0.80630000000000002</v>
      </c>
      <c r="CG347" s="7">
        <v>0.8105</v>
      </c>
      <c r="CH347" s="7">
        <v>0.81469999999999998</v>
      </c>
      <c r="CI347" s="7">
        <v>0.81889999999999996</v>
      </c>
      <c r="CJ347" s="7">
        <v>0.82299999999999995</v>
      </c>
      <c r="CK347" s="7">
        <v>0.82699999999999996</v>
      </c>
      <c r="CL347" s="7">
        <v>0.83089999999999997</v>
      </c>
      <c r="CM347" s="7">
        <v>0.83479999999999999</v>
      </c>
      <c r="CN347" s="7">
        <v>0.8387</v>
      </c>
      <c r="CO347" s="7">
        <v>0.84250000000000003</v>
      </c>
      <c r="CP347" s="7">
        <v>0.84619999999999995</v>
      </c>
      <c r="CQ347" s="7">
        <v>0.84989999999999999</v>
      </c>
      <c r="CR347" s="7">
        <v>0.85350000000000004</v>
      </c>
      <c r="CS347" s="7">
        <v>0.85709999999999997</v>
      </c>
      <c r="CT347" s="7">
        <v>0.86060000000000003</v>
      </c>
      <c r="CU347" s="7">
        <v>0.86409999999999998</v>
      </c>
      <c r="CV347" s="7">
        <v>0.86750000000000005</v>
      </c>
      <c r="CW347" s="7">
        <v>0.87090000000000001</v>
      </c>
      <c r="CX347" s="7">
        <v>0.87429999999999997</v>
      </c>
      <c r="CY347" s="7">
        <v>0.87760000000000005</v>
      </c>
      <c r="CZ347" s="7">
        <v>0.88080000000000003</v>
      </c>
      <c r="DA347" s="7">
        <v>0.88400000000000001</v>
      </c>
      <c r="DB347" s="7">
        <v>0.88719999999999999</v>
      </c>
      <c r="DC347" s="7">
        <v>0.89039999999999997</v>
      </c>
      <c r="DD347" s="7">
        <v>0.89339999999999997</v>
      </c>
      <c r="DE347" s="7">
        <v>0.89649999999999996</v>
      </c>
      <c r="DF347" s="7">
        <v>0.89949999999999997</v>
      </c>
      <c r="DG347" s="7">
        <v>0.90249999999999997</v>
      </c>
      <c r="DH347" s="7">
        <v>0.90539999999999998</v>
      </c>
      <c r="DI347" s="7">
        <v>0.9083</v>
      </c>
      <c r="DJ347" s="7">
        <v>0.91120000000000001</v>
      </c>
      <c r="DK347" s="7">
        <v>0.91410000000000002</v>
      </c>
      <c r="DL347" s="7">
        <v>0.91690000000000005</v>
      </c>
      <c r="DM347" s="7">
        <v>0.91959999999999997</v>
      </c>
      <c r="DN347" s="7">
        <v>0.9224</v>
      </c>
      <c r="DO347" s="7">
        <v>0.92510000000000003</v>
      </c>
      <c r="DP347" s="7">
        <v>0.92779999999999996</v>
      </c>
      <c r="DQ347" s="7">
        <v>0.9304</v>
      </c>
      <c r="DR347" s="7">
        <v>0.93310000000000004</v>
      </c>
      <c r="DS347" s="7">
        <v>0.93559999999999999</v>
      </c>
      <c r="DT347" s="7">
        <v>0.93820000000000003</v>
      </c>
      <c r="DU347" s="7">
        <v>0.94079999999999997</v>
      </c>
      <c r="DV347" s="7">
        <v>0.94330000000000003</v>
      </c>
      <c r="DW347" s="7">
        <v>0.94579999999999997</v>
      </c>
      <c r="DX347" s="7">
        <v>0.94820000000000004</v>
      </c>
      <c r="DY347" s="7">
        <v>0.95069999999999999</v>
      </c>
      <c r="DZ347" s="7">
        <v>0.95309999999999995</v>
      </c>
      <c r="EA347" s="7">
        <v>0.95550000000000002</v>
      </c>
      <c r="EB347" s="7">
        <v>0.95779999999999998</v>
      </c>
      <c r="EC347" s="7">
        <v>0.96020000000000005</v>
      </c>
      <c r="ED347" s="7">
        <v>0.96250000000000002</v>
      </c>
      <c r="EE347" s="7">
        <v>0.96479999999999999</v>
      </c>
      <c r="EF347" s="7">
        <v>0.96709999999999996</v>
      </c>
      <c r="EG347" s="7">
        <v>0.96930000000000005</v>
      </c>
      <c r="EH347" s="7">
        <v>0.97160000000000002</v>
      </c>
      <c r="EI347" s="7">
        <v>0.9738</v>
      </c>
      <c r="EJ347" s="7">
        <v>0.97599999999999998</v>
      </c>
      <c r="EK347" s="7">
        <v>0.97819999999999996</v>
      </c>
      <c r="EL347" s="7">
        <v>0.98040000000000005</v>
      </c>
      <c r="EM347" s="7">
        <v>0.98250000000000004</v>
      </c>
      <c r="EN347" s="7">
        <v>0.98460000000000003</v>
      </c>
      <c r="EO347" s="7">
        <v>0.98680000000000001</v>
      </c>
      <c r="EP347" s="7">
        <v>0.9889</v>
      </c>
      <c r="EQ347" s="7">
        <v>0.9909</v>
      </c>
      <c r="ER347" s="7">
        <v>0.99299999999999999</v>
      </c>
      <c r="ES347" s="7">
        <v>0.99509999999999998</v>
      </c>
      <c r="ET347" s="7">
        <v>0.997</v>
      </c>
      <c r="EU347" s="7">
        <v>0.999</v>
      </c>
      <c r="EV347" s="7">
        <v>1.0009999999999999</v>
      </c>
      <c r="EW347" s="7">
        <v>1.0009999999999999</v>
      </c>
      <c r="EX347" s="7">
        <v>1.0009999999999999</v>
      </c>
      <c r="EY347" s="7">
        <v>1.0009999999999999</v>
      </c>
      <c r="EZ347" s="7">
        <v>1.0009999999999999</v>
      </c>
      <c r="FA347" s="7">
        <v>1.0009999999999999</v>
      </c>
      <c r="FB347" s="7">
        <v>1.0009999999999999</v>
      </c>
      <c r="FC347" s="7">
        <v>1.0009999999999999</v>
      </c>
      <c r="FE347" s="50">
        <f t="shared" ca="1" si="37"/>
        <v>0.94627941266442339</v>
      </c>
      <c r="FF347" s="50">
        <f t="shared" ca="1" si="38"/>
        <v>0.94472101890419735</v>
      </c>
      <c r="FG347" s="50">
        <f t="shared" ca="1" si="39"/>
        <v>0.94311040268456392</v>
      </c>
      <c r="FH347" s="50">
        <f t="shared" ca="1" si="40"/>
        <v>0.94143255033557049</v>
      </c>
      <c r="FI347" s="50"/>
      <c r="FK347" s="50">
        <f t="shared" ca="1" si="36"/>
        <v>0.94472101890419735</v>
      </c>
      <c r="FL347" s="50"/>
      <c r="FM347" s="50"/>
      <c r="FN347" s="50"/>
    </row>
    <row r="348" spans="49:170" hidden="1">
      <c r="AW348" s="112">
        <v>0.85099999999999998</v>
      </c>
      <c r="AX348" s="7">
        <v>0.60429999999999995</v>
      </c>
      <c r="AY348" s="7">
        <v>0.61229999999999996</v>
      </c>
      <c r="AZ348" s="7">
        <v>0.62009999999999998</v>
      </c>
      <c r="BA348" s="7">
        <v>0.62770000000000004</v>
      </c>
      <c r="BB348" s="7">
        <v>0.63519999999999999</v>
      </c>
      <c r="BC348" s="7">
        <v>0.64249999999999996</v>
      </c>
      <c r="BD348" s="7">
        <v>0.64959999999999996</v>
      </c>
      <c r="BE348" s="7">
        <v>0.65659999999999996</v>
      </c>
      <c r="BF348" s="7">
        <v>0.66349999999999998</v>
      </c>
      <c r="BG348" s="7">
        <v>0.67030000000000001</v>
      </c>
      <c r="BH348" s="7">
        <v>0.67689999999999995</v>
      </c>
      <c r="BI348" s="7">
        <v>0.68330000000000002</v>
      </c>
      <c r="BJ348" s="7">
        <v>0.68969999999999998</v>
      </c>
      <c r="BK348" s="7">
        <v>0.69589999999999996</v>
      </c>
      <c r="BL348" s="7">
        <v>0.70199999999999996</v>
      </c>
      <c r="BM348" s="7">
        <v>0.70799999999999996</v>
      </c>
      <c r="BN348" s="7">
        <v>0.71389999999999998</v>
      </c>
      <c r="BO348" s="7">
        <v>0.71970000000000001</v>
      </c>
      <c r="BP348" s="7">
        <v>0.72540000000000004</v>
      </c>
      <c r="BQ348" s="7">
        <v>0.73099999999999998</v>
      </c>
      <c r="BR348" s="7">
        <v>0.73640000000000005</v>
      </c>
      <c r="BS348" s="7">
        <v>0.74180000000000001</v>
      </c>
      <c r="BT348" s="7">
        <v>0.74709999999999999</v>
      </c>
      <c r="BU348" s="7">
        <v>0.75229999999999997</v>
      </c>
      <c r="BV348" s="7">
        <v>0.75739999999999996</v>
      </c>
      <c r="BW348" s="7">
        <v>0.76239999999999997</v>
      </c>
      <c r="BX348" s="7">
        <v>0.76729999999999998</v>
      </c>
      <c r="BY348" s="7">
        <v>0.7722</v>
      </c>
      <c r="BZ348" s="7">
        <v>0.77700000000000002</v>
      </c>
      <c r="CA348" s="7">
        <v>0.78159999999999996</v>
      </c>
      <c r="CB348" s="7">
        <v>0.7863</v>
      </c>
      <c r="CC348" s="7">
        <v>0.79079999999999995</v>
      </c>
      <c r="CD348" s="7">
        <v>0.79530000000000001</v>
      </c>
      <c r="CE348" s="7">
        <v>0.79969999999999997</v>
      </c>
      <c r="CF348" s="7">
        <v>0.80400000000000005</v>
      </c>
      <c r="CG348" s="7">
        <v>0.80830000000000002</v>
      </c>
      <c r="CH348" s="7">
        <v>0.8125</v>
      </c>
      <c r="CI348" s="7">
        <v>0.81659999999999999</v>
      </c>
      <c r="CJ348" s="7">
        <v>0.82069999999999999</v>
      </c>
      <c r="CK348" s="7">
        <v>0.82469999999999999</v>
      </c>
      <c r="CL348" s="7">
        <v>0.8286</v>
      </c>
      <c r="CM348" s="7">
        <v>0.83250000000000002</v>
      </c>
      <c r="CN348" s="7">
        <v>0.83630000000000004</v>
      </c>
      <c r="CO348" s="7">
        <v>0.84009999999999996</v>
      </c>
      <c r="CP348" s="7">
        <v>0.84379999999999999</v>
      </c>
      <c r="CQ348" s="7">
        <v>0.84750000000000003</v>
      </c>
      <c r="CR348" s="7">
        <v>0.85109999999999997</v>
      </c>
      <c r="CS348" s="7">
        <v>0.85470000000000002</v>
      </c>
      <c r="CT348" s="7">
        <v>0.85819999999999996</v>
      </c>
      <c r="CU348" s="7">
        <v>0.86170000000000002</v>
      </c>
      <c r="CV348" s="7">
        <v>0.86509999999999998</v>
      </c>
      <c r="CW348" s="7">
        <v>0.86850000000000005</v>
      </c>
      <c r="CX348" s="7">
        <v>0.87180000000000002</v>
      </c>
      <c r="CY348" s="7">
        <v>0.87509999999999999</v>
      </c>
      <c r="CZ348" s="7">
        <v>0.87839999999999996</v>
      </c>
      <c r="DA348" s="7">
        <v>0.88160000000000005</v>
      </c>
      <c r="DB348" s="7">
        <v>0.88470000000000004</v>
      </c>
      <c r="DC348" s="7">
        <v>0.88790000000000002</v>
      </c>
      <c r="DD348" s="7">
        <v>0.89090000000000003</v>
      </c>
      <c r="DE348" s="7">
        <v>0.89400000000000002</v>
      </c>
      <c r="DF348" s="7">
        <v>0.89700000000000002</v>
      </c>
      <c r="DG348" s="7">
        <v>0.9</v>
      </c>
      <c r="DH348" s="7">
        <v>0.90290000000000004</v>
      </c>
      <c r="DI348" s="7">
        <v>0.90580000000000005</v>
      </c>
      <c r="DJ348" s="7">
        <v>0.90869999999999995</v>
      </c>
      <c r="DK348" s="7">
        <v>0.91149999999999998</v>
      </c>
      <c r="DL348" s="7">
        <v>0.9143</v>
      </c>
      <c r="DM348" s="7">
        <v>0.91710000000000003</v>
      </c>
      <c r="DN348" s="7">
        <v>0.91979999999999995</v>
      </c>
      <c r="DO348" s="7">
        <v>0.92249999999999999</v>
      </c>
      <c r="DP348" s="7">
        <v>0.92520000000000002</v>
      </c>
      <c r="DQ348" s="7">
        <v>0.92779999999999996</v>
      </c>
      <c r="DR348" s="7">
        <v>0.9304</v>
      </c>
      <c r="DS348" s="7">
        <v>0.93300000000000005</v>
      </c>
      <c r="DT348" s="7">
        <v>0.93559999999999999</v>
      </c>
      <c r="DU348" s="7">
        <v>0.93810000000000004</v>
      </c>
      <c r="DV348" s="7">
        <v>0.94059999999999999</v>
      </c>
      <c r="DW348" s="7">
        <v>0.94310000000000005</v>
      </c>
      <c r="DX348" s="7">
        <v>0.9456</v>
      </c>
      <c r="DY348" s="7">
        <v>0.94799999999999995</v>
      </c>
      <c r="DZ348" s="7">
        <v>0.95040000000000002</v>
      </c>
      <c r="EA348" s="7">
        <v>0.95279999999999998</v>
      </c>
      <c r="EB348" s="7">
        <v>0.95520000000000005</v>
      </c>
      <c r="EC348" s="7">
        <v>0.95750000000000002</v>
      </c>
      <c r="ED348" s="7">
        <v>0.95979999999999999</v>
      </c>
      <c r="EE348" s="7">
        <v>0.96209999999999996</v>
      </c>
      <c r="EF348" s="7">
        <v>0.96440000000000003</v>
      </c>
      <c r="EG348" s="7">
        <v>0.96660000000000001</v>
      </c>
      <c r="EH348" s="7">
        <v>0.96889999999999998</v>
      </c>
      <c r="EI348" s="7">
        <v>0.97109999999999996</v>
      </c>
      <c r="EJ348" s="7">
        <v>0.97330000000000005</v>
      </c>
      <c r="EK348" s="7">
        <v>0.97550000000000003</v>
      </c>
      <c r="EL348" s="7">
        <v>0.97760000000000002</v>
      </c>
      <c r="EM348" s="7">
        <v>0.9798</v>
      </c>
      <c r="EN348" s="7">
        <v>0.9819</v>
      </c>
      <c r="EO348" s="7">
        <v>0.98399999999999999</v>
      </c>
      <c r="EP348" s="7">
        <v>0.98609999999999998</v>
      </c>
      <c r="EQ348" s="7">
        <v>0.98819999999999997</v>
      </c>
      <c r="ER348" s="7">
        <v>0.99019999999999997</v>
      </c>
      <c r="ES348" s="7">
        <v>0.99229999999999996</v>
      </c>
      <c r="ET348" s="7">
        <v>0.99399999999999999</v>
      </c>
      <c r="EU348" s="7">
        <v>0.996</v>
      </c>
      <c r="EV348" s="7">
        <v>0.998</v>
      </c>
      <c r="EW348" s="7">
        <v>1.0009999999999999</v>
      </c>
      <c r="EX348" s="7">
        <v>1.0009999999999999</v>
      </c>
      <c r="EY348" s="7">
        <v>1.0009999999999999</v>
      </c>
      <c r="EZ348" s="7">
        <v>1.0009999999999999</v>
      </c>
      <c r="FA348" s="7">
        <v>1.0009999999999999</v>
      </c>
      <c r="FB348" s="7">
        <v>1.0009999999999999</v>
      </c>
      <c r="FC348" s="7">
        <v>1.0009999999999999</v>
      </c>
      <c r="FE348" s="50">
        <f t="shared" ca="1" si="37"/>
        <v>0.94359938819210765</v>
      </c>
      <c r="FF348" s="50">
        <f t="shared" ca="1" si="38"/>
        <v>0.94202101890419743</v>
      </c>
      <c r="FG348" s="50">
        <f t="shared" ca="1" si="39"/>
        <v>0.94041040268456366</v>
      </c>
      <c r="FH348" s="50">
        <f t="shared" ca="1" si="40"/>
        <v>0.93873255033557046</v>
      </c>
      <c r="FI348" s="50"/>
      <c r="FK348" s="50">
        <f t="shared" ca="1" si="36"/>
        <v>0.94202101890419743</v>
      </c>
      <c r="FL348" s="50"/>
      <c r="FM348" s="50"/>
      <c r="FN348" s="50"/>
    </row>
    <row r="349" spans="49:170" hidden="1">
      <c r="AW349" s="112">
        <v>0.91200000000000003</v>
      </c>
      <c r="AX349" s="7">
        <v>0.60270000000000001</v>
      </c>
      <c r="AY349" s="7">
        <v>0.61060000000000003</v>
      </c>
      <c r="AZ349" s="7">
        <v>0.61839999999999995</v>
      </c>
      <c r="BA349" s="7">
        <v>0.626</v>
      </c>
      <c r="BB349" s="7">
        <v>0.63339999999999996</v>
      </c>
      <c r="BC349" s="7">
        <v>0.64070000000000005</v>
      </c>
      <c r="BD349" s="7">
        <v>0.64780000000000004</v>
      </c>
      <c r="BE349" s="7">
        <v>0.65480000000000005</v>
      </c>
      <c r="BF349" s="7">
        <v>0.66169999999999995</v>
      </c>
      <c r="BG349" s="7">
        <v>0.66839999999999999</v>
      </c>
      <c r="BH349" s="7">
        <v>0.67500000000000004</v>
      </c>
      <c r="BI349" s="7">
        <v>0.68149999999999999</v>
      </c>
      <c r="BJ349" s="7">
        <v>0.68779999999999997</v>
      </c>
      <c r="BK349" s="7">
        <v>0.69399999999999995</v>
      </c>
      <c r="BL349" s="7">
        <v>0.70009999999999994</v>
      </c>
      <c r="BM349" s="7">
        <v>0.70609999999999995</v>
      </c>
      <c r="BN349" s="7">
        <v>0.71199999999999997</v>
      </c>
      <c r="BO349" s="7">
        <v>0.7177</v>
      </c>
      <c r="BP349" s="7">
        <v>0.72340000000000004</v>
      </c>
      <c r="BQ349" s="7">
        <v>0.72889999999999999</v>
      </c>
      <c r="BR349" s="7">
        <v>0.73440000000000005</v>
      </c>
      <c r="BS349" s="7">
        <v>0.73980000000000001</v>
      </c>
      <c r="BT349" s="7">
        <v>0.745</v>
      </c>
      <c r="BU349" s="7">
        <v>0.75019999999999998</v>
      </c>
      <c r="BV349" s="7">
        <v>0.75529999999999997</v>
      </c>
      <c r="BW349" s="7">
        <v>0.76029999999999998</v>
      </c>
      <c r="BX349" s="7">
        <v>0.76519999999999999</v>
      </c>
      <c r="BY349" s="7">
        <v>0.77010000000000001</v>
      </c>
      <c r="BZ349" s="7">
        <v>0.77480000000000004</v>
      </c>
      <c r="CA349" s="7">
        <v>0.77949999999999997</v>
      </c>
      <c r="CB349" s="7">
        <v>0.78410000000000002</v>
      </c>
      <c r="CC349" s="7">
        <v>0.78859999999999997</v>
      </c>
      <c r="CD349" s="7">
        <v>0.79310000000000003</v>
      </c>
      <c r="CE349" s="7">
        <v>0.79749999999999999</v>
      </c>
      <c r="CF349" s="7">
        <v>0.80179999999999996</v>
      </c>
      <c r="CG349" s="7">
        <v>0.80600000000000005</v>
      </c>
      <c r="CH349" s="7">
        <v>0.81020000000000003</v>
      </c>
      <c r="CI349" s="7">
        <v>0.81430000000000002</v>
      </c>
      <c r="CJ349" s="7">
        <v>0.81840000000000002</v>
      </c>
      <c r="CK349" s="7">
        <v>0.82240000000000002</v>
      </c>
      <c r="CL349" s="7">
        <v>0.82630000000000003</v>
      </c>
      <c r="CM349" s="7">
        <v>0.83020000000000005</v>
      </c>
      <c r="CN349" s="7">
        <v>0.83399999999999996</v>
      </c>
      <c r="CO349" s="7">
        <v>0.83779999999999999</v>
      </c>
      <c r="CP349" s="7">
        <v>0.84150000000000003</v>
      </c>
      <c r="CQ349" s="7">
        <v>0.84519999999999995</v>
      </c>
      <c r="CR349" s="7">
        <v>0.8488</v>
      </c>
      <c r="CS349" s="7">
        <v>0.85229999999999995</v>
      </c>
      <c r="CT349" s="7">
        <v>0.85589999999999999</v>
      </c>
      <c r="CU349" s="7">
        <v>0.85929999999999995</v>
      </c>
      <c r="CV349" s="7">
        <v>0.86270000000000002</v>
      </c>
      <c r="CW349" s="7">
        <v>0.86609999999999998</v>
      </c>
      <c r="CX349" s="7">
        <v>0.86939999999999995</v>
      </c>
      <c r="CY349" s="7">
        <v>0.87270000000000003</v>
      </c>
      <c r="CZ349" s="7">
        <v>0.87590000000000001</v>
      </c>
      <c r="DA349" s="7">
        <v>0.87909999999999999</v>
      </c>
      <c r="DB349" s="7">
        <v>0.88229999999999997</v>
      </c>
      <c r="DC349" s="7">
        <v>0.88539999999999996</v>
      </c>
      <c r="DD349" s="7">
        <v>0.88849999999999996</v>
      </c>
      <c r="DE349" s="7">
        <v>0.89149999999999996</v>
      </c>
      <c r="DF349" s="7">
        <v>0.89449999999999996</v>
      </c>
      <c r="DG349" s="7">
        <v>0.89749999999999996</v>
      </c>
      <c r="DH349" s="7">
        <v>0.90039999999999998</v>
      </c>
      <c r="DI349" s="7">
        <v>0.90329999999999999</v>
      </c>
      <c r="DJ349" s="7">
        <v>0.90620000000000001</v>
      </c>
      <c r="DK349" s="7">
        <v>0.90900000000000003</v>
      </c>
      <c r="DL349" s="7">
        <v>0.91180000000000005</v>
      </c>
      <c r="DM349" s="7">
        <v>0.91449999999999998</v>
      </c>
      <c r="DN349" s="7">
        <v>0.9173</v>
      </c>
      <c r="DO349" s="7">
        <v>0.92</v>
      </c>
      <c r="DP349" s="7">
        <v>0.92259999999999998</v>
      </c>
      <c r="DQ349" s="7">
        <v>0.92530000000000001</v>
      </c>
      <c r="DR349" s="7">
        <v>0.92789999999999995</v>
      </c>
      <c r="DS349" s="7">
        <v>0.93049999999999999</v>
      </c>
      <c r="DT349" s="7">
        <v>0.93300000000000005</v>
      </c>
      <c r="DU349" s="7">
        <v>0.9355</v>
      </c>
      <c r="DV349" s="7">
        <v>0.93799999999999994</v>
      </c>
      <c r="DW349" s="7">
        <v>0.9405</v>
      </c>
      <c r="DX349" s="7">
        <v>0.94299999999999995</v>
      </c>
      <c r="DY349" s="7">
        <v>0.94540000000000002</v>
      </c>
      <c r="DZ349" s="7">
        <v>0.94779999999999998</v>
      </c>
      <c r="EA349" s="7">
        <v>0.95020000000000004</v>
      </c>
      <c r="EB349" s="7">
        <v>0.95250000000000001</v>
      </c>
      <c r="EC349" s="7">
        <v>0.95489999999999997</v>
      </c>
      <c r="ED349" s="7">
        <v>0.95720000000000005</v>
      </c>
      <c r="EE349" s="7">
        <v>0.95950000000000002</v>
      </c>
      <c r="EF349" s="7">
        <v>0.9617</v>
      </c>
      <c r="EG349" s="7">
        <v>0.96399999999999997</v>
      </c>
      <c r="EH349" s="7">
        <v>0.96619999999999995</v>
      </c>
      <c r="EI349" s="7">
        <v>0.96840000000000004</v>
      </c>
      <c r="EJ349" s="7">
        <v>0.97060000000000002</v>
      </c>
      <c r="EK349" s="7">
        <v>0.9728</v>
      </c>
      <c r="EL349" s="7">
        <v>0.97489999999999999</v>
      </c>
      <c r="EM349" s="7">
        <v>0.97709999999999997</v>
      </c>
      <c r="EN349" s="7">
        <v>0.97919999999999996</v>
      </c>
      <c r="EO349" s="7">
        <v>0.98129999999999995</v>
      </c>
      <c r="EP349" s="7">
        <v>0.98340000000000005</v>
      </c>
      <c r="EQ349" s="7">
        <v>0.98540000000000005</v>
      </c>
      <c r="ER349" s="7">
        <v>0.98750000000000004</v>
      </c>
      <c r="ES349" s="7">
        <v>0.98960000000000004</v>
      </c>
      <c r="ET349" s="7">
        <v>0.99199999999999999</v>
      </c>
      <c r="EU349" s="7">
        <v>0.99399999999999999</v>
      </c>
      <c r="EV349" s="7">
        <v>0.996</v>
      </c>
      <c r="EW349" s="7">
        <v>0.998</v>
      </c>
      <c r="EX349" s="7">
        <v>1.0009999999999999</v>
      </c>
      <c r="EY349" s="7">
        <v>1.0009999999999999</v>
      </c>
      <c r="EZ349" s="7">
        <v>1.0009999999999999</v>
      </c>
      <c r="FA349" s="7">
        <v>1.0009999999999999</v>
      </c>
      <c r="FB349" s="7">
        <v>1.0009999999999999</v>
      </c>
      <c r="FC349" s="7">
        <v>1.0009999999999999</v>
      </c>
      <c r="FE349" s="50">
        <f t="shared" ca="1" si="37"/>
        <v>0.9409993881921076</v>
      </c>
      <c r="FF349" s="50">
        <f t="shared" ca="1" si="38"/>
        <v>0.93942101890419727</v>
      </c>
      <c r="FG349" s="50">
        <f t="shared" ca="1" si="39"/>
        <v>0.93781040268456362</v>
      </c>
      <c r="FH349" s="50">
        <f t="shared" ca="1" si="40"/>
        <v>0.93613255033557041</v>
      </c>
      <c r="FI349" s="50"/>
      <c r="FK349" s="50">
        <f t="shared" ref="FK349:FK380" ca="1" si="41">FORECAST(AN$22,OFFSET($AX349,0,MATCH(AN$22,$AX$316:$FC$316,1)-1,1,2),OFFSET($AX$316,0,MATCH(AN$22,$AX$316:$FC$316,1)-1,1,2))</f>
        <v>0.93942101890419727</v>
      </c>
      <c r="FL349" s="50"/>
      <c r="FM349" s="50"/>
      <c r="FN349" s="50"/>
    </row>
    <row r="350" spans="49:170" hidden="1">
      <c r="AW350" s="112">
        <v>0.97699999999999998</v>
      </c>
      <c r="AX350" s="7">
        <v>0.60099999999999998</v>
      </c>
      <c r="AY350" s="7">
        <v>0.6089</v>
      </c>
      <c r="AZ350" s="7">
        <v>0.61670000000000003</v>
      </c>
      <c r="BA350" s="7">
        <v>0.62429999999999997</v>
      </c>
      <c r="BB350" s="7">
        <v>0.63170000000000004</v>
      </c>
      <c r="BC350" s="7">
        <v>0.63900000000000001</v>
      </c>
      <c r="BD350" s="7">
        <v>0.64610000000000001</v>
      </c>
      <c r="BE350" s="7">
        <v>0.65310000000000001</v>
      </c>
      <c r="BF350" s="7">
        <v>0.65990000000000004</v>
      </c>
      <c r="BG350" s="7">
        <v>0.66659999999999997</v>
      </c>
      <c r="BH350" s="7">
        <v>0.67320000000000002</v>
      </c>
      <c r="BI350" s="7">
        <v>0.67959999999999998</v>
      </c>
      <c r="BJ350" s="7">
        <v>0.68589999999999995</v>
      </c>
      <c r="BK350" s="7">
        <v>0.69210000000000005</v>
      </c>
      <c r="BL350" s="7">
        <v>0.69820000000000004</v>
      </c>
      <c r="BM350" s="7">
        <v>0.70420000000000005</v>
      </c>
      <c r="BN350" s="7">
        <v>0.71</v>
      </c>
      <c r="BO350" s="7">
        <v>0.71579999999999999</v>
      </c>
      <c r="BP350" s="7">
        <v>0.72140000000000004</v>
      </c>
      <c r="BQ350" s="7">
        <v>0.72699999999999998</v>
      </c>
      <c r="BR350" s="7">
        <v>0.73240000000000005</v>
      </c>
      <c r="BS350" s="7">
        <v>0.73780000000000001</v>
      </c>
      <c r="BT350" s="7">
        <v>0.74299999999999999</v>
      </c>
      <c r="BU350" s="7">
        <v>0.74819999999999998</v>
      </c>
      <c r="BV350" s="7">
        <v>0.75319999999999998</v>
      </c>
      <c r="BW350" s="7">
        <v>0.75819999999999999</v>
      </c>
      <c r="BX350" s="7">
        <v>0.7631</v>
      </c>
      <c r="BY350" s="7">
        <v>0.76800000000000002</v>
      </c>
      <c r="BZ350" s="7">
        <v>0.77270000000000005</v>
      </c>
      <c r="CA350" s="7">
        <v>0.77739999999999998</v>
      </c>
      <c r="CB350" s="7">
        <v>0.78200000000000003</v>
      </c>
      <c r="CC350" s="7">
        <v>0.78649999999999998</v>
      </c>
      <c r="CD350" s="7">
        <v>0.79090000000000005</v>
      </c>
      <c r="CE350" s="7">
        <v>0.79530000000000001</v>
      </c>
      <c r="CF350" s="7">
        <v>0.79959999999999998</v>
      </c>
      <c r="CG350" s="7">
        <v>0.80379999999999996</v>
      </c>
      <c r="CH350" s="7">
        <v>0.80800000000000005</v>
      </c>
      <c r="CI350" s="7">
        <v>0.81210000000000004</v>
      </c>
      <c r="CJ350" s="7">
        <v>0.81620000000000004</v>
      </c>
      <c r="CK350" s="7">
        <v>0.82020000000000004</v>
      </c>
      <c r="CL350" s="7">
        <v>0.82410000000000005</v>
      </c>
      <c r="CM350" s="7">
        <v>0.82799999999999996</v>
      </c>
      <c r="CN350" s="7">
        <v>0.83179999999999998</v>
      </c>
      <c r="CO350" s="7">
        <v>0.83550000000000002</v>
      </c>
      <c r="CP350" s="7">
        <v>0.83919999999999995</v>
      </c>
      <c r="CQ350" s="7">
        <v>0.84289999999999998</v>
      </c>
      <c r="CR350" s="7">
        <v>0.84650000000000003</v>
      </c>
      <c r="CS350" s="7">
        <v>0.85</v>
      </c>
      <c r="CT350" s="7">
        <v>0.85350000000000004</v>
      </c>
      <c r="CU350" s="7">
        <v>0.85699999999999998</v>
      </c>
      <c r="CV350" s="7">
        <v>0.86040000000000005</v>
      </c>
      <c r="CW350" s="7">
        <v>0.86370000000000002</v>
      </c>
      <c r="CX350" s="7">
        <v>0.86709999999999998</v>
      </c>
      <c r="CY350" s="7">
        <v>0.87029999999999996</v>
      </c>
      <c r="CZ350" s="7">
        <v>0.87360000000000004</v>
      </c>
      <c r="DA350" s="7">
        <v>0.87680000000000002</v>
      </c>
      <c r="DB350" s="7">
        <v>0.87990000000000002</v>
      </c>
      <c r="DC350" s="7">
        <v>0.88300000000000001</v>
      </c>
      <c r="DD350" s="7">
        <v>0.8861</v>
      </c>
      <c r="DE350" s="7">
        <v>0.8891</v>
      </c>
      <c r="DF350" s="7">
        <v>0.8921</v>
      </c>
      <c r="DG350" s="7">
        <v>0.89500000000000002</v>
      </c>
      <c r="DH350" s="7">
        <v>0.89800000000000002</v>
      </c>
      <c r="DI350" s="7">
        <v>0.90080000000000005</v>
      </c>
      <c r="DJ350" s="7">
        <v>0.90369999999999995</v>
      </c>
      <c r="DK350" s="7">
        <v>0.90649999999999997</v>
      </c>
      <c r="DL350" s="7">
        <v>0.9093</v>
      </c>
      <c r="DM350" s="7">
        <v>0.91200000000000003</v>
      </c>
      <c r="DN350" s="7">
        <v>0.91479999999999995</v>
      </c>
      <c r="DO350" s="7">
        <v>0.91749999999999998</v>
      </c>
      <c r="DP350" s="7">
        <v>0.92010000000000003</v>
      </c>
      <c r="DQ350" s="7">
        <v>0.92269999999999996</v>
      </c>
      <c r="DR350" s="7">
        <v>0.9254</v>
      </c>
      <c r="DS350" s="7">
        <v>0.92789999999999995</v>
      </c>
      <c r="DT350" s="7">
        <v>0.93049999999999999</v>
      </c>
      <c r="DU350" s="7">
        <v>0.93300000000000005</v>
      </c>
      <c r="DV350" s="7">
        <v>0.9355</v>
      </c>
      <c r="DW350" s="7">
        <v>0.93799999999999994</v>
      </c>
      <c r="DX350" s="7">
        <v>0.94040000000000001</v>
      </c>
      <c r="DY350" s="7">
        <v>0.94279999999999997</v>
      </c>
      <c r="DZ350" s="7">
        <v>0.94520000000000004</v>
      </c>
      <c r="EA350" s="7">
        <v>0.9476</v>
      </c>
      <c r="EB350" s="7">
        <v>0.94989999999999997</v>
      </c>
      <c r="EC350" s="7">
        <v>0.95230000000000004</v>
      </c>
      <c r="ED350" s="7">
        <v>0.9546</v>
      </c>
      <c r="EE350" s="7">
        <v>0.95679999999999998</v>
      </c>
      <c r="EF350" s="7">
        <v>0.95909999999999995</v>
      </c>
      <c r="EG350" s="7">
        <v>0.96130000000000004</v>
      </c>
      <c r="EH350" s="7">
        <v>0.96360000000000001</v>
      </c>
      <c r="EI350" s="7">
        <v>0.96579999999999999</v>
      </c>
      <c r="EJ350" s="7">
        <v>0.96799999999999997</v>
      </c>
      <c r="EK350" s="7">
        <v>0.97009999999999996</v>
      </c>
      <c r="EL350" s="7">
        <v>0.97230000000000005</v>
      </c>
      <c r="EM350" s="7">
        <v>0.97440000000000004</v>
      </c>
      <c r="EN350" s="7">
        <v>0.97650000000000003</v>
      </c>
      <c r="EO350" s="7">
        <v>0.97860000000000003</v>
      </c>
      <c r="EP350" s="7">
        <v>0.98070000000000002</v>
      </c>
      <c r="EQ350" s="7">
        <v>0.98280000000000001</v>
      </c>
      <c r="ER350" s="7">
        <v>0.98480000000000001</v>
      </c>
      <c r="ES350" s="7">
        <v>0.9869</v>
      </c>
      <c r="ET350" s="7">
        <v>0.98899999999999999</v>
      </c>
      <c r="EU350" s="7">
        <v>0.99099999999999999</v>
      </c>
      <c r="EV350" s="7">
        <v>0.99299999999999999</v>
      </c>
      <c r="EW350" s="7">
        <v>0.995</v>
      </c>
      <c r="EX350" s="7">
        <v>0.997</v>
      </c>
      <c r="EY350" s="7">
        <v>0.999</v>
      </c>
      <c r="EZ350" s="7">
        <v>1.0009999999999999</v>
      </c>
      <c r="FA350" s="7">
        <v>1.0009999999999999</v>
      </c>
      <c r="FB350" s="7">
        <v>1.0009999999999999</v>
      </c>
      <c r="FC350" s="7">
        <v>1.0009999999999999</v>
      </c>
      <c r="FE350" s="50">
        <f t="shared" ca="1" si="37"/>
        <v>0.93847941266442336</v>
      </c>
      <c r="FF350" s="50">
        <f t="shared" ca="1" si="38"/>
        <v>0.93692101890419732</v>
      </c>
      <c r="FG350" s="50">
        <f t="shared" ca="1" si="39"/>
        <v>0.93531040268456367</v>
      </c>
      <c r="FH350" s="50">
        <f t="shared" ca="1" si="40"/>
        <v>0.93363255033557047</v>
      </c>
      <c r="FI350" s="50"/>
      <c r="FK350" s="50">
        <f t="shared" ca="1" si="41"/>
        <v>0.93692101890419732</v>
      </c>
      <c r="FL350" s="50"/>
      <c r="FM350" s="50"/>
      <c r="FN350" s="50"/>
    </row>
    <row r="351" spans="49:170" hidden="1">
      <c r="AW351" s="112">
        <v>1.0469999999999999</v>
      </c>
      <c r="AX351" s="7">
        <v>0.59940000000000004</v>
      </c>
      <c r="AY351" s="7">
        <v>0.60729999999999995</v>
      </c>
      <c r="AZ351" s="7">
        <v>0.61499999999999999</v>
      </c>
      <c r="BA351" s="7">
        <v>0.62260000000000004</v>
      </c>
      <c r="BB351" s="7">
        <v>0.63</v>
      </c>
      <c r="BC351" s="7">
        <v>0.63719999999999999</v>
      </c>
      <c r="BD351" s="7">
        <v>0.64429999999999998</v>
      </c>
      <c r="BE351" s="7">
        <v>0.65129999999999999</v>
      </c>
      <c r="BF351" s="7">
        <v>0.65810000000000002</v>
      </c>
      <c r="BG351" s="7">
        <v>0.66479999999999995</v>
      </c>
      <c r="BH351" s="7">
        <v>0.6714</v>
      </c>
      <c r="BI351" s="7">
        <v>0.67779999999999996</v>
      </c>
      <c r="BJ351" s="7">
        <v>0.68410000000000004</v>
      </c>
      <c r="BK351" s="7">
        <v>0.69030000000000002</v>
      </c>
      <c r="BL351" s="7">
        <v>0.69630000000000003</v>
      </c>
      <c r="BM351" s="7">
        <v>0.70230000000000004</v>
      </c>
      <c r="BN351" s="7">
        <v>0.70809999999999995</v>
      </c>
      <c r="BO351" s="7">
        <v>0.71389999999999998</v>
      </c>
      <c r="BP351" s="7">
        <v>0.71950000000000003</v>
      </c>
      <c r="BQ351" s="7">
        <v>0.72499999999999998</v>
      </c>
      <c r="BR351" s="7">
        <v>0.73040000000000005</v>
      </c>
      <c r="BS351" s="7">
        <v>0.73580000000000001</v>
      </c>
      <c r="BT351" s="7">
        <v>0.74099999999999999</v>
      </c>
      <c r="BU351" s="7">
        <v>0.74619999999999997</v>
      </c>
      <c r="BV351" s="7">
        <v>0.75119999999999998</v>
      </c>
      <c r="BW351" s="7">
        <v>0.75619999999999998</v>
      </c>
      <c r="BX351" s="7">
        <v>0.7611</v>
      </c>
      <c r="BY351" s="7">
        <v>0.76590000000000003</v>
      </c>
      <c r="BZ351" s="7">
        <v>0.77059999999999995</v>
      </c>
      <c r="CA351" s="7">
        <v>0.77529999999999999</v>
      </c>
      <c r="CB351" s="7">
        <v>0.77990000000000004</v>
      </c>
      <c r="CC351" s="7">
        <v>0.78439999999999999</v>
      </c>
      <c r="CD351" s="7">
        <v>0.78879999999999995</v>
      </c>
      <c r="CE351" s="7">
        <v>0.79320000000000002</v>
      </c>
      <c r="CF351" s="7">
        <v>0.79749999999999999</v>
      </c>
      <c r="CG351" s="7">
        <v>0.80169999999999997</v>
      </c>
      <c r="CH351" s="7">
        <v>0.80579999999999996</v>
      </c>
      <c r="CI351" s="7">
        <v>0.80989999999999995</v>
      </c>
      <c r="CJ351" s="7">
        <v>0.81399999999999995</v>
      </c>
      <c r="CK351" s="7">
        <v>0.81799999999999995</v>
      </c>
      <c r="CL351" s="7">
        <v>0.82189999999999996</v>
      </c>
      <c r="CM351" s="7">
        <v>0.82569999999999999</v>
      </c>
      <c r="CN351" s="7">
        <v>0.82950000000000002</v>
      </c>
      <c r="CO351" s="7">
        <v>0.83330000000000004</v>
      </c>
      <c r="CP351" s="7">
        <v>0.83699999999999997</v>
      </c>
      <c r="CQ351" s="7">
        <v>0.84060000000000001</v>
      </c>
      <c r="CR351" s="7">
        <v>0.84419999999999995</v>
      </c>
      <c r="CS351" s="7">
        <v>0.84770000000000001</v>
      </c>
      <c r="CT351" s="7">
        <v>0.85119999999999996</v>
      </c>
      <c r="CU351" s="7">
        <v>0.85470000000000002</v>
      </c>
      <c r="CV351" s="7">
        <v>0.85809999999999997</v>
      </c>
      <c r="CW351" s="7">
        <v>0.86140000000000005</v>
      </c>
      <c r="CX351" s="7">
        <v>0.86470000000000002</v>
      </c>
      <c r="CY351" s="7">
        <v>0.86799999999999999</v>
      </c>
      <c r="CZ351" s="7">
        <v>0.87119999999999997</v>
      </c>
      <c r="DA351" s="7">
        <v>0.87439999999999996</v>
      </c>
      <c r="DB351" s="7">
        <v>0.87749999999999995</v>
      </c>
      <c r="DC351" s="7">
        <v>0.88060000000000005</v>
      </c>
      <c r="DD351" s="7">
        <v>0.88370000000000004</v>
      </c>
      <c r="DE351" s="7">
        <v>0.88670000000000004</v>
      </c>
      <c r="DF351" s="7">
        <v>0.88970000000000005</v>
      </c>
      <c r="DG351" s="7">
        <v>0.89259999999999995</v>
      </c>
      <c r="DH351" s="7">
        <v>0.89559999999999995</v>
      </c>
      <c r="DI351" s="7">
        <v>0.89839999999999998</v>
      </c>
      <c r="DJ351" s="7">
        <v>0.90129999999999999</v>
      </c>
      <c r="DK351" s="7">
        <v>0.90410000000000001</v>
      </c>
      <c r="DL351" s="7">
        <v>0.90690000000000004</v>
      </c>
      <c r="DM351" s="7">
        <v>0.90959999999999996</v>
      </c>
      <c r="DN351" s="7">
        <v>0.9123</v>
      </c>
      <c r="DO351" s="7">
        <v>0.91500000000000004</v>
      </c>
      <c r="DP351" s="7">
        <v>0.91769999999999996</v>
      </c>
      <c r="DQ351" s="7">
        <v>0.92030000000000001</v>
      </c>
      <c r="DR351" s="7">
        <v>0.92290000000000005</v>
      </c>
      <c r="DS351" s="7">
        <v>0.9254</v>
      </c>
      <c r="DT351" s="7">
        <v>0.92800000000000005</v>
      </c>
      <c r="DU351" s="7">
        <v>0.93049999999999999</v>
      </c>
      <c r="DV351" s="7">
        <v>0.93300000000000005</v>
      </c>
      <c r="DW351" s="7">
        <v>0.93540000000000001</v>
      </c>
      <c r="DX351" s="7">
        <v>0.93789999999999996</v>
      </c>
      <c r="DY351" s="7">
        <v>0.94030000000000002</v>
      </c>
      <c r="DZ351" s="7">
        <v>0.94269999999999998</v>
      </c>
      <c r="EA351" s="7">
        <v>0.94499999999999995</v>
      </c>
      <c r="EB351" s="7">
        <v>0.94740000000000002</v>
      </c>
      <c r="EC351" s="7">
        <v>0.94969999999999999</v>
      </c>
      <c r="ED351" s="7">
        <v>0.95199999999999996</v>
      </c>
      <c r="EE351" s="7">
        <v>0.95430000000000004</v>
      </c>
      <c r="EF351" s="7">
        <v>0.95650000000000002</v>
      </c>
      <c r="EG351" s="7">
        <v>0.95879999999999999</v>
      </c>
      <c r="EH351" s="7">
        <v>0.96099999999999997</v>
      </c>
      <c r="EI351" s="7">
        <v>0.96319999999999995</v>
      </c>
      <c r="EJ351" s="7">
        <v>0.96540000000000004</v>
      </c>
      <c r="EK351" s="7">
        <v>0.96750000000000003</v>
      </c>
      <c r="EL351" s="7">
        <v>0.96970000000000001</v>
      </c>
      <c r="EM351" s="7">
        <v>0.9718</v>
      </c>
      <c r="EN351" s="7">
        <v>0.97389999999999999</v>
      </c>
      <c r="EO351" s="7">
        <v>0.97599999999999998</v>
      </c>
      <c r="EP351" s="7">
        <v>0.97809999999999997</v>
      </c>
      <c r="EQ351" s="7">
        <v>0.98009999999999997</v>
      </c>
      <c r="ER351" s="7">
        <v>0.98219999999999996</v>
      </c>
      <c r="ES351" s="7">
        <v>0.98419999999999996</v>
      </c>
      <c r="ET351" s="7">
        <v>0.98599999999999999</v>
      </c>
      <c r="EU351" s="7">
        <v>0.98799999999999999</v>
      </c>
      <c r="EV351" s="7">
        <v>0.99</v>
      </c>
      <c r="EW351" s="7">
        <v>0.99199999999999999</v>
      </c>
      <c r="EX351" s="7">
        <v>0.99399999999999999</v>
      </c>
      <c r="EY351" s="7">
        <v>0.996</v>
      </c>
      <c r="EZ351" s="7">
        <v>0.998</v>
      </c>
      <c r="FA351" s="7">
        <v>1.0009999999999999</v>
      </c>
      <c r="FB351" s="7">
        <v>1.0009999999999999</v>
      </c>
      <c r="FC351" s="7">
        <v>1.0009999999999999</v>
      </c>
      <c r="FE351" s="50">
        <f t="shared" ca="1" si="37"/>
        <v>0.93589938819210761</v>
      </c>
      <c r="FF351" s="50">
        <f t="shared" ca="1" si="38"/>
        <v>0.93436417814802952</v>
      </c>
      <c r="FG351" s="50">
        <f t="shared" ca="1" si="39"/>
        <v>0.93281040268456394</v>
      </c>
      <c r="FH351" s="50">
        <f t="shared" ca="1" si="40"/>
        <v>0.93113255033557052</v>
      </c>
      <c r="FI351" s="50"/>
      <c r="FK351" s="50">
        <f t="shared" ca="1" si="41"/>
        <v>0.93436417814802952</v>
      </c>
      <c r="FL351" s="50"/>
      <c r="FM351" s="50"/>
      <c r="FN351" s="50"/>
    </row>
    <row r="352" spans="49:170" hidden="1">
      <c r="AW352" s="112">
        <v>1.1220000000000001</v>
      </c>
      <c r="AX352" s="7">
        <v>0.5978</v>
      </c>
      <c r="AY352" s="7">
        <v>0.60570000000000002</v>
      </c>
      <c r="AZ352" s="7">
        <v>0.61339999999999995</v>
      </c>
      <c r="BA352" s="7">
        <v>0.62090000000000001</v>
      </c>
      <c r="BB352" s="7">
        <v>0.62829999999999997</v>
      </c>
      <c r="BC352" s="7">
        <v>0.63560000000000005</v>
      </c>
      <c r="BD352" s="7">
        <v>0.64259999999999995</v>
      </c>
      <c r="BE352" s="7">
        <v>0.64959999999999996</v>
      </c>
      <c r="BF352" s="7">
        <v>0.65639999999999998</v>
      </c>
      <c r="BG352" s="7">
        <v>0.66300000000000003</v>
      </c>
      <c r="BH352" s="7">
        <v>0.66959999999999997</v>
      </c>
      <c r="BI352" s="7">
        <v>0.67600000000000005</v>
      </c>
      <c r="BJ352" s="7">
        <v>0.68230000000000002</v>
      </c>
      <c r="BK352" s="7">
        <v>0.68840000000000001</v>
      </c>
      <c r="BL352" s="7">
        <v>0.69450000000000001</v>
      </c>
      <c r="BM352" s="7">
        <v>0.70040000000000002</v>
      </c>
      <c r="BN352" s="7">
        <v>0.70620000000000005</v>
      </c>
      <c r="BO352" s="7">
        <v>0.71199999999999997</v>
      </c>
      <c r="BP352" s="7">
        <v>0.71760000000000002</v>
      </c>
      <c r="BQ352" s="7">
        <v>0.72309999999999997</v>
      </c>
      <c r="BR352" s="7">
        <v>0.72850000000000004</v>
      </c>
      <c r="BS352" s="7">
        <v>0.73380000000000001</v>
      </c>
      <c r="BT352" s="7">
        <v>0.73909999999999998</v>
      </c>
      <c r="BU352" s="7">
        <v>0.74419999999999997</v>
      </c>
      <c r="BV352" s="7">
        <v>0.74919999999999998</v>
      </c>
      <c r="BW352" s="7">
        <v>0.75419999999999998</v>
      </c>
      <c r="BX352" s="7">
        <v>0.7591</v>
      </c>
      <c r="BY352" s="7">
        <v>0.76390000000000002</v>
      </c>
      <c r="BZ352" s="7">
        <v>0.76859999999999995</v>
      </c>
      <c r="CA352" s="7">
        <v>0.7732</v>
      </c>
      <c r="CB352" s="7">
        <v>0.77780000000000005</v>
      </c>
      <c r="CC352" s="7">
        <v>0.7823</v>
      </c>
      <c r="CD352" s="7">
        <v>0.78669999999999995</v>
      </c>
      <c r="CE352" s="7">
        <v>0.79110000000000003</v>
      </c>
      <c r="CF352" s="7">
        <v>0.79530000000000001</v>
      </c>
      <c r="CG352" s="7">
        <v>0.79959999999999998</v>
      </c>
      <c r="CH352" s="7">
        <v>0.80369999999999997</v>
      </c>
      <c r="CI352" s="7">
        <v>0.80779999999999996</v>
      </c>
      <c r="CJ352" s="7">
        <v>0.81179999999999997</v>
      </c>
      <c r="CK352" s="7">
        <v>0.81579999999999997</v>
      </c>
      <c r="CL352" s="7">
        <v>0.81969999999999998</v>
      </c>
      <c r="CM352" s="7">
        <v>0.82350000000000001</v>
      </c>
      <c r="CN352" s="7">
        <v>0.82730000000000004</v>
      </c>
      <c r="CO352" s="7">
        <v>0.83109999999999995</v>
      </c>
      <c r="CP352" s="7">
        <v>0.83479999999999999</v>
      </c>
      <c r="CQ352" s="7">
        <v>0.83840000000000003</v>
      </c>
      <c r="CR352" s="7">
        <v>0.84199999999999997</v>
      </c>
      <c r="CS352" s="7">
        <v>0.84550000000000003</v>
      </c>
      <c r="CT352" s="7">
        <v>0.84899999999999998</v>
      </c>
      <c r="CU352" s="7">
        <v>0.85240000000000005</v>
      </c>
      <c r="CV352" s="7">
        <v>0.85580000000000001</v>
      </c>
      <c r="CW352" s="7">
        <v>0.85919999999999996</v>
      </c>
      <c r="CX352" s="7">
        <v>0.86250000000000004</v>
      </c>
      <c r="CY352" s="7">
        <v>0.86570000000000003</v>
      </c>
      <c r="CZ352" s="7">
        <v>0.86890000000000001</v>
      </c>
      <c r="DA352" s="7">
        <v>0.87209999999999999</v>
      </c>
      <c r="DB352" s="7">
        <v>0.87519999999999998</v>
      </c>
      <c r="DC352" s="7">
        <v>0.87829999999999997</v>
      </c>
      <c r="DD352" s="7">
        <v>0.88139999999999996</v>
      </c>
      <c r="DE352" s="7">
        <v>0.88439999999999996</v>
      </c>
      <c r="DF352" s="7">
        <v>0.88729999999999998</v>
      </c>
      <c r="DG352" s="7">
        <v>0.89029999999999998</v>
      </c>
      <c r="DH352" s="7">
        <v>0.89319999999999999</v>
      </c>
      <c r="DI352" s="7">
        <v>0.89610000000000001</v>
      </c>
      <c r="DJ352" s="7">
        <v>0.89890000000000003</v>
      </c>
      <c r="DK352" s="7">
        <v>0.90169999999999995</v>
      </c>
      <c r="DL352" s="7">
        <v>0.90449999999999997</v>
      </c>
      <c r="DM352" s="7">
        <v>0.90720000000000001</v>
      </c>
      <c r="DN352" s="7">
        <v>0.90990000000000004</v>
      </c>
      <c r="DO352" s="7">
        <v>0.91259999999999997</v>
      </c>
      <c r="DP352" s="7">
        <v>0.91520000000000001</v>
      </c>
      <c r="DQ352" s="7">
        <v>0.91779999999999995</v>
      </c>
      <c r="DR352" s="7">
        <v>0.9204</v>
      </c>
      <c r="DS352" s="7">
        <v>0.92300000000000004</v>
      </c>
      <c r="DT352" s="7">
        <v>0.92549999999999999</v>
      </c>
      <c r="DU352" s="7">
        <v>0.92800000000000005</v>
      </c>
      <c r="DV352" s="7">
        <v>0.93049999999999999</v>
      </c>
      <c r="DW352" s="7">
        <v>0.93300000000000005</v>
      </c>
      <c r="DX352" s="7">
        <v>0.93540000000000001</v>
      </c>
      <c r="DY352" s="7">
        <v>0.93779999999999997</v>
      </c>
      <c r="DZ352" s="7">
        <v>0.94020000000000004</v>
      </c>
      <c r="EA352" s="7">
        <v>0.9425</v>
      </c>
      <c r="EB352" s="7">
        <v>0.94489999999999996</v>
      </c>
      <c r="EC352" s="7">
        <v>0.94720000000000004</v>
      </c>
      <c r="ED352" s="7">
        <v>0.94950000000000001</v>
      </c>
      <c r="EE352" s="7">
        <v>0.95179999999999998</v>
      </c>
      <c r="EF352" s="7">
        <v>0.95399999999999996</v>
      </c>
      <c r="EG352" s="7">
        <v>0.95620000000000005</v>
      </c>
      <c r="EH352" s="7">
        <v>0.95840000000000003</v>
      </c>
      <c r="EI352" s="7">
        <v>0.96060000000000001</v>
      </c>
      <c r="EJ352" s="7">
        <v>0.96279999999999999</v>
      </c>
      <c r="EK352" s="7">
        <v>0.96499999999999997</v>
      </c>
      <c r="EL352" s="7">
        <v>0.96709999999999996</v>
      </c>
      <c r="EM352" s="7">
        <v>0.96919999999999995</v>
      </c>
      <c r="EN352" s="7">
        <v>0.97130000000000005</v>
      </c>
      <c r="EO352" s="7">
        <v>0.97340000000000004</v>
      </c>
      <c r="EP352" s="7">
        <v>0.97550000000000003</v>
      </c>
      <c r="EQ352" s="7">
        <v>0.97750000000000004</v>
      </c>
      <c r="ER352" s="7">
        <v>0.97960000000000003</v>
      </c>
      <c r="ES352" s="7">
        <v>0.98160000000000003</v>
      </c>
      <c r="ET352" s="7">
        <v>0.98399999999999999</v>
      </c>
      <c r="EU352" s="7">
        <v>0.98599999999999999</v>
      </c>
      <c r="EV352" s="7">
        <v>0.98799999999999999</v>
      </c>
      <c r="EW352" s="7">
        <v>0.99</v>
      </c>
      <c r="EX352" s="7">
        <v>0.99199999999999999</v>
      </c>
      <c r="EY352" s="7">
        <v>0.99399999999999999</v>
      </c>
      <c r="EZ352" s="7">
        <v>0.995</v>
      </c>
      <c r="FA352" s="7">
        <v>0.997</v>
      </c>
      <c r="FB352" s="7">
        <v>0.999</v>
      </c>
      <c r="FC352" s="7">
        <v>1.0009999999999999</v>
      </c>
      <c r="FE352" s="50">
        <f t="shared" ca="1" si="37"/>
        <v>0.93347941266442347</v>
      </c>
      <c r="FF352" s="50">
        <f t="shared" ca="1" si="38"/>
        <v>0.93192101890419743</v>
      </c>
      <c r="FG352" s="50">
        <f t="shared" ca="1" si="39"/>
        <v>0.93031040268456366</v>
      </c>
      <c r="FH352" s="50">
        <f t="shared" ca="1" si="40"/>
        <v>0.92863255033557046</v>
      </c>
      <c r="FI352" s="50"/>
      <c r="FK352" s="50">
        <f t="shared" ca="1" si="41"/>
        <v>0.93192101890419743</v>
      </c>
      <c r="FL352" s="50"/>
      <c r="FM352" s="50"/>
      <c r="FN352" s="50"/>
    </row>
    <row r="353" spans="49:170" hidden="1">
      <c r="AW353" s="112">
        <v>1.202</v>
      </c>
      <c r="AX353" s="7">
        <v>0.59630000000000005</v>
      </c>
      <c r="AY353" s="7">
        <v>0.60409999999999997</v>
      </c>
      <c r="AZ353" s="7">
        <v>0.61180000000000001</v>
      </c>
      <c r="BA353" s="7">
        <v>0.61929999999999996</v>
      </c>
      <c r="BB353" s="7">
        <v>0.62670000000000003</v>
      </c>
      <c r="BC353" s="7">
        <v>0.63390000000000002</v>
      </c>
      <c r="BD353" s="7">
        <v>0.64100000000000001</v>
      </c>
      <c r="BE353" s="7">
        <v>0.64790000000000003</v>
      </c>
      <c r="BF353" s="7">
        <v>0.65469999999999995</v>
      </c>
      <c r="BG353" s="7">
        <v>0.6613</v>
      </c>
      <c r="BH353" s="7">
        <v>0.66779999999999995</v>
      </c>
      <c r="BI353" s="7">
        <v>0.67420000000000002</v>
      </c>
      <c r="BJ353" s="7">
        <v>0.68049999999999999</v>
      </c>
      <c r="BK353" s="7">
        <v>0.68659999999999999</v>
      </c>
      <c r="BL353" s="7">
        <v>0.69269999999999998</v>
      </c>
      <c r="BM353" s="7">
        <v>0.6986</v>
      </c>
      <c r="BN353" s="7">
        <v>0.70440000000000003</v>
      </c>
      <c r="BO353" s="7">
        <v>0.71009999999999995</v>
      </c>
      <c r="BP353" s="7">
        <v>0.7157</v>
      </c>
      <c r="BQ353" s="7">
        <v>0.72119999999999995</v>
      </c>
      <c r="BR353" s="7">
        <v>0.72660000000000002</v>
      </c>
      <c r="BS353" s="7">
        <v>0.7319</v>
      </c>
      <c r="BT353" s="7">
        <v>0.73709999999999998</v>
      </c>
      <c r="BU353" s="7">
        <v>0.74229999999999996</v>
      </c>
      <c r="BV353" s="7">
        <v>0.74729999999999996</v>
      </c>
      <c r="BW353" s="7">
        <v>0.75219999999999998</v>
      </c>
      <c r="BX353" s="7">
        <v>0.7571</v>
      </c>
      <c r="BY353" s="7">
        <v>0.76190000000000002</v>
      </c>
      <c r="BZ353" s="7">
        <v>0.76659999999999995</v>
      </c>
      <c r="CA353" s="7">
        <v>0.7712</v>
      </c>
      <c r="CB353" s="7">
        <v>0.77580000000000005</v>
      </c>
      <c r="CC353" s="7">
        <v>0.78029999999999999</v>
      </c>
      <c r="CD353" s="7">
        <v>0.78469999999999995</v>
      </c>
      <c r="CE353" s="7">
        <v>0.78900000000000003</v>
      </c>
      <c r="CF353" s="7">
        <v>0.79330000000000001</v>
      </c>
      <c r="CG353" s="7">
        <v>0.79749999999999999</v>
      </c>
      <c r="CH353" s="7">
        <v>0.80159999999999998</v>
      </c>
      <c r="CI353" s="7">
        <v>0.80569999999999997</v>
      </c>
      <c r="CJ353" s="7">
        <v>0.80969999999999998</v>
      </c>
      <c r="CK353" s="7">
        <v>0.81369999999999998</v>
      </c>
      <c r="CL353" s="7">
        <v>0.81759999999999999</v>
      </c>
      <c r="CM353" s="7">
        <v>0.82140000000000002</v>
      </c>
      <c r="CN353" s="7">
        <v>0.82520000000000004</v>
      </c>
      <c r="CO353" s="7">
        <v>0.82889999999999997</v>
      </c>
      <c r="CP353" s="7">
        <v>0.83260000000000001</v>
      </c>
      <c r="CQ353" s="7">
        <v>0.83620000000000005</v>
      </c>
      <c r="CR353" s="7">
        <v>0.83979999999999999</v>
      </c>
      <c r="CS353" s="7">
        <v>0.84330000000000005</v>
      </c>
      <c r="CT353" s="7">
        <v>0.8468</v>
      </c>
      <c r="CU353" s="7">
        <v>0.85019999999999996</v>
      </c>
      <c r="CV353" s="7">
        <v>0.85360000000000003</v>
      </c>
      <c r="CW353" s="7">
        <v>0.8569</v>
      </c>
      <c r="CX353" s="7">
        <v>0.86019999999999996</v>
      </c>
      <c r="CY353" s="7">
        <v>0.86350000000000005</v>
      </c>
      <c r="CZ353" s="7">
        <v>0.86670000000000003</v>
      </c>
      <c r="DA353" s="7">
        <v>0.86980000000000002</v>
      </c>
      <c r="DB353" s="7">
        <v>0.87290000000000001</v>
      </c>
      <c r="DC353" s="7">
        <v>0.876</v>
      </c>
      <c r="DD353" s="7">
        <v>0.87909999999999999</v>
      </c>
      <c r="DE353" s="7">
        <v>0.8821</v>
      </c>
      <c r="DF353" s="7">
        <v>0.88500000000000001</v>
      </c>
      <c r="DG353" s="7">
        <v>0.88800000000000001</v>
      </c>
      <c r="DH353" s="7">
        <v>0.89090000000000003</v>
      </c>
      <c r="DI353" s="7">
        <v>0.89370000000000005</v>
      </c>
      <c r="DJ353" s="7">
        <v>0.89649999999999996</v>
      </c>
      <c r="DK353" s="7">
        <v>0.89929999999999999</v>
      </c>
      <c r="DL353" s="7">
        <v>0.90210000000000001</v>
      </c>
      <c r="DM353" s="7">
        <v>0.90480000000000005</v>
      </c>
      <c r="DN353" s="7">
        <v>0.90749999999999997</v>
      </c>
      <c r="DO353" s="7">
        <v>0.91020000000000001</v>
      </c>
      <c r="DP353" s="7">
        <v>0.91279999999999994</v>
      </c>
      <c r="DQ353" s="7">
        <v>0.91539999999999999</v>
      </c>
      <c r="DR353" s="7">
        <v>0.91800000000000004</v>
      </c>
      <c r="DS353" s="7">
        <v>0.92059999999999997</v>
      </c>
      <c r="DT353" s="7">
        <v>0.92310000000000003</v>
      </c>
      <c r="DU353" s="7">
        <v>0.92559999999999998</v>
      </c>
      <c r="DV353" s="7">
        <v>0.92810000000000004</v>
      </c>
      <c r="DW353" s="7">
        <v>0.93049999999999999</v>
      </c>
      <c r="DX353" s="7">
        <v>0.93300000000000005</v>
      </c>
      <c r="DY353" s="7">
        <v>0.93540000000000001</v>
      </c>
      <c r="DZ353" s="7">
        <v>0.93769999999999998</v>
      </c>
      <c r="EA353" s="7">
        <v>0.94010000000000005</v>
      </c>
      <c r="EB353" s="7">
        <v>0.94240000000000002</v>
      </c>
      <c r="EC353" s="7">
        <v>0.94469999999999998</v>
      </c>
      <c r="ED353" s="7">
        <v>0.94699999999999995</v>
      </c>
      <c r="EE353" s="7">
        <v>0.94930000000000003</v>
      </c>
      <c r="EF353" s="7">
        <v>0.95150000000000001</v>
      </c>
      <c r="EG353" s="7">
        <v>0.95369999999999999</v>
      </c>
      <c r="EH353" s="7">
        <v>0.95589999999999997</v>
      </c>
      <c r="EI353" s="7">
        <v>0.95809999999999995</v>
      </c>
      <c r="EJ353" s="7">
        <v>0.96030000000000004</v>
      </c>
      <c r="EK353" s="7">
        <v>0.96250000000000002</v>
      </c>
      <c r="EL353" s="7">
        <v>0.96460000000000001</v>
      </c>
      <c r="EM353" s="7">
        <v>0.9667</v>
      </c>
      <c r="EN353" s="7">
        <v>0.96879999999999999</v>
      </c>
      <c r="EO353" s="7">
        <v>0.97089999999999999</v>
      </c>
      <c r="EP353" s="7">
        <v>0.97289999999999999</v>
      </c>
      <c r="EQ353" s="7">
        <v>0.97499999999999998</v>
      </c>
      <c r="ER353" s="7">
        <v>0.97699999999999998</v>
      </c>
      <c r="ES353" s="7">
        <v>0.97909999999999997</v>
      </c>
      <c r="ET353" s="7">
        <v>0.98099999999999998</v>
      </c>
      <c r="EU353" s="7">
        <v>0.98299999999999998</v>
      </c>
      <c r="EV353" s="7">
        <v>0.98499999999999999</v>
      </c>
      <c r="EW353" s="7">
        <v>0.98699999999999999</v>
      </c>
      <c r="EX353" s="7">
        <v>0.98899999999999999</v>
      </c>
      <c r="EY353" s="7">
        <v>0.99099999999999999</v>
      </c>
      <c r="EZ353" s="7">
        <v>0.99299999999999999</v>
      </c>
      <c r="FA353" s="7">
        <v>0.995</v>
      </c>
      <c r="FB353" s="7">
        <v>0.997</v>
      </c>
      <c r="FC353" s="7">
        <v>0.999</v>
      </c>
      <c r="FE353" s="50">
        <f t="shared" ca="1" si="37"/>
        <v>0.93099938819210781</v>
      </c>
      <c r="FF353" s="50">
        <f t="shared" ca="1" si="38"/>
        <v>0.92946417814802951</v>
      </c>
      <c r="FG353" s="50">
        <f t="shared" ca="1" si="39"/>
        <v>0.92791040268456382</v>
      </c>
      <c r="FH353" s="50">
        <f t="shared" ca="1" si="40"/>
        <v>0.92623255033557039</v>
      </c>
      <c r="FI353" s="50"/>
      <c r="FK353" s="50">
        <f t="shared" ca="1" si="41"/>
        <v>0.92946417814802951</v>
      </c>
      <c r="FL353" s="50"/>
      <c r="FM353" s="50"/>
      <c r="FN353" s="50"/>
    </row>
    <row r="354" spans="49:170" hidden="1">
      <c r="AW354" s="112">
        <v>1.288</v>
      </c>
      <c r="AX354" s="7">
        <v>0.59470000000000001</v>
      </c>
      <c r="AY354" s="7">
        <v>0.60260000000000002</v>
      </c>
      <c r="AZ354" s="7">
        <v>0.61019999999999996</v>
      </c>
      <c r="BA354" s="7">
        <v>0.61770000000000003</v>
      </c>
      <c r="BB354" s="7">
        <v>0.62509999999999999</v>
      </c>
      <c r="BC354" s="7">
        <v>0.63229999999999997</v>
      </c>
      <c r="BD354" s="7">
        <v>0.63929999999999998</v>
      </c>
      <c r="BE354" s="7">
        <v>0.6462</v>
      </c>
      <c r="BF354" s="7">
        <v>0.65300000000000002</v>
      </c>
      <c r="BG354" s="7">
        <v>0.65959999999999996</v>
      </c>
      <c r="BH354" s="7">
        <v>0.66610000000000003</v>
      </c>
      <c r="BI354" s="7">
        <v>0.67249999999999999</v>
      </c>
      <c r="BJ354" s="7">
        <v>0.67869999999999997</v>
      </c>
      <c r="BK354" s="7">
        <v>0.68489999999999995</v>
      </c>
      <c r="BL354" s="7">
        <v>0.69089999999999996</v>
      </c>
      <c r="BM354" s="7">
        <v>0.69679999999999997</v>
      </c>
      <c r="BN354" s="7">
        <v>0.7026</v>
      </c>
      <c r="BO354" s="7">
        <v>0.70830000000000004</v>
      </c>
      <c r="BP354" s="7">
        <v>0.71389999999999998</v>
      </c>
      <c r="BQ354" s="7">
        <v>0.71940000000000004</v>
      </c>
      <c r="BR354" s="7">
        <v>0.72470000000000001</v>
      </c>
      <c r="BS354" s="7">
        <v>0.73</v>
      </c>
      <c r="BT354" s="7">
        <v>0.73519999999999996</v>
      </c>
      <c r="BU354" s="7">
        <v>0.74029999999999996</v>
      </c>
      <c r="BV354" s="7">
        <v>0.74539999999999995</v>
      </c>
      <c r="BW354" s="7">
        <v>0.75029999999999997</v>
      </c>
      <c r="BX354" s="7">
        <v>0.75519999999999998</v>
      </c>
      <c r="BY354" s="7">
        <v>0.75990000000000002</v>
      </c>
      <c r="BZ354" s="7">
        <v>0.76459999999999995</v>
      </c>
      <c r="CA354" s="7">
        <v>0.76919999999999999</v>
      </c>
      <c r="CB354" s="7">
        <v>0.77380000000000004</v>
      </c>
      <c r="CC354" s="7">
        <v>0.77829999999999999</v>
      </c>
      <c r="CD354" s="7">
        <v>0.78259999999999996</v>
      </c>
      <c r="CE354" s="7">
        <v>0.78700000000000003</v>
      </c>
      <c r="CF354" s="7">
        <v>0.79120000000000001</v>
      </c>
      <c r="CG354" s="7">
        <v>0.7954</v>
      </c>
      <c r="CH354" s="7">
        <v>0.79959999999999998</v>
      </c>
      <c r="CI354" s="7">
        <v>0.80359999999999998</v>
      </c>
      <c r="CJ354" s="7">
        <v>0.80759999999999998</v>
      </c>
      <c r="CK354" s="7">
        <v>0.81159999999999999</v>
      </c>
      <c r="CL354" s="7">
        <v>0.8155</v>
      </c>
      <c r="CM354" s="7">
        <v>0.81930000000000003</v>
      </c>
      <c r="CN354" s="7">
        <v>0.82310000000000005</v>
      </c>
      <c r="CO354" s="7">
        <v>0.82679999999999998</v>
      </c>
      <c r="CP354" s="7">
        <v>0.83040000000000003</v>
      </c>
      <c r="CQ354" s="7">
        <v>0.83409999999999995</v>
      </c>
      <c r="CR354" s="7">
        <v>0.83760000000000001</v>
      </c>
      <c r="CS354" s="7">
        <v>0.84109999999999996</v>
      </c>
      <c r="CT354" s="7">
        <v>0.84460000000000002</v>
      </c>
      <c r="CU354" s="7">
        <v>0.84799999999999998</v>
      </c>
      <c r="CV354" s="7">
        <v>0.85140000000000005</v>
      </c>
      <c r="CW354" s="7">
        <v>0.85470000000000002</v>
      </c>
      <c r="CX354" s="7">
        <v>0.85799999999999998</v>
      </c>
      <c r="CY354" s="7">
        <v>0.86119999999999997</v>
      </c>
      <c r="CZ354" s="7">
        <v>0.86439999999999995</v>
      </c>
      <c r="DA354" s="7">
        <v>0.86760000000000004</v>
      </c>
      <c r="DB354" s="7">
        <v>0.87070000000000003</v>
      </c>
      <c r="DC354" s="7">
        <v>0.87380000000000002</v>
      </c>
      <c r="DD354" s="7">
        <v>0.87680000000000002</v>
      </c>
      <c r="DE354" s="7">
        <v>0.87980000000000003</v>
      </c>
      <c r="DF354" s="7">
        <v>0.88280000000000003</v>
      </c>
      <c r="DG354" s="7">
        <v>0.88570000000000004</v>
      </c>
      <c r="DH354" s="7">
        <v>0.88859999999999995</v>
      </c>
      <c r="DI354" s="7">
        <v>0.89139999999999997</v>
      </c>
      <c r="DJ354" s="7">
        <v>0.89419999999999999</v>
      </c>
      <c r="DK354" s="7">
        <v>0.89700000000000002</v>
      </c>
      <c r="DL354" s="7">
        <v>0.89980000000000004</v>
      </c>
      <c r="DM354" s="7">
        <v>0.90249999999999997</v>
      </c>
      <c r="DN354" s="7">
        <v>0.9052</v>
      </c>
      <c r="DO354" s="7">
        <v>0.90790000000000004</v>
      </c>
      <c r="DP354" s="7">
        <v>0.91049999999999998</v>
      </c>
      <c r="DQ354" s="7">
        <v>0.91310000000000002</v>
      </c>
      <c r="DR354" s="7">
        <v>0.91569999999999996</v>
      </c>
      <c r="DS354" s="7">
        <v>0.91820000000000002</v>
      </c>
      <c r="DT354" s="7">
        <v>0.92069999999999996</v>
      </c>
      <c r="DU354" s="7">
        <v>0.92320000000000002</v>
      </c>
      <c r="DV354" s="7">
        <v>0.92569999999999997</v>
      </c>
      <c r="DW354" s="7">
        <v>0.92810000000000004</v>
      </c>
      <c r="DX354" s="7">
        <v>0.93059999999999998</v>
      </c>
      <c r="DY354" s="7">
        <v>0.93300000000000005</v>
      </c>
      <c r="DZ354" s="7">
        <v>0.93530000000000002</v>
      </c>
      <c r="EA354" s="7">
        <v>0.93769999999999998</v>
      </c>
      <c r="EB354" s="7">
        <v>0.94</v>
      </c>
      <c r="EC354" s="7">
        <v>0.94230000000000003</v>
      </c>
      <c r="ED354" s="7">
        <v>0.9446</v>
      </c>
      <c r="EE354" s="7">
        <v>0.94679999999999997</v>
      </c>
      <c r="EF354" s="7">
        <v>0.94910000000000005</v>
      </c>
      <c r="EG354" s="7">
        <v>0.95130000000000003</v>
      </c>
      <c r="EH354" s="7">
        <v>0.95350000000000001</v>
      </c>
      <c r="EI354" s="7">
        <v>0.95569999999999999</v>
      </c>
      <c r="EJ354" s="7">
        <v>0.95779999999999998</v>
      </c>
      <c r="EK354" s="7">
        <v>0.96</v>
      </c>
      <c r="EL354" s="7">
        <v>0.96209999999999996</v>
      </c>
      <c r="EM354" s="7">
        <v>0.96419999999999995</v>
      </c>
      <c r="EN354" s="7">
        <v>0.96630000000000005</v>
      </c>
      <c r="EO354" s="7">
        <v>0.96840000000000004</v>
      </c>
      <c r="EP354" s="7">
        <v>0.97040000000000004</v>
      </c>
      <c r="EQ354" s="7">
        <v>0.97250000000000003</v>
      </c>
      <c r="ER354" s="7">
        <v>0.97450000000000003</v>
      </c>
      <c r="ES354" s="7">
        <v>0.97650000000000003</v>
      </c>
      <c r="ET354" s="7">
        <v>0.97899999999999998</v>
      </c>
      <c r="EU354" s="7">
        <v>0.98099999999999998</v>
      </c>
      <c r="EV354" s="7">
        <v>0.98299999999999998</v>
      </c>
      <c r="EW354" s="7">
        <v>0.98499999999999999</v>
      </c>
      <c r="EX354" s="7">
        <v>0.98599999999999999</v>
      </c>
      <c r="EY354" s="7">
        <v>0.98799999999999999</v>
      </c>
      <c r="EZ354" s="7">
        <v>0.99</v>
      </c>
      <c r="FA354" s="7">
        <v>0.99199999999999999</v>
      </c>
      <c r="FB354" s="7">
        <v>0.99399999999999999</v>
      </c>
      <c r="FC354" s="7">
        <v>0.996</v>
      </c>
      <c r="FE354" s="50">
        <f t="shared" ca="1" si="37"/>
        <v>0.92859938819210763</v>
      </c>
      <c r="FF354" s="50">
        <f t="shared" ca="1" si="38"/>
        <v>0.92706417814802955</v>
      </c>
      <c r="FG354" s="50">
        <f t="shared" ca="1" si="39"/>
        <v>0.92551040268456364</v>
      </c>
      <c r="FH354" s="50">
        <f t="shared" ca="1" si="40"/>
        <v>0.92383255033557043</v>
      </c>
      <c r="FI354" s="50"/>
      <c r="FK354" s="50">
        <f t="shared" ca="1" si="41"/>
        <v>0.92706417814802955</v>
      </c>
      <c r="FL354" s="50"/>
      <c r="FM354" s="50"/>
      <c r="FN354" s="50"/>
    </row>
    <row r="355" spans="49:170" hidden="1">
      <c r="AW355" s="112">
        <v>1.38</v>
      </c>
      <c r="AX355" s="7">
        <v>0.59319999999999995</v>
      </c>
      <c r="AY355" s="7">
        <v>0.60099999999999998</v>
      </c>
      <c r="AZ355" s="7">
        <v>0.60870000000000002</v>
      </c>
      <c r="BA355" s="7">
        <v>0.61619999999999997</v>
      </c>
      <c r="BB355" s="7">
        <v>0.62350000000000005</v>
      </c>
      <c r="BC355" s="7">
        <v>0.63070000000000004</v>
      </c>
      <c r="BD355" s="7">
        <v>0.63770000000000004</v>
      </c>
      <c r="BE355" s="7">
        <v>0.64459999999999995</v>
      </c>
      <c r="BF355" s="7">
        <v>0.65129999999999999</v>
      </c>
      <c r="BG355" s="7">
        <v>0.65790000000000004</v>
      </c>
      <c r="BH355" s="7">
        <v>0.66439999999999999</v>
      </c>
      <c r="BI355" s="7">
        <v>0.67079999999999995</v>
      </c>
      <c r="BJ355" s="7">
        <v>0.67700000000000005</v>
      </c>
      <c r="BK355" s="7">
        <v>0.68310000000000004</v>
      </c>
      <c r="BL355" s="7">
        <v>0.68910000000000005</v>
      </c>
      <c r="BM355" s="7">
        <v>0.69499999999999995</v>
      </c>
      <c r="BN355" s="7">
        <v>0.70079999999999998</v>
      </c>
      <c r="BO355" s="7">
        <v>0.70650000000000002</v>
      </c>
      <c r="BP355" s="7">
        <v>0.71209999999999996</v>
      </c>
      <c r="BQ355" s="7">
        <v>0.71750000000000003</v>
      </c>
      <c r="BR355" s="7">
        <v>0.72289999999999999</v>
      </c>
      <c r="BS355" s="7">
        <v>0.72819999999999996</v>
      </c>
      <c r="BT355" s="7">
        <v>0.73340000000000005</v>
      </c>
      <c r="BU355" s="7">
        <v>0.73850000000000005</v>
      </c>
      <c r="BV355" s="7">
        <v>0.74350000000000005</v>
      </c>
      <c r="BW355" s="7">
        <v>0.74839999999999995</v>
      </c>
      <c r="BX355" s="7">
        <v>0.75319999999999998</v>
      </c>
      <c r="BY355" s="7">
        <v>0.75800000000000001</v>
      </c>
      <c r="BZ355" s="7">
        <v>0.76270000000000004</v>
      </c>
      <c r="CA355" s="7">
        <v>0.76729999999999998</v>
      </c>
      <c r="CB355" s="7">
        <v>0.77180000000000004</v>
      </c>
      <c r="CC355" s="7">
        <v>0.77629999999999999</v>
      </c>
      <c r="CD355" s="7">
        <v>0.78069999999999995</v>
      </c>
      <c r="CE355" s="7">
        <v>0.78500000000000003</v>
      </c>
      <c r="CF355" s="7">
        <v>0.78920000000000001</v>
      </c>
      <c r="CG355" s="7">
        <v>0.79339999999999999</v>
      </c>
      <c r="CH355" s="7">
        <v>0.79749999999999999</v>
      </c>
      <c r="CI355" s="7">
        <v>0.80159999999999998</v>
      </c>
      <c r="CJ355" s="7">
        <v>0.80559999999999998</v>
      </c>
      <c r="CK355" s="7">
        <v>0.8095</v>
      </c>
      <c r="CL355" s="7">
        <v>0.81340000000000001</v>
      </c>
      <c r="CM355" s="7">
        <v>0.81720000000000004</v>
      </c>
      <c r="CN355" s="7">
        <v>0.82099999999999995</v>
      </c>
      <c r="CO355" s="7">
        <v>0.82469999999999999</v>
      </c>
      <c r="CP355" s="7">
        <v>0.82830000000000004</v>
      </c>
      <c r="CQ355" s="7">
        <v>0.83189999999999997</v>
      </c>
      <c r="CR355" s="7">
        <v>0.83550000000000002</v>
      </c>
      <c r="CS355" s="7">
        <v>0.83899999999999997</v>
      </c>
      <c r="CT355" s="7">
        <v>0.84250000000000003</v>
      </c>
      <c r="CU355" s="7">
        <v>0.84589999999999999</v>
      </c>
      <c r="CV355" s="7">
        <v>0.84919999999999995</v>
      </c>
      <c r="CW355" s="7">
        <v>0.85250000000000004</v>
      </c>
      <c r="CX355" s="7">
        <v>0.85580000000000001</v>
      </c>
      <c r="CY355" s="7">
        <v>0.85899999999999999</v>
      </c>
      <c r="CZ355" s="7">
        <v>0.86219999999999997</v>
      </c>
      <c r="DA355" s="7">
        <v>0.86539999999999995</v>
      </c>
      <c r="DB355" s="7">
        <v>0.86850000000000005</v>
      </c>
      <c r="DC355" s="7">
        <v>0.87160000000000004</v>
      </c>
      <c r="DD355" s="7">
        <v>0.87460000000000004</v>
      </c>
      <c r="DE355" s="7">
        <v>0.87760000000000005</v>
      </c>
      <c r="DF355" s="7">
        <v>0.88049999999999995</v>
      </c>
      <c r="DG355" s="7">
        <v>0.88339999999999996</v>
      </c>
      <c r="DH355" s="7">
        <v>0.88629999999999998</v>
      </c>
      <c r="DI355" s="7">
        <v>0.88919999999999999</v>
      </c>
      <c r="DJ355" s="7">
        <v>0.89200000000000002</v>
      </c>
      <c r="DK355" s="7">
        <v>0.89480000000000004</v>
      </c>
      <c r="DL355" s="7">
        <v>0.89749999999999996</v>
      </c>
      <c r="DM355" s="7">
        <v>0.9002</v>
      </c>
      <c r="DN355" s="7">
        <v>0.90290000000000004</v>
      </c>
      <c r="DO355" s="7">
        <v>0.90559999999999996</v>
      </c>
      <c r="DP355" s="7">
        <v>0.90820000000000001</v>
      </c>
      <c r="DQ355" s="7">
        <v>0.91080000000000005</v>
      </c>
      <c r="DR355" s="7">
        <v>0.91339999999999999</v>
      </c>
      <c r="DS355" s="7">
        <v>0.91590000000000005</v>
      </c>
      <c r="DT355" s="7">
        <v>0.91839999999999999</v>
      </c>
      <c r="DU355" s="7">
        <v>0.92090000000000005</v>
      </c>
      <c r="DV355" s="7">
        <v>0.9234</v>
      </c>
      <c r="DW355" s="7">
        <v>0.92579999999999996</v>
      </c>
      <c r="DX355" s="7">
        <v>0.92820000000000003</v>
      </c>
      <c r="DY355" s="7">
        <v>0.93059999999999998</v>
      </c>
      <c r="DZ355" s="7">
        <v>0.93289999999999995</v>
      </c>
      <c r="EA355" s="7">
        <v>0.93530000000000002</v>
      </c>
      <c r="EB355" s="7">
        <v>0.93759999999999999</v>
      </c>
      <c r="EC355" s="7">
        <v>0.93989999999999996</v>
      </c>
      <c r="ED355" s="7">
        <v>0.94220000000000004</v>
      </c>
      <c r="EE355" s="7">
        <v>0.94440000000000002</v>
      </c>
      <c r="EF355" s="7">
        <v>0.94669999999999999</v>
      </c>
      <c r="EG355" s="7">
        <v>0.94889999999999997</v>
      </c>
      <c r="EH355" s="7">
        <v>0.95109999999999995</v>
      </c>
      <c r="EI355" s="7">
        <v>0.95320000000000005</v>
      </c>
      <c r="EJ355" s="7">
        <v>0.95540000000000003</v>
      </c>
      <c r="EK355" s="7">
        <v>0.95750000000000002</v>
      </c>
      <c r="EL355" s="7">
        <v>0.9597</v>
      </c>
      <c r="EM355" s="7">
        <v>0.96179999999999999</v>
      </c>
      <c r="EN355" s="7">
        <v>0.96389999999999998</v>
      </c>
      <c r="EO355" s="7">
        <v>0.96589999999999998</v>
      </c>
      <c r="EP355" s="7">
        <v>0.96799999999999997</v>
      </c>
      <c r="EQ355" s="7">
        <v>0.97</v>
      </c>
      <c r="ER355" s="7">
        <v>0.97209999999999996</v>
      </c>
      <c r="ES355" s="7">
        <v>0.97409999999999997</v>
      </c>
      <c r="ET355" s="7">
        <v>0.97599999999999998</v>
      </c>
      <c r="EU355" s="7">
        <v>0.97799999999999998</v>
      </c>
      <c r="EV355" s="7">
        <v>0.98</v>
      </c>
      <c r="EW355" s="7">
        <v>0.98199999999999998</v>
      </c>
      <c r="EX355" s="7">
        <v>0.98399999999999999</v>
      </c>
      <c r="EY355" s="7">
        <v>0.98599999999999999</v>
      </c>
      <c r="EZ355" s="7">
        <v>0.98799999999999999</v>
      </c>
      <c r="FA355" s="7">
        <v>0.99</v>
      </c>
      <c r="FB355" s="7">
        <v>0.99199999999999999</v>
      </c>
      <c r="FC355" s="7">
        <v>0.99399999999999999</v>
      </c>
      <c r="FE355" s="50">
        <f t="shared" ca="1" si="37"/>
        <v>0.92627941266442337</v>
      </c>
      <c r="FF355" s="50">
        <f t="shared" ca="1" si="38"/>
        <v>0.92476417814802947</v>
      </c>
      <c r="FG355" s="50">
        <f t="shared" ca="1" si="39"/>
        <v>0.92321040268456367</v>
      </c>
      <c r="FH355" s="50">
        <f t="shared" ca="1" si="40"/>
        <v>0.92153255033557047</v>
      </c>
      <c r="FI355" s="50"/>
      <c r="FK355" s="50">
        <f t="shared" ca="1" si="41"/>
        <v>0.92476417814802947</v>
      </c>
      <c r="FL355" s="50"/>
      <c r="FM355" s="50"/>
      <c r="FN355" s="50"/>
    </row>
    <row r="356" spans="49:170" hidden="1">
      <c r="AW356" s="112">
        <v>1.4790000000000001</v>
      </c>
      <c r="AX356" s="7">
        <v>0.5917</v>
      </c>
      <c r="AY356" s="7">
        <v>0.59950000000000003</v>
      </c>
      <c r="AZ356" s="7">
        <v>0.60719999999999996</v>
      </c>
      <c r="BA356" s="7">
        <v>0.61460000000000004</v>
      </c>
      <c r="BB356" s="7">
        <v>0.62190000000000001</v>
      </c>
      <c r="BC356" s="7">
        <v>0.62909999999999999</v>
      </c>
      <c r="BD356" s="7">
        <v>0.6361</v>
      </c>
      <c r="BE356" s="7">
        <v>0.64300000000000002</v>
      </c>
      <c r="BF356" s="7">
        <v>0.64970000000000006</v>
      </c>
      <c r="BG356" s="7">
        <v>0.65629999999999999</v>
      </c>
      <c r="BH356" s="7">
        <v>0.66279999999999994</v>
      </c>
      <c r="BI356" s="7">
        <v>0.66910000000000003</v>
      </c>
      <c r="BJ356" s="7">
        <v>0.67530000000000001</v>
      </c>
      <c r="BK356" s="7">
        <v>0.68140000000000001</v>
      </c>
      <c r="BL356" s="7">
        <v>0.68740000000000001</v>
      </c>
      <c r="BM356" s="7">
        <v>0.69330000000000003</v>
      </c>
      <c r="BN356" s="7">
        <v>0.69910000000000005</v>
      </c>
      <c r="BO356" s="7">
        <v>0.70469999999999999</v>
      </c>
      <c r="BP356" s="7">
        <v>0.71030000000000004</v>
      </c>
      <c r="BQ356" s="7">
        <v>0.7157</v>
      </c>
      <c r="BR356" s="7">
        <v>0.72109999999999996</v>
      </c>
      <c r="BS356" s="7">
        <v>0.72640000000000005</v>
      </c>
      <c r="BT356" s="7">
        <v>0.73150000000000004</v>
      </c>
      <c r="BU356" s="7">
        <v>0.73660000000000003</v>
      </c>
      <c r="BV356" s="7">
        <v>0.74160000000000004</v>
      </c>
      <c r="BW356" s="7">
        <v>0.74650000000000005</v>
      </c>
      <c r="BX356" s="7">
        <v>0.75139999999999996</v>
      </c>
      <c r="BY356" s="7">
        <v>0.75609999999999999</v>
      </c>
      <c r="BZ356" s="7">
        <v>0.76080000000000003</v>
      </c>
      <c r="CA356" s="7">
        <v>0.76539999999999997</v>
      </c>
      <c r="CB356" s="7">
        <v>0.76990000000000003</v>
      </c>
      <c r="CC356" s="7">
        <v>0.77429999999999999</v>
      </c>
      <c r="CD356" s="7">
        <v>0.77869999999999995</v>
      </c>
      <c r="CE356" s="7">
        <v>0.78300000000000003</v>
      </c>
      <c r="CF356" s="7">
        <v>0.7873</v>
      </c>
      <c r="CG356" s="7">
        <v>0.79139999999999999</v>
      </c>
      <c r="CH356" s="7">
        <v>0.79549999999999998</v>
      </c>
      <c r="CI356" s="7">
        <v>0.79959999999999998</v>
      </c>
      <c r="CJ356" s="7">
        <v>0.80359999999999998</v>
      </c>
      <c r="CK356" s="7">
        <v>0.8075</v>
      </c>
      <c r="CL356" s="7">
        <v>0.81140000000000001</v>
      </c>
      <c r="CM356" s="7">
        <v>0.81520000000000004</v>
      </c>
      <c r="CN356" s="7">
        <v>0.81889999999999996</v>
      </c>
      <c r="CO356" s="7">
        <v>0.8226</v>
      </c>
      <c r="CP356" s="7">
        <v>0.82630000000000003</v>
      </c>
      <c r="CQ356" s="7">
        <v>0.82989999999999997</v>
      </c>
      <c r="CR356" s="7">
        <v>0.83340000000000003</v>
      </c>
      <c r="CS356" s="7">
        <v>0.83689999999999998</v>
      </c>
      <c r="CT356" s="7">
        <v>0.84040000000000004</v>
      </c>
      <c r="CU356" s="7">
        <v>0.84379999999999999</v>
      </c>
      <c r="CV356" s="7">
        <v>0.84709999999999996</v>
      </c>
      <c r="CW356" s="7">
        <v>0.85040000000000004</v>
      </c>
      <c r="CX356" s="7">
        <v>0.85370000000000001</v>
      </c>
      <c r="CY356" s="7">
        <v>0.8569</v>
      </c>
      <c r="CZ356" s="7">
        <v>0.86009999999999998</v>
      </c>
      <c r="DA356" s="7">
        <v>0.86319999999999997</v>
      </c>
      <c r="DB356" s="7">
        <v>0.86629999999999996</v>
      </c>
      <c r="DC356" s="7">
        <v>0.86939999999999995</v>
      </c>
      <c r="DD356" s="7">
        <v>0.87239999999999995</v>
      </c>
      <c r="DE356" s="7">
        <v>0.87539999999999996</v>
      </c>
      <c r="DF356" s="7">
        <v>0.87829999999999997</v>
      </c>
      <c r="DG356" s="7">
        <v>0.88119999999999998</v>
      </c>
      <c r="DH356" s="7">
        <v>0.8841</v>
      </c>
      <c r="DI356" s="7">
        <v>0.88690000000000002</v>
      </c>
      <c r="DJ356" s="7">
        <v>0.88970000000000005</v>
      </c>
      <c r="DK356" s="7">
        <v>0.89249999999999996</v>
      </c>
      <c r="DL356" s="7">
        <v>0.89529999999999998</v>
      </c>
      <c r="DM356" s="7">
        <v>0.89800000000000002</v>
      </c>
      <c r="DN356" s="7">
        <v>0.90059999999999996</v>
      </c>
      <c r="DO356" s="7">
        <v>0.90329999999999999</v>
      </c>
      <c r="DP356" s="7">
        <v>0.90590000000000004</v>
      </c>
      <c r="DQ356" s="7">
        <v>0.90849999999999997</v>
      </c>
      <c r="DR356" s="7">
        <v>0.91110000000000002</v>
      </c>
      <c r="DS356" s="7">
        <v>0.91359999999999997</v>
      </c>
      <c r="DT356" s="7">
        <v>0.91610000000000003</v>
      </c>
      <c r="DU356" s="7">
        <v>0.91859999999999997</v>
      </c>
      <c r="DV356" s="7">
        <v>0.92100000000000004</v>
      </c>
      <c r="DW356" s="7">
        <v>0.92349999999999999</v>
      </c>
      <c r="DX356" s="7">
        <v>0.92589999999999995</v>
      </c>
      <c r="DY356" s="7">
        <v>0.92830000000000001</v>
      </c>
      <c r="DZ356" s="7">
        <v>0.93059999999999998</v>
      </c>
      <c r="EA356" s="7">
        <v>0.93300000000000005</v>
      </c>
      <c r="EB356" s="7">
        <v>0.93530000000000002</v>
      </c>
      <c r="EC356" s="7">
        <v>0.93759999999999999</v>
      </c>
      <c r="ED356" s="7">
        <v>0.93979999999999997</v>
      </c>
      <c r="EE356" s="7">
        <v>0.94210000000000005</v>
      </c>
      <c r="EF356" s="7">
        <v>0.94430000000000003</v>
      </c>
      <c r="EG356" s="7">
        <v>0.94650000000000001</v>
      </c>
      <c r="EH356" s="7">
        <v>0.94869999999999999</v>
      </c>
      <c r="EI356" s="7">
        <v>0.95089999999999997</v>
      </c>
      <c r="EJ356" s="7">
        <v>0.95299999999999996</v>
      </c>
      <c r="EK356" s="7">
        <v>0.95520000000000005</v>
      </c>
      <c r="EL356" s="7">
        <v>0.95730000000000004</v>
      </c>
      <c r="EM356" s="7">
        <v>0.95940000000000003</v>
      </c>
      <c r="EN356" s="7">
        <v>0.96140000000000003</v>
      </c>
      <c r="EO356" s="7">
        <v>0.96350000000000002</v>
      </c>
      <c r="EP356" s="7">
        <v>0.96560000000000001</v>
      </c>
      <c r="EQ356" s="7">
        <v>0.96760000000000002</v>
      </c>
      <c r="ER356" s="7">
        <v>0.96960000000000002</v>
      </c>
      <c r="ES356" s="7">
        <v>0.97160000000000002</v>
      </c>
      <c r="ET356" s="7">
        <v>0.97399999999999998</v>
      </c>
      <c r="EU356" s="7">
        <v>0.97599999999999998</v>
      </c>
      <c r="EV356" s="7">
        <v>0.97799999999999998</v>
      </c>
      <c r="EW356" s="7">
        <v>0.98</v>
      </c>
      <c r="EX356" s="7">
        <v>0.98199999999999998</v>
      </c>
      <c r="EY356" s="7">
        <v>0.98299999999999998</v>
      </c>
      <c r="EZ356" s="7">
        <v>0.98499999999999999</v>
      </c>
      <c r="FA356" s="7">
        <v>0.98699999999999999</v>
      </c>
      <c r="FB356" s="7">
        <v>0.98899999999999999</v>
      </c>
      <c r="FC356" s="7">
        <v>0.99099999999999999</v>
      </c>
      <c r="FE356" s="50">
        <f t="shared" ca="1" si="37"/>
        <v>0.92397941266442341</v>
      </c>
      <c r="FF356" s="50">
        <f t="shared" ca="1" si="38"/>
        <v>0.92242101890419737</v>
      </c>
      <c r="FG356" s="50">
        <f t="shared" ca="1" si="39"/>
        <v>0.92081798657718117</v>
      </c>
      <c r="FH356" s="50">
        <f t="shared" ca="1" si="40"/>
        <v>0.91920724832214762</v>
      </c>
      <c r="FI356" s="50"/>
      <c r="FK356" s="50">
        <f t="shared" ca="1" si="41"/>
        <v>0.92242101890419737</v>
      </c>
      <c r="FL356" s="50"/>
      <c r="FM356" s="50"/>
      <c r="FN356" s="50"/>
    </row>
    <row r="357" spans="49:170" hidden="1">
      <c r="AW357" s="112">
        <v>1.585</v>
      </c>
      <c r="AX357" s="7">
        <v>0.59030000000000005</v>
      </c>
      <c r="AY357" s="7">
        <v>0.59809999999999997</v>
      </c>
      <c r="AZ357" s="7">
        <v>0.60570000000000002</v>
      </c>
      <c r="BA357" s="7">
        <v>0.61309999999999998</v>
      </c>
      <c r="BB357" s="7">
        <v>0.62039999999999995</v>
      </c>
      <c r="BC357" s="7">
        <v>0.62749999999999995</v>
      </c>
      <c r="BD357" s="7">
        <v>0.63449999999999995</v>
      </c>
      <c r="BE357" s="7">
        <v>0.64139999999999997</v>
      </c>
      <c r="BF357" s="7">
        <v>0.64810000000000001</v>
      </c>
      <c r="BG357" s="7">
        <v>0.65469999999999995</v>
      </c>
      <c r="BH357" s="7">
        <v>0.66110000000000002</v>
      </c>
      <c r="BI357" s="7">
        <v>0.66749999999999998</v>
      </c>
      <c r="BJ357" s="7">
        <v>0.67369999999999997</v>
      </c>
      <c r="BK357" s="7">
        <v>0.67979999999999996</v>
      </c>
      <c r="BL357" s="7">
        <v>0.68569999999999998</v>
      </c>
      <c r="BM357" s="7">
        <v>0.69159999999999999</v>
      </c>
      <c r="BN357" s="7">
        <v>0.69730000000000003</v>
      </c>
      <c r="BO357" s="7">
        <v>0.70299999999999996</v>
      </c>
      <c r="BP357" s="7">
        <v>0.70850000000000002</v>
      </c>
      <c r="BQ357" s="7">
        <v>0.71399999999999997</v>
      </c>
      <c r="BR357" s="7">
        <v>0.71930000000000005</v>
      </c>
      <c r="BS357" s="7">
        <v>0.72460000000000002</v>
      </c>
      <c r="BT357" s="7">
        <v>0.72970000000000002</v>
      </c>
      <c r="BU357" s="7">
        <v>0.73480000000000001</v>
      </c>
      <c r="BV357" s="7">
        <v>0.73980000000000001</v>
      </c>
      <c r="BW357" s="7">
        <v>0.74470000000000003</v>
      </c>
      <c r="BX357" s="7">
        <v>0.74950000000000006</v>
      </c>
      <c r="BY357" s="7">
        <v>0.75419999999999998</v>
      </c>
      <c r="BZ357" s="7">
        <v>0.75890000000000002</v>
      </c>
      <c r="CA357" s="7">
        <v>0.76349999999999996</v>
      </c>
      <c r="CB357" s="7">
        <v>0.76800000000000002</v>
      </c>
      <c r="CC357" s="7">
        <v>0.77239999999999998</v>
      </c>
      <c r="CD357" s="7">
        <v>0.77680000000000005</v>
      </c>
      <c r="CE357" s="7">
        <v>0.78110000000000002</v>
      </c>
      <c r="CF357" s="7">
        <v>0.7853</v>
      </c>
      <c r="CG357" s="7">
        <v>0.78949999999999998</v>
      </c>
      <c r="CH357" s="7">
        <v>0.79359999999999997</v>
      </c>
      <c r="CI357" s="7">
        <v>0.79759999999999998</v>
      </c>
      <c r="CJ357" s="7">
        <v>0.80159999999999998</v>
      </c>
      <c r="CK357" s="7">
        <v>0.80549999999999999</v>
      </c>
      <c r="CL357" s="7">
        <v>0.80940000000000001</v>
      </c>
      <c r="CM357" s="7">
        <v>0.81320000000000003</v>
      </c>
      <c r="CN357" s="7">
        <v>0.81689999999999996</v>
      </c>
      <c r="CO357" s="7">
        <v>0.8206</v>
      </c>
      <c r="CP357" s="7">
        <v>0.82420000000000004</v>
      </c>
      <c r="CQ357" s="7">
        <v>0.82779999999999998</v>
      </c>
      <c r="CR357" s="7">
        <v>0.83140000000000003</v>
      </c>
      <c r="CS357" s="7">
        <v>0.83479999999999999</v>
      </c>
      <c r="CT357" s="7">
        <v>0.83830000000000005</v>
      </c>
      <c r="CU357" s="7">
        <v>0.8417</v>
      </c>
      <c r="CV357" s="7">
        <v>0.84499999999999997</v>
      </c>
      <c r="CW357" s="7">
        <v>0.84830000000000005</v>
      </c>
      <c r="CX357" s="7">
        <v>0.85160000000000002</v>
      </c>
      <c r="CY357" s="7">
        <v>0.8548</v>
      </c>
      <c r="CZ357" s="7">
        <v>0.85799999999999998</v>
      </c>
      <c r="DA357" s="7">
        <v>0.86109999999999998</v>
      </c>
      <c r="DB357" s="7">
        <v>0.86419999999999997</v>
      </c>
      <c r="DC357" s="7">
        <v>0.86719999999999997</v>
      </c>
      <c r="DD357" s="7">
        <v>0.87019999999999997</v>
      </c>
      <c r="DE357" s="7">
        <v>0.87319999999999998</v>
      </c>
      <c r="DF357" s="7">
        <v>0.87619999999999998</v>
      </c>
      <c r="DG357" s="7">
        <v>0.87909999999999999</v>
      </c>
      <c r="DH357" s="7">
        <v>0.88190000000000002</v>
      </c>
      <c r="DI357" s="7">
        <v>0.88480000000000003</v>
      </c>
      <c r="DJ357" s="7">
        <v>0.88759999999999994</v>
      </c>
      <c r="DK357" s="7">
        <v>0.89029999999999998</v>
      </c>
      <c r="DL357" s="7">
        <v>0.8931</v>
      </c>
      <c r="DM357" s="7">
        <v>0.89580000000000004</v>
      </c>
      <c r="DN357" s="7">
        <v>0.89839999999999998</v>
      </c>
      <c r="DO357" s="7">
        <v>0.90110000000000001</v>
      </c>
      <c r="DP357" s="7">
        <v>0.90369999999999995</v>
      </c>
      <c r="DQ357" s="7">
        <v>0.90629999999999999</v>
      </c>
      <c r="DR357" s="7">
        <v>0.90880000000000005</v>
      </c>
      <c r="DS357" s="7">
        <v>0.9113</v>
      </c>
      <c r="DT357" s="7">
        <v>0.91379999999999995</v>
      </c>
      <c r="DU357" s="7">
        <v>0.9163</v>
      </c>
      <c r="DV357" s="7">
        <v>0.91879999999999995</v>
      </c>
      <c r="DW357" s="7">
        <v>0.92120000000000002</v>
      </c>
      <c r="DX357" s="7">
        <v>0.92359999999999998</v>
      </c>
      <c r="DY357" s="7">
        <v>0.92600000000000005</v>
      </c>
      <c r="DZ357" s="7">
        <v>0.92830000000000001</v>
      </c>
      <c r="EA357" s="7">
        <v>0.93069999999999997</v>
      </c>
      <c r="EB357" s="7">
        <v>0.93300000000000005</v>
      </c>
      <c r="EC357" s="7">
        <v>0.93520000000000003</v>
      </c>
      <c r="ED357" s="7">
        <v>0.9375</v>
      </c>
      <c r="EE357" s="7">
        <v>0.93969999999999998</v>
      </c>
      <c r="EF357" s="7">
        <v>0.94199999999999995</v>
      </c>
      <c r="EG357" s="7">
        <v>0.94420000000000004</v>
      </c>
      <c r="EH357" s="7">
        <v>0.94640000000000002</v>
      </c>
      <c r="EI357" s="7">
        <v>0.94850000000000001</v>
      </c>
      <c r="EJ357" s="7">
        <v>0.95069999999999999</v>
      </c>
      <c r="EK357" s="7">
        <v>0.95279999999999998</v>
      </c>
      <c r="EL357" s="7">
        <v>0.95489999999999997</v>
      </c>
      <c r="EM357" s="7">
        <v>0.95699999999999996</v>
      </c>
      <c r="EN357" s="7">
        <v>0.95909999999999995</v>
      </c>
      <c r="EO357" s="7">
        <v>0.96109999999999995</v>
      </c>
      <c r="EP357" s="7">
        <v>0.96319999999999995</v>
      </c>
      <c r="EQ357" s="7">
        <v>0.96519999999999995</v>
      </c>
      <c r="ER357" s="7">
        <v>0.96719999999999995</v>
      </c>
      <c r="ES357" s="7">
        <v>0.96919999999999995</v>
      </c>
      <c r="ET357" s="7">
        <v>0.97099999999999997</v>
      </c>
      <c r="EU357" s="7">
        <v>0.97299999999999998</v>
      </c>
      <c r="EV357" s="7">
        <v>0.97499999999999998</v>
      </c>
      <c r="EW357" s="7">
        <v>0.97699999999999998</v>
      </c>
      <c r="EX357" s="7">
        <v>0.97899999999999998</v>
      </c>
      <c r="EY357" s="7">
        <v>0.98099999999999998</v>
      </c>
      <c r="EZ357" s="7">
        <v>0.98299999999999998</v>
      </c>
      <c r="FA357" s="7">
        <v>0.98499999999999999</v>
      </c>
      <c r="FB357" s="7">
        <v>0.98699999999999999</v>
      </c>
      <c r="FC357" s="7">
        <v>0.98899999999999999</v>
      </c>
      <c r="FE357" s="50">
        <f t="shared" ca="1" si="37"/>
        <v>0.92167941266442344</v>
      </c>
      <c r="FF357" s="50">
        <f t="shared" ca="1" si="38"/>
        <v>0.92016417814802942</v>
      </c>
      <c r="FG357" s="50">
        <f t="shared" ca="1" si="39"/>
        <v>0.91861040268456362</v>
      </c>
      <c r="FH357" s="50">
        <f t="shared" ca="1" si="40"/>
        <v>0.91693255033557042</v>
      </c>
      <c r="FI357" s="50"/>
      <c r="FK357" s="50">
        <f t="shared" ca="1" si="41"/>
        <v>0.92016417814802942</v>
      </c>
      <c r="FL357" s="50"/>
      <c r="FM357" s="50"/>
      <c r="FN357" s="50"/>
    </row>
    <row r="358" spans="49:170" hidden="1">
      <c r="AW358" s="112">
        <v>1.698</v>
      </c>
      <c r="AX358" s="7">
        <v>0.58879999999999999</v>
      </c>
      <c r="AY358" s="7">
        <v>0.59660000000000002</v>
      </c>
      <c r="AZ358" s="7">
        <v>0.60419999999999996</v>
      </c>
      <c r="BA358" s="7">
        <v>0.61160000000000003</v>
      </c>
      <c r="BB358" s="7">
        <v>0.61890000000000001</v>
      </c>
      <c r="BC358" s="7">
        <v>0.626</v>
      </c>
      <c r="BD358" s="7">
        <v>0.63300000000000001</v>
      </c>
      <c r="BE358" s="7">
        <v>0.63980000000000004</v>
      </c>
      <c r="BF358" s="7">
        <v>0.64649999999999996</v>
      </c>
      <c r="BG358" s="7">
        <v>0.65310000000000001</v>
      </c>
      <c r="BH358" s="7">
        <v>0.65949999999999998</v>
      </c>
      <c r="BI358" s="7">
        <v>0.66579999999999995</v>
      </c>
      <c r="BJ358" s="7">
        <v>0.67200000000000004</v>
      </c>
      <c r="BK358" s="7">
        <v>0.67810000000000004</v>
      </c>
      <c r="BL358" s="7">
        <v>0.68410000000000004</v>
      </c>
      <c r="BM358" s="7">
        <v>0.68989999999999996</v>
      </c>
      <c r="BN358" s="7">
        <v>0.6956</v>
      </c>
      <c r="BO358" s="7">
        <v>0.70130000000000003</v>
      </c>
      <c r="BP358" s="7">
        <v>0.70679999999999998</v>
      </c>
      <c r="BQ358" s="7">
        <v>0.71220000000000006</v>
      </c>
      <c r="BR358" s="7">
        <v>0.71760000000000002</v>
      </c>
      <c r="BS358" s="7">
        <v>0.7228</v>
      </c>
      <c r="BT358" s="7">
        <v>0.72799999999999998</v>
      </c>
      <c r="BU358" s="7">
        <v>0.73299999999999998</v>
      </c>
      <c r="BV358" s="7">
        <v>0.73799999999999999</v>
      </c>
      <c r="BW358" s="7">
        <v>0.7429</v>
      </c>
      <c r="BX358" s="7">
        <v>0.74770000000000003</v>
      </c>
      <c r="BY358" s="7">
        <v>0.75239999999999996</v>
      </c>
      <c r="BZ358" s="7">
        <v>0.7571</v>
      </c>
      <c r="CA358" s="7">
        <v>0.76160000000000005</v>
      </c>
      <c r="CB358" s="7">
        <v>0.7661</v>
      </c>
      <c r="CC358" s="7">
        <v>0.77059999999999995</v>
      </c>
      <c r="CD358" s="7">
        <v>0.77490000000000003</v>
      </c>
      <c r="CE358" s="7">
        <v>0.7792</v>
      </c>
      <c r="CF358" s="7">
        <v>0.78339999999999999</v>
      </c>
      <c r="CG358" s="7">
        <v>0.78759999999999997</v>
      </c>
      <c r="CH358" s="7">
        <v>0.79159999999999997</v>
      </c>
      <c r="CI358" s="7">
        <v>0.79569999999999996</v>
      </c>
      <c r="CJ358" s="7">
        <v>0.79959999999999998</v>
      </c>
      <c r="CK358" s="7">
        <v>0.80349999999999999</v>
      </c>
      <c r="CL358" s="7">
        <v>0.80740000000000001</v>
      </c>
      <c r="CM358" s="7">
        <v>0.81120000000000003</v>
      </c>
      <c r="CN358" s="7">
        <v>0.81489999999999996</v>
      </c>
      <c r="CO358" s="7">
        <v>0.81859999999999999</v>
      </c>
      <c r="CP358" s="7">
        <v>0.82220000000000004</v>
      </c>
      <c r="CQ358" s="7">
        <v>0.82579999999999998</v>
      </c>
      <c r="CR358" s="7">
        <v>0.82930000000000004</v>
      </c>
      <c r="CS358" s="7">
        <v>0.83279999999999998</v>
      </c>
      <c r="CT358" s="7">
        <v>0.83620000000000005</v>
      </c>
      <c r="CU358" s="7">
        <v>0.83960000000000001</v>
      </c>
      <c r="CV358" s="7">
        <v>0.84299999999999997</v>
      </c>
      <c r="CW358" s="7">
        <v>0.84630000000000005</v>
      </c>
      <c r="CX358" s="7">
        <v>0.84950000000000003</v>
      </c>
      <c r="CY358" s="7">
        <v>0.85270000000000001</v>
      </c>
      <c r="CZ358" s="7">
        <v>0.85589999999999999</v>
      </c>
      <c r="DA358" s="7">
        <v>0.85899999999999999</v>
      </c>
      <c r="DB358" s="7">
        <v>0.86209999999999998</v>
      </c>
      <c r="DC358" s="7">
        <v>0.86509999999999998</v>
      </c>
      <c r="DD358" s="7">
        <v>0.86809999999999998</v>
      </c>
      <c r="DE358" s="7">
        <v>0.87109999999999999</v>
      </c>
      <c r="DF358" s="7">
        <v>0.874</v>
      </c>
      <c r="DG358" s="7">
        <v>0.87690000000000001</v>
      </c>
      <c r="DH358" s="7">
        <v>0.87980000000000003</v>
      </c>
      <c r="DI358" s="7">
        <v>0.88260000000000005</v>
      </c>
      <c r="DJ358" s="7">
        <v>0.88539999999999996</v>
      </c>
      <c r="DK358" s="7">
        <v>0.88819999999999999</v>
      </c>
      <c r="DL358" s="7">
        <v>0.89090000000000003</v>
      </c>
      <c r="DM358" s="7">
        <v>0.89359999999999995</v>
      </c>
      <c r="DN358" s="7">
        <v>0.8962</v>
      </c>
      <c r="DO358" s="7">
        <v>0.89890000000000003</v>
      </c>
      <c r="DP358" s="7">
        <v>0.90149999999999997</v>
      </c>
      <c r="DQ358" s="7">
        <v>0.90410000000000001</v>
      </c>
      <c r="DR358" s="7">
        <v>0.90659999999999996</v>
      </c>
      <c r="DS358" s="7">
        <v>0.90910000000000002</v>
      </c>
      <c r="DT358" s="7">
        <v>0.91159999999999997</v>
      </c>
      <c r="DU358" s="7">
        <v>0.91410000000000002</v>
      </c>
      <c r="DV358" s="7">
        <v>0.91649999999999998</v>
      </c>
      <c r="DW358" s="7">
        <v>0.91900000000000004</v>
      </c>
      <c r="DX358" s="7">
        <v>0.9214</v>
      </c>
      <c r="DY358" s="7">
        <v>0.92369999999999997</v>
      </c>
      <c r="DZ358" s="7">
        <v>0.92610000000000003</v>
      </c>
      <c r="EA358" s="7">
        <v>0.9284</v>
      </c>
      <c r="EB358" s="7">
        <v>0.93069999999999997</v>
      </c>
      <c r="EC358" s="7">
        <v>0.93300000000000005</v>
      </c>
      <c r="ED358" s="7">
        <v>0.93520000000000003</v>
      </c>
      <c r="EE358" s="7">
        <v>0.9375</v>
      </c>
      <c r="EF358" s="7">
        <v>0.93969999999999998</v>
      </c>
      <c r="EG358" s="7">
        <v>0.94189999999999996</v>
      </c>
      <c r="EH358" s="7">
        <v>0.94410000000000005</v>
      </c>
      <c r="EI358" s="7">
        <v>0.94620000000000004</v>
      </c>
      <c r="EJ358" s="7">
        <v>0.94840000000000002</v>
      </c>
      <c r="EK358" s="7">
        <v>0.95050000000000001</v>
      </c>
      <c r="EL358" s="7">
        <v>0.9526</v>
      </c>
      <c r="EM358" s="7">
        <v>0.95469999999999999</v>
      </c>
      <c r="EN358" s="7">
        <v>0.95669999999999999</v>
      </c>
      <c r="EO358" s="7">
        <v>0.95879999999999999</v>
      </c>
      <c r="EP358" s="7">
        <v>0.96079999999999999</v>
      </c>
      <c r="EQ358" s="7">
        <v>0.96289999999999998</v>
      </c>
      <c r="ER358" s="7">
        <v>0.96489999999999998</v>
      </c>
      <c r="ES358" s="7">
        <v>0.96689999999999998</v>
      </c>
      <c r="ET358" s="7">
        <v>0.96899999999999997</v>
      </c>
      <c r="EU358" s="7">
        <v>0.97099999999999997</v>
      </c>
      <c r="EV358" s="7">
        <v>0.97299999999999998</v>
      </c>
      <c r="EW358" s="7">
        <v>0.97499999999999998</v>
      </c>
      <c r="EX358" s="7">
        <v>0.97699999999999998</v>
      </c>
      <c r="EY358" s="7">
        <v>0.97899999999999998</v>
      </c>
      <c r="EZ358" s="7">
        <v>0.98099999999999998</v>
      </c>
      <c r="FA358" s="7">
        <v>0.98199999999999998</v>
      </c>
      <c r="FB358" s="7">
        <v>0.98399999999999999</v>
      </c>
      <c r="FC358" s="7">
        <v>0.98599999999999999</v>
      </c>
      <c r="FE358" s="50">
        <f t="shared" ca="1" si="37"/>
        <v>0.91947941266442346</v>
      </c>
      <c r="FF358" s="50">
        <f t="shared" ca="1" si="38"/>
        <v>0.91792101890419742</v>
      </c>
      <c r="FG358" s="50">
        <f t="shared" ca="1" si="39"/>
        <v>0.91631798657718122</v>
      </c>
      <c r="FH358" s="50">
        <f t="shared" ca="1" si="40"/>
        <v>0.91470724832214767</v>
      </c>
      <c r="FI358" s="50"/>
      <c r="FK358" s="50">
        <f t="shared" ca="1" si="41"/>
        <v>0.91792101890419742</v>
      </c>
      <c r="FL358" s="50"/>
      <c r="FM358" s="50"/>
      <c r="FN358" s="50"/>
    </row>
    <row r="359" spans="49:170" hidden="1">
      <c r="AW359" s="112">
        <v>1.82</v>
      </c>
      <c r="AX359" s="7">
        <v>0.58740000000000003</v>
      </c>
      <c r="AY359" s="7">
        <v>0.59519999999999995</v>
      </c>
      <c r="AZ359" s="7">
        <v>0.60270000000000001</v>
      </c>
      <c r="BA359" s="7">
        <v>0.61019999999999996</v>
      </c>
      <c r="BB359" s="7">
        <v>0.61739999999999995</v>
      </c>
      <c r="BC359" s="7">
        <v>0.62450000000000006</v>
      </c>
      <c r="BD359" s="7">
        <v>0.63149999999999995</v>
      </c>
      <c r="BE359" s="7">
        <v>0.63829999999999998</v>
      </c>
      <c r="BF359" s="7">
        <v>0.64500000000000002</v>
      </c>
      <c r="BG359" s="7">
        <v>0.65149999999999997</v>
      </c>
      <c r="BH359" s="7">
        <v>0.65790000000000004</v>
      </c>
      <c r="BI359" s="7">
        <v>0.66420000000000001</v>
      </c>
      <c r="BJ359" s="7">
        <v>0.6704</v>
      </c>
      <c r="BK359" s="7">
        <v>0.67649999999999999</v>
      </c>
      <c r="BL359" s="7">
        <v>0.68240000000000001</v>
      </c>
      <c r="BM359" s="7">
        <v>0.68830000000000002</v>
      </c>
      <c r="BN359" s="7">
        <v>0.69399999999999995</v>
      </c>
      <c r="BO359" s="7">
        <v>0.6996</v>
      </c>
      <c r="BP359" s="7">
        <v>0.70509999999999995</v>
      </c>
      <c r="BQ359" s="7">
        <v>0.71050000000000002</v>
      </c>
      <c r="BR359" s="7">
        <v>0.71589999999999998</v>
      </c>
      <c r="BS359" s="7">
        <v>0.72109999999999996</v>
      </c>
      <c r="BT359" s="7">
        <v>0.72619999999999996</v>
      </c>
      <c r="BU359" s="7">
        <v>0.73129999999999995</v>
      </c>
      <c r="BV359" s="7">
        <v>0.73619999999999997</v>
      </c>
      <c r="BW359" s="7">
        <v>0.74109999999999998</v>
      </c>
      <c r="BX359" s="7">
        <v>0.74590000000000001</v>
      </c>
      <c r="BY359" s="7">
        <v>0.75060000000000004</v>
      </c>
      <c r="BZ359" s="7">
        <v>0.75519999999999998</v>
      </c>
      <c r="CA359" s="7">
        <v>0.75980000000000003</v>
      </c>
      <c r="CB359" s="7">
        <v>0.76429999999999998</v>
      </c>
      <c r="CC359" s="7">
        <v>0.76870000000000005</v>
      </c>
      <c r="CD359" s="7">
        <v>0.77300000000000002</v>
      </c>
      <c r="CE359" s="7">
        <v>0.77729999999999999</v>
      </c>
      <c r="CF359" s="7">
        <v>0.78149999999999997</v>
      </c>
      <c r="CG359" s="7">
        <v>0.78569999999999995</v>
      </c>
      <c r="CH359" s="7">
        <v>0.78969999999999996</v>
      </c>
      <c r="CI359" s="7">
        <v>0.79379999999999995</v>
      </c>
      <c r="CJ359" s="7">
        <v>0.79769999999999996</v>
      </c>
      <c r="CK359" s="7">
        <v>0.80159999999999998</v>
      </c>
      <c r="CL359" s="7">
        <v>0.80549999999999999</v>
      </c>
      <c r="CM359" s="7">
        <v>0.80920000000000003</v>
      </c>
      <c r="CN359" s="7">
        <v>0.81299999999999994</v>
      </c>
      <c r="CO359" s="7">
        <v>0.81659999999999999</v>
      </c>
      <c r="CP359" s="7">
        <v>0.82030000000000003</v>
      </c>
      <c r="CQ359" s="7">
        <v>0.82379999999999998</v>
      </c>
      <c r="CR359" s="7">
        <v>0.82730000000000004</v>
      </c>
      <c r="CS359" s="7">
        <v>0.83079999999999998</v>
      </c>
      <c r="CT359" s="7">
        <v>0.83420000000000005</v>
      </c>
      <c r="CU359" s="7">
        <v>0.83760000000000001</v>
      </c>
      <c r="CV359" s="7">
        <v>0.84089999999999998</v>
      </c>
      <c r="CW359" s="7">
        <v>0.84419999999999995</v>
      </c>
      <c r="CX359" s="7">
        <v>0.84750000000000003</v>
      </c>
      <c r="CY359" s="7">
        <v>0.85070000000000001</v>
      </c>
      <c r="CZ359" s="7">
        <v>0.8538</v>
      </c>
      <c r="DA359" s="7">
        <v>0.8569</v>
      </c>
      <c r="DB359" s="7">
        <v>0.86</v>
      </c>
      <c r="DC359" s="7">
        <v>0.86299999999999999</v>
      </c>
      <c r="DD359" s="7">
        <v>0.86599999999999999</v>
      </c>
      <c r="DE359" s="7">
        <v>0.86899999999999999</v>
      </c>
      <c r="DF359" s="7">
        <v>0.87190000000000001</v>
      </c>
      <c r="DG359" s="7">
        <v>0.87480000000000002</v>
      </c>
      <c r="DH359" s="7">
        <v>0.87770000000000004</v>
      </c>
      <c r="DI359" s="7">
        <v>0.88049999999999995</v>
      </c>
      <c r="DJ359" s="7">
        <v>0.88329999999999997</v>
      </c>
      <c r="DK359" s="7">
        <v>0.88600000000000001</v>
      </c>
      <c r="DL359" s="7">
        <v>0.88870000000000005</v>
      </c>
      <c r="DM359" s="7">
        <v>0.89139999999999997</v>
      </c>
      <c r="DN359" s="7">
        <v>0.89410000000000001</v>
      </c>
      <c r="DO359" s="7">
        <v>0.89670000000000005</v>
      </c>
      <c r="DP359" s="7">
        <v>0.89929999999999999</v>
      </c>
      <c r="DQ359" s="7">
        <v>0.90190000000000003</v>
      </c>
      <c r="DR359" s="7">
        <v>0.90439999999999998</v>
      </c>
      <c r="DS359" s="7">
        <v>0.90700000000000003</v>
      </c>
      <c r="DT359" s="7">
        <v>0.90939999999999999</v>
      </c>
      <c r="DU359" s="7">
        <v>0.91190000000000004</v>
      </c>
      <c r="DV359" s="7">
        <v>0.9143</v>
      </c>
      <c r="DW359" s="7">
        <v>0.91679999999999995</v>
      </c>
      <c r="DX359" s="7">
        <v>0.91910000000000003</v>
      </c>
      <c r="DY359" s="7">
        <v>0.92149999999999999</v>
      </c>
      <c r="DZ359" s="7">
        <v>0.92379999999999995</v>
      </c>
      <c r="EA359" s="7">
        <v>0.92620000000000002</v>
      </c>
      <c r="EB359" s="7">
        <v>0.92849999999999999</v>
      </c>
      <c r="EC359" s="7">
        <v>0.93069999999999997</v>
      </c>
      <c r="ED359" s="7">
        <v>0.93300000000000005</v>
      </c>
      <c r="EE359" s="7">
        <v>0.93520000000000003</v>
      </c>
      <c r="EF359" s="7">
        <v>0.93740000000000001</v>
      </c>
      <c r="EG359" s="7">
        <v>0.93959999999999999</v>
      </c>
      <c r="EH359" s="7">
        <v>0.94179999999999997</v>
      </c>
      <c r="EI359" s="7">
        <v>0.94389999999999996</v>
      </c>
      <c r="EJ359" s="7">
        <v>0.94610000000000005</v>
      </c>
      <c r="EK359" s="7">
        <v>0.94820000000000004</v>
      </c>
      <c r="EL359" s="7">
        <v>0.95030000000000003</v>
      </c>
      <c r="EM359" s="7">
        <v>0.95240000000000002</v>
      </c>
      <c r="EN359" s="7">
        <v>0.95450000000000002</v>
      </c>
      <c r="EO359" s="7">
        <v>0.95650000000000002</v>
      </c>
      <c r="EP359" s="7">
        <v>0.95850000000000002</v>
      </c>
      <c r="EQ359" s="7">
        <v>0.96060000000000001</v>
      </c>
      <c r="ER359" s="7">
        <v>0.96260000000000001</v>
      </c>
      <c r="ES359" s="7">
        <v>0.96460000000000001</v>
      </c>
      <c r="ET359" s="7">
        <v>0.96699999999999997</v>
      </c>
      <c r="EU359" s="7">
        <v>0.96899999999999997</v>
      </c>
      <c r="EV359" s="7">
        <v>0.97099999999999997</v>
      </c>
      <c r="EW359" s="7">
        <v>0.97199999999999998</v>
      </c>
      <c r="EX359" s="7">
        <v>0.97399999999999998</v>
      </c>
      <c r="EY359" s="7">
        <v>0.97599999999999998</v>
      </c>
      <c r="EZ359" s="7">
        <v>0.97799999999999998</v>
      </c>
      <c r="FA359" s="7">
        <v>0.98</v>
      </c>
      <c r="FB359" s="7">
        <v>0.98199999999999998</v>
      </c>
      <c r="FC359" s="7">
        <v>0.98399999999999999</v>
      </c>
      <c r="FE359" s="50">
        <f t="shared" ca="1" si="37"/>
        <v>0.91725943713673908</v>
      </c>
      <c r="FF359" s="50">
        <f t="shared" ca="1" si="38"/>
        <v>0.91572101890419733</v>
      </c>
      <c r="FG359" s="50">
        <f t="shared" ca="1" si="39"/>
        <v>0.91411798657718124</v>
      </c>
      <c r="FH359" s="50">
        <f t="shared" ca="1" si="40"/>
        <v>0.91250724832214769</v>
      </c>
      <c r="FI359" s="50"/>
      <c r="FK359" s="50">
        <f t="shared" ca="1" si="41"/>
        <v>0.91572101890419733</v>
      </c>
      <c r="FL359" s="50"/>
      <c r="FM359" s="50"/>
      <c r="FN359" s="50"/>
    </row>
    <row r="360" spans="49:170" hidden="1">
      <c r="AW360" s="112">
        <v>1.95</v>
      </c>
      <c r="AX360" s="7">
        <v>0.58599999999999997</v>
      </c>
      <c r="AY360" s="7">
        <v>0.59379999999999999</v>
      </c>
      <c r="AZ360" s="7">
        <v>0.60129999999999995</v>
      </c>
      <c r="BA360" s="7">
        <v>0.60870000000000002</v>
      </c>
      <c r="BB360" s="7">
        <v>0.6159</v>
      </c>
      <c r="BC360" s="7">
        <v>0.623</v>
      </c>
      <c r="BD360" s="7">
        <v>0.63</v>
      </c>
      <c r="BE360" s="7">
        <v>0.63680000000000003</v>
      </c>
      <c r="BF360" s="7">
        <v>0.64349999999999996</v>
      </c>
      <c r="BG360" s="7">
        <v>0.65</v>
      </c>
      <c r="BH360" s="7">
        <v>0.65639999999999998</v>
      </c>
      <c r="BI360" s="7">
        <v>0.66269999999999996</v>
      </c>
      <c r="BJ360" s="7">
        <v>0.66879999999999995</v>
      </c>
      <c r="BK360" s="7">
        <v>0.67490000000000006</v>
      </c>
      <c r="BL360" s="7">
        <v>0.68079999999999996</v>
      </c>
      <c r="BM360" s="7">
        <v>0.68659999999999999</v>
      </c>
      <c r="BN360" s="7">
        <v>0.69230000000000003</v>
      </c>
      <c r="BO360" s="7">
        <v>0.69789999999999996</v>
      </c>
      <c r="BP360" s="7">
        <v>0.70340000000000003</v>
      </c>
      <c r="BQ360" s="7">
        <v>0.70889999999999997</v>
      </c>
      <c r="BR360" s="7">
        <v>0.71419999999999995</v>
      </c>
      <c r="BS360" s="7">
        <v>0.71940000000000004</v>
      </c>
      <c r="BT360" s="7">
        <v>0.72450000000000003</v>
      </c>
      <c r="BU360" s="7">
        <v>0.72950000000000004</v>
      </c>
      <c r="BV360" s="7">
        <v>0.73450000000000004</v>
      </c>
      <c r="BW360" s="7">
        <v>0.73929999999999996</v>
      </c>
      <c r="BX360" s="7">
        <v>0.74409999999999998</v>
      </c>
      <c r="BY360" s="7">
        <v>0.74880000000000002</v>
      </c>
      <c r="BZ360" s="7">
        <v>0.75349999999999995</v>
      </c>
      <c r="CA360" s="7">
        <v>0.75800000000000001</v>
      </c>
      <c r="CB360" s="7">
        <v>0.76249999999999996</v>
      </c>
      <c r="CC360" s="7">
        <v>0.76690000000000003</v>
      </c>
      <c r="CD360" s="7">
        <v>0.7712</v>
      </c>
      <c r="CE360" s="7">
        <v>0.77549999999999997</v>
      </c>
      <c r="CF360" s="7">
        <v>0.77969999999999995</v>
      </c>
      <c r="CG360" s="7">
        <v>0.78380000000000005</v>
      </c>
      <c r="CH360" s="7">
        <v>0.78790000000000004</v>
      </c>
      <c r="CI360" s="7">
        <v>0.79190000000000005</v>
      </c>
      <c r="CJ360" s="7">
        <v>0.79579999999999995</v>
      </c>
      <c r="CK360" s="7">
        <v>0.79969999999999997</v>
      </c>
      <c r="CL360" s="7">
        <v>0.80359999999999998</v>
      </c>
      <c r="CM360" s="7">
        <v>0.80730000000000002</v>
      </c>
      <c r="CN360" s="7">
        <v>0.81100000000000005</v>
      </c>
      <c r="CO360" s="7">
        <v>0.81469999999999998</v>
      </c>
      <c r="CP360" s="7">
        <v>0.81830000000000003</v>
      </c>
      <c r="CQ360" s="7">
        <v>0.82189999999999996</v>
      </c>
      <c r="CR360" s="7">
        <v>0.82540000000000002</v>
      </c>
      <c r="CS360" s="7">
        <v>0.82889999999999997</v>
      </c>
      <c r="CT360" s="7">
        <v>0.83230000000000004</v>
      </c>
      <c r="CU360" s="7">
        <v>0.83560000000000001</v>
      </c>
      <c r="CV360" s="7">
        <v>0.83899999999999997</v>
      </c>
      <c r="CW360" s="7">
        <v>0.84219999999999995</v>
      </c>
      <c r="CX360" s="7">
        <v>0.84550000000000003</v>
      </c>
      <c r="CY360" s="7">
        <v>0.84870000000000001</v>
      </c>
      <c r="CZ360" s="7">
        <v>0.8518</v>
      </c>
      <c r="DA360" s="7">
        <v>0.85489999999999999</v>
      </c>
      <c r="DB360" s="7">
        <v>0.85799999999999998</v>
      </c>
      <c r="DC360" s="7">
        <v>0.86099999999999999</v>
      </c>
      <c r="DD360" s="7">
        <v>0.86399999999999999</v>
      </c>
      <c r="DE360" s="7">
        <v>0.8669</v>
      </c>
      <c r="DF360" s="7">
        <v>0.86990000000000001</v>
      </c>
      <c r="DG360" s="7">
        <v>0.87270000000000003</v>
      </c>
      <c r="DH360" s="7">
        <v>0.87560000000000004</v>
      </c>
      <c r="DI360" s="7">
        <v>0.87839999999999996</v>
      </c>
      <c r="DJ360" s="7">
        <v>0.88119999999999998</v>
      </c>
      <c r="DK360" s="7">
        <v>0.88390000000000002</v>
      </c>
      <c r="DL360" s="7">
        <v>0.88660000000000005</v>
      </c>
      <c r="DM360" s="7">
        <v>0.88929999999999998</v>
      </c>
      <c r="DN360" s="7">
        <v>0.89200000000000002</v>
      </c>
      <c r="DO360" s="7">
        <v>0.89459999999999995</v>
      </c>
      <c r="DP360" s="7">
        <v>0.8972</v>
      </c>
      <c r="DQ360" s="7">
        <v>0.89980000000000004</v>
      </c>
      <c r="DR360" s="7">
        <v>0.90229999999999999</v>
      </c>
      <c r="DS360" s="7">
        <v>0.90480000000000005</v>
      </c>
      <c r="DT360" s="7">
        <v>0.9073</v>
      </c>
      <c r="DU360" s="7">
        <v>0.90969999999999995</v>
      </c>
      <c r="DV360" s="7">
        <v>0.91220000000000001</v>
      </c>
      <c r="DW360" s="7">
        <v>0.91459999999999997</v>
      </c>
      <c r="DX360" s="7">
        <v>0.91700000000000004</v>
      </c>
      <c r="DY360" s="7">
        <v>0.91930000000000001</v>
      </c>
      <c r="DZ360" s="7">
        <v>0.92169999999999996</v>
      </c>
      <c r="EA360" s="7">
        <v>0.92400000000000004</v>
      </c>
      <c r="EB360" s="7">
        <v>0.92630000000000001</v>
      </c>
      <c r="EC360" s="7">
        <v>0.92849999999999999</v>
      </c>
      <c r="ED360" s="7">
        <v>0.93079999999999996</v>
      </c>
      <c r="EE360" s="7">
        <v>0.93300000000000005</v>
      </c>
      <c r="EF360" s="7">
        <v>0.93520000000000003</v>
      </c>
      <c r="EG360" s="7">
        <v>0.93740000000000001</v>
      </c>
      <c r="EH360" s="7">
        <v>0.93959999999999999</v>
      </c>
      <c r="EI360" s="7">
        <v>0.94169999999999998</v>
      </c>
      <c r="EJ360" s="7">
        <v>0.94379999999999997</v>
      </c>
      <c r="EK360" s="7">
        <v>0.94599999999999995</v>
      </c>
      <c r="EL360" s="7">
        <v>0.94810000000000005</v>
      </c>
      <c r="EM360" s="7">
        <v>0.95009999999999994</v>
      </c>
      <c r="EN360" s="7">
        <v>0.95220000000000005</v>
      </c>
      <c r="EO360" s="7">
        <v>0.95420000000000005</v>
      </c>
      <c r="EP360" s="7">
        <v>0.95630000000000004</v>
      </c>
      <c r="EQ360" s="7">
        <v>0.95830000000000004</v>
      </c>
      <c r="ER360" s="7">
        <v>0.96030000000000004</v>
      </c>
      <c r="ES360" s="7">
        <v>0.96230000000000004</v>
      </c>
      <c r="ET360" s="7">
        <v>0.96399999999999997</v>
      </c>
      <c r="EU360" s="7">
        <v>0.96599999999999997</v>
      </c>
      <c r="EV360" s="7">
        <v>0.96799999999999997</v>
      </c>
      <c r="EW360" s="7">
        <v>0.97</v>
      </c>
      <c r="EX360" s="7">
        <v>0.97199999999999998</v>
      </c>
      <c r="EY360" s="7">
        <v>0.97399999999999998</v>
      </c>
      <c r="EZ360" s="7">
        <v>0.97599999999999998</v>
      </c>
      <c r="FA360" s="7">
        <v>0.97799999999999998</v>
      </c>
      <c r="FB360" s="7">
        <v>0.98</v>
      </c>
      <c r="FC360" s="7">
        <v>0.98199999999999998</v>
      </c>
      <c r="FE360" s="50">
        <f t="shared" ca="1" si="37"/>
        <v>0.91507941266442328</v>
      </c>
      <c r="FF360" s="50">
        <f t="shared" ca="1" si="38"/>
        <v>0.91356417814802948</v>
      </c>
      <c r="FG360" s="50">
        <f t="shared" ca="1" si="39"/>
        <v>0.91201040268456379</v>
      </c>
      <c r="FH360" s="50">
        <f t="shared" ca="1" si="40"/>
        <v>0.91033255033557037</v>
      </c>
      <c r="FI360" s="50"/>
      <c r="FK360" s="50">
        <f t="shared" ca="1" si="41"/>
        <v>0.91356417814802948</v>
      </c>
      <c r="FL360" s="50"/>
      <c r="FM360" s="50"/>
      <c r="FN360" s="50"/>
    </row>
    <row r="361" spans="49:170" hidden="1">
      <c r="AW361" s="112">
        <v>2.089</v>
      </c>
      <c r="AX361" s="7">
        <v>0.5847</v>
      </c>
      <c r="AY361" s="7">
        <v>0.59240000000000004</v>
      </c>
      <c r="AZ361" s="7">
        <v>0.59989999999999999</v>
      </c>
      <c r="BA361" s="7">
        <v>0.60729999999999995</v>
      </c>
      <c r="BB361" s="7">
        <v>0.61450000000000005</v>
      </c>
      <c r="BC361" s="7">
        <v>0.62160000000000004</v>
      </c>
      <c r="BD361" s="7">
        <v>0.62849999999999995</v>
      </c>
      <c r="BE361" s="7">
        <v>0.63529999999999998</v>
      </c>
      <c r="BF361" s="7">
        <v>0.64190000000000003</v>
      </c>
      <c r="BG361" s="7">
        <v>0.64849999999999997</v>
      </c>
      <c r="BH361" s="7">
        <v>0.65490000000000004</v>
      </c>
      <c r="BI361" s="7">
        <v>0.66110000000000002</v>
      </c>
      <c r="BJ361" s="7">
        <v>0.6673</v>
      </c>
      <c r="BK361" s="7">
        <v>0.67330000000000001</v>
      </c>
      <c r="BL361" s="7">
        <v>0.67920000000000003</v>
      </c>
      <c r="BM361" s="7">
        <v>0.68500000000000005</v>
      </c>
      <c r="BN361" s="7">
        <v>0.69069999999999998</v>
      </c>
      <c r="BO361" s="7">
        <v>0.69630000000000003</v>
      </c>
      <c r="BP361" s="7">
        <v>0.70179999999999998</v>
      </c>
      <c r="BQ361" s="7">
        <v>0.70720000000000005</v>
      </c>
      <c r="BR361" s="7">
        <v>0.71250000000000002</v>
      </c>
      <c r="BS361" s="7">
        <v>0.7177</v>
      </c>
      <c r="BT361" s="7">
        <v>0.7228</v>
      </c>
      <c r="BU361" s="7">
        <v>0.7278</v>
      </c>
      <c r="BV361" s="7">
        <v>0.73280000000000001</v>
      </c>
      <c r="BW361" s="7">
        <v>0.73760000000000003</v>
      </c>
      <c r="BX361" s="7">
        <v>0.74239999999999995</v>
      </c>
      <c r="BY361" s="7">
        <v>0.74709999999999999</v>
      </c>
      <c r="BZ361" s="7">
        <v>0.75170000000000003</v>
      </c>
      <c r="CA361" s="7">
        <v>0.75619999999999998</v>
      </c>
      <c r="CB361" s="7">
        <v>0.76070000000000004</v>
      </c>
      <c r="CC361" s="7">
        <v>0.7651</v>
      </c>
      <c r="CD361" s="7">
        <v>0.76939999999999997</v>
      </c>
      <c r="CE361" s="7">
        <v>0.77370000000000005</v>
      </c>
      <c r="CF361" s="7">
        <v>0.77790000000000004</v>
      </c>
      <c r="CG361" s="7">
        <v>0.78200000000000003</v>
      </c>
      <c r="CH361" s="7">
        <v>0.78600000000000003</v>
      </c>
      <c r="CI361" s="7">
        <v>0.79</v>
      </c>
      <c r="CJ361" s="7">
        <v>0.79400000000000004</v>
      </c>
      <c r="CK361" s="7">
        <v>0.79790000000000005</v>
      </c>
      <c r="CL361" s="7">
        <v>0.80169999999999997</v>
      </c>
      <c r="CM361" s="7">
        <v>0.8054</v>
      </c>
      <c r="CN361" s="7">
        <v>0.80910000000000004</v>
      </c>
      <c r="CO361" s="7">
        <v>0.81279999999999997</v>
      </c>
      <c r="CP361" s="7">
        <v>0.81640000000000001</v>
      </c>
      <c r="CQ361" s="7">
        <v>0.82</v>
      </c>
      <c r="CR361" s="7">
        <v>0.82350000000000001</v>
      </c>
      <c r="CS361" s="7">
        <v>0.82689999999999997</v>
      </c>
      <c r="CT361" s="7">
        <v>0.83030000000000004</v>
      </c>
      <c r="CU361" s="7">
        <v>0.8337</v>
      </c>
      <c r="CV361" s="7">
        <v>0.83699999999999997</v>
      </c>
      <c r="CW361" s="7">
        <v>0.84030000000000005</v>
      </c>
      <c r="CX361" s="7">
        <v>0.84350000000000003</v>
      </c>
      <c r="CY361" s="7">
        <v>0.84670000000000001</v>
      </c>
      <c r="CZ361" s="7">
        <v>0.8498</v>
      </c>
      <c r="DA361" s="7">
        <v>0.85289999999999999</v>
      </c>
      <c r="DB361" s="7">
        <v>0.85599999999999998</v>
      </c>
      <c r="DC361" s="7">
        <v>0.85899999999999999</v>
      </c>
      <c r="DD361" s="7">
        <v>0.86199999999999999</v>
      </c>
      <c r="DE361" s="7">
        <v>0.8649</v>
      </c>
      <c r="DF361" s="7">
        <v>0.86780000000000002</v>
      </c>
      <c r="DG361" s="7">
        <v>0.87070000000000003</v>
      </c>
      <c r="DH361" s="7">
        <v>0.87350000000000005</v>
      </c>
      <c r="DI361" s="7">
        <v>0.87639999999999996</v>
      </c>
      <c r="DJ361" s="7">
        <v>0.87909999999999999</v>
      </c>
      <c r="DK361" s="7">
        <v>0.88190000000000002</v>
      </c>
      <c r="DL361" s="7">
        <v>0.88460000000000005</v>
      </c>
      <c r="DM361" s="7">
        <v>0.88729999999999998</v>
      </c>
      <c r="DN361" s="7">
        <v>0.88990000000000002</v>
      </c>
      <c r="DO361" s="7">
        <v>0.89249999999999996</v>
      </c>
      <c r="DP361" s="7">
        <v>0.89510000000000001</v>
      </c>
      <c r="DQ361" s="7">
        <v>0.89770000000000005</v>
      </c>
      <c r="DR361" s="7">
        <v>0.9002</v>
      </c>
      <c r="DS361" s="7">
        <v>0.90269999999999995</v>
      </c>
      <c r="DT361" s="7">
        <v>0.9052</v>
      </c>
      <c r="DU361" s="7">
        <v>0.90759999999999996</v>
      </c>
      <c r="DV361" s="7">
        <v>0.91</v>
      </c>
      <c r="DW361" s="7">
        <v>0.91239999999999999</v>
      </c>
      <c r="DX361" s="7">
        <v>0.91479999999999995</v>
      </c>
      <c r="DY361" s="7">
        <v>0.91720000000000002</v>
      </c>
      <c r="DZ361" s="7">
        <v>0.91949999999999998</v>
      </c>
      <c r="EA361" s="7">
        <v>0.92179999999999995</v>
      </c>
      <c r="EB361" s="7">
        <v>0.92410000000000003</v>
      </c>
      <c r="EC361" s="7">
        <v>0.9264</v>
      </c>
      <c r="ED361" s="7">
        <v>0.92859999999999998</v>
      </c>
      <c r="EE361" s="7">
        <v>0.93079999999999996</v>
      </c>
      <c r="EF361" s="7">
        <v>0.93300000000000005</v>
      </c>
      <c r="EG361" s="7">
        <v>0.93520000000000003</v>
      </c>
      <c r="EH361" s="7">
        <v>0.93740000000000001</v>
      </c>
      <c r="EI361" s="7">
        <v>0.9395</v>
      </c>
      <c r="EJ361" s="7">
        <v>0.94159999999999999</v>
      </c>
      <c r="EK361" s="7">
        <v>0.94369999999999998</v>
      </c>
      <c r="EL361" s="7">
        <v>0.94579999999999997</v>
      </c>
      <c r="EM361" s="7">
        <v>0.94789999999999996</v>
      </c>
      <c r="EN361" s="7">
        <v>0.95</v>
      </c>
      <c r="EO361" s="7">
        <v>0.95199999999999996</v>
      </c>
      <c r="EP361" s="7">
        <v>0.95399999999999996</v>
      </c>
      <c r="EQ361" s="7">
        <v>0.95599999999999996</v>
      </c>
      <c r="ER361" s="7">
        <v>0.95799999999999996</v>
      </c>
      <c r="ES361" s="7">
        <v>0.96</v>
      </c>
      <c r="ET361" s="7">
        <v>0.96199999999999997</v>
      </c>
      <c r="EU361" s="7">
        <v>0.96399999999999997</v>
      </c>
      <c r="EV361" s="7">
        <v>0.96599999999999997</v>
      </c>
      <c r="EW361" s="7">
        <v>0.96799999999999997</v>
      </c>
      <c r="EX361" s="7">
        <v>0.97</v>
      </c>
      <c r="EY361" s="7">
        <v>0.97199999999999998</v>
      </c>
      <c r="EZ361" s="7">
        <v>0.97399999999999998</v>
      </c>
      <c r="FA361" s="7">
        <v>0.97499999999999998</v>
      </c>
      <c r="FB361" s="7">
        <v>0.97699999999999998</v>
      </c>
      <c r="FC361" s="7">
        <v>0.97899999999999998</v>
      </c>
      <c r="FE361" s="50">
        <f t="shared" ca="1" si="37"/>
        <v>0.91287941266442341</v>
      </c>
      <c r="FF361" s="50">
        <f t="shared" ca="1" si="38"/>
        <v>0.9113641781480295</v>
      </c>
      <c r="FG361" s="50">
        <f t="shared" ca="1" si="39"/>
        <v>0.90981798657718127</v>
      </c>
      <c r="FH361" s="50">
        <f t="shared" ca="1" si="40"/>
        <v>0.90820724832214772</v>
      </c>
      <c r="FI361" s="50"/>
      <c r="FK361" s="50">
        <f t="shared" ca="1" si="41"/>
        <v>0.9113641781480295</v>
      </c>
      <c r="FL361" s="50"/>
      <c r="FM361" s="50"/>
      <c r="FN361" s="50"/>
    </row>
    <row r="362" spans="49:170" hidden="1">
      <c r="AW362" s="112">
        <v>2.2389999999999999</v>
      </c>
      <c r="AX362" s="7">
        <v>0.58330000000000004</v>
      </c>
      <c r="AY362" s="7">
        <v>0.59099999999999997</v>
      </c>
      <c r="AZ362" s="7">
        <v>0.59850000000000003</v>
      </c>
      <c r="BA362" s="7">
        <v>0.60589999999999999</v>
      </c>
      <c r="BB362" s="7">
        <v>0.61309999999999998</v>
      </c>
      <c r="BC362" s="7">
        <v>0.62019999999999997</v>
      </c>
      <c r="BD362" s="7">
        <v>0.62709999999999999</v>
      </c>
      <c r="BE362" s="7">
        <v>0.63380000000000003</v>
      </c>
      <c r="BF362" s="7">
        <v>0.64049999999999996</v>
      </c>
      <c r="BG362" s="7">
        <v>0.64700000000000002</v>
      </c>
      <c r="BH362" s="7">
        <v>0.65339999999999998</v>
      </c>
      <c r="BI362" s="7">
        <v>0.65959999999999996</v>
      </c>
      <c r="BJ362" s="7">
        <v>0.66569999999999996</v>
      </c>
      <c r="BK362" s="7">
        <v>0.67179999999999995</v>
      </c>
      <c r="BL362" s="7">
        <v>0.67769999999999997</v>
      </c>
      <c r="BM362" s="7">
        <v>0.68340000000000001</v>
      </c>
      <c r="BN362" s="7">
        <v>0.68910000000000005</v>
      </c>
      <c r="BO362" s="7">
        <v>0.69469999999999998</v>
      </c>
      <c r="BP362" s="7">
        <v>0.70020000000000004</v>
      </c>
      <c r="BQ362" s="7">
        <v>0.7056</v>
      </c>
      <c r="BR362" s="7">
        <v>0.71089999999999998</v>
      </c>
      <c r="BS362" s="7">
        <v>0.71599999999999997</v>
      </c>
      <c r="BT362" s="7">
        <v>0.72109999999999996</v>
      </c>
      <c r="BU362" s="7">
        <v>0.72619999999999996</v>
      </c>
      <c r="BV362" s="7">
        <v>0.73109999999999997</v>
      </c>
      <c r="BW362" s="7">
        <v>0.7359</v>
      </c>
      <c r="BX362" s="7">
        <v>0.74070000000000003</v>
      </c>
      <c r="BY362" s="7">
        <v>0.74539999999999995</v>
      </c>
      <c r="BZ362" s="7">
        <v>0.75</v>
      </c>
      <c r="CA362" s="7">
        <v>0.75449999999999995</v>
      </c>
      <c r="CB362" s="7">
        <v>0.75890000000000002</v>
      </c>
      <c r="CC362" s="7">
        <v>0.76329999999999998</v>
      </c>
      <c r="CD362" s="7">
        <v>0.76759999999999995</v>
      </c>
      <c r="CE362" s="7">
        <v>0.77190000000000003</v>
      </c>
      <c r="CF362" s="7">
        <v>0.77610000000000001</v>
      </c>
      <c r="CG362" s="7">
        <v>0.7802</v>
      </c>
      <c r="CH362" s="7">
        <v>0.78420000000000001</v>
      </c>
      <c r="CI362" s="7">
        <v>0.78820000000000001</v>
      </c>
      <c r="CJ362" s="7">
        <v>0.79210000000000003</v>
      </c>
      <c r="CK362" s="7">
        <v>0.79600000000000004</v>
      </c>
      <c r="CL362" s="7">
        <v>0.79979999999999996</v>
      </c>
      <c r="CM362" s="7">
        <v>0.80359999999999998</v>
      </c>
      <c r="CN362" s="7">
        <v>0.80730000000000002</v>
      </c>
      <c r="CO362" s="7">
        <v>0.81089999999999995</v>
      </c>
      <c r="CP362" s="7">
        <v>0.8145</v>
      </c>
      <c r="CQ362" s="7">
        <v>0.81810000000000005</v>
      </c>
      <c r="CR362" s="7">
        <v>0.8216</v>
      </c>
      <c r="CS362" s="7">
        <v>0.82499999999999996</v>
      </c>
      <c r="CT362" s="7">
        <v>0.82840000000000003</v>
      </c>
      <c r="CU362" s="7">
        <v>0.83179999999999998</v>
      </c>
      <c r="CV362" s="7">
        <v>0.83509999999999995</v>
      </c>
      <c r="CW362" s="7">
        <v>0.83830000000000005</v>
      </c>
      <c r="CX362" s="7">
        <v>0.84150000000000003</v>
      </c>
      <c r="CY362" s="7">
        <v>0.84470000000000001</v>
      </c>
      <c r="CZ362" s="7">
        <v>0.84789999999999999</v>
      </c>
      <c r="DA362" s="7">
        <v>0.85089999999999999</v>
      </c>
      <c r="DB362" s="7">
        <v>0.85399999999999998</v>
      </c>
      <c r="DC362" s="7">
        <v>0.85699999999999998</v>
      </c>
      <c r="DD362" s="7">
        <v>0.86</v>
      </c>
      <c r="DE362" s="7">
        <v>0.8629</v>
      </c>
      <c r="DF362" s="7">
        <v>0.86580000000000001</v>
      </c>
      <c r="DG362" s="7">
        <v>0.86870000000000003</v>
      </c>
      <c r="DH362" s="7">
        <v>0.87150000000000005</v>
      </c>
      <c r="DI362" s="7">
        <v>0.87429999999999997</v>
      </c>
      <c r="DJ362" s="7">
        <v>0.87709999999999999</v>
      </c>
      <c r="DK362" s="7">
        <v>0.87980000000000003</v>
      </c>
      <c r="DL362" s="7">
        <v>0.88249999999999995</v>
      </c>
      <c r="DM362" s="7">
        <v>0.88519999999999999</v>
      </c>
      <c r="DN362" s="7">
        <v>0.88780000000000003</v>
      </c>
      <c r="DO362" s="7">
        <v>0.89049999999999996</v>
      </c>
      <c r="DP362" s="7">
        <v>0.89300000000000002</v>
      </c>
      <c r="DQ362" s="7">
        <v>0.89559999999999995</v>
      </c>
      <c r="DR362" s="7">
        <v>0.89810000000000001</v>
      </c>
      <c r="DS362" s="7">
        <v>0.90059999999999996</v>
      </c>
      <c r="DT362" s="7">
        <v>0.90310000000000001</v>
      </c>
      <c r="DU362" s="7">
        <v>0.90549999999999997</v>
      </c>
      <c r="DV362" s="7">
        <v>0.90800000000000003</v>
      </c>
      <c r="DW362" s="7">
        <v>0.9103</v>
      </c>
      <c r="DX362" s="7">
        <v>0.91269999999999996</v>
      </c>
      <c r="DY362" s="7">
        <v>0.91510000000000002</v>
      </c>
      <c r="DZ362" s="7">
        <v>0.91739999999999999</v>
      </c>
      <c r="EA362" s="7">
        <v>0.91969999999999996</v>
      </c>
      <c r="EB362" s="7">
        <v>0.92200000000000004</v>
      </c>
      <c r="EC362" s="7">
        <v>0.92420000000000002</v>
      </c>
      <c r="ED362" s="7">
        <v>0.92649999999999999</v>
      </c>
      <c r="EE362" s="7">
        <v>0.92869999999999997</v>
      </c>
      <c r="EF362" s="7">
        <v>0.93089999999999995</v>
      </c>
      <c r="EG362" s="7">
        <v>0.93310000000000004</v>
      </c>
      <c r="EH362" s="7">
        <v>0.93520000000000003</v>
      </c>
      <c r="EI362" s="7">
        <v>0.93740000000000001</v>
      </c>
      <c r="EJ362" s="7">
        <v>0.9395</v>
      </c>
      <c r="EK362" s="7">
        <v>0.94159999999999999</v>
      </c>
      <c r="EL362" s="7">
        <v>0.94369999999999998</v>
      </c>
      <c r="EM362" s="7">
        <v>0.94569999999999999</v>
      </c>
      <c r="EN362" s="7">
        <v>0.94779999999999998</v>
      </c>
      <c r="EO362" s="7">
        <v>0.94979999999999998</v>
      </c>
      <c r="EP362" s="7">
        <v>0.95179999999999998</v>
      </c>
      <c r="EQ362" s="7">
        <v>0.95379999999999998</v>
      </c>
      <c r="ER362" s="7">
        <v>0.95579999999999998</v>
      </c>
      <c r="ES362" s="7">
        <v>0.95779999999999998</v>
      </c>
      <c r="ET362" s="7">
        <v>0.96</v>
      </c>
      <c r="EU362" s="7">
        <v>0.96199999999999997</v>
      </c>
      <c r="EV362" s="7">
        <v>0.96399999999999997</v>
      </c>
      <c r="EW362" s="7">
        <v>0.96599999999999997</v>
      </c>
      <c r="EX362" s="7">
        <v>0.96799999999999997</v>
      </c>
      <c r="EY362" s="7">
        <v>0.96899999999999997</v>
      </c>
      <c r="EZ362" s="7">
        <v>0.97099999999999997</v>
      </c>
      <c r="FA362" s="7">
        <v>0.97299999999999998</v>
      </c>
      <c r="FB362" s="7">
        <v>0.97499999999999998</v>
      </c>
      <c r="FC362" s="7">
        <v>0.97699999999999998</v>
      </c>
      <c r="FE362" s="50">
        <f t="shared" ca="1" si="37"/>
        <v>0.91077941266442342</v>
      </c>
      <c r="FF362" s="50">
        <f t="shared" ca="1" si="38"/>
        <v>0.90930733739186165</v>
      </c>
      <c r="FG362" s="50">
        <f t="shared" ca="1" si="39"/>
        <v>0.90781040268456381</v>
      </c>
      <c r="FH362" s="50">
        <f t="shared" ca="1" si="40"/>
        <v>0.90613255033557039</v>
      </c>
      <c r="FI362" s="50"/>
      <c r="FK362" s="50">
        <f t="shared" ca="1" si="41"/>
        <v>0.90930733739186165</v>
      </c>
      <c r="FL362" s="50"/>
      <c r="FM362" s="50"/>
      <c r="FN362" s="50"/>
    </row>
    <row r="363" spans="49:170" hidden="1">
      <c r="AW363" s="112">
        <v>2.399</v>
      </c>
      <c r="AX363" s="7">
        <v>0.58199999999999996</v>
      </c>
      <c r="AY363" s="7">
        <v>0.5897</v>
      </c>
      <c r="AZ363" s="7">
        <v>0.59719999999999995</v>
      </c>
      <c r="BA363" s="7">
        <v>0.60450000000000004</v>
      </c>
      <c r="BB363" s="7">
        <v>0.61170000000000002</v>
      </c>
      <c r="BC363" s="7">
        <v>0.61870000000000003</v>
      </c>
      <c r="BD363" s="7">
        <v>0.62560000000000004</v>
      </c>
      <c r="BE363" s="7">
        <v>0.63239999999999996</v>
      </c>
      <c r="BF363" s="7">
        <v>0.63900000000000001</v>
      </c>
      <c r="BG363" s="7">
        <v>0.64549999999999996</v>
      </c>
      <c r="BH363" s="7">
        <v>0.65190000000000003</v>
      </c>
      <c r="BI363" s="7">
        <v>0.65810000000000002</v>
      </c>
      <c r="BJ363" s="7">
        <v>0.66420000000000001</v>
      </c>
      <c r="BK363" s="7">
        <v>0.67020000000000002</v>
      </c>
      <c r="BL363" s="7">
        <v>0.67610000000000003</v>
      </c>
      <c r="BM363" s="7">
        <v>0.68189999999999995</v>
      </c>
      <c r="BN363" s="7">
        <v>0.68759999999999999</v>
      </c>
      <c r="BO363" s="7">
        <v>0.69310000000000005</v>
      </c>
      <c r="BP363" s="7">
        <v>0.6986</v>
      </c>
      <c r="BQ363" s="7">
        <v>0.70399999999999996</v>
      </c>
      <c r="BR363" s="7">
        <v>0.70920000000000005</v>
      </c>
      <c r="BS363" s="7">
        <v>0.71440000000000003</v>
      </c>
      <c r="BT363" s="7">
        <v>0.71950000000000003</v>
      </c>
      <c r="BU363" s="7">
        <v>0.72450000000000003</v>
      </c>
      <c r="BV363" s="7">
        <v>0.72940000000000005</v>
      </c>
      <c r="BW363" s="7">
        <v>0.73419999999999996</v>
      </c>
      <c r="BX363" s="7">
        <v>0.73899999999999999</v>
      </c>
      <c r="BY363" s="7">
        <v>0.74370000000000003</v>
      </c>
      <c r="BZ363" s="7">
        <v>0.74829999999999997</v>
      </c>
      <c r="CA363" s="7">
        <v>0.75280000000000002</v>
      </c>
      <c r="CB363" s="7">
        <v>0.75719999999999998</v>
      </c>
      <c r="CC363" s="7">
        <v>0.76160000000000005</v>
      </c>
      <c r="CD363" s="7">
        <v>0.76590000000000003</v>
      </c>
      <c r="CE363" s="7">
        <v>0.77010000000000001</v>
      </c>
      <c r="CF363" s="7">
        <v>0.77429999999999999</v>
      </c>
      <c r="CG363" s="7">
        <v>0.77839999999999998</v>
      </c>
      <c r="CH363" s="7">
        <v>0.78239999999999998</v>
      </c>
      <c r="CI363" s="7">
        <v>0.78639999999999999</v>
      </c>
      <c r="CJ363" s="7">
        <v>0.7903</v>
      </c>
      <c r="CK363" s="7">
        <v>0.79420000000000002</v>
      </c>
      <c r="CL363" s="7">
        <v>0.79800000000000004</v>
      </c>
      <c r="CM363" s="7">
        <v>0.80179999999999996</v>
      </c>
      <c r="CN363" s="7">
        <v>0.80549999999999999</v>
      </c>
      <c r="CO363" s="7">
        <v>0.80910000000000004</v>
      </c>
      <c r="CP363" s="7">
        <v>0.81269999999999998</v>
      </c>
      <c r="CQ363" s="7">
        <v>0.81620000000000004</v>
      </c>
      <c r="CR363" s="7">
        <v>0.81969999999999998</v>
      </c>
      <c r="CS363" s="7">
        <v>0.82310000000000005</v>
      </c>
      <c r="CT363" s="7">
        <v>0.82650000000000001</v>
      </c>
      <c r="CU363" s="7">
        <v>0.82989999999999997</v>
      </c>
      <c r="CV363" s="7">
        <v>0.83320000000000005</v>
      </c>
      <c r="CW363" s="7">
        <v>0.83640000000000003</v>
      </c>
      <c r="CX363" s="7">
        <v>0.83960000000000001</v>
      </c>
      <c r="CY363" s="7">
        <v>0.84279999999999999</v>
      </c>
      <c r="CZ363" s="7">
        <v>0.84589999999999999</v>
      </c>
      <c r="DA363" s="7">
        <v>0.84899999999999998</v>
      </c>
      <c r="DB363" s="7">
        <v>0.85209999999999997</v>
      </c>
      <c r="DC363" s="7">
        <v>0.85509999999999997</v>
      </c>
      <c r="DD363" s="7">
        <v>0.85799999999999998</v>
      </c>
      <c r="DE363" s="7">
        <v>0.86099999999999999</v>
      </c>
      <c r="DF363" s="7">
        <v>0.8639</v>
      </c>
      <c r="DG363" s="7">
        <v>0.86670000000000003</v>
      </c>
      <c r="DH363" s="7">
        <v>0.86960000000000004</v>
      </c>
      <c r="DI363" s="7">
        <v>0.87239999999999995</v>
      </c>
      <c r="DJ363" s="7">
        <v>0.87509999999999999</v>
      </c>
      <c r="DK363" s="7">
        <v>0.87780000000000002</v>
      </c>
      <c r="DL363" s="7">
        <v>0.88049999999999995</v>
      </c>
      <c r="DM363" s="7">
        <v>0.88319999999999999</v>
      </c>
      <c r="DN363" s="7">
        <v>0.88580000000000003</v>
      </c>
      <c r="DO363" s="7">
        <v>0.88839999999999997</v>
      </c>
      <c r="DP363" s="7">
        <v>0.89100000000000001</v>
      </c>
      <c r="DQ363" s="7">
        <v>0.89359999999999995</v>
      </c>
      <c r="DR363" s="7">
        <v>0.89610000000000001</v>
      </c>
      <c r="DS363" s="7">
        <v>0.89859999999999995</v>
      </c>
      <c r="DT363" s="7">
        <v>0.90100000000000002</v>
      </c>
      <c r="DU363" s="7">
        <v>0.90349999999999997</v>
      </c>
      <c r="DV363" s="7">
        <v>0.90590000000000004</v>
      </c>
      <c r="DW363" s="7">
        <v>0.9083</v>
      </c>
      <c r="DX363" s="7">
        <v>0.91059999999999997</v>
      </c>
      <c r="DY363" s="7">
        <v>0.91300000000000003</v>
      </c>
      <c r="DZ363" s="7">
        <v>0.9153</v>
      </c>
      <c r="EA363" s="7">
        <v>0.91759999999999997</v>
      </c>
      <c r="EB363" s="7">
        <v>0.91990000000000005</v>
      </c>
      <c r="EC363" s="7">
        <v>0.92210000000000003</v>
      </c>
      <c r="ED363" s="7">
        <v>0.9244</v>
      </c>
      <c r="EE363" s="7">
        <v>0.92659999999999998</v>
      </c>
      <c r="EF363" s="7">
        <v>0.92879999999999996</v>
      </c>
      <c r="EG363" s="7">
        <v>0.93089999999999995</v>
      </c>
      <c r="EH363" s="7">
        <v>0.93310000000000004</v>
      </c>
      <c r="EI363" s="7">
        <v>0.93520000000000003</v>
      </c>
      <c r="EJ363" s="7">
        <v>0.93730000000000002</v>
      </c>
      <c r="EK363" s="7">
        <v>0.93940000000000001</v>
      </c>
      <c r="EL363" s="7">
        <v>0.9415</v>
      </c>
      <c r="EM363" s="7">
        <v>0.94359999999999999</v>
      </c>
      <c r="EN363" s="7">
        <v>0.9456</v>
      </c>
      <c r="EO363" s="7">
        <v>0.94769999999999999</v>
      </c>
      <c r="EP363" s="7">
        <v>0.94969999999999999</v>
      </c>
      <c r="EQ363" s="7">
        <v>0.95169999999999999</v>
      </c>
      <c r="ER363" s="7">
        <v>0.95369999999999999</v>
      </c>
      <c r="ES363" s="7">
        <v>0.9556</v>
      </c>
      <c r="ET363" s="7">
        <v>0.95799999999999996</v>
      </c>
      <c r="EU363" s="7">
        <v>0.96</v>
      </c>
      <c r="EV363" s="7">
        <v>0.96199999999999997</v>
      </c>
      <c r="EW363" s="7">
        <v>0.96299999999999997</v>
      </c>
      <c r="EX363" s="7">
        <v>0.96499999999999997</v>
      </c>
      <c r="EY363" s="7">
        <v>0.96699999999999997</v>
      </c>
      <c r="EZ363" s="7">
        <v>0.96899999999999997</v>
      </c>
      <c r="FA363" s="7">
        <v>0.97099999999999997</v>
      </c>
      <c r="FB363" s="7">
        <v>0.97299999999999998</v>
      </c>
      <c r="FC363" s="7">
        <v>0.97499999999999998</v>
      </c>
      <c r="FE363" s="50">
        <f t="shared" ca="1" si="37"/>
        <v>0.90875943713673912</v>
      </c>
      <c r="FF363" s="50">
        <f t="shared" ca="1" si="38"/>
        <v>0.90726417814802951</v>
      </c>
      <c r="FG363" s="50">
        <f t="shared" ca="1" si="39"/>
        <v>0.90571798657718128</v>
      </c>
      <c r="FH363" s="50">
        <f t="shared" ca="1" si="40"/>
        <v>0.90410724832214773</v>
      </c>
      <c r="FI363" s="50"/>
      <c r="FK363" s="50">
        <f t="shared" ca="1" si="41"/>
        <v>0.90726417814802951</v>
      </c>
      <c r="FL363" s="50"/>
      <c r="FM363" s="50"/>
      <c r="FN363" s="50"/>
    </row>
    <row r="364" spans="49:170" hidden="1">
      <c r="AW364" s="112">
        <v>2.57</v>
      </c>
      <c r="AX364" s="7">
        <v>0.58069999999999999</v>
      </c>
      <c r="AY364" s="7">
        <v>0.58830000000000005</v>
      </c>
      <c r="AZ364" s="7">
        <v>0.5958</v>
      </c>
      <c r="BA364" s="7">
        <v>0.60319999999999996</v>
      </c>
      <c r="BB364" s="7">
        <v>0.61029999999999995</v>
      </c>
      <c r="BC364" s="7">
        <v>0.61739999999999995</v>
      </c>
      <c r="BD364" s="7">
        <v>0.62419999999999998</v>
      </c>
      <c r="BE364" s="7">
        <v>0.63100000000000001</v>
      </c>
      <c r="BF364" s="7">
        <v>0.63759999999999994</v>
      </c>
      <c r="BG364" s="7">
        <v>0.64410000000000001</v>
      </c>
      <c r="BH364" s="7">
        <v>0.65039999999999998</v>
      </c>
      <c r="BI364" s="7">
        <v>0.65659999999999996</v>
      </c>
      <c r="BJ364" s="7">
        <v>0.66269999999999996</v>
      </c>
      <c r="BK364" s="7">
        <v>0.66869999999999996</v>
      </c>
      <c r="BL364" s="7">
        <v>0.67459999999999998</v>
      </c>
      <c r="BM364" s="7">
        <v>0.6804</v>
      </c>
      <c r="BN364" s="7">
        <v>0.68600000000000005</v>
      </c>
      <c r="BO364" s="7">
        <v>0.69159999999999999</v>
      </c>
      <c r="BP364" s="7">
        <v>0.69699999999999995</v>
      </c>
      <c r="BQ364" s="7">
        <v>0.70240000000000002</v>
      </c>
      <c r="BR364" s="7">
        <v>0.70760000000000001</v>
      </c>
      <c r="BS364" s="7">
        <v>0.71279999999999999</v>
      </c>
      <c r="BT364" s="7">
        <v>0.71789999999999998</v>
      </c>
      <c r="BU364" s="7">
        <v>0.72289999999999999</v>
      </c>
      <c r="BV364" s="7">
        <v>0.7278</v>
      </c>
      <c r="BW364" s="7">
        <v>0.73260000000000003</v>
      </c>
      <c r="BX364" s="7">
        <v>0.73729999999999996</v>
      </c>
      <c r="BY364" s="7">
        <v>0.74199999999999999</v>
      </c>
      <c r="BZ364" s="7">
        <v>0.74660000000000004</v>
      </c>
      <c r="CA364" s="7">
        <v>0.75109999999999999</v>
      </c>
      <c r="CB364" s="7">
        <v>0.75549999999999995</v>
      </c>
      <c r="CC364" s="7">
        <v>0.75990000000000002</v>
      </c>
      <c r="CD364" s="7">
        <v>0.76419999999999999</v>
      </c>
      <c r="CE364" s="7">
        <v>0.76839999999999997</v>
      </c>
      <c r="CF364" s="7">
        <v>0.77259999999999995</v>
      </c>
      <c r="CG364" s="7">
        <v>0.77669999999999995</v>
      </c>
      <c r="CH364" s="7">
        <v>0.78069999999999995</v>
      </c>
      <c r="CI364" s="7">
        <v>0.78469999999999995</v>
      </c>
      <c r="CJ364" s="7">
        <v>0.78859999999999997</v>
      </c>
      <c r="CK364" s="7">
        <v>0.79239999999999999</v>
      </c>
      <c r="CL364" s="7">
        <v>0.79620000000000002</v>
      </c>
      <c r="CM364" s="7">
        <v>0.8</v>
      </c>
      <c r="CN364" s="7">
        <v>0.80359999999999998</v>
      </c>
      <c r="CO364" s="7">
        <v>0.80730000000000002</v>
      </c>
      <c r="CP364" s="7">
        <v>0.81089999999999995</v>
      </c>
      <c r="CQ364" s="7">
        <v>0.81440000000000001</v>
      </c>
      <c r="CR364" s="7">
        <v>0.81789999999999996</v>
      </c>
      <c r="CS364" s="7">
        <v>0.82130000000000003</v>
      </c>
      <c r="CT364" s="7">
        <v>0.82469999999999999</v>
      </c>
      <c r="CU364" s="7">
        <v>0.82799999999999996</v>
      </c>
      <c r="CV364" s="7">
        <v>0.83130000000000004</v>
      </c>
      <c r="CW364" s="7">
        <v>0.83450000000000002</v>
      </c>
      <c r="CX364" s="7">
        <v>0.83779999999999999</v>
      </c>
      <c r="CY364" s="7">
        <v>0.84089999999999998</v>
      </c>
      <c r="CZ364" s="7">
        <v>0.84399999999999997</v>
      </c>
      <c r="DA364" s="7">
        <v>0.84709999999999996</v>
      </c>
      <c r="DB364" s="7">
        <v>0.85019999999999996</v>
      </c>
      <c r="DC364" s="7">
        <v>0.85319999999999996</v>
      </c>
      <c r="DD364" s="7">
        <v>0.85609999999999997</v>
      </c>
      <c r="DE364" s="7">
        <v>0.85899999999999999</v>
      </c>
      <c r="DF364" s="7">
        <v>0.8619</v>
      </c>
      <c r="DG364" s="7">
        <v>0.86480000000000001</v>
      </c>
      <c r="DH364" s="7">
        <v>0.86760000000000004</v>
      </c>
      <c r="DI364" s="7">
        <v>0.87039999999999995</v>
      </c>
      <c r="DJ364" s="7">
        <v>0.87309999999999999</v>
      </c>
      <c r="DK364" s="7">
        <v>0.87590000000000001</v>
      </c>
      <c r="DL364" s="7">
        <v>0.87860000000000005</v>
      </c>
      <c r="DM364" s="7">
        <v>0.88119999999999998</v>
      </c>
      <c r="DN364" s="7">
        <v>0.88380000000000003</v>
      </c>
      <c r="DO364" s="7">
        <v>0.88639999999999997</v>
      </c>
      <c r="DP364" s="7">
        <v>0.88900000000000001</v>
      </c>
      <c r="DQ364" s="7">
        <v>0.89159999999999995</v>
      </c>
      <c r="DR364" s="7">
        <v>0.89410000000000001</v>
      </c>
      <c r="DS364" s="7">
        <v>0.89659999999999995</v>
      </c>
      <c r="DT364" s="7">
        <v>0.89900000000000002</v>
      </c>
      <c r="DU364" s="7">
        <v>0.90149999999999997</v>
      </c>
      <c r="DV364" s="7">
        <v>0.90390000000000004</v>
      </c>
      <c r="DW364" s="7">
        <v>0.90620000000000001</v>
      </c>
      <c r="DX364" s="7">
        <v>0.90859999999999996</v>
      </c>
      <c r="DY364" s="7">
        <v>0.91090000000000004</v>
      </c>
      <c r="DZ364" s="7">
        <v>0.9133</v>
      </c>
      <c r="EA364" s="7">
        <v>0.91549999999999998</v>
      </c>
      <c r="EB364" s="7">
        <v>0.91779999999999995</v>
      </c>
      <c r="EC364" s="7">
        <v>0.92010000000000003</v>
      </c>
      <c r="ED364" s="7">
        <v>0.92230000000000001</v>
      </c>
      <c r="EE364" s="7">
        <v>0.92449999999999999</v>
      </c>
      <c r="EF364" s="7">
        <v>0.92669999999999997</v>
      </c>
      <c r="EG364" s="7">
        <v>0.92879999999999996</v>
      </c>
      <c r="EH364" s="7">
        <v>0.93100000000000005</v>
      </c>
      <c r="EI364" s="7">
        <v>0.93310000000000004</v>
      </c>
      <c r="EJ364" s="7">
        <v>0.93520000000000003</v>
      </c>
      <c r="EK364" s="7">
        <v>0.93730000000000002</v>
      </c>
      <c r="EL364" s="7">
        <v>0.93940000000000001</v>
      </c>
      <c r="EM364" s="7">
        <v>0.9415</v>
      </c>
      <c r="EN364" s="7">
        <v>0.94350000000000001</v>
      </c>
      <c r="EO364" s="7">
        <v>0.94550000000000001</v>
      </c>
      <c r="EP364" s="7">
        <v>0.94750000000000001</v>
      </c>
      <c r="EQ364" s="7">
        <v>0.94950000000000001</v>
      </c>
      <c r="ER364" s="7">
        <v>0.95150000000000001</v>
      </c>
      <c r="ES364" s="7">
        <v>0.95350000000000001</v>
      </c>
      <c r="ET364" s="7">
        <v>0.95599999999999996</v>
      </c>
      <c r="EU364" s="7">
        <v>0.95699999999999996</v>
      </c>
      <c r="EV364" s="7">
        <v>0.95899999999999996</v>
      </c>
      <c r="EW364" s="7">
        <v>0.96099999999999997</v>
      </c>
      <c r="EX364" s="7">
        <v>0.96299999999999997</v>
      </c>
      <c r="EY364" s="7">
        <v>0.96499999999999997</v>
      </c>
      <c r="EZ364" s="7">
        <v>0.96699999999999997</v>
      </c>
      <c r="FA364" s="7">
        <v>0.96899999999999997</v>
      </c>
      <c r="FB364" s="7">
        <v>0.97099999999999997</v>
      </c>
      <c r="FC364" s="7">
        <v>0.97299999999999998</v>
      </c>
      <c r="FE364" s="50">
        <f t="shared" ca="1" si="37"/>
        <v>0.90667941266442342</v>
      </c>
      <c r="FF364" s="50">
        <f t="shared" ca="1" si="38"/>
        <v>0.90520733739186166</v>
      </c>
      <c r="FG364" s="50">
        <f t="shared" ca="1" si="39"/>
        <v>0.90371798657718128</v>
      </c>
      <c r="FH364" s="50">
        <f t="shared" ca="1" si="40"/>
        <v>0.90210724832214773</v>
      </c>
      <c r="FI364" s="50"/>
      <c r="FK364" s="50">
        <f t="shared" ca="1" si="41"/>
        <v>0.90520733739186166</v>
      </c>
      <c r="FL364" s="50"/>
      <c r="FM364" s="50"/>
      <c r="FN364" s="50"/>
    </row>
    <row r="365" spans="49:170" hidden="1">
      <c r="AW365" s="112">
        <v>2.754</v>
      </c>
      <c r="AX365" s="7">
        <v>0.57940000000000003</v>
      </c>
      <c r="AY365" s="7">
        <v>0.58699999999999997</v>
      </c>
      <c r="AZ365" s="7">
        <v>0.59450000000000003</v>
      </c>
      <c r="BA365" s="7">
        <v>0.6018</v>
      </c>
      <c r="BB365" s="7">
        <v>0.60899999999999999</v>
      </c>
      <c r="BC365" s="7">
        <v>0.61599999999999999</v>
      </c>
      <c r="BD365" s="7">
        <v>0.62290000000000001</v>
      </c>
      <c r="BE365" s="7">
        <v>0.62960000000000005</v>
      </c>
      <c r="BF365" s="7">
        <v>0.63619999999999999</v>
      </c>
      <c r="BG365" s="7">
        <v>0.64259999999999995</v>
      </c>
      <c r="BH365" s="7">
        <v>0.64900000000000002</v>
      </c>
      <c r="BI365" s="7">
        <v>0.6552</v>
      </c>
      <c r="BJ365" s="7">
        <v>0.6613</v>
      </c>
      <c r="BK365" s="7">
        <v>0.66720000000000002</v>
      </c>
      <c r="BL365" s="7">
        <v>0.67310000000000003</v>
      </c>
      <c r="BM365" s="7">
        <v>0.67889999999999995</v>
      </c>
      <c r="BN365" s="7">
        <v>0.6845</v>
      </c>
      <c r="BO365" s="7">
        <v>0.69</v>
      </c>
      <c r="BP365" s="7">
        <v>0.69550000000000001</v>
      </c>
      <c r="BQ365" s="7">
        <v>0.70079999999999998</v>
      </c>
      <c r="BR365" s="7">
        <v>0.70609999999999995</v>
      </c>
      <c r="BS365" s="7">
        <v>0.71120000000000005</v>
      </c>
      <c r="BT365" s="7">
        <v>0.71630000000000005</v>
      </c>
      <c r="BU365" s="7">
        <v>0.72130000000000005</v>
      </c>
      <c r="BV365" s="7">
        <v>0.72619999999999996</v>
      </c>
      <c r="BW365" s="7">
        <v>0.73099999999999998</v>
      </c>
      <c r="BX365" s="7">
        <v>0.73570000000000002</v>
      </c>
      <c r="BY365" s="7">
        <v>0.74039999999999995</v>
      </c>
      <c r="BZ365" s="7">
        <v>0.74490000000000001</v>
      </c>
      <c r="CA365" s="7">
        <v>0.74939999999999996</v>
      </c>
      <c r="CB365" s="7">
        <v>0.75390000000000001</v>
      </c>
      <c r="CC365" s="7">
        <v>0.75819999999999999</v>
      </c>
      <c r="CD365" s="7">
        <v>0.76249999999999996</v>
      </c>
      <c r="CE365" s="7">
        <v>0.76670000000000005</v>
      </c>
      <c r="CF365" s="7">
        <v>0.77090000000000003</v>
      </c>
      <c r="CG365" s="7">
        <v>0.77490000000000003</v>
      </c>
      <c r="CH365" s="7">
        <v>0.77900000000000003</v>
      </c>
      <c r="CI365" s="7">
        <v>0.78290000000000004</v>
      </c>
      <c r="CJ365" s="7">
        <v>0.78680000000000005</v>
      </c>
      <c r="CK365" s="7">
        <v>0.79069999999999996</v>
      </c>
      <c r="CL365" s="7">
        <v>0.79449999999999998</v>
      </c>
      <c r="CM365" s="7">
        <v>0.79820000000000002</v>
      </c>
      <c r="CN365" s="7">
        <v>0.80189999999999995</v>
      </c>
      <c r="CO365" s="7">
        <v>0.80549999999999999</v>
      </c>
      <c r="CP365" s="7">
        <v>0.80910000000000004</v>
      </c>
      <c r="CQ365" s="7">
        <v>0.81259999999999999</v>
      </c>
      <c r="CR365" s="7">
        <v>0.81610000000000005</v>
      </c>
      <c r="CS365" s="7">
        <v>0.81950000000000001</v>
      </c>
      <c r="CT365" s="7">
        <v>0.82289999999999996</v>
      </c>
      <c r="CU365" s="7">
        <v>0.82620000000000005</v>
      </c>
      <c r="CV365" s="7">
        <v>0.82950000000000002</v>
      </c>
      <c r="CW365" s="7">
        <v>0.8327</v>
      </c>
      <c r="CX365" s="7">
        <v>0.83589999999999998</v>
      </c>
      <c r="CY365" s="7">
        <v>0.83909999999999996</v>
      </c>
      <c r="CZ365" s="7">
        <v>0.84219999999999995</v>
      </c>
      <c r="DA365" s="7">
        <v>0.84519999999999995</v>
      </c>
      <c r="DB365" s="7">
        <v>0.84830000000000005</v>
      </c>
      <c r="DC365" s="7">
        <v>0.85129999999999995</v>
      </c>
      <c r="DD365" s="7">
        <v>0.85419999999999996</v>
      </c>
      <c r="DE365" s="7">
        <v>0.85709999999999997</v>
      </c>
      <c r="DF365" s="7">
        <v>0.86</v>
      </c>
      <c r="DG365" s="7">
        <v>0.8629</v>
      </c>
      <c r="DH365" s="7">
        <v>0.86570000000000003</v>
      </c>
      <c r="DI365" s="7">
        <v>0.86850000000000005</v>
      </c>
      <c r="DJ365" s="7">
        <v>0.87119999999999997</v>
      </c>
      <c r="DK365" s="7">
        <v>0.87390000000000001</v>
      </c>
      <c r="DL365" s="7">
        <v>0.87660000000000005</v>
      </c>
      <c r="DM365" s="7">
        <v>0.87929999999999997</v>
      </c>
      <c r="DN365" s="7">
        <v>0.88190000000000002</v>
      </c>
      <c r="DO365" s="7">
        <v>0.88449999999999995</v>
      </c>
      <c r="DP365" s="7">
        <v>0.88700000000000001</v>
      </c>
      <c r="DQ365" s="7">
        <v>0.88959999999999995</v>
      </c>
      <c r="DR365" s="7">
        <v>0.8921</v>
      </c>
      <c r="DS365" s="7">
        <v>0.89459999999999995</v>
      </c>
      <c r="DT365" s="7">
        <v>0.89700000000000002</v>
      </c>
      <c r="DU365" s="7">
        <v>0.89949999999999997</v>
      </c>
      <c r="DV365" s="7">
        <v>0.90190000000000003</v>
      </c>
      <c r="DW365" s="7">
        <v>0.9042</v>
      </c>
      <c r="DX365" s="7">
        <v>0.90659999999999996</v>
      </c>
      <c r="DY365" s="7">
        <v>0.90890000000000004</v>
      </c>
      <c r="DZ365" s="7">
        <v>0.91120000000000001</v>
      </c>
      <c r="EA365" s="7">
        <v>0.91349999999999998</v>
      </c>
      <c r="EB365" s="7">
        <v>0.91579999999999995</v>
      </c>
      <c r="EC365" s="7">
        <v>0.91800000000000004</v>
      </c>
      <c r="ED365" s="7">
        <v>0.92020000000000002</v>
      </c>
      <c r="EE365" s="7">
        <v>0.92249999999999999</v>
      </c>
      <c r="EF365" s="7">
        <v>0.92459999999999998</v>
      </c>
      <c r="EG365" s="7">
        <v>0.92679999999999996</v>
      </c>
      <c r="EH365" s="7">
        <v>0.92889999999999995</v>
      </c>
      <c r="EI365" s="7">
        <v>0.93110000000000004</v>
      </c>
      <c r="EJ365" s="7">
        <v>0.93320000000000003</v>
      </c>
      <c r="EK365" s="7">
        <v>0.93530000000000002</v>
      </c>
      <c r="EL365" s="7">
        <v>0.93730000000000002</v>
      </c>
      <c r="EM365" s="7">
        <v>0.93940000000000001</v>
      </c>
      <c r="EN365" s="7">
        <v>0.94140000000000001</v>
      </c>
      <c r="EO365" s="7">
        <v>0.94340000000000002</v>
      </c>
      <c r="EP365" s="7">
        <v>0.94550000000000001</v>
      </c>
      <c r="EQ365" s="7">
        <v>0.94740000000000002</v>
      </c>
      <c r="ER365" s="7">
        <v>0.94940000000000002</v>
      </c>
      <c r="ES365" s="7">
        <v>0.95140000000000002</v>
      </c>
      <c r="ET365" s="7">
        <v>0.95299999999999996</v>
      </c>
      <c r="EU365" s="7">
        <v>0.95499999999999996</v>
      </c>
      <c r="EV365" s="7">
        <v>0.95699999999999996</v>
      </c>
      <c r="EW365" s="7">
        <v>0.95899999999999996</v>
      </c>
      <c r="EX365" s="7">
        <v>0.96099999999999997</v>
      </c>
      <c r="EY365" s="7">
        <v>0.96299999999999997</v>
      </c>
      <c r="EZ365" s="7">
        <v>0.96499999999999997</v>
      </c>
      <c r="FA365" s="7">
        <v>0.96699999999999997</v>
      </c>
      <c r="FB365" s="7">
        <v>0.96899999999999997</v>
      </c>
      <c r="FC365" s="7">
        <v>0.97</v>
      </c>
      <c r="FE365" s="50">
        <f t="shared" ca="1" si="37"/>
        <v>0.90467941266442342</v>
      </c>
      <c r="FF365" s="50">
        <f t="shared" ca="1" si="38"/>
        <v>0.90320733739186165</v>
      </c>
      <c r="FG365" s="50">
        <f t="shared" ca="1" si="39"/>
        <v>0.90171798657718127</v>
      </c>
      <c r="FH365" s="50">
        <f t="shared" ca="1" si="40"/>
        <v>0.90010724832214772</v>
      </c>
      <c r="FI365" s="50"/>
      <c r="FK365" s="50">
        <f t="shared" ca="1" si="41"/>
        <v>0.90320733739186165</v>
      </c>
      <c r="FL365" s="50"/>
      <c r="FM365" s="50"/>
      <c r="FN365" s="50"/>
    </row>
    <row r="366" spans="49:170" hidden="1">
      <c r="AW366" s="112">
        <v>2.9510000000000001</v>
      </c>
      <c r="AX366" s="7">
        <v>0.57809999999999995</v>
      </c>
      <c r="AY366" s="7">
        <v>0.58579999999999999</v>
      </c>
      <c r="AZ366" s="7">
        <v>0.59319999999999995</v>
      </c>
      <c r="BA366" s="7">
        <v>0.60050000000000003</v>
      </c>
      <c r="BB366" s="7">
        <v>0.60770000000000002</v>
      </c>
      <c r="BC366" s="7">
        <v>0.61460000000000004</v>
      </c>
      <c r="BD366" s="7">
        <v>0.62150000000000005</v>
      </c>
      <c r="BE366" s="7">
        <v>0.62819999999999998</v>
      </c>
      <c r="BF366" s="7">
        <v>0.63480000000000003</v>
      </c>
      <c r="BG366" s="7">
        <v>0.64119999999999999</v>
      </c>
      <c r="BH366" s="7">
        <v>0.64759999999999995</v>
      </c>
      <c r="BI366" s="7">
        <v>0.65369999999999995</v>
      </c>
      <c r="BJ366" s="7">
        <v>0.65980000000000005</v>
      </c>
      <c r="BK366" s="7">
        <v>0.66579999999999995</v>
      </c>
      <c r="BL366" s="7">
        <v>0.67159999999999997</v>
      </c>
      <c r="BM366" s="7">
        <v>0.6774</v>
      </c>
      <c r="BN366" s="7">
        <v>0.68300000000000005</v>
      </c>
      <c r="BO366" s="7">
        <v>0.6885</v>
      </c>
      <c r="BP366" s="7">
        <v>0.69399999999999995</v>
      </c>
      <c r="BQ366" s="7">
        <v>0.69930000000000003</v>
      </c>
      <c r="BR366" s="7">
        <v>0.70450000000000002</v>
      </c>
      <c r="BS366" s="7">
        <v>0.7097</v>
      </c>
      <c r="BT366" s="7">
        <v>0.7147</v>
      </c>
      <c r="BU366" s="7">
        <v>0.71970000000000001</v>
      </c>
      <c r="BV366" s="7">
        <v>0.72460000000000002</v>
      </c>
      <c r="BW366" s="7">
        <v>0.72940000000000005</v>
      </c>
      <c r="BX366" s="7">
        <v>0.73409999999999997</v>
      </c>
      <c r="BY366" s="7">
        <v>0.73870000000000002</v>
      </c>
      <c r="BZ366" s="7">
        <v>0.74329999999999996</v>
      </c>
      <c r="CA366" s="7">
        <v>0.74780000000000002</v>
      </c>
      <c r="CB366" s="7">
        <v>0.75219999999999998</v>
      </c>
      <c r="CC366" s="7">
        <v>0.75660000000000005</v>
      </c>
      <c r="CD366" s="7">
        <v>0.76080000000000003</v>
      </c>
      <c r="CE366" s="7">
        <v>0.76500000000000001</v>
      </c>
      <c r="CF366" s="7">
        <v>0.76919999999999999</v>
      </c>
      <c r="CG366" s="7">
        <v>0.77329999999999999</v>
      </c>
      <c r="CH366" s="7">
        <v>0.77729999999999999</v>
      </c>
      <c r="CI366" s="7">
        <v>0.78120000000000001</v>
      </c>
      <c r="CJ366" s="7">
        <v>0.78510000000000002</v>
      </c>
      <c r="CK366" s="7">
        <v>0.78900000000000003</v>
      </c>
      <c r="CL366" s="7">
        <v>0.79269999999999996</v>
      </c>
      <c r="CM366" s="7">
        <v>0.79649999999999999</v>
      </c>
      <c r="CN366" s="7">
        <v>0.80010000000000003</v>
      </c>
      <c r="CO366" s="7">
        <v>0.80369999999999997</v>
      </c>
      <c r="CP366" s="7">
        <v>0.80730000000000002</v>
      </c>
      <c r="CQ366" s="7">
        <v>0.81079999999999997</v>
      </c>
      <c r="CR366" s="7">
        <v>0.81430000000000002</v>
      </c>
      <c r="CS366" s="7">
        <v>0.81769999999999998</v>
      </c>
      <c r="CT366" s="7">
        <v>0.82110000000000005</v>
      </c>
      <c r="CU366" s="7">
        <v>0.82440000000000002</v>
      </c>
      <c r="CV366" s="7">
        <v>0.82769999999999999</v>
      </c>
      <c r="CW366" s="7">
        <v>0.83089999999999997</v>
      </c>
      <c r="CX366" s="7">
        <v>0.83409999999999995</v>
      </c>
      <c r="CY366" s="7">
        <v>0.83720000000000006</v>
      </c>
      <c r="CZ366" s="7">
        <v>0.84030000000000005</v>
      </c>
      <c r="DA366" s="7">
        <v>0.84340000000000004</v>
      </c>
      <c r="DB366" s="7">
        <v>0.84640000000000004</v>
      </c>
      <c r="DC366" s="7">
        <v>0.84940000000000004</v>
      </c>
      <c r="DD366" s="7">
        <v>0.85240000000000005</v>
      </c>
      <c r="DE366" s="7">
        <v>0.85529999999999995</v>
      </c>
      <c r="DF366" s="7">
        <v>0.85809999999999997</v>
      </c>
      <c r="DG366" s="7">
        <v>0.86099999999999999</v>
      </c>
      <c r="DH366" s="7">
        <v>0.86380000000000001</v>
      </c>
      <c r="DI366" s="7">
        <v>0.86660000000000004</v>
      </c>
      <c r="DJ366" s="7">
        <v>0.86929999999999996</v>
      </c>
      <c r="DK366" s="7">
        <v>0.872</v>
      </c>
      <c r="DL366" s="7">
        <v>0.87470000000000003</v>
      </c>
      <c r="DM366" s="7">
        <v>0.87729999999999997</v>
      </c>
      <c r="DN366" s="7">
        <v>0.88</v>
      </c>
      <c r="DO366" s="7">
        <v>0.88260000000000005</v>
      </c>
      <c r="DP366" s="7">
        <v>0.8851</v>
      </c>
      <c r="DQ366" s="7">
        <v>0.88759999999999994</v>
      </c>
      <c r="DR366" s="7">
        <v>0.8901</v>
      </c>
      <c r="DS366" s="7">
        <v>0.89259999999999995</v>
      </c>
      <c r="DT366" s="7">
        <v>0.89510000000000001</v>
      </c>
      <c r="DU366" s="7">
        <v>0.89749999999999996</v>
      </c>
      <c r="DV366" s="7">
        <v>0.89990000000000003</v>
      </c>
      <c r="DW366" s="7">
        <v>0.90229999999999999</v>
      </c>
      <c r="DX366" s="7">
        <v>0.90459999999999996</v>
      </c>
      <c r="DY366" s="7">
        <v>0.90690000000000004</v>
      </c>
      <c r="DZ366" s="7">
        <v>0.90920000000000001</v>
      </c>
      <c r="EA366" s="7">
        <v>0.91149999999999998</v>
      </c>
      <c r="EB366" s="7">
        <v>0.91379999999999995</v>
      </c>
      <c r="EC366" s="7">
        <v>0.91600000000000004</v>
      </c>
      <c r="ED366" s="7">
        <v>0.91820000000000002</v>
      </c>
      <c r="EE366" s="7">
        <v>0.9204</v>
      </c>
      <c r="EF366" s="7">
        <v>0.92259999999999998</v>
      </c>
      <c r="EG366" s="7">
        <v>0.92479999999999996</v>
      </c>
      <c r="EH366" s="7">
        <v>0.92689999999999995</v>
      </c>
      <c r="EI366" s="7">
        <v>0.92900000000000005</v>
      </c>
      <c r="EJ366" s="7">
        <v>0.93110000000000004</v>
      </c>
      <c r="EK366" s="7">
        <v>0.93320000000000003</v>
      </c>
      <c r="EL366" s="7">
        <v>0.93530000000000002</v>
      </c>
      <c r="EM366" s="7">
        <v>0.93730000000000002</v>
      </c>
      <c r="EN366" s="7">
        <v>0.93940000000000001</v>
      </c>
      <c r="EO366" s="7">
        <v>0.94140000000000001</v>
      </c>
      <c r="EP366" s="7">
        <v>0.94340000000000002</v>
      </c>
      <c r="EQ366" s="7">
        <v>0.94540000000000002</v>
      </c>
      <c r="ER366" s="7">
        <v>0.94740000000000002</v>
      </c>
      <c r="ES366" s="7">
        <v>0.94930000000000003</v>
      </c>
      <c r="ET366" s="7">
        <v>0.95099999999999996</v>
      </c>
      <c r="EU366" s="7">
        <v>0.95299999999999996</v>
      </c>
      <c r="EV366" s="7">
        <v>0.95499999999999996</v>
      </c>
      <c r="EW366" s="7">
        <v>0.95699999999999996</v>
      </c>
      <c r="EX366" s="7">
        <v>0.95899999999999996</v>
      </c>
      <c r="EY366" s="7">
        <v>0.96099999999999997</v>
      </c>
      <c r="EZ366" s="7">
        <v>0.96299999999999997</v>
      </c>
      <c r="FA366" s="7">
        <v>0.96499999999999997</v>
      </c>
      <c r="FB366" s="7">
        <v>0.96599999999999997</v>
      </c>
      <c r="FC366" s="7">
        <v>0.96799999999999997</v>
      </c>
      <c r="FE366" s="50">
        <f t="shared" ca="1" si="37"/>
        <v>0.90275943713673912</v>
      </c>
      <c r="FF366" s="50">
        <f t="shared" ca="1" si="38"/>
        <v>0.9012641781480295</v>
      </c>
      <c r="FG366" s="50">
        <f t="shared" ca="1" si="39"/>
        <v>0.89971798657718127</v>
      </c>
      <c r="FH366" s="50">
        <f t="shared" ca="1" si="40"/>
        <v>0.89810724832214772</v>
      </c>
      <c r="FI366" s="50"/>
      <c r="FK366" s="50">
        <f t="shared" ca="1" si="41"/>
        <v>0.9012641781480295</v>
      </c>
      <c r="FL366" s="50"/>
      <c r="FM366" s="50"/>
      <c r="FN366" s="50"/>
    </row>
    <row r="367" spans="49:170" hidden="1">
      <c r="AW367" s="112">
        <v>3.1619999999999999</v>
      </c>
      <c r="AX367" s="7">
        <v>0.57689999999999997</v>
      </c>
      <c r="AY367" s="7">
        <v>0.58450000000000002</v>
      </c>
      <c r="AZ367" s="7">
        <v>0.59189999999999998</v>
      </c>
      <c r="BA367" s="7">
        <v>0.59919999999999995</v>
      </c>
      <c r="BB367" s="7">
        <v>0.60629999999999995</v>
      </c>
      <c r="BC367" s="7">
        <v>0.61329999999999996</v>
      </c>
      <c r="BD367" s="7">
        <v>0.62019999999999997</v>
      </c>
      <c r="BE367" s="7">
        <v>0.62690000000000001</v>
      </c>
      <c r="BF367" s="7">
        <v>0.63339999999999996</v>
      </c>
      <c r="BG367" s="7">
        <v>0.63990000000000002</v>
      </c>
      <c r="BH367" s="7">
        <v>0.6462</v>
      </c>
      <c r="BI367" s="7">
        <v>0.65229999999999999</v>
      </c>
      <c r="BJ367" s="7">
        <v>0.65839999999999999</v>
      </c>
      <c r="BK367" s="7">
        <v>0.66439999999999999</v>
      </c>
      <c r="BL367" s="7">
        <v>0.67020000000000002</v>
      </c>
      <c r="BM367" s="7">
        <v>0.67589999999999995</v>
      </c>
      <c r="BN367" s="7">
        <v>0.68149999999999999</v>
      </c>
      <c r="BO367" s="7">
        <v>0.68710000000000004</v>
      </c>
      <c r="BP367" s="7">
        <v>0.6925</v>
      </c>
      <c r="BQ367" s="7">
        <v>0.69779999999999998</v>
      </c>
      <c r="BR367" s="7">
        <v>0.70299999999999996</v>
      </c>
      <c r="BS367" s="7">
        <v>0.70820000000000005</v>
      </c>
      <c r="BT367" s="7">
        <v>0.71319999999999995</v>
      </c>
      <c r="BU367" s="7">
        <v>0.71819999999999995</v>
      </c>
      <c r="BV367" s="7">
        <v>0.72299999999999998</v>
      </c>
      <c r="BW367" s="7">
        <v>0.7278</v>
      </c>
      <c r="BX367" s="7">
        <v>0.73250000000000004</v>
      </c>
      <c r="BY367" s="7">
        <v>0.73719999999999997</v>
      </c>
      <c r="BZ367" s="7">
        <v>0.74170000000000003</v>
      </c>
      <c r="CA367" s="7">
        <v>0.74619999999999997</v>
      </c>
      <c r="CB367" s="7">
        <v>0.75060000000000004</v>
      </c>
      <c r="CC367" s="7">
        <v>0.75490000000000002</v>
      </c>
      <c r="CD367" s="7">
        <v>0.75919999999999999</v>
      </c>
      <c r="CE367" s="7">
        <v>0.76339999999999997</v>
      </c>
      <c r="CF367" s="7">
        <v>0.76749999999999996</v>
      </c>
      <c r="CG367" s="7">
        <v>0.77159999999999995</v>
      </c>
      <c r="CH367" s="7">
        <v>0.77559999999999996</v>
      </c>
      <c r="CI367" s="7">
        <v>0.77949999999999997</v>
      </c>
      <c r="CJ367" s="7">
        <v>0.78339999999999999</v>
      </c>
      <c r="CK367" s="7">
        <v>0.7873</v>
      </c>
      <c r="CL367" s="7">
        <v>0.79100000000000004</v>
      </c>
      <c r="CM367" s="7">
        <v>0.79469999999999996</v>
      </c>
      <c r="CN367" s="7">
        <v>0.7984</v>
      </c>
      <c r="CO367" s="7">
        <v>0.80200000000000005</v>
      </c>
      <c r="CP367" s="7">
        <v>0.80559999999999998</v>
      </c>
      <c r="CQ367" s="7">
        <v>0.80910000000000004</v>
      </c>
      <c r="CR367" s="7">
        <v>0.8125</v>
      </c>
      <c r="CS367" s="7">
        <v>0.81589999999999996</v>
      </c>
      <c r="CT367" s="7">
        <v>0.81930000000000003</v>
      </c>
      <c r="CU367" s="7">
        <v>0.8226</v>
      </c>
      <c r="CV367" s="7">
        <v>0.82589999999999997</v>
      </c>
      <c r="CW367" s="7">
        <v>0.82909999999999995</v>
      </c>
      <c r="CX367" s="7">
        <v>0.83230000000000004</v>
      </c>
      <c r="CY367" s="7">
        <v>0.83540000000000003</v>
      </c>
      <c r="CZ367" s="7">
        <v>0.83850000000000002</v>
      </c>
      <c r="DA367" s="7">
        <v>0.84160000000000001</v>
      </c>
      <c r="DB367" s="7">
        <v>0.84460000000000002</v>
      </c>
      <c r="DC367" s="7">
        <v>0.84760000000000002</v>
      </c>
      <c r="DD367" s="7">
        <v>0.85050000000000003</v>
      </c>
      <c r="DE367" s="7">
        <v>0.85340000000000005</v>
      </c>
      <c r="DF367" s="7">
        <v>0.85629999999999995</v>
      </c>
      <c r="DG367" s="7">
        <v>0.85909999999999997</v>
      </c>
      <c r="DH367" s="7">
        <v>0.8619</v>
      </c>
      <c r="DI367" s="7">
        <v>0.86470000000000002</v>
      </c>
      <c r="DJ367" s="7">
        <v>0.86739999999999995</v>
      </c>
      <c r="DK367" s="7">
        <v>0.87009999999999998</v>
      </c>
      <c r="DL367" s="7">
        <v>0.87280000000000002</v>
      </c>
      <c r="DM367" s="7">
        <v>0.87549999999999994</v>
      </c>
      <c r="DN367" s="7">
        <v>0.87809999999999999</v>
      </c>
      <c r="DO367" s="7">
        <v>0.88070000000000004</v>
      </c>
      <c r="DP367" s="7">
        <v>0.88319999999999999</v>
      </c>
      <c r="DQ367" s="7">
        <v>0.88570000000000004</v>
      </c>
      <c r="DR367" s="7">
        <v>0.88819999999999999</v>
      </c>
      <c r="DS367" s="7">
        <v>0.89070000000000005</v>
      </c>
      <c r="DT367" s="7">
        <v>0.8931</v>
      </c>
      <c r="DU367" s="7">
        <v>0.89559999999999995</v>
      </c>
      <c r="DV367" s="7">
        <v>0.89800000000000002</v>
      </c>
      <c r="DW367" s="7">
        <v>0.90029999999999999</v>
      </c>
      <c r="DX367" s="7">
        <v>0.90269999999999995</v>
      </c>
      <c r="DY367" s="7">
        <v>0.90500000000000003</v>
      </c>
      <c r="DZ367" s="7">
        <v>0.9073</v>
      </c>
      <c r="EA367" s="7">
        <v>0.90959999999999996</v>
      </c>
      <c r="EB367" s="7">
        <v>0.91180000000000005</v>
      </c>
      <c r="EC367" s="7">
        <v>0.91410000000000002</v>
      </c>
      <c r="ED367" s="7">
        <v>0.9163</v>
      </c>
      <c r="EE367" s="7">
        <v>0.91849999999999998</v>
      </c>
      <c r="EF367" s="7">
        <v>0.92059999999999997</v>
      </c>
      <c r="EG367" s="7">
        <v>0.92279999999999995</v>
      </c>
      <c r="EH367" s="7">
        <v>0.92490000000000006</v>
      </c>
      <c r="EI367" s="7">
        <v>0.92700000000000005</v>
      </c>
      <c r="EJ367" s="7">
        <v>0.92910000000000004</v>
      </c>
      <c r="EK367" s="7">
        <v>0.93120000000000003</v>
      </c>
      <c r="EL367" s="7">
        <v>0.93330000000000002</v>
      </c>
      <c r="EM367" s="7">
        <v>0.93530000000000002</v>
      </c>
      <c r="EN367" s="7">
        <v>0.93730000000000002</v>
      </c>
      <c r="EO367" s="7">
        <v>0.93940000000000001</v>
      </c>
      <c r="EP367" s="7">
        <v>0.94140000000000001</v>
      </c>
      <c r="EQ367" s="7">
        <v>0.94330000000000003</v>
      </c>
      <c r="ER367" s="7">
        <v>0.94530000000000003</v>
      </c>
      <c r="ES367" s="7">
        <v>0.94730000000000003</v>
      </c>
      <c r="ET367" s="7">
        <v>0.94899999999999995</v>
      </c>
      <c r="EU367" s="7">
        <v>0.95099999999999996</v>
      </c>
      <c r="EV367" s="7">
        <v>0.95299999999999996</v>
      </c>
      <c r="EW367" s="7">
        <v>0.95499999999999996</v>
      </c>
      <c r="EX367" s="7">
        <v>0.95699999999999996</v>
      </c>
      <c r="EY367" s="7">
        <v>0.95899999999999996</v>
      </c>
      <c r="EZ367" s="7">
        <v>0.96099999999999997</v>
      </c>
      <c r="FA367" s="7">
        <v>0.96299999999999997</v>
      </c>
      <c r="FB367" s="7">
        <v>0.96399999999999997</v>
      </c>
      <c r="FC367" s="7">
        <v>0.96599999999999997</v>
      </c>
      <c r="FE367" s="50">
        <f t="shared" ca="1" si="37"/>
        <v>0.90077941266442341</v>
      </c>
      <c r="FF367" s="50">
        <f t="shared" ca="1" si="38"/>
        <v>0.89930733739186164</v>
      </c>
      <c r="FG367" s="50">
        <f t="shared" ca="1" si="39"/>
        <v>0.89781798657718126</v>
      </c>
      <c r="FH367" s="50">
        <f t="shared" ca="1" si="40"/>
        <v>0.89620724832214771</v>
      </c>
      <c r="FI367" s="50"/>
      <c r="FK367" s="50">
        <f t="shared" ca="1" si="41"/>
        <v>0.89930733739186164</v>
      </c>
      <c r="FL367" s="50"/>
      <c r="FM367" s="50"/>
      <c r="FN367" s="50"/>
    </row>
    <row r="368" spans="49:170" hidden="1">
      <c r="AW368" s="112">
        <v>3.3879999999999999</v>
      </c>
      <c r="AX368" s="7">
        <v>0.57569999999999999</v>
      </c>
      <c r="AY368" s="7">
        <v>0.58330000000000004</v>
      </c>
      <c r="AZ368" s="7">
        <v>0.5907</v>
      </c>
      <c r="BA368" s="7">
        <v>0.59789999999999999</v>
      </c>
      <c r="BB368" s="7">
        <v>0.60509999999999997</v>
      </c>
      <c r="BC368" s="7">
        <v>0.61199999999999999</v>
      </c>
      <c r="BD368" s="7">
        <v>0.61880000000000002</v>
      </c>
      <c r="BE368" s="7">
        <v>0.62549999999999994</v>
      </c>
      <c r="BF368" s="7">
        <v>0.6321</v>
      </c>
      <c r="BG368" s="7">
        <v>0.63849999999999996</v>
      </c>
      <c r="BH368" s="7">
        <v>0.64480000000000004</v>
      </c>
      <c r="BI368" s="7">
        <v>0.65100000000000002</v>
      </c>
      <c r="BJ368" s="7">
        <v>0.65700000000000003</v>
      </c>
      <c r="BK368" s="7">
        <v>0.66290000000000004</v>
      </c>
      <c r="BL368" s="7">
        <v>0.66879999999999995</v>
      </c>
      <c r="BM368" s="7">
        <v>0.67449999999999999</v>
      </c>
      <c r="BN368" s="7">
        <v>0.68010000000000004</v>
      </c>
      <c r="BO368" s="7">
        <v>0.68559999999999999</v>
      </c>
      <c r="BP368" s="7">
        <v>0.69099999999999995</v>
      </c>
      <c r="BQ368" s="7">
        <v>0.69630000000000003</v>
      </c>
      <c r="BR368" s="7">
        <v>0.70150000000000001</v>
      </c>
      <c r="BS368" s="7">
        <v>0.70669999999999999</v>
      </c>
      <c r="BT368" s="7">
        <v>0.7117</v>
      </c>
      <c r="BU368" s="7">
        <v>0.71660000000000001</v>
      </c>
      <c r="BV368" s="7">
        <v>0.72150000000000003</v>
      </c>
      <c r="BW368" s="7">
        <v>0.72629999999999995</v>
      </c>
      <c r="BX368" s="7">
        <v>0.73099999999999998</v>
      </c>
      <c r="BY368" s="7">
        <v>0.73560000000000003</v>
      </c>
      <c r="BZ368" s="7">
        <v>0.74009999999999998</v>
      </c>
      <c r="CA368" s="7">
        <v>0.74460000000000004</v>
      </c>
      <c r="CB368" s="7">
        <v>0.749</v>
      </c>
      <c r="CC368" s="7">
        <v>0.75329999999999997</v>
      </c>
      <c r="CD368" s="7">
        <v>0.75760000000000005</v>
      </c>
      <c r="CE368" s="7">
        <v>0.76180000000000003</v>
      </c>
      <c r="CF368" s="7">
        <v>0.76590000000000003</v>
      </c>
      <c r="CG368" s="7">
        <v>0.76990000000000003</v>
      </c>
      <c r="CH368" s="7">
        <v>0.77390000000000003</v>
      </c>
      <c r="CI368" s="7">
        <v>0.77790000000000004</v>
      </c>
      <c r="CJ368" s="7">
        <v>0.78180000000000005</v>
      </c>
      <c r="CK368" s="7">
        <v>0.78559999999999997</v>
      </c>
      <c r="CL368" s="7">
        <v>0.7893</v>
      </c>
      <c r="CM368" s="7">
        <v>0.79300000000000004</v>
      </c>
      <c r="CN368" s="7">
        <v>0.79669999999999996</v>
      </c>
      <c r="CO368" s="7">
        <v>0.80030000000000001</v>
      </c>
      <c r="CP368" s="7">
        <v>0.80379999999999996</v>
      </c>
      <c r="CQ368" s="7">
        <v>0.80730000000000002</v>
      </c>
      <c r="CR368" s="7">
        <v>0.81079999999999997</v>
      </c>
      <c r="CS368" s="7">
        <v>0.81420000000000003</v>
      </c>
      <c r="CT368" s="7">
        <v>0.8175</v>
      </c>
      <c r="CU368" s="7">
        <v>0.82089999999999996</v>
      </c>
      <c r="CV368" s="7">
        <v>0.82410000000000005</v>
      </c>
      <c r="CW368" s="7">
        <v>0.82730000000000004</v>
      </c>
      <c r="CX368" s="7">
        <v>0.83050000000000002</v>
      </c>
      <c r="CY368" s="7">
        <v>0.83360000000000001</v>
      </c>
      <c r="CZ368" s="7">
        <v>0.8367</v>
      </c>
      <c r="DA368" s="7">
        <v>0.83979999999999999</v>
      </c>
      <c r="DB368" s="7">
        <v>0.84279999999999999</v>
      </c>
      <c r="DC368" s="7">
        <v>0.8458</v>
      </c>
      <c r="DD368" s="7">
        <v>0.84870000000000001</v>
      </c>
      <c r="DE368" s="7">
        <v>0.85160000000000002</v>
      </c>
      <c r="DF368" s="7">
        <v>0.85450000000000004</v>
      </c>
      <c r="DG368" s="7">
        <v>0.85729999999999995</v>
      </c>
      <c r="DH368" s="7">
        <v>0.86009999999999998</v>
      </c>
      <c r="DI368" s="7">
        <v>0.8629</v>
      </c>
      <c r="DJ368" s="7">
        <v>0.86560000000000004</v>
      </c>
      <c r="DK368" s="7">
        <v>0.86829999999999996</v>
      </c>
      <c r="DL368" s="7">
        <v>0.871</v>
      </c>
      <c r="DM368" s="7">
        <v>0.87360000000000004</v>
      </c>
      <c r="DN368" s="7">
        <v>0.87619999999999998</v>
      </c>
      <c r="DO368" s="7">
        <v>0.87880000000000003</v>
      </c>
      <c r="DP368" s="7">
        <v>0.88129999999999997</v>
      </c>
      <c r="DQ368" s="7">
        <v>0.88380000000000003</v>
      </c>
      <c r="DR368" s="7">
        <v>0.88629999999999998</v>
      </c>
      <c r="DS368" s="7">
        <v>0.88880000000000003</v>
      </c>
      <c r="DT368" s="7">
        <v>0.89119999999999999</v>
      </c>
      <c r="DU368" s="7">
        <v>0.89370000000000005</v>
      </c>
      <c r="DV368" s="7">
        <v>0.89600000000000002</v>
      </c>
      <c r="DW368" s="7">
        <v>0.89839999999999998</v>
      </c>
      <c r="DX368" s="7">
        <v>0.90069999999999995</v>
      </c>
      <c r="DY368" s="7">
        <v>0.90310000000000001</v>
      </c>
      <c r="DZ368" s="7">
        <v>0.90539999999999998</v>
      </c>
      <c r="EA368" s="7">
        <v>0.90759999999999996</v>
      </c>
      <c r="EB368" s="7">
        <v>0.90990000000000004</v>
      </c>
      <c r="EC368" s="7">
        <v>0.91210000000000002</v>
      </c>
      <c r="ED368" s="7">
        <v>0.9143</v>
      </c>
      <c r="EE368" s="7">
        <v>0.91649999999999998</v>
      </c>
      <c r="EF368" s="7">
        <v>0.91869999999999996</v>
      </c>
      <c r="EG368" s="7">
        <v>0.92079999999999995</v>
      </c>
      <c r="EH368" s="7">
        <v>0.92290000000000005</v>
      </c>
      <c r="EI368" s="7">
        <v>0.92510000000000003</v>
      </c>
      <c r="EJ368" s="7">
        <v>0.92720000000000002</v>
      </c>
      <c r="EK368" s="7">
        <v>0.92920000000000003</v>
      </c>
      <c r="EL368" s="7">
        <v>0.93130000000000002</v>
      </c>
      <c r="EM368" s="7">
        <v>0.93330000000000002</v>
      </c>
      <c r="EN368" s="7">
        <v>0.93540000000000001</v>
      </c>
      <c r="EO368" s="7">
        <v>0.93740000000000001</v>
      </c>
      <c r="EP368" s="7">
        <v>0.93940000000000001</v>
      </c>
      <c r="EQ368" s="7">
        <v>0.94130000000000003</v>
      </c>
      <c r="ER368" s="7">
        <v>0.94330000000000003</v>
      </c>
      <c r="ES368" s="7">
        <v>0.94530000000000003</v>
      </c>
      <c r="ET368" s="7">
        <v>0.94699999999999995</v>
      </c>
      <c r="EU368" s="7">
        <v>0.94899999999999995</v>
      </c>
      <c r="EV368" s="7">
        <v>0.95099999999999996</v>
      </c>
      <c r="EW368" s="7">
        <v>0.95299999999999996</v>
      </c>
      <c r="EX368" s="7">
        <v>0.95499999999999996</v>
      </c>
      <c r="EY368" s="7">
        <v>0.95699999999999996</v>
      </c>
      <c r="EZ368" s="7">
        <v>0.95899999999999996</v>
      </c>
      <c r="FA368" s="7">
        <v>0.96</v>
      </c>
      <c r="FB368" s="7">
        <v>0.96199999999999997</v>
      </c>
      <c r="FC368" s="7">
        <v>0.96399999999999997</v>
      </c>
      <c r="FE368" s="50">
        <f t="shared" ca="1" si="37"/>
        <v>0.8988594371367391</v>
      </c>
      <c r="FF368" s="50">
        <f t="shared" ca="1" si="38"/>
        <v>0.89736417814802949</v>
      </c>
      <c r="FG368" s="50">
        <f t="shared" ca="1" si="39"/>
        <v>0.89582557046979872</v>
      </c>
      <c r="FH368" s="50">
        <f t="shared" ca="1" si="40"/>
        <v>0.89428194630872493</v>
      </c>
      <c r="FI368" s="50"/>
      <c r="FK368" s="50">
        <f t="shared" ca="1" si="41"/>
        <v>0.89736417814802949</v>
      </c>
      <c r="FL368" s="50"/>
      <c r="FM368" s="50"/>
      <c r="FN368" s="50"/>
    </row>
    <row r="369" spans="49:170" hidden="1">
      <c r="AW369" s="112">
        <v>3.6309999999999998</v>
      </c>
      <c r="AX369" s="7">
        <v>0.57450000000000001</v>
      </c>
      <c r="AY369" s="7">
        <v>0.58199999999999996</v>
      </c>
      <c r="AZ369" s="7">
        <v>0.58940000000000003</v>
      </c>
      <c r="BA369" s="7">
        <v>0.59670000000000001</v>
      </c>
      <c r="BB369" s="7">
        <v>0.6038</v>
      </c>
      <c r="BC369" s="7">
        <v>0.61070000000000002</v>
      </c>
      <c r="BD369" s="7">
        <v>0.61750000000000005</v>
      </c>
      <c r="BE369" s="7">
        <v>0.62419999999999998</v>
      </c>
      <c r="BF369" s="7">
        <v>0.63070000000000004</v>
      </c>
      <c r="BG369" s="7">
        <v>0.63719999999999999</v>
      </c>
      <c r="BH369" s="7">
        <v>0.64339999999999997</v>
      </c>
      <c r="BI369" s="7">
        <v>0.64959999999999996</v>
      </c>
      <c r="BJ369" s="7">
        <v>0.65559999999999996</v>
      </c>
      <c r="BK369" s="7">
        <v>0.66159999999999997</v>
      </c>
      <c r="BL369" s="7">
        <v>0.66739999999999999</v>
      </c>
      <c r="BM369" s="7">
        <v>0.67310000000000003</v>
      </c>
      <c r="BN369" s="7">
        <v>0.67869999999999997</v>
      </c>
      <c r="BO369" s="7">
        <v>0.68420000000000003</v>
      </c>
      <c r="BP369" s="7">
        <v>0.68959999999999999</v>
      </c>
      <c r="BQ369" s="7">
        <v>0.69489999999999996</v>
      </c>
      <c r="BR369" s="7">
        <v>0.70009999999999994</v>
      </c>
      <c r="BS369" s="7">
        <v>0.70520000000000005</v>
      </c>
      <c r="BT369" s="7">
        <v>0.71020000000000005</v>
      </c>
      <c r="BU369" s="7">
        <v>0.71509999999999996</v>
      </c>
      <c r="BV369" s="7">
        <v>0.72</v>
      </c>
      <c r="BW369" s="7">
        <v>0.72470000000000001</v>
      </c>
      <c r="BX369" s="7">
        <v>0.72940000000000005</v>
      </c>
      <c r="BY369" s="7">
        <v>0.73399999999999999</v>
      </c>
      <c r="BZ369" s="7">
        <v>0.73860000000000003</v>
      </c>
      <c r="CA369" s="7">
        <v>0.74299999999999999</v>
      </c>
      <c r="CB369" s="7">
        <v>0.74739999999999995</v>
      </c>
      <c r="CC369" s="7">
        <v>0.75170000000000003</v>
      </c>
      <c r="CD369" s="7">
        <v>0.75600000000000001</v>
      </c>
      <c r="CE369" s="7">
        <v>0.76019999999999999</v>
      </c>
      <c r="CF369" s="7">
        <v>0.76429999999999998</v>
      </c>
      <c r="CG369" s="7">
        <v>0.76829999999999998</v>
      </c>
      <c r="CH369" s="7">
        <v>0.77229999999999999</v>
      </c>
      <c r="CI369" s="7">
        <v>0.77629999999999999</v>
      </c>
      <c r="CJ369" s="7">
        <v>0.78010000000000002</v>
      </c>
      <c r="CK369" s="7">
        <v>0.78390000000000004</v>
      </c>
      <c r="CL369" s="7">
        <v>0.78769999999999996</v>
      </c>
      <c r="CM369" s="7">
        <v>0.79139999999999999</v>
      </c>
      <c r="CN369" s="7">
        <v>0.79500000000000004</v>
      </c>
      <c r="CO369" s="7">
        <v>0.79859999999999998</v>
      </c>
      <c r="CP369" s="7">
        <v>0.80220000000000002</v>
      </c>
      <c r="CQ369" s="7">
        <v>0.80559999999999998</v>
      </c>
      <c r="CR369" s="7">
        <v>0.80910000000000004</v>
      </c>
      <c r="CS369" s="7">
        <v>0.8125</v>
      </c>
      <c r="CT369" s="7">
        <v>0.81579999999999997</v>
      </c>
      <c r="CU369" s="7">
        <v>0.81910000000000005</v>
      </c>
      <c r="CV369" s="7">
        <v>0.82240000000000002</v>
      </c>
      <c r="CW369" s="7">
        <v>0.8256</v>
      </c>
      <c r="CX369" s="7">
        <v>0.82879999999999998</v>
      </c>
      <c r="CY369" s="7">
        <v>0.83189999999999997</v>
      </c>
      <c r="CZ369" s="7">
        <v>0.83499999999999996</v>
      </c>
      <c r="DA369" s="7">
        <v>0.83799999999999997</v>
      </c>
      <c r="DB369" s="7">
        <v>0.84099999999999997</v>
      </c>
      <c r="DC369" s="7">
        <v>0.84399999999999997</v>
      </c>
      <c r="DD369" s="7">
        <v>0.84689999999999999</v>
      </c>
      <c r="DE369" s="7">
        <v>0.8498</v>
      </c>
      <c r="DF369" s="7">
        <v>0.85270000000000001</v>
      </c>
      <c r="DG369" s="7">
        <v>0.85550000000000004</v>
      </c>
      <c r="DH369" s="7">
        <v>0.85829999999999995</v>
      </c>
      <c r="DI369" s="7">
        <v>0.86109999999999998</v>
      </c>
      <c r="DJ369" s="7">
        <v>0.86380000000000001</v>
      </c>
      <c r="DK369" s="7">
        <v>0.86650000000000005</v>
      </c>
      <c r="DL369" s="7">
        <v>0.86909999999999998</v>
      </c>
      <c r="DM369" s="7">
        <v>0.87180000000000002</v>
      </c>
      <c r="DN369" s="7">
        <v>0.87439999999999996</v>
      </c>
      <c r="DO369" s="7">
        <v>0.87690000000000001</v>
      </c>
      <c r="DP369" s="7">
        <v>0.87949999999999995</v>
      </c>
      <c r="DQ369" s="7">
        <v>0.88200000000000001</v>
      </c>
      <c r="DR369" s="7">
        <v>0.88449999999999995</v>
      </c>
      <c r="DS369" s="7">
        <v>0.88690000000000002</v>
      </c>
      <c r="DT369" s="7">
        <v>0.88939999999999997</v>
      </c>
      <c r="DU369" s="7">
        <v>0.89180000000000004</v>
      </c>
      <c r="DV369" s="7">
        <v>0.89419999999999999</v>
      </c>
      <c r="DW369" s="7">
        <v>0.89649999999999996</v>
      </c>
      <c r="DX369" s="7">
        <v>0.89890000000000003</v>
      </c>
      <c r="DY369" s="7">
        <v>0.9012</v>
      </c>
      <c r="DZ369" s="7">
        <v>0.90349999999999997</v>
      </c>
      <c r="EA369" s="7">
        <v>0.90569999999999995</v>
      </c>
      <c r="EB369" s="7">
        <v>0.90800000000000003</v>
      </c>
      <c r="EC369" s="7">
        <v>0.91020000000000001</v>
      </c>
      <c r="ED369" s="7">
        <v>0.91239999999999999</v>
      </c>
      <c r="EE369" s="7">
        <v>0.91459999999999997</v>
      </c>
      <c r="EF369" s="7">
        <v>0.91669999999999996</v>
      </c>
      <c r="EG369" s="7">
        <v>0.91890000000000005</v>
      </c>
      <c r="EH369" s="7">
        <v>0.92100000000000004</v>
      </c>
      <c r="EI369" s="7">
        <v>0.92310000000000003</v>
      </c>
      <c r="EJ369" s="7">
        <v>0.92520000000000002</v>
      </c>
      <c r="EK369" s="7">
        <v>0.92730000000000001</v>
      </c>
      <c r="EL369" s="7">
        <v>0.92930000000000001</v>
      </c>
      <c r="EM369" s="7">
        <v>0.93140000000000001</v>
      </c>
      <c r="EN369" s="7">
        <v>0.93340000000000001</v>
      </c>
      <c r="EO369" s="7">
        <v>0.93540000000000001</v>
      </c>
      <c r="EP369" s="7">
        <v>0.93740000000000001</v>
      </c>
      <c r="EQ369" s="7">
        <v>0.93940000000000001</v>
      </c>
      <c r="ER369" s="7">
        <v>0.94130000000000003</v>
      </c>
      <c r="ES369" s="7">
        <v>0.94330000000000003</v>
      </c>
      <c r="ET369" s="7">
        <v>0.94499999999999995</v>
      </c>
      <c r="EU369" s="7">
        <v>0.94699999999999995</v>
      </c>
      <c r="EV369" s="7">
        <v>0.94899999999999995</v>
      </c>
      <c r="EW369" s="7">
        <v>0.95099999999999996</v>
      </c>
      <c r="EX369" s="7">
        <v>0.95299999999999996</v>
      </c>
      <c r="EY369" s="7">
        <v>0.95499999999999996</v>
      </c>
      <c r="EZ369" s="7">
        <v>0.95699999999999996</v>
      </c>
      <c r="FA369" s="7">
        <v>0.95799999999999996</v>
      </c>
      <c r="FB369" s="7">
        <v>0.96</v>
      </c>
      <c r="FC369" s="7">
        <v>0.96199999999999997</v>
      </c>
      <c r="FE369" s="50">
        <f t="shared" ca="1" si="37"/>
        <v>0.89697941266442327</v>
      </c>
      <c r="FF369" s="50">
        <f t="shared" ca="1" si="38"/>
        <v>0.89550733739186161</v>
      </c>
      <c r="FG369" s="50">
        <f t="shared" ca="1" si="39"/>
        <v>0.89401798657718123</v>
      </c>
      <c r="FH369" s="50">
        <f t="shared" ca="1" si="40"/>
        <v>0.89240724832214768</v>
      </c>
      <c r="FI369" s="50"/>
      <c r="FK369" s="50">
        <f t="shared" ca="1" si="41"/>
        <v>0.89550733739186161</v>
      </c>
      <c r="FL369" s="50"/>
      <c r="FM369" s="50"/>
      <c r="FN369" s="50"/>
    </row>
    <row r="370" spans="49:170" hidden="1">
      <c r="AW370" s="112">
        <v>3.89</v>
      </c>
      <c r="AX370" s="7">
        <v>0.57330000000000003</v>
      </c>
      <c r="AY370" s="7">
        <v>0.58079999999999998</v>
      </c>
      <c r="AZ370" s="7">
        <v>0.58819999999999995</v>
      </c>
      <c r="BA370" s="7">
        <v>0.59550000000000003</v>
      </c>
      <c r="BB370" s="7">
        <v>0.60250000000000004</v>
      </c>
      <c r="BC370" s="7">
        <v>0.60950000000000004</v>
      </c>
      <c r="BD370" s="7">
        <v>0.61629999999999996</v>
      </c>
      <c r="BE370" s="7">
        <v>0.62290000000000001</v>
      </c>
      <c r="BF370" s="7">
        <v>0.62939999999999996</v>
      </c>
      <c r="BG370" s="7">
        <v>0.63580000000000003</v>
      </c>
      <c r="BH370" s="7">
        <v>0.6421</v>
      </c>
      <c r="BI370" s="7">
        <v>0.6482</v>
      </c>
      <c r="BJ370" s="7">
        <v>0.65429999999999999</v>
      </c>
      <c r="BK370" s="7">
        <v>0.66020000000000001</v>
      </c>
      <c r="BL370" s="7">
        <v>0.66600000000000004</v>
      </c>
      <c r="BM370" s="7">
        <v>0.67169999999999996</v>
      </c>
      <c r="BN370" s="7">
        <v>0.67730000000000001</v>
      </c>
      <c r="BO370" s="7">
        <v>0.68269999999999997</v>
      </c>
      <c r="BP370" s="7">
        <v>0.68810000000000004</v>
      </c>
      <c r="BQ370" s="7">
        <v>0.69340000000000002</v>
      </c>
      <c r="BR370" s="7">
        <v>0.6986</v>
      </c>
      <c r="BS370" s="7">
        <v>0.70369999999999999</v>
      </c>
      <c r="BT370" s="7">
        <v>0.7087</v>
      </c>
      <c r="BU370" s="7">
        <v>0.71360000000000001</v>
      </c>
      <c r="BV370" s="7">
        <v>0.71850000000000003</v>
      </c>
      <c r="BW370" s="7">
        <v>0.72319999999999995</v>
      </c>
      <c r="BX370" s="7">
        <v>0.72789999999999999</v>
      </c>
      <c r="BY370" s="7">
        <v>0.73250000000000004</v>
      </c>
      <c r="BZ370" s="7">
        <v>0.73699999999999999</v>
      </c>
      <c r="CA370" s="7">
        <v>0.74150000000000005</v>
      </c>
      <c r="CB370" s="7">
        <v>0.74590000000000001</v>
      </c>
      <c r="CC370" s="7">
        <v>0.75019999999999998</v>
      </c>
      <c r="CD370" s="7">
        <v>0.75439999999999996</v>
      </c>
      <c r="CE370" s="7">
        <v>0.75860000000000005</v>
      </c>
      <c r="CF370" s="7">
        <v>0.76270000000000004</v>
      </c>
      <c r="CG370" s="7">
        <v>0.76670000000000005</v>
      </c>
      <c r="CH370" s="7">
        <v>0.77070000000000005</v>
      </c>
      <c r="CI370" s="7">
        <v>0.77459999999999996</v>
      </c>
      <c r="CJ370" s="7">
        <v>0.77849999999999997</v>
      </c>
      <c r="CK370" s="7">
        <v>0.7823</v>
      </c>
      <c r="CL370" s="7">
        <v>0.78610000000000002</v>
      </c>
      <c r="CM370" s="7">
        <v>0.78969999999999996</v>
      </c>
      <c r="CN370" s="7">
        <v>0.79339999999999999</v>
      </c>
      <c r="CO370" s="7">
        <v>0.79700000000000004</v>
      </c>
      <c r="CP370" s="7">
        <v>0.80049999999999999</v>
      </c>
      <c r="CQ370" s="7">
        <v>0.80400000000000005</v>
      </c>
      <c r="CR370" s="7">
        <v>0.80740000000000001</v>
      </c>
      <c r="CS370" s="7">
        <v>0.81079999999999997</v>
      </c>
      <c r="CT370" s="7">
        <v>0.81410000000000005</v>
      </c>
      <c r="CU370" s="7">
        <v>0.81740000000000002</v>
      </c>
      <c r="CV370" s="7">
        <v>0.82069999999999999</v>
      </c>
      <c r="CW370" s="7">
        <v>0.82389999999999997</v>
      </c>
      <c r="CX370" s="7">
        <v>0.82709999999999995</v>
      </c>
      <c r="CY370" s="7">
        <v>0.83020000000000005</v>
      </c>
      <c r="CZ370" s="7">
        <v>0.83330000000000004</v>
      </c>
      <c r="DA370" s="7">
        <v>0.83630000000000004</v>
      </c>
      <c r="DB370" s="7">
        <v>0.83930000000000005</v>
      </c>
      <c r="DC370" s="7">
        <v>0.84230000000000005</v>
      </c>
      <c r="DD370" s="7">
        <v>0.84519999999999995</v>
      </c>
      <c r="DE370" s="7">
        <v>0.84809999999999997</v>
      </c>
      <c r="DF370" s="7">
        <v>0.85089999999999999</v>
      </c>
      <c r="DG370" s="7">
        <v>0.85370000000000001</v>
      </c>
      <c r="DH370" s="7">
        <v>0.85650000000000004</v>
      </c>
      <c r="DI370" s="7">
        <v>0.85929999999999995</v>
      </c>
      <c r="DJ370" s="7">
        <v>0.86199999999999999</v>
      </c>
      <c r="DK370" s="7">
        <v>0.86470000000000002</v>
      </c>
      <c r="DL370" s="7">
        <v>0.86729999999999996</v>
      </c>
      <c r="DM370" s="7">
        <v>0.87</v>
      </c>
      <c r="DN370" s="7">
        <v>0.87260000000000004</v>
      </c>
      <c r="DO370" s="7">
        <v>0.87509999999999999</v>
      </c>
      <c r="DP370" s="7">
        <v>0.87770000000000004</v>
      </c>
      <c r="DQ370" s="7">
        <v>0.88019999999999998</v>
      </c>
      <c r="DR370" s="7">
        <v>0.88260000000000005</v>
      </c>
      <c r="DS370" s="7">
        <v>0.8851</v>
      </c>
      <c r="DT370" s="7">
        <v>0.88749999999999996</v>
      </c>
      <c r="DU370" s="7">
        <v>0.88990000000000002</v>
      </c>
      <c r="DV370" s="7">
        <v>0.89229999999999998</v>
      </c>
      <c r="DW370" s="7">
        <v>0.89470000000000005</v>
      </c>
      <c r="DX370" s="7">
        <v>0.89700000000000002</v>
      </c>
      <c r="DY370" s="7">
        <v>0.89929999999999999</v>
      </c>
      <c r="DZ370" s="7">
        <v>0.90159999999999996</v>
      </c>
      <c r="EA370" s="7">
        <v>0.90390000000000004</v>
      </c>
      <c r="EB370" s="7">
        <v>0.90610000000000002</v>
      </c>
      <c r="EC370" s="7">
        <v>0.9083</v>
      </c>
      <c r="ED370" s="7">
        <v>0.91049999999999998</v>
      </c>
      <c r="EE370" s="7">
        <v>0.91269999999999996</v>
      </c>
      <c r="EF370" s="7">
        <v>0.91479999999999995</v>
      </c>
      <c r="EG370" s="7">
        <v>0.91700000000000004</v>
      </c>
      <c r="EH370" s="7">
        <v>0.91910000000000003</v>
      </c>
      <c r="EI370" s="7">
        <v>0.92120000000000002</v>
      </c>
      <c r="EJ370" s="7">
        <v>0.92330000000000001</v>
      </c>
      <c r="EK370" s="7">
        <v>0.9254</v>
      </c>
      <c r="EL370" s="7">
        <v>0.9274</v>
      </c>
      <c r="EM370" s="7">
        <v>0.9294</v>
      </c>
      <c r="EN370" s="7">
        <v>0.93149999999999999</v>
      </c>
      <c r="EO370" s="7">
        <v>0.9335</v>
      </c>
      <c r="EP370" s="7">
        <v>0.93540000000000001</v>
      </c>
      <c r="EQ370" s="7">
        <v>0.93740000000000001</v>
      </c>
      <c r="ER370" s="7">
        <v>0.93940000000000001</v>
      </c>
      <c r="ES370" s="7">
        <v>0.94130000000000003</v>
      </c>
      <c r="ET370" s="7">
        <v>0.94299999999999995</v>
      </c>
      <c r="EU370" s="7">
        <v>0.94499999999999995</v>
      </c>
      <c r="EV370" s="7">
        <v>0.94699999999999995</v>
      </c>
      <c r="EW370" s="7">
        <v>0.94899999999999995</v>
      </c>
      <c r="EX370" s="7">
        <v>0.95099999999999996</v>
      </c>
      <c r="EY370" s="7">
        <v>0.95299999999999996</v>
      </c>
      <c r="EZ370" s="7">
        <v>0.95499999999999996</v>
      </c>
      <c r="FA370" s="7">
        <v>0.95599999999999996</v>
      </c>
      <c r="FB370" s="7">
        <v>0.95799999999999996</v>
      </c>
      <c r="FC370" s="7">
        <v>0.96</v>
      </c>
      <c r="FE370" s="50">
        <f t="shared" ca="1" si="37"/>
        <v>0.89515943713673918</v>
      </c>
      <c r="FF370" s="50">
        <f t="shared" ca="1" si="38"/>
        <v>0.89366417814802945</v>
      </c>
      <c r="FG370" s="50">
        <f t="shared" ca="1" si="39"/>
        <v>0.89211798657718122</v>
      </c>
      <c r="FH370" s="50">
        <f t="shared" ca="1" si="40"/>
        <v>0.89050724832214767</v>
      </c>
      <c r="FI370" s="50"/>
      <c r="FK370" s="50">
        <f t="shared" ca="1" si="41"/>
        <v>0.89366417814802945</v>
      </c>
      <c r="FL370" s="50"/>
      <c r="FM370" s="50"/>
      <c r="FN370" s="50"/>
    </row>
    <row r="371" spans="49:170" hidden="1">
      <c r="AW371" s="112">
        <v>4.1689999999999996</v>
      </c>
      <c r="AX371" s="7">
        <v>0.57210000000000005</v>
      </c>
      <c r="AY371" s="7">
        <v>0.5796</v>
      </c>
      <c r="AZ371" s="7">
        <v>0.58699999999999997</v>
      </c>
      <c r="BA371" s="7">
        <v>0.59419999999999995</v>
      </c>
      <c r="BB371" s="7">
        <v>0.60129999999999995</v>
      </c>
      <c r="BC371" s="7">
        <v>0.60819999999999996</v>
      </c>
      <c r="BD371" s="7">
        <v>0.61499999999999999</v>
      </c>
      <c r="BE371" s="7">
        <v>0.62160000000000004</v>
      </c>
      <c r="BF371" s="7">
        <v>0.62819999999999998</v>
      </c>
      <c r="BG371" s="7">
        <v>0.63449999999999995</v>
      </c>
      <c r="BH371" s="7">
        <v>0.64080000000000004</v>
      </c>
      <c r="BI371" s="7">
        <v>0.64690000000000003</v>
      </c>
      <c r="BJ371" s="7">
        <v>0.65290000000000004</v>
      </c>
      <c r="BK371" s="7">
        <v>0.65880000000000005</v>
      </c>
      <c r="BL371" s="7">
        <v>0.66459999999999997</v>
      </c>
      <c r="BM371" s="7">
        <v>0.67030000000000001</v>
      </c>
      <c r="BN371" s="7">
        <v>0.67589999999999995</v>
      </c>
      <c r="BO371" s="7">
        <v>0.68130000000000002</v>
      </c>
      <c r="BP371" s="7">
        <v>0.68669999999999998</v>
      </c>
      <c r="BQ371" s="7">
        <v>0.69199999999999995</v>
      </c>
      <c r="BR371" s="7">
        <v>0.69720000000000004</v>
      </c>
      <c r="BS371" s="7">
        <v>0.70230000000000004</v>
      </c>
      <c r="BT371" s="7">
        <v>0.70730000000000004</v>
      </c>
      <c r="BU371" s="7">
        <v>0.71220000000000006</v>
      </c>
      <c r="BV371" s="7">
        <v>0.71699999999999997</v>
      </c>
      <c r="BW371" s="7">
        <v>0.7218</v>
      </c>
      <c r="BX371" s="7">
        <v>0.72640000000000005</v>
      </c>
      <c r="BY371" s="7">
        <v>0.73099999999999998</v>
      </c>
      <c r="BZ371" s="7">
        <v>0.73550000000000004</v>
      </c>
      <c r="CA371" s="7">
        <v>0.74</v>
      </c>
      <c r="CB371" s="7">
        <v>0.74439999999999995</v>
      </c>
      <c r="CC371" s="7">
        <v>0.74870000000000003</v>
      </c>
      <c r="CD371" s="7">
        <v>0.75290000000000001</v>
      </c>
      <c r="CE371" s="7">
        <v>0.75700000000000001</v>
      </c>
      <c r="CF371" s="7">
        <v>0.7611</v>
      </c>
      <c r="CG371" s="7">
        <v>0.76519999999999999</v>
      </c>
      <c r="CH371" s="7">
        <v>0.76910000000000001</v>
      </c>
      <c r="CI371" s="7">
        <v>0.77310000000000001</v>
      </c>
      <c r="CJ371" s="7">
        <v>0.77690000000000003</v>
      </c>
      <c r="CK371" s="7">
        <v>0.78069999999999995</v>
      </c>
      <c r="CL371" s="7">
        <v>0.78439999999999999</v>
      </c>
      <c r="CM371" s="7">
        <v>0.78810000000000002</v>
      </c>
      <c r="CN371" s="7">
        <v>0.79179999999999995</v>
      </c>
      <c r="CO371" s="7">
        <v>0.79530000000000001</v>
      </c>
      <c r="CP371" s="7">
        <v>0.79890000000000005</v>
      </c>
      <c r="CQ371" s="7">
        <v>0.80230000000000001</v>
      </c>
      <c r="CR371" s="7">
        <v>0.80579999999999996</v>
      </c>
      <c r="CS371" s="7">
        <v>0.80910000000000004</v>
      </c>
      <c r="CT371" s="7">
        <v>0.8125</v>
      </c>
      <c r="CU371" s="7">
        <v>0.81579999999999997</v>
      </c>
      <c r="CV371" s="7">
        <v>0.81899999999999995</v>
      </c>
      <c r="CW371" s="7">
        <v>0.82220000000000004</v>
      </c>
      <c r="CX371" s="7">
        <v>0.82540000000000002</v>
      </c>
      <c r="CY371" s="7">
        <v>0.82850000000000001</v>
      </c>
      <c r="CZ371" s="7">
        <v>0.83150000000000002</v>
      </c>
      <c r="DA371" s="7">
        <v>0.83460000000000001</v>
      </c>
      <c r="DB371" s="7">
        <v>0.83760000000000001</v>
      </c>
      <c r="DC371" s="7">
        <v>0.84050000000000002</v>
      </c>
      <c r="DD371" s="7">
        <v>0.84350000000000003</v>
      </c>
      <c r="DE371" s="7">
        <v>0.84630000000000005</v>
      </c>
      <c r="DF371" s="7">
        <v>0.84919999999999995</v>
      </c>
      <c r="DG371" s="7">
        <v>0.85199999999999998</v>
      </c>
      <c r="DH371" s="7">
        <v>0.8548</v>
      </c>
      <c r="DI371" s="7">
        <v>0.85750000000000004</v>
      </c>
      <c r="DJ371" s="7">
        <v>0.86019999999999996</v>
      </c>
      <c r="DK371" s="7">
        <v>0.8629</v>
      </c>
      <c r="DL371" s="7">
        <v>0.86560000000000004</v>
      </c>
      <c r="DM371" s="7">
        <v>0.86819999999999997</v>
      </c>
      <c r="DN371" s="7">
        <v>0.87080000000000002</v>
      </c>
      <c r="DO371" s="7">
        <v>0.87329999999999997</v>
      </c>
      <c r="DP371" s="7">
        <v>0.87590000000000001</v>
      </c>
      <c r="DQ371" s="7">
        <v>0.87839999999999996</v>
      </c>
      <c r="DR371" s="7">
        <v>0.88080000000000003</v>
      </c>
      <c r="DS371" s="7">
        <v>0.88329999999999997</v>
      </c>
      <c r="DT371" s="7">
        <v>0.88570000000000004</v>
      </c>
      <c r="DU371" s="7">
        <v>0.8881</v>
      </c>
      <c r="DV371" s="7">
        <v>0.89049999999999996</v>
      </c>
      <c r="DW371" s="7">
        <v>0.89280000000000004</v>
      </c>
      <c r="DX371" s="7">
        <v>0.8952</v>
      </c>
      <c r="DY371" s="7">
        <v>0.89749999999999996</v>
      </c>
      <c r="DZ371" s="7">
        <v>0.89970000000000006</v>
      </c>
      <c r="EA371" s="7">
        <v>0.90200000000000002</v>
      </c>
      <c r="EB371" s="7">
        <v>0.9042</v>
      </c>
      <c r="EC371" s="7">
        <v>0.90649999999999997</v>
      </c>
      <c r="ED371" s="7">
        <v>0.90859999999999996</v>
      </c>
      <c r="EE371" s="7">
        <v>0.91080000000000005</v>
      </c>
      <c r="EF371" s="7">
        <v>0.91300000000000003</v>
      </c>
      <c r="EG371" s="7">
        <v>0.91510000000000002</v>
      </c>
      <c r="EH371" s="7">
        <v>0.91720000000000002</v>
      </c>
      <c r="EI371" s="7">
        <v>0.91930000000000001</v>
      </c>
      <c r="EJ371" s="7">
        <v>0.9214</v>
      </c>
      <c r="EK371" s="7">
        <v>0.92349999999999999</v>
      </c>
      <c r="EL371" s="7">
        <v>0.92549999999999999</v>
      </c>
      <c r="EM371" s="7">
        <v>0.92749999999999999</v>
      </c>
      <c r="EN371" s="7">
        <v>0.92959999999999998</v>
      </c>
      <c r="EO371" s="7">
        <v>0.93159999999999998</v>
      </c>
      <c r="EP371" s="7">
        <v>0.9335</v>
      </c>
      <c r="EQ371" s="7">
        <v>0.9355</v>
      </c>
      <c r="ER371" s="7">
        <v>0.9375</v>
      </c>
      <c r="ES371" s="7">
        <v>0.93940000000000001</v>
      </c>
      <c r="ET371" s="7">
        <v>0.94099999999999995</v>
      </c>
      <c r="EU371" s="7">
        <v>0.94299999999999995</v>
      </c>
      <c r="EV371" s="7">
        <v>0.94499999999999995</v>
      </c>
      <c r="EW371" s="7">
        <v>0.94699999999999995</v>
      </c>
      <c r="EX371" s="7">
        <v>0.94899999999999995</v>
      </c>
      <c r="EY371" s="7">
        <v>0.95099999999999996</v>
      </c>
      <c r="EZ371" s="7">
        <v>0.95299999999999996</v>
      </c>
      <c r="FA371" s="7">
        <v>0.95499999999999996</v>
      </c>
      <c r="FB371" s="7">
        <v>0.95599999999999996</v>
      </c>
      <c r="FC371" s="7">
        <v>0.95799999999999996</v>
      </c>
      <c r="FE371" s="50">
        <f t="shared" ca="1" si="37"/>
        <v>0.89327941266442346</v>
      </c>
      <c r="FF371" s="50">
        <f t="shared" ca="1" si="38"/>
        <v>0.89180733739186169</v>
      </c>
      <c r="FG371" s="50">
        <f t="shared" ca="1" si="39"/>
        <v>0.8903179865771812</v>
      </c>
      <c r="FH371" s="50">
        <f t="shared" ca="1" si="40"/>
        <v>0.88870724832214765</v>
      </c>
      <c r="FI371" s="50"/>
      <c r="FK371" s="50">
        <f t="shared" ca="1" si="41"/>
        <v>0.89180733739186169</v>
      </c>
      <c r="FL371" s="50"/>
      <c r="FM371" s="50"/>
      <c r="FN371" s="50"/>
    </row>
    <row r="372" spans="49:170" hidden="1">
      <c r="AW372" s="112">
        <v>4.4669999999999996</v>
      </c>
      <c r="AX372" s="7">
        <v>0.57099999999999995</v>
      </c>
      <c r="AY372" s="7">
        <v>0.57850000000000001</v>
      </c>
      <c r="AZ372" s="7">
        <v>0.58579999999999999</v>
      </c>
      <c r="BA372" s="7">
        <v>0.59299999999999997</v>
      </c>
      <c r="BB372" s="7">
        <v>0.60009999999999997</v>
      </c>
      <c r="BC372" s="7">
        <v>0.60699999999999998</v>
      </c>
      <c r="BD372" s="7">
        <v>0.61380000000000001</v>
      </c>
      <c r="BE372" s="7">
        <v>0.62039999999999995</v>
      </c>
      <c r="BF372" s="7">
        <v>0.62690000000000001</v>
      </c>
      <c r="BG372" s="7">
        <v>0.63329999999999997</v>
      </c>
      <c r="BH372" s="7">
        <v>0.63949999999999996</v>
      </c>
      <c r="BI372" s="7">
        <v>0.64559999999999995</v>
      </c>
      <c r="BJ372" s="7">
        <v>0.65159999999999996</v>
      </c>
      <c r="BK372" s="7">
        <v>0.65749999999999997</v>
      </c>
      <c r="BL372" s="7">
        <v>0.6633</v>
      </c>
      <c r="BM372" s="7">
        <v>0.66890000000000005</v>
      </c>
      <c r="BN372" s="7">
        <v>0.67449999999999999</v>
      </c>
      <c r="BO372" s="7">
        <v>0.68</v>
      </c>
      <c r="BP372" s="7">
        <v>0.68530000000000002</v>
      </c>
      <c r="BQ372" s="7">
        <v>0.69059999999999999</v>
      </c>
      <c r="BR372" s="7">
        <v>0.69579999999999997</v>
      </c>
      <c r="BS372" s="7">
        <v>0.70089999999999997</v>
      </c>
      <c r="BT372" s="7">
        <v>0.70579999999999998</v>
      </c>
      <c r="BU372" s="7">
        <v>0.71079999999999999</v>
      </c>
      <c r="BV372" s="7">
        <v>0.71560000000000001</v>
      </c>
      <c r="BW372" s="7">
        <v>0.72030000000000005</v>
      </c>
      <c r="BX372" s="7">
        <v>0.72499999999999998</v>
      </c>
      <c r="BY372" s="7">
        <v>0.72960000000000003</v>
      </c>
      <c r="BZ372" s="7">
        <v>0.73409999999999997</v>
      </c>
      <c r="CA372" s="7">
        <v>0.73850000000000005</v>
      </c>
      <c r="CB372" s="7">
        <v>0.7429</v>
      </c>
      <c r="CC372" s="7">
        <v>0.74709999999999999</v>
      </c>
      <c r="CD372" s="7">
        <v>0.75139999999999996</v>
      </c>
      <c r="CE372" s="7">
        <v>0.75549999999999995</v>
      </c>
      <c r="CF372" s="7">
        <v>0.75960000000000005</v>
      </c>
      <c r="CG372" s="7">
        <v>0.76359999999999995</v>
      </c>
      <c r="CH372" s="7">
        <v>0.76759999999999995</v>
      </c>
      <c r="CI372" s="7">
        <v>0.77149999999999996</v>
      </c>
      <c r="CJ372" s="7">
        <v>0.77529999999999999</v>
      </c>
      <c r="CK372" s="7">
        <v>0.77910000000000001</v>
      </c>
      <c r="CL372" s="7">
        <v>0.78290000000000004</v>
      </c>
      <c r="CM372" s="7">
        <v>0.78649999999999998</v>
      </c>
      <c r="CN372" s="7">
        <v>0.79020000000000001</v>
      </c>
      <c r="CO372" s="7">
        <v>0.79369999999999996</v>
      </c>
      <c r="CP372" s="7">
        <v>0.79730000000000001</v>
      </c>
      <c r="CQ372" s="7">
        <v>0.80069999999999997</v>
      </c>
      <c r="CR372" s="7">
        <v>0.80410000000000004</v>
      </c>
      <c r="CS372" s="7">
        <v>0.8075</v>
      </c>
      <c r="CT372" s="7">
        <v>0.81079999999999997</v>
      </c>
      <c r="CU372" s="7">
        <v>0.81410000000000005</v>
      </c>
      <c r="CV372" s="7">
        <v>0.81740000000000002</v>
      </c>
      <c r="CW372" s="7">
        <v>0.82050000000000001</v>
      </c>
      <c r="CX372" s="7">
        <v>0.82369999999999999</v>
      </c>
      <c r="CY372" s="7">
        <v>0.82679999999999998</v>
      </c>
      <c r="CZ372" s="7">
        <v>0.82989999999999997</v>
      </c>
      <c r="DA372" s="7">
        <v>0.83289999999999997</v>
      </c>
      <c r="DB372" s="7">
        <v>0.83589999999999998</v>
      </c>
      <c r="DC372" s="7">
        <v>0.83879999999999999</v>
      </c>
      <c r="DD372" s="7">
        <v>0.84179999999999999</v>
      </c>
      <c r="DE372" s="7">
        <v>0.84460000000000002</v>
      </c>
      <c r="DF372" s="7">
        <v>0.84750000000000003</v>
      </c>
      <c r="DG372" s="7">
        <v>0.85029999999999994</v>
      </c>
      <c r="DH372" s="7">
        <v>0.85309999999999997</v>
      </c>
      <c r="DI372" s="7">
        <v>0.85580000000000001</v>
      </c>
      <c r="DJ372" s="7">
        <v>0.85850000000000004</v>
      </c>
      <c r="DK372" s="7">
        <v>0.86119999999999997</v>
      </c>
      <c r="DL372" s="7">
        <v>0.86380000000000001</v>
      </c>
      <c r="DM372" s="7">
        <v>0.86639999999999995</v>
      </c>
      <c r="DN372" s="7">
        <v>0.86899999999999999</v>
      </c>
      <c r="DO372" s="7">
        <v>0.87160000000000004</v>
      </c>
      <c r="DP372" s="7">
        <v>0.87409999999999999</v>
      </c>
      <c r="DQ372" s="7">
        <v>0.87660000000000005</v>
      </c>
      <c r="DR372" s="7">
        <v>0.87909999999999999</v>
      </c>
      <c r="DS372" s="7">
        <v>0.88149999999999995</v>
      </c>
      <c r="DT372" s="7">
        <v>0.88390000000000002</v>
      </c>
      <c r="DU372" s="7">
        <v>0.88629999999999998</v>
      </c>
      <c r="DV372" s="7">
        <v>0.88870000000000005</v>
      </c>
      <c r="DW372" s="7">
        <v>0.89100000000000001</v>
      </c>
      <c r="DX372" s="7">
        <v>0.89339999999999997</v>
      </c>
      <c r="DY372" s="7">
        <v>0.89570000000000005</v>
      </c>
      <c r="DZ372" s="7">
        <v>0.89790000000000003</v>
      </c>
      <c r="EA372" s="7">
        <v>0.9002</v>
      </c>
      <c r="EB372" s="7">
        <v>0.90239999999999998</v>
      </c>
      <c r="EC372" s="7">
        <v>0.90459999999999996</v>
      </c>
      <c r="ED372" s="7">
        <v>0.90680000000000005</v>
      </c>
      <c r="EE372" s="7">
        <v>0.90900000000000003</v>
      </c>
      <c r="EF372" s="7">
        <v>0.91110000000000002</v>
      </c>
      <c r="EG372" s="7">
        <v>0.9133</v>
      </c>
      <c r="EH372" s="7">
        <v>0.91539999999999999</v>
      </c>
      <c r="EI372" s="7">
        <v>0.91749999999999998</v>
      </c>
      <c r="EJ372" s="7">
        <v>0.91949999999999998</v>
      </c>
      <c r="EK372" s="7">
        <v>0.92159999999999997</v>
      </c>
      <c r="EL372" s="7">
        <v>0.92359999999999998</v>
      </c>
      <c r="EM372" s="7">
        <v>0.92569999999999997</v>
      </c>
      <c r="EN372" s="7">
        <v>0.92769999999999997</v>
      </c>
      <c r="EO372" s="7">
        <v>0.92969999999999997</v>
      </c>
      <c r="EP372" s="7">
        <v>0.93169999999999997</v>
      </c>
      <c r="EQ372" s="7">
        <v>0.93359999999999999</v>
      </c>
      <c r="ER372" s="7">
        <v>0.93559999999999999</v>
      </c>
      <c r="ES372" s="7">
        <v>0.9375</v>
      </c>
      <c r="ET372" s="7">
        <v>0.93899999999999995</v>
      </c>
      <c r="EU372" s="7">
        <v>0.94099999999999995</v>
      </c>
      <c r="EV372" s="7">
        <v>0.94299999999999995</v>
      </c>
      <c r="EW372" s="7">
        <v>0.94499999999999995</v>
      </c>
      <c r="EX372" s="7">
        <v>0.94699999999999995</v>
      </c>
      <c r="EY372" s="7">
        <v>0.94899999999999995</v>
      </c>
      <c r="EZ372" s="7">
        <v>0.95099999999999996</v>
      </c>
      <c r="FA372" s="7">
        <v>0.95299999999999996</v>
      </c>
      <c r="FB372" s="7">
        <v>0.95399999999999996</v>
      </c>
      <c r="FC372" s="7">
        <v>0.95599999999999996</v>
      </c>
      <c r="FE372" s="50">
        <f t="shared" ca="1" si="37"/>
        <v>0.89147941266442343</v>
      </c>
      <c r="FF372" s="50">
        <f t="shared" ca="1" si="38"/>
        <v>0.89000733739186166</v>
      </c>
      <c r="FG372" s="50">
        <f t="shared" ca="1" si="39"/>
        <v>0.88851798657718117</v>
      </c>
      <c r="FH372" s="50">
        <f t="shared" ca="1" si="40"/>
        <v>0.88690724832214762</v>
      </c>
      <c r="FI372" s="50"/>
      <c r="FK372" s="50">
        <f t="shared" ca="1" si="41"/>
        <v>0.89000733739186166</v>
      </c>
      <c r="FL372" s="50"/>
      <c r="FM372" s="50"/>
      <c r="FN372" s="50"/>
    </row>
    <row r="373" spans="49:170" hidden="1">
      <c r="AW373" s="112">
        <v>4.7859999999999996</v>
      </c>
      <c r="AX373" s="7">
        <v>0.56979999999999997</v>
      </c>
      <c r="AY373" s="7">
        <v>0.57730000000000004</v>
      </c>
      <c r="AZ373" s="7">
        <v>0.5847</v>
      </c>
      <c r="BA373" s="7">
        <v>0.59189999999999998</v>
      </c>
      <c r="BB373" s="7">
        <v>0.59889999999999999</v>
      </c>
      <c r="BC373" s="7">
        <v>0.60580000000000001</v>
      </c>
      <c r="BD373" s="7">
        <v>0.61250000000000004</v>
      </c>
      <c r="BE373" s="7">
        <v>0.61919999999999997</v>
      </c>
      <c r="BF373" s="7">
        <v>0.62560000000000004</v>
      </c>
      <c r="BG373" s="7">
        <v>0.63200000000000001</v>
      </c>
      <c r="BH373" s="7">
        <v>0.63819999999999999</v>
      </c>
      <c r="BI373" s="7">
        <v>0.64429999999999998</v>
      </c>
      <c r="BJ373" s="7">
        <v>0.65029999999999999</v>
      </c>
      <c r="BK373" s="7">
        <v>0.65620000000000001</v>
      </c>
      <c r="BL373" s="7">
        <v>0.66200000000000003</v>
      </c>
      <c r="BM373" s="7">
        <v>0.66759999999999997</v>
      </c>
      <c r="BN373" s="7">
        <v>0.67320000000000002</v>
      </c>
      <c r="BO373" s="7">
        <v>0.67859999999999998</v>
      </c>
      <c r="BP373" s="7">
        <v>0.68400000000000005</v>
      </c>
      <c r="BQ373" s="7">
        <v>0.68920000000000003</v>
      </c>
      <c r="BR373" s="7">
        <v>0.69440000000000002</v>
      </c>
      <c r="BS373" s="7">
        <v>0.69950000000000001</v>
      </c>
      <c r="BT373" s="7">
        <v>0.70440000000000003</v>
      </c>
      <c r="BU373" s="7">
        <v>0.70930000000000004</v>
      </c>
      <c r="BV373" s="7">
        <v>0.71409999999999996</v>
      </c>
      <c r="BW373" s="7">
        <v>0.71889999999999998</v>
      </c>
      <c r="BX373" s="7">
        <v>0.72350000000000003</v>
      </c>
      <c r="BY373" s="7">
        <v>0.72809999999999997</v>
      </c>
      <c r="BZ373" s="7">
        <v>0.73260000000000003</v>
      </c>
      <c r="CA373" s="7">
        <v>0.73699999999999999</v>
      </c>
      <c r="CB373" s="7">
        <v>0.74139999999999995</v>
      </c>
      <c r="CC373" s="7">
        <v>0.74570000000000003</v>
      </c>
      <c r="CD373" s="7">
        <v>0.74990000000000001</v>
      </c>
      <c r="CE373" s="7">
        <v>0.754</v>
      </c>
      <c r="CF373" s="7">
        <v>0.7581</v>
      </c>
      <c r="CG373" s="7">
        <v>0.7621</v>
      </c>
      <c r="CH373" s="7">
        <v>0.7661</v>
      </c>
      <c r="CI373" s="7">
        <v>0.77</v>
      </c>
      <c r="CJ373" s="7">
        <v>0.77380000000000004</v>
      </c>
      <c r="CK373" s="7">
        <v>0.77759999999999996</v>
      </c>
      <c r="CL373" s="7">
        <v>0.78129999999999999</v>
      </c>
      <c r="CM373" s="7">
        <v>0.78500000000000003</v>
      </c>
      <c r="CN373" s="7">
        <v>0.78859999999999997</v>
      </c>
      <c r="CO373" s="7">
        <v>0.79220000000000002</v>
      </c>
      <c r="CP373" s="7">
        <v>0.79569999999999996</v>
      </c>
      <c r="CQ373" s="7">
        <v>0.79910000000000003</v>
      </c>
      <c r="CR373" s="7">
        <v>0.80249999999999999</v>
      </c>
      <c r="CS373" s="7">
        <v>0.80589999999999995</v>
      </c>
      <c r="CT373" s="7">
        <v>0.80920000000000003</v>
      </c>
      <c r="CU373" s="7">
        <v>0.8125</v>
      </c>
      <c r="CV373" s="7">
        <v>0.81569999999999998</v>
      </c>
      <c r="CW373" s="7">
        <v>0.81889999999999996</v>
      </c>
      <c r="CX373" s="7">
        <v>0.82210000000000005</v>
      </c>
      <c r="CY373" s="7">
        <v>0.82520000000000004</v>
      </c>
      <c r="CZ373" s="7">
        <v>0.82820000000000005</v>
      </c>
      <c r="DA373" s="7">
        <v>0.83120000000000005</v>
      </c>
      <c r="DB373" s="7">
        <v>0.83420000000000005</v>
      </c>
      <c r="DC373" s="7">
        <v>0.83720000000000006</v>
      </c>
      <c r="DD373" s="7">
        <v>0.84009999999999996</v>
      </c>
      <c r="DE373" s="7">
        <v>0.84289999999999998</v>
      </c>
      <c r="DF373" s="7">
        <v>0.8458</v>
      </c>
      <c r="DG373" s="7">
        <v>0.84860000000000002</v>
      </c>
      <c r="DH373" s="7">
        <v>0.85140000000000005</v>
      </c>
      <c r="DI373" s="7">
        <v>0.85409999999999997</v>
      </c>
      <c r="DJ373" s="7">
        <v>0.85680000000000001</v>
      </c>
      <c r="DK373" s="7">
        <v>0.85950000000000004</v>
      </c>
      <c r="DL373" s="7">
        <v>0.86209999999999998</v>
      </c>
      <c r="DM373" s="7">
        <v>0.86470000000000002</v>
      </c>
      <c r="DN373" s="7">
        <v>0.86729999999999996</v>
      </c>
      <c r="DO373" s="7">
        <v>0.86980000000000002</v>
      </c>
      <c r="DP373" s="7">
        <v>0.87239999999999995</v>
      </c>
      <c r="DQ373" s="7">
        <v>0.87490000000000001</v>
      </c>
      <c r="DR373" s="7">
        <v>0.87729999999999997</v>
      </c>
      <c r="DS373" s="7">
        <v>0.87980000000000003</v>
      </c>
      <c r="DT373" s="7">
        <v>0.88219999999999998</v>
      </c>
      <c r="DU373" s="7">
        <v>0.88460000000000005</v>
      </c>
      <c r="DV373" s="7">
        <v>0.88690000000000002</v>
      </c>
      <c r="DW373" s="7">
        <v>0.88929999999999998</v>
      </c>
      <c r="DX373" s="7">
        <v>0.89159999999999995</v>
      </c>
      <c r="DY373" s="7">
        <v>0.89390000000000003</v>
      </c>
      <c r="DZ373" s="7">
        <v>0.89610000000000001</v>
      </c>
      <c r="EA373" s="7">
        <v>0.89839999999999998</v>
      </c>
      <c r="EB373" s="7">
        <v>0.90059999999999996</v>
      </c>
      <c r="EC373" s="7">
        <v>0.90280000000000005</v>
      </c>
      <c r="ED373" s="7">
        <v>0.90500000000000003</v>
      </c>
      <c r="EE373" s="7">
        <v>0.90720000000000001</v>
      </c>
      <c r="EF373" s="7">
        <v>0.9093</v>
      </c>
      <c r="EG373" s="7">
        <v>0.91139999999999999</v>
      </c>
      <c r="EH373" s="7">
        <v>0.91359999999999997</v>
      </c>
      <c r="EI373" s="7">
        <v>0.91559999999999997</v>
      </c>
      <c r="EJ373" s="7">
        <v>0.91769999999999996</v>
      </c>
      <c r="EK373" s="7">
        <v>0.91979999999999995</v>
      </c>
      <c r="EL373" s="7">
        <v>0.92179999999999995</v>
      </c>
      <c r="EM373" s="7">
        <v>0.92379999999999995</v>
      </c>
      <c r="EN373" s="7">
        <v>0.92579999999999996</v>
      </c>
      <c r="EO373" s="7">
        <v>0.92779999999999996</v>
      </c>
      <c r="EP373" s="7">
        <v>0.92979999999999996</v>
      </c>
      <c r="EQ373" s="7">
        <v>0.93179999999999996</v>
      </c>
      <c r="ER373" s="7">
        <v>0.93369999999999997</v>
      </c>
      <c r="ES373" s="7">
        <v>0.93559999999999999</v>
      </c>
      <c r="ET373" s="7">
        <v>0.93799999999999994</v>
      </c>
      <c r="EU373" s="7">
        <v>0.94</v>
      </c>
      <c r="EV373" s="7">
        <v>0.94099999999999995</v>
      </c>
      <c r="EW373" s="7">
        <v>0.94299999999999995</v>
      </c>
      <c r="EX373" s="7">
        <v>0.94499999999999995</v>
      </c>
      <c r="EY373" s="7">
        <v>0.94699999999999995</v>
      </c>
      <c r="EZ373" s="7">
        <v>0.94899999999999995</v>
      </c>
      <c r="FA373" s="7">
        <v>0.95099999999999996</v>
      </c>
      <c r="FB373" s="7">
        <v>0.95299999999999996</v>
      </c>
      <c r="FC373" s="7">
        <v>0.95399999999999996</v>
      </c>
      <c r="FE373" s="50">
        <f t="shared" ca="1" si="37"/>
        <v>0.88975943713673911</v>
      </c>
      <c r="FF373" s="50">
        <f t="shared" ca="1" si="38"/>
        <v>0.88826417814802949</v>
      </c>
      <c r="FG373" s="50">
        <f t="shared" ca="1" si="39"/>
        <v>0.88672557046979872</v>
      </c>
      <c r="FH373" s="50">
        <f t="shared" ca="1" si="40"/>
        <v>0.88518194630872493</v>
      </c>
      <c r="FI373" s="50"/>
      <c r="FK373" s="50">
        <f t="shared" ca="1" si="41"/>
        <v>0.88826417814802949</v>
      </c>
      <c r="FL373" s="50"/>
      <c r="FM373" s="50"/>
      <c r="FN373" s="50"/>
    </row>
    <row r="374" spans="49:170" hidden="1">
      <c r="AW374" s="112">
        <v>5.1289999999999996</v>
      </c>
      <c r="AX374" s="7">
        <v>0.56869999999999998</v>
      </c>
      <c r="AY374" s="7">
        <v>0.57620000000000005</v>
      </c>
      <c r="AZ374" s="7">
        <v>0.58350000000000002</v>
      </c>
      <c r="BA374" s="7">
        <v>0.5907</v>
      </c>
      <c r="BB374" s="7">
        <v>0.59770000000000001</v>
      </c>
      <c r="BC374" s="7">
        <v>0.60460000000000003</v>
      </c>
      <c r="BD374" s="7">
        <v>0.61129999999999995</v>
      </c>
      <c r="BE374" s="7">
        <v>0.6179</v>
      </c>
      <c r="BF374" s="7">
        <v>0.62439999999999996</v>
      </c>
      <c r="BG374" s="7">
        <v>0.63070000000000004</v>
      </c>
      <c r="BH374" s="7">
        <v>0.63700000000000001</v>
      </c>
      <c r="BI374" s="7">
        <v>0.6431</v>
      </c>
      <c r="BJ374" s="7">
        <v>0.64900000000000002</v>
      </c>
      <c r="BK374" s="7">
        <v>0.65490000000000004</v>
      </c>
      <c r="BL374" s="7">
        <v>0.66069999999999995</v>
      </c>
      <c r="BM374" s="7">
        <v>0.6663</v>
      </c>
      <c r="BN374" s="7">
        <v>0.67179999999999995</v>
      </c>
      <c r="BO374" s="7">
        <v>0.67730000000000001</v>
      </c>
      <c r="BP374" s="7">
        <v>0.68259999999999998</v>
      </c>
      <c r="BQ374" s="7">
        <v>0.68789999999999996</v>
      </c>
      <c r="BR374" s="7">
        <v>0.69299999999999995</v>
      </c>
      <c r="BS374" s="7">
        <v>0.69810000000000005</v>
      </c>
      <c r="BT374" s="7">
        <v>0.70309999999999995</v>
      </c>
      <c r="BU374" s="7">
        <v>0.70789999999999997</v>
      </c>
      <c r="BV374" s="7">
        <v>0.7127</v>
      </c>
      <c r="BW374" s="7">
        <v>0.71750000000000003</v>
      </c>
      <c r="BX374" s="7">
        <v>0.72209999999999996</v>
      </c>
      <c r="BY374" s="7">
        <v>0.72670000000000001</v>
      </c>
      <c r="BZ374" s="7">
        <v>0.73119999999999996</v>
      </c>
      <c r="CA374" s="7">
        <v>0.73560000000000003</v>
      </c>
      <c r="CB374" s="7">
        <v>0.7399</v>
      </c>
      <c r="CC374" s="7">
        <v>0.74419999999999997</v>
      </c>
      <c r="CD374" s="7">
        <v>0.74839999999999995</v>
      </c>
      <c r="CE374" s="7">
        <v>0.75249999999999995</v>
      </c>
      <c r="CF374" s="7">
        <v>0.75660000000000005</v>
      </c>
      <c r="CG374" s="7">
        <v>0.76060000000000005</v>
      </c>
      <c r="CH374" s="7">
        <v>0.76459999999999995</v>
      </c>
      <c r="CI374" s="7">
        <v>0.76849999999999996</v>
      </c>
      <c r="CJ374" s="7">
        <v>0.77229999999999999</v>
      </c>
      <c r="CK374" s="7">
        <v>0.77610000000000001</v>
      </c>
      <c r="CL374" s="7">
        <v>0.77980000000000005</v>
      </c>
      <c r="CM374" s="7">
        <v>0.78339999999999999</v>
      </c>
      <c r="CN374" s="7">
        <v>0.78700000000000003</v>
      </c>
      <c r="CO374" s="7">
        <v>0.79059999999999997</v>
      </c>
      <c r="CP374" s="7">
        <v>0.79410000000000003</v>
      </c>
      <c r="CQ374" s="7">
        <v>0.79759999999999998</v>
      </c>
      <c r="CR374" s="7">
        <v>0.80100000000000005</v>
      </c>
      <c r="CS374" s="7">
        <v>0.80430000000000001</v>
      </c>
      <c r="CT374" s="7">
        <v>0.80759999999999998</v>
      </c>
      <c r="CU374" s="7">
        <v>0.81089999999999995</v>
      </c>
      <c r="CV374" s="7">
        <v>0.81410000000000005</v>
      </c>
      <c r="CW374" s="7">
        <v>0.81730000000000003</v>
      </c>
      <c r="CX374" s="7">
        <v>0.82040000000000002</v>
      </c>
      <c r="CY374" s="7">
        <v>0.82350000000000001</v>
      </c>
      <c r="CZ374" s="7">
        <v>0.8266</v>
      </c>
      <c r="DA374" s="7">
        <v>0.8296</v>
      </c>
      <c r="DB374" s="7">
        <v>0.83260000000000001</v>
      </c>
      <c r="DC374" s="7">
        <v>0.83550000000000002</v>
      </c>
      <c r="DD374" s="7">
        <v>0.83840000000000003</v>
      </c>
      <c r="DE374" s="7">
        <v>0.84130000000000005</v>
      </c>
      <c r="DF374" s="7">
        <v>0.84409999999999996</v>
      </c>
      <c r="DG374" s="7">
        <v>0.84689999999999999</v>
      </c>
      <c r="DH374" s="7">
        <v>0.84970000000000001</v>
      </c>
      <c r="DI374" s="7">
        <v>0.85240000000000005</v>
      </c>
      <c r="DJ374" s="7">
        <v>0.85509999999999997</v>
      </c>
      <c r="DK374" s="7">
        <v>0.85780000000000001</v>
      </c>
      <c r="DL374" s="7">
        <v>0.86040000000000005</v>
      </c>
      <c r="DM374" s="7">
        <v>0.86299999999999999</v>
      </c>
      <c r="DN374" s="7">
        <v>0.86560000000000004</v>
      </c>
      <c r="DO374" s="7">
        <v>0.86809999999999998</v>
      </c>
      <c r="DP374" s="7">
        <v>0.87060000000000004</v>
      </c>
      <c r="DQ374" s="7">
        <v>0.87309999999999999</v>
      </c>
      <c r="DR374" s="7">
        <v>0.87560000000000004</v>
      </c>
      <c r="DS374" s="7">
        <v>0.878</v>
      </c>
      <c r="DT374" s="7">
        <v>0.88039999999999996</v>
      </c>
      <c r="DU374" s="7">
        <v>0.88280000000000003</v>
      </c>
      <c r="DV374" s="7">
        <v>0.88519999999999999</v>
      </c>
      <c r="DW374" s="7">
        <v>0.88749999999999996</v>
      </c>
      <c r="DX374" s="7">
        <v>0.88980000000000004</v>
      </c>
      <c r="DY374" s="7">
        <v>0.8921</v>
      </c>
      <c r="DZ374" s="7">
        <v>0.89439999999999997</v>
      </c>
      <c r="EA374" s="7">
        <v>0.89659999999999995</v>
      </c>
      <c r="EB374" s="7">
        <v>0.89880000000000004</v>
      </c>
      <c r="EC374" s="7">
        <v>0.90100000000000002</v>
      </c>
      <c r="ED374" s="7">
        <v>0.9032</v>
      </c>
      <c r="EE374" s="7">
        <v>0.90539999999999998</v>
      </c>
      <c r="EF374" s="7">
        <v>0.90749999999999997</v>
      </c>
      <c r="EG374" s="7">
        <v>0.90969999999999995</v>
      </c>
      <c r="EH374" s="7">
        <v>0.91180000000000005</v>
      </c>
      <c r="EI374" s="7">
        <v>0.91379999999999995</v>
      </c>
      <c r="EJ374" s="7">
        <v>0.91590000000000005</v>
      </c>
      <c r="EK374" s="7">
        <v>0.91800000000000004</v>
      </c>
      <c r="EL374" s="7">
        <v>0.92</v>
      </c>
      <c r="EM374" s="7">
        <v>0.92200000000000004</v>
      </c>
      <c r="EN374" s="7">
        <v>0.92400000000000004</v>
      </c>
      <c r="EO374" s="7">
        <v>0.92600000000000005</v>
      </c>
      <c r="EP374" s="7">
        <v>0.92800000000000005</v>
      </c>
      <c r="EQ374" s="7">
        <v>0.92989999999999995</v>
      </c>
      <c r="ER374" s="7">
        <v>0.93189999999999995</v>
      </c>
      <c r="ES374" s="7">
        <v>0.93379999999999996</v>
      </c>
      <c r="ET374" s="7">
        <v>0.93600000000000005</v>
      </c>
      <c r="EU374" s="7">
        <v>0.93799999999999994</v>
      </c>
      <c r="EV374" s="7">
        <v>0.94</v>
      </c>
      <c r="EW374" s="7">
        <v>0.94099999999999995</v>
      </c>
      <c r="EX374" s="7">
        <v>0.94299999999999995</v>
      </c>
      <c r="EY374" s="7">
        <v>0.94499999999999995</v>
      </c>
      <c r="EZ374" s="7">
        <v>0.94699999999999995</v>
      </c>
      <c r="FA374" s="7">
        <v>0.94899999999999995</v>
      </c>
      <c r="FB374" s="7">
        <v>0.95099999999999996</v>
      </c>
      <c r="FC374" s="7">
        <v>0.95199999999999996</v>
      </c>
      <c r="FE374" s="50">
        <f t="shared" ca="1" si="37"/>
        <v>0.88795943713673897</v>
      </c>
      <c r="FF374" s="50">
        <f t="shared" ca="1" si="38"/>
        <v>0.88650733739186161</v>
      </c>
      <c r="FG374" s="50">
        <f t="shared" ca="1" si="39"/>
        <v>0.88501798657718123</v>
      </c>
      <c r="FH374" s="50">
        <f t="shared" ca="1" si="40"/>
        <v>0.88340724832214768</v>
      </c>
      <c r="FI374" s="50"/>
      <c r="FK374" s="50">
        <f t="shared" ca="1" si="41"/>
        <v>0.88650733739186161</v>
      </c>
      <c r="FL374" s="50"/>
      <c r="FM374" s="50"/>
      <c r="FN374" s="50"/>
    </row>
    <row r="375" spans="49:170" hidden="1">
      <c r="AW375" s="112">
        <v>5.4950000000000001</v>
      </c>
      <c r="AX375" s="7">
        <v>0.56759999999999999</v>
      </c>
      <c r="AY375" s="7">
        <v>0.57509999999999994</v>
      </c>
      <c r="AZ375" s="7">
        <v>0.58240000000000003</v>
      </c>
      <c r="BA375" s="7">
        <v>0.58950000000000002</v>
      </c>
      <c r="BB375" s="7">
        <v>0.59660000000000002</v>
      </c>
      <c r="BC375" s="7">
        <v>0.60340000000000005</v>
      </c>
      <c r="BD375" s="7">
        <v>0.61019999999999996</v>
      </c>
      <c r="BE375" s="7">
        <v>0.61670000000000003</v>
      </c>
      <c r="BF375" s="7">
        <v>0.62319999999999998</v>
      </c>
      <c r="BG375" s="7">
        <v>0.62949999999999995</v>
      </c>
      <c r="BH375" s="7">
        <v>0.63570000000000004</v>
      </c>
      <c r="BI375" s="7">
        <v>0.64180000000000004</v>
      </c>
      <c r="BJ375" s="7">
        <v>0.64780000000000004</v>
      </c>
      <c r="BK375" s="7">
        <v>0.65359999999999996</v>
      </c>
      <c r="BL375" s="7">
        <v>0.65939999999999999</v>
      </c>
      <c r="BM375" s="7">
        <v>0.66500000000000004</v>
      </c>
      <c r="BN375" s="7">
        <v>0.67049999999999998</v>
      </c>
      <c r="BO375" s="7">
        <v>0.67600000000000005</v>
      </c>
      <c r="BP375" s="7">
        <v>0.68130000000000002</v>
      </c>
      <c r="BQ375" s="7">
        <v>0.6865</v>
      </c>
      <c r="BR375" s="7">
        <v>0.69169999999999998</v>
      </c>
      <c r="BS375" s="7">
        <v>0.69669999999999999</v>
      </c>
      <c r="BT375" s="7">
        <v>0.70169999999999999</v>
      </c>
      <c r="BU375" s="7">
        <v>0.70660000000000001</v>
      </c>
      <c r="BV375" s="7">
        <v>0.71140000000000003</v>
      </c>
      <c r="BW375" s="7">
        <v>0.71609999999999996</v>
      </c>
      <c r="BX375" s="7">
        <v>0.72070000000000001</v>
      </c>
      <c r="BY375" s="7">
        <v>0.72529999999999994</v>
      </c>
      <c r="BZ375" s="7">
        <v>0.72970000000000002</v>
      </c>
      <c r="CA375" s="7">
        <v>0.73409999999999997</v>
      </c>
      <c r="CB375" s="7">
        <v>0.73850000000000005</v>
      </c>
      <c r="CC375" s="7">
        <v>0.74270000000000003</v>
      </c>
      <c r="CD375" s="7">
        <v>0.74690000000000001</v>
      </c>
      <c r="CE375" s="7">
        <v>0.75109999999999999</v>
      </c>
      <c r="CF375" s="7">
        <v>0.75509999999999999</v>
      </c>
      <c r="CG375" s="7">
        <v>0.7591</v>
      </c>
      <c r="CH375" s="7">
        <v>0.7631</v>
      </c>
      <c r="CI375" s="7">
        <v>0.76700000000000002</v>
      </c>
      <c r="CJ375" s="7">
        <v>0.77080000000000004</v>
      </c>
      <c r="CK375" s="7">
        <v>0.77449999999999997</v>
      </c>
      <c r="CL375" s="7">
        <v>0.77829999999999999</v>
      </c>
      <c r="CM375" s="7">
        <v>0.78190000000000004</v>
      </c>
      <c r="CN375" s="7">
        <v>0.78549999999999998</v>
      </c>
      <c r="CO375" s="7">
        <v>0.78910000000000002</v>
      </c>
      <c r="CP375" s="7">
        <v>0.79259999999999997</v>
      </c>
      <c r="CQ375" s="7">
        <v>0.79600000000000004</v>
      </c>
      <c r="CR375" s="7">
        <v>0.7994</v>
      </c>
      <c r="CS375" s="7">
        <v>0.80279999999999996</v>
      </c>
      <c r="CT375" s="7">
        <v>0.80610000000000004</v>
      </c>
      <c r="CU375" s="7">
        <v>0.80930000000000002</v>
      </c>
      <c r="CV375" s="7">
        <v>0.8125</v>
      </c>
      <c r="CW375" s="7">
        <v>0.81569999999999998</v>
      </c>
      <c r="CX375" s="7">
        <v>0.81879999999999997</v>
      </c>
      <c r="CY375" s="7">
        <v>0.82189999999999996</v>
      </c>
      <c r="CZ375" s="7">
        <v>0.82499999999999996</v>
      </c>
      <c r="DA375" s="7">
        <v>0.82799999999999996</v>
      </c>
      <c r="DB375" s="7">
        <v>0.83099999999999996</v>
      </c>
      <c r="DC375" s="7">
        <v>0.83389999999999997</v>
      </c>
      <c r="DD375" s="7">
        <v>0.83679999999999999</v>
      </c>
      <c r="DE375" s="7">
        <v>0.8397</v>
      </c>
      <c r="DF375" s="7">
        <v>0.84250000000000003</v>
      </c>
      <c r="DG375" s="7">
        <v>0.84530000000000005</v>
      </c>
      <c r="DH375" s="7">
        <v>0.84799999999999998</v>
      </c>
      <c r="DI375" s="7">
        <v>0.8508</v>
      </c>
      <c r="DJ375" s="7">
        <v>0.85340000000000005</v>
      </c>
      <c r="DK375" s="7">
        <v>0.85609999999999997</v>
      </c>
      <c r="DL375" s="7">
        <v>0.85870000000000002</v>
      </c>
      <c r="DM375" s="7">
        <v>0.86129999999999995</v>
      </c>
      <c r="DN375" s="7">
        <v>0.8639</v>
      </c>
      <c r="DO375" s="7">
        <v>0.86639999999999995</v>
      </c>
      <c r="DP375" s="7">
        <v>0.86899999999999999</v>
      </c>
      <c r="DQ375" s="7">
        <v>0.87139999999999995</v>
      </c>
      <c r="DR375" s="7">
        <v>0.87390000000000001</v>
      </c>
      <c r="DS375" s="7">
        <v>0.87629999999999997</v>
      </c>
      <c r="DT375" s="7">
        <v>0.87870000000000004</v>
      </c>
      <c r="DU375" s="7">
        <v>0.88109999999999999</v>
      </c>
      <c r="DV375" s="7">
        <v>0.88349999999999995</v>
      </c>
      <c r="DW375" s="7">
        <v>0.88580000000000003</v>
      </c>
      <c r="DX375" s="7">
        <v>0.8881</v>
      </c>
      <c r="DY375" s="7">
        <v>0.89039999999999997</v>
      </c>
      <c r="DZ375" s="7">
        <v>0.89259999999999995</v>
      </c>
      <c r="EA375" s="7">
        <v>0.89490000000000003</v>
      </c>
      <c r="EB375" s="7">
        <v>0.89710000000000001</v>
      </c>
      <c r="EC375" s="7">
        <v>0.89929999999999999</v>
      </c>
      <c r="ED375" s="7">
        <v>0.90149999999999997</v>
      </c>
      <c r="EE375" s="7">
        <v>0.90359999999999996</v>
      </c>
      <c r="EF375" s="7">
        <v>0.90580000000000005</v>
      </c>
      <c r="EG375" s="7">
        <v>0.90790000000000004</v>
      </c>
      <c r="EH375" s="7">
        <v>0.91</v>
      </c>
      <c r="EI375" s="7">
        <v>0.91210000000000002</v>
      </c>
      <c r="EJ375" s="7">
        <v>0.91410000000000002</v>
      </c>
      <c r="EK375" s="7">
        <v>0.91620000000000001</v>
      </c>
      <c r="EL375" s="7">
        <v>0.91820000000000002</v>
      </c>
      <c r="EM375" s="7">
        <v>0.92020000000000002</v>
      </c>
      <c r="EN375" s="7">
        <v>0.92220000000000002</v>
      </c>
      <c r="EO375" s="7">
        <v>0.92420000000000002</v>
      </c>
      <c r="EP375" s="7">
        <v>0.92620000000000002</v>
      </c>
      <c r="EQ375" s="7">
        <v>0.92810000000000004</v>
      </c>
      <c r="ER375" s="7">
        <v>0.93010000000000004</v>
      </c>
      <c r="ES375" s="7">
        <v>0.93200000000000005</v>
      </c>
      <c r="ET375" s="7">
        <v>0.93400000000000005</v>
      </c>
      <c r="EU375" s="7">
        <v>0.93600000000000005</v>
      </c>
      <c r="EV375" s="7">
        <v>0.93799999999999994</v>
      </c>
      <c r="EW375" s="7">
        <v>0.94</v>
      </c>
      <c r="EX375" s="7">
        <v>0.94099999999999995</v>
      </c>
      <c r="EY375" s="7">
        <v>0.94299999999999995</v>
      </c>
      <c r="EZ375" s="7">
        <v>0.94499999999999995</v>
      </c>
      <c r="FA375" s="7">
        <v>0.94699999999999995</v>
      </c>
      <c r="FB375" s="7">
        <v>0.94899999999999995</v>
      </c>
      <c r="FC375" s="7">
        <v>0.95099999999999996</v>
      </c>
      <c r="FE375" s="50">
        <f t="shared" ca="1" si="37"/>
        <v>0.88625943713673916</v>
      </c>
      <c r="FF375" s="50">
        <f t="shared" ca="1" si="38"/>
        <v>0.88480733739186157</v>
      </c>
      <c r="FG375" s="50">
        <f t="shared" ca="1" si="39"/>
        <v>0.88331798657718119</v>
      </c>
      <c r="FH375" s="50">
        <f t="shared" ca="1" si="40"/>
        <v>0.88170724832214764</v>
      </c>
      <c r="FI375" s="50"/>
      <c r="FK375" s="50">
        <f t="shared" ca="1" si="41"/>
        <v>0.88480733739186157</v>
      </c>
      <c r="FL375" s="50"/>
      <c r="FM375" s="50"/>
      <c r="FN375" s="50"/>
    </row>
    <row r="376" spans="49:170" hidden="1">
      <c r="AW376" s="112">
        <v>5.8879999999999999</v>
      </c>
      <c r="AX376" s="7">
        <v>0.5665</v>
      </c>
      <c r="AY376" s="7">
        <v>0.57399999999999995</v>
      </c>
      <c r="AZ376" s="7">
        <v>0.58130000000000004</v>
      </c>
      <c r="BA376" s="7">
        <v>0.58840000000000003</v>
      </c>
      <c r="BB376" s="7">
        <v>0.59540000000000004</v>
      </c>
      <c r="BC376" s="7">
        <v>0.60229999999999995</v>
      </c>
      <c r="BD376" s="7">
        <v>0.60899999999999999</v>
      </c>
      <c r="BE376" s="7">
        <v>0.61560000000000004</v>
      </c>
      <c r="BF376" s="7">
        <v>0.622</v>
      </c>
      <c r="BG376" s="7">
        <v>0.62829999999999997</v>
      </c>
      <c r="BH376" s="7">
        <v>0.63449999999999995</v>
      </c>
      <c r="BI376" s="7">
        <v>0.64059999999999995</v>
      </c>
      <c r="BJ376" s="7">
        <v>0.64649999999999996</v>
      </c>
      <c r="BK376" s="7">
        <v>0.65239999999999998</v>
      </c>
      <c r="BL376" s="7">
        <v>0.65810000000000002</v>
      </c>
      <c r="BM376" s="7">
        <v>0.66369999999999996</v>
      </c>
      <c r="BN376" s="7">
        <v>0.66930000000000001</v>
      </c>
      <c r="BO376" s="7">
        <v>0.67469999999999997</v>
      </c>
      <c r="BP376" s="7">
        <v>0.68</v>
      </c>
      <c r="BQ376" s="7">
        <v>0.68520000000000003</v>
      </c>
      <c r="BR376" s="7">
        <v>0.69040000000000001</v>
      </c>
      <c r="BS376" s="7">
        <v>0.69540000000000002</v>
      </c>
      <c r="BT376" s="7">
        <v>0.70030000000000003</v>
      </c>
      <c r="BU376" s="7">
        <v>0.70520000000000005</v>
      </c>
      <c r="BV376" s="7">
        <v>0.71</v>
      </c>
      <c r="BW376" s="7">
        <v>0.7147</v>
      </c>
      <c r="BX376" s="7">
        <v>0.71930000000000005</v>
      </c>
      <c r="BY376" s="7">
        <v>0.72389999999999999</v>
      </c>
      <c r="BZ376" s="7">
        <v>0.72829999999999995</v>
      </c>
      <c r="CA376" s="7">
        <v>0.73270000000000002</v>
      </c>
      <c r="CB376" s="7">
        <v>0.73709999999999998</v>
      </c>
      <c r="CC376" s="7">
        <v>0.74129999999999996</v>
      </c>
      <c r="CD376" s="7">
        <v>0.74550000000000005</v>
      </c>
      <c r="CE376" s="7">
        <v>0.74960000000000004</v>
      </c>
      <c r="CF376" s="7">
        <v>0.75370000000000004</v>
      </c>
      <c r="CG376" s="7">
        <v>0.75770000000000004</v>
      </c>
      <c r="CH376" s="7">
        <v>0.76160000000000005</v>
      </c>
      <c r="CI376" s="7">
        <v>0.76549999999999996</v>
      </c>
      <c r="CJ376" s="7">
        <v>0.76929999999999998</v>
      </c>
      <c r="CK376" s="7">
        <v>0.77310000000000001</v>
      </c>
      <c r="CL376" s="7">
        <v>0.77680000000000005</v>
      </c>
      <c r="CM376" s="7">
        <v>0.78039999999999998</v>
      </c>
      <c r="CN376" s="7">
        <v>0.78400000000000003</v>
      </c>
      <c r="CO376" s="7">
        <v>0.78749999999999998</v>
      </c>
      <c r="CP376" s="7">
        <v>0.79100000000000004</v>
      </c>
      <c r="CQ376" s="7">
        <v>0.79449999999999998</v>
      </c>
      <c r="CR376" s="7">
        <v>0.79790000000000005</v>
      </c>
      <c r="CS376" s="7">
        <v>0.80120000000000002</v>
      </c>
      <c r="CT376" s="7">
        <v>0.80449999999999999</v>
      </c>
      <c r="CU376" s="7">
        <v>0.80779999999999996</v>
      </c>
      <c r="CV376" s="7">
        <v>0.81100000000000005</v>
      </c>
      <c r="CW376" s="7">
        <v>0.81420000000000003</v>
      </c>
      <c r="CX376" s="7">
        <v>0.81730000000000003</v>
      </c>
      <c r="CY376" s="7">
        <v>0.82040000000000002</v>
      </c>
      <c r="CZ376" s="7">
        <v>0.82340000000000002</v>
      </c>
      <c r="DA376" s="7">
        <v>0.82640000000000002</v>
      </c>
      <c r="DB376" s="7">
        <v>0.82940000000000003</v>
      </c>
      <c r="DC376" s="7">
        <v>0.83230000000000004</v>
      </c>
      <c r="DD376" s="7">
        <v>0.83520000000000005</v>
      </c>
      <c r="DE376" s="7">
        <v>0.83799999999999997</v>
      </c>
      <c r="DF376" s="7">
        <v>0.84089999999999998</v>
      </c>
      <c r="DG376" s="7">
        <v>0.84370000000000001</v>
      </c>
      <c r="DH376" s="7">
        <v>0.84640000000000004</v>
      </c>
      <c r="DI376" s="7">
        <v>0.84909999999999997</v>
      </c>
      <c r="DJ376" s="7">
        <v>0.8518</v>
      </c>
      <c r="DK376" s="7">
        <v>0.85450000000000004</v>
      </c>
      <c r="DL376" s="7">
        <v>0.85709999999999997</v>
      </c>
      <c r="DM376" s="7">
        <v>0.85970000000000002</v>
      </c>
      <c r="DN376" s="7">
        <v>0.86219999999999997</v>
      </c>
      <c r="DO376" s="7">
        <v>0.86480000000000001</v>
      </c>
      <c r="DP376" s="7">
        <v>0.86729999999999996</v>
      </c>
      <c r="DQ376" s="7">
        <v>0.86980000000000002</v>
      </c>
      <c r="DR376" s="7">
        <v>0.87219999999999998</v>
      </c>
      <c r="DS376" s="7">
        <v>0.87460000000000004</v>
      </c>
      <c r="DT376" s="7">
        <v>0.877</v>
      </c>
      <c r="DU376" s="7">
        <v>0.87939999999999996</v>
      </c>
      <c r="DV376" s="7">
        <v>0.88180000000000003</v>
      </c>
      <c r="DW376" s="7">
        <v>0.8841</v>
      </c>
      <c r="DX376" s="7">
        <v>0.88639999999999997</v>
      </c>
      <c r="DY376" s="7">
        <v>0.88870000000000005</v>
      </c>
      <c r="DZ376" s="7">
        <v>0.89090000000000003</v>
      </c>
      <c r="EA376" s="7">
        <v>0.89319999999999999</v>
      </c>
      <c r="EB376" s="7">
        <v>0.89539999999999997</v>
      </c>
      <c r="EC376" s="7">
        <v>0.89759999999999995</v>
      </c>
      <c r="ED376" s="7">
        <v>0.89970000000000006</v>
      </c>
      <c r="EE376" s="7">
        <v>0.90190000000000003</v>
      </c>
      <c r="EF376" s="7">
        <v>0.90400000000000003</v>
      </c>
      <c r="EG376" s="7">
        <v>0.90610000000000002</v>
      </c>
      <c r="EH376" s="7">
        <v>0.90820000000000001</v>
      </c>
      <c r="EI376" s="7">
        <v>0.9103</v>
      </c>
      <c r="EJ376" s="7">
        <v>0.91239999999999999</v>
      </c>
      <c r="EK376" s="7">
        <v>0.91439999999999999</v>
      </c>
      <c r="EL376" s="7">
        <v>0.91639999999999999</v>
      </c>
      <c r="EM376" s="7">
        <v>0.91849999999999998</v>
      </c>
      <c r="EN376" s="7">
        <v>0.92049999999999998</v>
      </c>
      <c r="EO376" s="7">
        <v>0.9224</v>
      </c>
      <c r="EP376" s="7">
        <v>0.9244</v>
      </c>
      <c r="EQ376" s="7">
        <v>0.92630000000000001</v>
      </c>
      <c r="ER376" s="7">
        <v>0.92830000000000001</v>
      </c>
      <c r="ES376" s="7">
        <v>0.93020000000000003</v>
      </c>
      <c r="ET376" s="7">
        <v>0.93200000000000005</v>
      </c>
      <c r="EU376" s="7">
        <v>0.93400000000000005</v>
      </c>
      <c r="EV376" s="7">
        <v>0.93600000000000005</v>
      </c>
      <c r="EW376" s="7">
        <v>0.93799999999999994</v>
      </c>
      <c r="EX376" s="7">
        <v>0.94</v>
      </c>
      <c r="EY376" s="7">
        <v>0.94199999999999995</v>
      </c>
      <c r="EZ376" s="7">
        <v>0.94299999999999995</v>
      </c>
      <c r="FA376" s="7">
        <v>0.94499999999999995</v>
      </c>
      <c r="FB376" s="7">
        <v>0.94699999999999995</v>
      </c>
      <c r="FC376" s="7">
        <v>0.94899999999999995</v>
      </c>
      <c r="FE376" s="50">
        <f t="shared" ca="1" si="37"/>
        <v>0.88455943713673912</v>
      </c>
      <c r="FF376" s="50">
        <f t="shared" ca="1" si="38"/>
        <v>0.88310733739186165</v>
      </c>
      <c r="FG376" s="50">
        <f t="shared" ca="1" si="39"/>
        <v>0.88161798657718127</v>
      </c>
      <c r="FH376" s="50">
        <f t="shared" ca="1" si="40"/>
        <v>0.88000724832214772</v>
      </c>
      <c r="FI376" s="50"/>
      <c r="FK376" s="50">
        <f t="shared" ca="1" si="41"/>
        <v>0.88310733739186165</v>
      </c>
      <c r="FL376" s="50"/>
      <c r="FM376" s="50"/>
      <c r="FN376" s="50"/>
    </row>
    <row r="377" spans="49:170" hidden="1">
      <c r="AW377" s="112">
        <v>6.31</v>
      </c>
      <c r="AX377" s="7">
        <v>0.56540000000000001</v>
      </c>
      <c r="AY377" s="7">
        <v>0.57289999999999996</v>
      </c>
      <c r="AZ377" s="7">
        <v>0.58020000000000005</v>
      </c>
      <c r="BA377" s="7">
        <v>0.58730000000000004</v>
      </c>
      <c r="BB377" s="7">
        <v>0.59430000000000005</v>
      </c>
      <c r="BC377" s="7">
        <v>0.60109999999999997</v>
      </c>
      <c r="BD377" s="7">
        <v>0.60780000000000001</v>
      </c>
      <c r="BE377" s="7">
        <v>0.61439999999999995</v>
      </c>
      <c r="BF377" s="7">
        <v>0.62080000000000002</v>
      </c>
      <c r="BG377" s="7">
        <v>0.62709999999999999</v>
      </c>
      <c r="BH377" s="7">
        <v>0.63329999999999997</v>
      </c>
      <c r="BI377" s="7">
        <v>0.63939999999999997</v>
      </c>
      <c r="BJ377" s="7">
        <v>0.64529999999999998</v>
      </c>
      <c r="BK377" s="7">
        <v>0.65110000000000001</v>
      </c>
      <c r="BL377" s="7">
        <v>0.65690000000000004</v>
      </c>
      <c r="BM377" s="7">
        <v>0.66249999999999998</v>
      </c>
      <c r="BN377" s="7">
        <v>0.66800000000000004</v>
      </c>
      <c r="BO377" s="7">
        <v>0.6734</v>
      </c>
      <c r="BP377" s="7">
        <v>0.67869999999999997</v>
      </c>
      <c r="BQ377" s="7">
        <v>0.68389999999999995</v>
      </c>
      <c r="BR377" s="7">
        <v>0.68899999999999995</v>
      </c>
      <c r="BS377" s="7">
        <v>0.69410000000000005</v>
      </c>
      <c r="BT377" s="7">
        <v>0.69899999999999995</v>
      </c>
      <c r="BU377" s="7">
        <v>0.70389999999999997</v>
      </c>
      <c r="BV377" s="7">
        <v>0.7087</v>
      </c>
      <c r="BW377" s="7">
        <v>0.71330000000000005</v>
      </c>
      <c r="BX377" s="7">
        <v>0.71799999999999997</v>
      </c>
      <c r="BY377" s="7">
        <v>0.72250000000000003</v>
      </c>
      <c r="BZ377" s="7">
        <v>0.72699999999999998</v>
      </c>
      <c r="CA377" s="7">
        <v>0.73140000000000005</v>
      </c>
      <c r="CB377" s="7">
        <v>0.73570000000000002</v>
      </c>
      <c r="CC377" s="7">
        <v>0.7399</v>
      </c>
      <c r="CD377" s="7">
        <v>0.74409999999999998</v>
      </c>
      <c r="CE377" s="7">
        <v>0.74819999999999998</v>
      </c>
      <c r="CF377" s="7">
        <v>0.75229999999999997</v>
      </c>
      <c r="CG377" s="7">
        <v>0.75619999999999998</v>
      </c>
      <c r="CH377" s="7">
        <v>0.76019999999999999</v>
      </c>
      <c r="CI377" s="7">
        <v>0.76400000000000001</v>
      </c>
      <c r="CJ377" s="7">
        <v>0.76780000000000004</v>
      </c>
      <c r="CK377" s="7">
        <v>0.77159999999999995</v>
      </c>
      <c r="CL377" s="7">
        <v>0.77529999999999999</v>
      </c>
      <c r="CM377" s="7">
        <v>0.77890000000000004</v>
      </c>
      <c r="CN377" s="7">
        <v>0.78249999999999997</v>
      </c>
      <c r="CO377" s="7">
        <v>0.78610000000000002</v>
      </c>
      <c r="CP377" s="7">
        <v>0.78949999999999998</v>
      </c>
      <c r="CQ377" s="7">
        <v>0.79300000000000004</v>
      </c>
      <c r="CR377" s="7">
        <v>0.7964</v>
      </c>
      <c r="CS377" s="7">
        <v>0.79969999999999997</v>
      </c>
      <c r="CT377" s="7">
        <v>0.80300000000000005</v>
      </c>
      <c r="CU377" s="7">
        <v>0.80620000000000003</v>
      </c>
      <c r="CV377" s="7">
        <v>0.8095</v>
      </c>
      <c r="CW377" s="7">
        <v>0.81259999999999999</v>
      </c>
      <c r="CX377" s="7">
        <v>0.81569999999999998</v>
      </c>
      <c r="CY377" s="7">
        <v>0.81879999999999997</v>
      </c>
      <c r="CZ377" s="7">
        <v>0.82179999999999997</v>
      </c>
      <c r="DA377" s="7">
        <v>0.82479999999999998</v>
      </c>
      <c r="DB377" s="7">
        <v>0.82779999999999998</v>
      </c>
      <c r="DC377" s="7">
        <v>0.83069999999999999</v>
      </c>
      <c r="DD377" s="7">
        <v>0.83360000000000001</v>
      </c>
      <c r="DE377" s="7">
        <v>0.83650000000000002</v>
      </c>
      <c r="DF377" s="7">
        <v>0.83930000000000005</v>
      </c>
      <c r="DG377" s="7">
        <v>0.84209999999999996</v>
      </c>
      <c r="DH377" s="7">
        <v>0.8448</v>
      </c>
      <c r="DI377" s="7">
        <v>0.84750000000000003</v>
      </c>
      <c r="DJ377" s="7">
        <v>0.85019999999999996</v>
      </c>
      <c r="DK377" s="7">
        <v>0.8528</v>
      </c>
      <c r="DL377" s="7">
        <v>0.85550000000000004</v>
      </c>
      <c r="DM377" s="7">
        <v>0.85809999999999997</v>
      </c>
      <c r="DN377" s="7">
        <v>0.86060000000000003</v>
      </c>
      <c r="DO377" s="7">
        <v>0.86309999999999998</v>
      </c>
      <c r="DP377" s="7">
        <v>0.86560000000000004</v>
      </c>
      <c r="DQ377" s="7">
        <v>0.86809999999999998</v>
      </c>
      <c r="DR377" s="7">
        <v>0.87060000000000004</v>
      </c>
      <c r="DS377" s="7">
        <v>0.873</v>
      </c>
      <c r="DT377" s="7">
        <v>0.87539999999999996</v>
      </c>
      <c r="DU377" s="7">
        <v>0.87780000000000002</v>
      </c>
      <c r="DV377" s="7">
        <v>0.88009999999999999</v>
      </c>
      <c r="DW377" s="7">
        <v>0.88239999999999996</v>
      </c>
      <c r="DX377" s="7">
        <v>0.88470000000000004</v>
      </c>
      <c r="DY377" s="7">
        <v>0.88700000000000001</v>
      </c>
      <c r="DZ377" s="7">
        <v>0.88919999999999999</v>
      </c>
      <c r="EA377" s="7">
        <v>0.89149999999999996</v>
      </c>
      <c r="EB377" s="7">
        <v>0.89370000000000005</v>
      </c>
      <c r="EC377" s="7">
        <v>0.89590000000000003</v>
      </c>
      <c r="ED377" s="7">
        <v>0.89800000000000002</v>
      </c>
      <c r="EE377" s="7">
        <v>0.9002</v>
      </c>
      <c r="EF377" s="7">
        <v>0.90229999999999999</v>
      </c>
      <c r="EG377" s="7">
        <v>0.90439999999999998</v>
      </c>
      <c r="EH377" s="7">
        <v>0.90649999999999997</v>
      </c>
      <c r="EI377" s="7">
        <v>0.90859999999999996</v>
      </c>
      <c r="EJ377" s="7">
        <v>0.91069999999999995</v>
      </c>
      <c r="EK377" s="7">
        <v>0.91269999999999996</v>
      </c>
      <c r="EL377" s="7">
        <v>0.91469999999999996</v>
      </c>
      <c r="EM377" s="7">
        <v>0.91669999999999996</v>
      </c>
      <c r="EN377" s="7">
        <v>0.91869999999999996</v>
      </c>
      <c r="EO377" s="7">
        <v>0.92069999999999996</v>
      </c>
      <c r="EP377" s="7">
        <v>0.92259999999999998</v>
      </c>
      <c r="EQ377" s="7">
        <v>0.92459999999999998</v>
      </c>
      <c r="ER377" s="7">
        <v>0.92649999999999999</v>
      </c>
      <c r="ES377" s="7">
        <v>0.9284</v>
      </c>
      <c r="ET377" s="7">
        <v>0.93</v>
      </c>
      <c r="EU377" s="7">
        <v>0.93200000000000005</v>
      </c>
      <c r="EV377" s="7">
        <v>0.93400000000000005</v>
      </c>
      <c r="EW377" s="7">
        <v>0.93600000000000005</v>
      </c>
      <c r="EX377" s="7">
        <v>0.93799999999999994</v>
      </c>
      <c r="EY377" s="7">
        <v>0.94</v>
      </c>
      <c r="EZ377" s="7">
        <v>0.94199999999999995</v>
      </c>
      <c r="FA377" s="7">
        <v>0.94299999999999995</v>
      </c>
      <c r="FB377" s="7">
        <v>0.94499999999999995</v>
      </c>
      <c r="FC377" s="7">
        <v>0.94699999999999995</v>
      </c>
      <c r="FE377" s="50">
        <f t="shared" ca="1" si="37"/>
        <v>0.88285943713673909</v>
      </c>
      <c r="FF377" s="50">
        <f t="shared" ca="1" si="38"/>
        <v>0.88140733739186161</v>
      </c>
      <c r="FG377" s="50">
        <f t="shared" ca="1" si="39"/>
        <v>0.87992557046979869</v>
      </c>
      <c r="FH377" s="50">
        <f t="shared" ca="1" si="40"/>
        <v>0.8783819463087249</v>
      </c>
      <c r="FI377" s="50"/>
      <c r="FK377" s="50">
        <f t="shared" ca="1" si="41"/>
        <v>0.88140733739186161</v>
      </c>
      <c r="FL377" s="50"/>
      <c r="FM377" s="50"/>
      <c r="FN377" s="50"/>
    </row>
    <row r="378" spans="49:170" hidden="1">
      <c r="AW378" s="112">
        <v>6.7610000000000001</v>
      </c>
      <c r="AX378" s="7">
        <v>0.56440000000000001</v>
      </c>
      <c r="AY378" s="7">
        <v>0.57179999999999997</v>
      </c>
      <c r="AZ378" s="7">
        <v>0.57909999999999995</v>
      </c>
      <c r="BA378" s="7">
        <v>0.58620000000000005</v>
      </c>
      <c r="BB378" s="7">
        <v>0.59319999999999995</v>
      </c>
      <c r="BC378" s="7">
        <v>0.6</v>
      </c>
      <c r="BD378" s="7">
        <v>0.60670000000000002</v>
      </c>
      <c r="BE378" s="7">
        <v>0.61319999999999997</v>
      </c>
      <c r="BF378" s="7">
        <v>0.61970000000000003</v>
      </c>
      <c r="BG378" s="7">
        <v>0.626</v>
      </c>
      <c r="BH378" s="7">
        <v>0.6321</v>
      </c>
      <c r="BI378" s="7">
        <v>0.63819999999999999</v>
      </c>
      <c r="BJ378" s="7">
        <v>0.64410000000000001</v>
      </c>
      <c r="BK378" s="7">
        <v>0.64990000000000003</v>
      </c>
      <c r="BL378" s="7">
        <v>0.65559999999999996</v>
      </c>
      <c r="BM378" s="7">
        <v>0.66120000000000001</v>
      </c>
      <c r="BN378" s="7">
        <v>0.66669999999999996</v>
      </c>
      <c r="BO378" s="7">
        <v>0.67210000000000003</v>
      </c>
      <c r="BP378" s="7">
        <v>0.6774</v>
      </c>
      <c r="BQ378" s="7">
        <v>0.68259999999999998</v>
      </c>
      <c r="BR378" s="7">
        <v>0.68779999999999997</v>
      </c>
      <c r="BS378" s="7">
        <v>0.69279999999999997</v>
      </c>
      <c r="BT378" s="7">
        <v>0.69769999999999999</v>
      </c>
      <c r="BU378" s="7">
        <v>0.7026</v>
      </c>
      <c r="BV378" s="7">
        <v>0.70730000000000004</v>
      </c>
      <c r="BW378" s="7">
        <v>0.71199999999999997</v>
      </c>
      <c r="BX378" s="7">
        <v>0.71660000000000001</v>
      </c>
      <c r="BY378" s="7">
        <v>0.72109999999999996</v>
      </c>
      <c r="BZ378" s="7">
        <v>0.72560000000000002</v>
      </c>
      <c r="CA378" s="7">
        <v>0.73</v>
      </c>
      <c r="CB378" s="7">
        <v>0.73429999999999995</v>
      </c>
      <c r="CC378" s="7">
        <v>0.73850000000000005</v>
      </c>
      <c r="CD378" s="7">
        <v>0.74270000000000003</v>
      </c>
      <c r="CE378" s="7">
        <v>0.74680000000000002</v>
      </c>
      <c r="CF378" s="7">
        <v>0.75090000000000001</v>
      </c>
      <c r="CG378" s="7">
        <v>0.75480000000000003</v>
      </c>
      <c r="CH378" s="7">
        <v>0.75880000000000003</v>
      </c>
      <c r="CI378" s="7">
        <v>0.76259999999999994</v>
      </c>
      <c r="CJ378" s="7">
        <v>0.76639999999999997</v>
      </c>
      <c r="CK378" s="7">
        <v>0.7702</v>
      </c>
      <c r="CL378" s="7">
        <v>0.77380000000000004</v>
      </c>
      <c r="CM378" s="7">
        <v>0.77749999999999997</v>
      </c>
      <c r="CN378" s="7">
        <v>0.78110000000000002</v>
      </c>
      <c r="CO378" s="7">
        <v>0.78459999999999996</v>
      </c>
      <c r="CP378" s="7">
        <v>0.78810000000000002</v>
      </c>
      <c r="CQ378" s="7">
        <v>0.79149999999999998</v>
      </c>
      <c r="CR378" s="7">
        <v>0.79490000000000005</v>
      </c>
      <c r="CS378" s="7">
        <v>0.79820000000000002</v>
      </c>
      <c r="CT378" s="7">
        <v>0.80149999999999999</v>
      </c>
      <c r="CU378" s="7">
        <v>0.80469999999999997</v>
      </c>
      <c r="CV378" s="7">
        <v>0.80789999999999995</v>
      </c>
      <c r="CW378" s="7">
        <v>0.81110000000000004</v>
      </c>
      <c r="CX378" s="7">
        <v>0.81420000000000003</v>
      </c>
      <c r="CY378" s="7">
        <v>0.81730000000000003</v>
      </c>
      <c r="CZ378" s="7">
        <v>0.82030000000000003</v>
      </c>
      <c r="DA378" s="7">
        <v>0.82330000000000003</v>
      </c>
      <c r="DB378" s="7">
        <v>0.82630000000000003</v>
      </c>
      <c r="DC378" s="7">
        <v>0.82920000000000005</v>
      </c>
      <c r="DD378" s="7">
        <v>0.83209999999999995</v>
      </c>
      <c r="DE378" s="7">
        <v>0.83489999999999998</v>
      </c>
      <c r="DF378" s="7">
        <v>0.8377</v>
      </c>
      <c r="DG378" s="7">
        <v>0.84050000000000002</v>
      </c>
      <c r="DH378" s="7">
        <v>0.84319999999999995</v>
      </c>
      <c r="DI378" s="7">
        <v>0.84589999999999999</v>
      </c>
      <c r="DJ378" s="7">
        <v>0.84860000000000002</v>
      </c>
      <c r="DK378" s="7">
        <v>0.85129999999999995</v>
      </c>
      <c r="DL378" s="7">
        <v>0.85389999999999999</v>
      </c>
      <c r="DM378" s="7">
        <v>0.85650000000000004</v>
      </c>
      <c r="DN378" s="7">
        <v>0.85899999999999999</v>
      </c>
      <c r="DO378" s="7">
        <v>0.86150000000000004</v>
      </c>
      <c r="DP378" s="7">
        <v>0.86399999999999999</v>
      </c>
      <c r="DQ378" s="7">
        <v>0.86650000000000005</v>
      </c>
      <c r="DR378" s="7">
        <v>0.86890000000000001</v>
      </c>
      <c r="DS378" s="7">
        <v>0.87139999999999995</v>
      </c>
      <c r="DT378" s="7">
        <v>0.87380000000000002</v>
      </c>
      <c r="DU378" s="7">
        <v>0.87609999999999999</v>
      </c>
      <c r="DV378" s="7">
        <v>0.87849999999999995</v>
      </c>
      <c r="DW378" s="7">
        <v>0.88080000000000003</v>
      </c>
      <c r="DX378" s="7">
        <v>0.8831</v>
      </c>
      <c r="DY378" s="7">
        <v>0.88529999999999998</v>
      </c>
      <c r="DZ378" s="7">
        <v>0.88759999999999994</v>
      </c>
      <c r="EA378" s="7">
        <v>0.88980000000000004</v>
      </c>
      <c r="EB378" s="7">
        <v>0.89200000000000002</v>
      </c>
      <c r="EC378" s="7">
        <v>0.89419999999999999</v>
      </c>
      <c r="ED378" s="7">
        <v>0.89639999999999997</v>
      </c>
      <c r="EE378" s="7">
        <v>0.89849999999999997</v>
      </c>
      <c r="EF378" s="7">
        <v>0.90059999999999996</v>
      </c>
      <c r="EG378" s="7">
        <v>0.90269999999999995</v>
      </c>
      <c r="EH378" s="7">
        <v>0.90480000000000005</v>
      </c>
      <c r="EI378" s="7">
        <v>0.90690000000000004</v>
      </c>
      <c r="EJ378" s="7">
        <v>0.90900000000000003</v>
      </c>
      <c r="EK378" s="7">
        <v>0.91100000000000003</v>
      </c>
      <c r="EL378" s="7">
        <v>0.91300000000000003</v>
      </c>
      <c r="EM378" s="7">
        <v>0.91500000000000004</v>
      </c>
      <c r="EN378" s="7">
        <v>0.91700000000000004</v>
      </c>
      <c r="EO378" s="7">
        <v>0.91900000000000004</v>
      </c>
      <c r="EP378" s="7">
        <v>0.92090000000000005</v>
      </c>
      <c r="EQ378" s="7">
        <v>0.92290000000000005</v>
      </c>
      <c r="ER378" s="7">
        <v>0.92479999999999996</v>
      </c>
      <c r="ES378" s="7">
        <v>0.92669999999999997</v>
      </c>
      <c r="ET378" s="7">
        <v>0.92900000000000005</v>
      </c>
      <c r="EU378" s="7">
        <v>0.93100000000000005</v>
      </c>
      <c r="EV378" s="7">
        <v>0.93200000000000005</v>
      </c>
      <c r="EW378" s="7">
        <v>0.93400000000000005</v>
      </c>
      <c r="EX378" s="7">
        <v>0.93600000000000005</v>
      </c>
      <c r="EY378" s="7">
        <v>0.93799999999999994</v>
      </c>
      <c r="EZ378" s="7">
        <v>0.94</v>
      </c>
      <c r="FA378" s="7">
        <v>0.94199999999999995</v>
      </c>
      <c r="FB378" s="7">
        <v>0.94299999999999995</v>
      </c>
      <c r="FC378" s="7">
        <v>0.94499999999999995</v>
      </c>
      <c r="FE378" s="50">
        <f t="shared" ca="1" si="37"/>
        <v>0.88125943713673915</v>
      </c>
      <c r="FF378" s="50">
        <f t="shared" ca="1" si="38"/>
        <v>0.87980733739186168</v>
      </c>
      <c r="FG378" s="50">
        <f t="shared" ca="1" si="39"/>
        <v>0.87831798657718119</v>
      </c>
      <c r="FH378" s="50">
        <f t="shared" ca="1" si="40"/>
        <v>0.87670724832214764</v>
      </c>
      <c r="FI378" s="50"/>
      <c r="FK378" s="50">
        <f t="shared" ca="1" si="41"/>
        <v>0.87980733739186168</v>
      </c>
      <c r="FL378" s="50"/>
      <c r="FM378" s="50"/>
      <c r="FN378" s="50"/>
    </row>
    <row r="379" spans="49:170" hidden="1">
      <c r="AW379" s="112">
        <v>7.2439999999999998</v>
      </c>
      <c r="AX379" s="7">
        <v>0.56330000000000002</v>
      </c>
      <c r="AY379" s="7">
        <v>0.57079999999999997</v>
      </c>
      <c r="AZ379" s="7">
        <v>0.57799999999999996</v>
      </c>
      <c r="BA379" s="7">
        <v>0.58509999999999995</v>
      </c>
      <c r="BB379" s="7">
        <v>0.59209999999999996</v>
      </c>
      <c r="BC379" s="7">
        <v>0.59889999999999999</v>
      </c>
      <c r="BD379" s="7">
        <v>0.60560000000000003</v>
      </c>
      <c r="BE379" s="7">
        <v>0.61209999999999998</v>
      </c>
      <c r="BF379" s="7">
        <v>0.61850000000000005</v>
      </c>
      <c r="BG379" s="7">
        <v>0.62480000000000002</v>
      </c>
      <c r="BH379" s="7">
        <v>0.63100000000000001</v>
      </c>
      <c r="BI379" s="7">
        <v>0.63700000000000001</v>
      </c>
      <c r="BJ379" s="7">
        <v>0.64290000000000003</v>
      </c>
      <c r="BK379" s="7">
        <v>0.64870000000000005</v>
      </c>
      <c r="BL379" s="7">
        <v>0.65439999999999998</v>
      </c>
      <c r="BM379" s="7">
        <v>0.66</v>
      </c>
      <c r="BN379" s="7">
        <v>0.66549999999999998</v>
      </c>
      <c r="BO379" s="7">
        <v>0.67090000000000005</v>
      </c>
      <c r="BP379" s="7">
        <v>0.67620000000000002</v>
      </c>
      <c r="BQ379" s="7">
        <v>0.68140000000000001</v>
      </c>
      <c r="BR379" s="7">
        <v>0.6865</v>
      </c>
      <c r="BS379" s="7">
        <v>0.6915</v>
      </c>
      <c r="BT379" s="7">
        <v>0.69640000000000002</v>
      </c>
      <c r="BU379" s="7">
        <v>0.70130000000000003</v>
      </c>
      <c r="BV379" s="7">
        <v>0.70599999999999996</v>
      </c>
      <c r="BW379" s="7">
        <v>0.7107</v>
      </c>
      <c r="BX379" s="7">
        <v>0.71530000000000005</v>
      </c>
      <c r="BY379" s="7">
        <v>0.7198</v>
      </c>
      <c r="BZ379" s="7">
        <v>0.72430000000000005</v>
      </c>
      <c r="CA379" s="7">
        <v>0.72860000000000003</v>
      </c>
      <c r="CB379" s="7">
        <v>0.7329</v>
      </c>
      <c r="CC379" s="7">
        <v>0.73719999999999997</v>
      </c>
      <c r="CD379" s="7">
        <v>0.74129999999999996</v>
      </c>
      <c r="CE379" s="7">
        <v>0.74539999999999995</v>
      </c>
      <c r="CF379" s="7">
        <v>0.74950000000000006</v>
      </c>
      <c r="CG379" s="7">
        <v>0.75339999999999996</v>
      </c>
      <c r="CH379" s="7">
        <v>0.75739999999999996</v>
      </c>
      <c r="CI379" s="7">
        <v>0.76119999999999999</v>
      </c>
      <c r="CJ379" s="7">
        <v>0.76500000000000001</v>
      </c>
      <c r="CK379" s="7">
        <v>0.76870000000000005</v>
      </c>
      <c r="CL379" s="7">
        <v>0.77239999999999998</v>
      </c>
      <c r="CM379" s="7">
        <v>0.77600000000000002</v>
      </c>
      <c r="CN379" s="7">
        <v>0.77959999999999996</v>
      </c>
      <c r="CO379" s="7">
        <v>0.78310000000000002</v>
      </c>
      <c r="CP379" s="7">
        <v>0.78659999999999997</v>
      </c>
      <c r="CQ379" s="7">
        <v>0.79</v>
      </c>
      <c r="CR379" s="7">
        <v>0.79339999999999999</v>
      </c>
      <c r="CS379" s="7">
        <v>0.79669999999999996</v>
      </c>
      <c r="CT379" s="7">
        <v>0.8</v>
      </c>
      <c r="CU379" s="7">
        <v>0.80330000000000001</v>
      </c>
      <c r="CV379" s="7">
        <v>0.80640000000000001</v>
      </c>
      <c r="CW379" s="7">
        <v>0.80959999999999999</v>
      </c>
      <c r="CX379" s="7">
        <v>0.81269999999999998</v>
      </c>
      <c r="CY379" s="7">
        <v>0.81579999999999997</v>
      </c>
      <c r="CZ379" s="7">
        <v>0.81879999999999997</v>
      </c>
      <c r="DA379" s="7">
        <v>0.82179999999999997</v>
      </c>
      <c r="DB379" s="7">
        <v>0.82469999999999999</v>
      </c>
      <c r="DC379" s="7">
        <v>0.8276</v>
      </c>
      <c r="DD379" s="7">
        <v>0.83050000000000002</v>
      </c>
      <c r="DE379" s="7">
        <v>0.83340000000000003</v>
      </c>
      <c r="DF379" s="7">
        <v>0.83620000000000005</v>
      </c>
      <c r="DG379" s="7">
        <v>0.83889999999999998</v>
      </c>
      <c r="DH379" s="7">
        <v>0.8417</v>
      </c>
      <c r="DI379" s="7">
        <v>0.84440000000000004</v>
      </c>
      <c r="DJ379" s="7">
        <v>0.84699999999999998</v>
      </c>
      <c r="DK379" s="7">
        <v>0.84970000000000001</v>
      </c>
      <c r="DL379" s="7">
        <v>0.85229999999999995</v>
      </c>
      <c r="DM379" s="7">
        <v>0.85489999999999999</v>
      </c>
      <c r="DN379" s="7">
        <v>0.85740000000000005</v>
      </c>
      <c r="DO379" s="7">
        <v>0.8599</v>
      </c>
      <c r="DP379" s="7">
        <v>0.86240000000000006</v>
      </c>
      <c r="DQ379" s="7">
        <v>0.8649</v>
      </c>
      <c r="DR379" s="7">
        <v>0.86729999999999996</v>
      </c>
      <c r="DS379" s="7">
        <v>0.86980000000000002</v>
      </c>
      <c r="DT379" s="7">
        <v>0.87209999999999999</v>
      </c>
      <c r="DU379" s="7">
        <v>0.87450000000000006</v>
      </c>
      <c r="DV379" s="7">
        <v>0.87680000000000002</v>
      </c>
      <c r="DW379" s="7">
        <v>0.87909999999999999</v>
      </c>
      <c r="DX379" s="7">
        <v>0.88139999999999996</v>
      </c>
      <c r="DY379" s="7">
        <v>0.88370000000000004</v>
      </c>
      <c r="DZ379" s="7">
        <v>0.88600000000000001</v>
      </c>
      <c r="EA379" s="7">
        <v>0.88819999999999999</v>
      </c>
      <c r="EB379" s="7">
        <v>0.89039999999999997</v>
      </c>
      <c r="EC379" s="7">
        <v>0.89259999999999995</v>
      </c>
      <c r="ED379" s="7">
        <v>0.89470000000000005</v>
      </c>
      <c r="EE379" s="7">
        <v>0.89690000000000003</v>
      </c>
      <c r="EF379" s="7">
        <v>0.89900000000000002</v>
      </c>
      <c r="EG379" s="7">
        <v>0.90110000000000001</v>
      </c>
      <c r="EH379" s="7">
        <v>0.9032</v>
      </c>
      <c r="EI379" s="7">
        <v>0.9052</v>
      </c>
      <c r="EJ379" s="7">
        <v>0.9073</v>
      </c>
      <c r="EK379" s="7">
        <v>0.9093</v>
      </c>
      <c r="EL379" s="7">
        <v>0.9113</v>
      </c>
      <c r="EM379" s="7">
        <v>0.9133</v>
      </c>
      <c r="EN379" s="7">
        <v>0.9153</v>
      </c>
      <c r="EO379" s="7">
        <v>0.9173</v>
      </c>
      <c r="EP379" s="7">
        <v>0.91920000000000002</v>
      </c>
      <c r="EQ379" s="7">
        <v>0.92120000000000002</v>
      </c>
      <c r="ER379" s="7">
        <v>0.92310000000000003</v>
      </c>
      <c r="ES379" s="7">
        <v>0.92500000000000004</v>
      </c>
      <c r="ET379" s="7">
        <v>0.92700000000000005</v>
      </c>
      <c r="EU379" s="7">
        <v>0.92900000000000005</v>
      </c>
      <c r="EV379" s="7">
        <v>0.93100000000000005</v>
      </c>
      <c r="EW379" s="7">
        <v>0.93300000000000005</v>
      </c>
      <c r="EX379" s="7">
        <v>0.93400000000000005</v>
      </c>
      <c r="EY379" s="7">
        <v>0.93600000000000005</v>
      </c>
      <c r="EZ379" s="7">
        <v>0.93799999999999994</v>
      </c>
      <c r="FA379" s="7">
        <v>0.94</v>
      </c>
      <c r="FB379" s="7">
        <v>0.94199999999999995</v>
      </c>
      <c r="FC379" s="7">
        <v>0.94299999999999995</v>
      </c>
      <c r="FE379" s="50">
        <f t="shared" ca="1" si="37"/>
        <v>0.87955943713673912</v>
      </c>
      <c r="FF379" s="50">
        <f t="shared" ca="1" si="38"/>
        <v>0.87810733739186164</v>
      </c>
      <c r="FG379" s="50">
        <f t="shared" ca="1" si="39"/>
        <v>0.87662557046979872</v>
      </c>
      <c r="FH379" s="50">
        <f t="shared" ca="1" si="40"/>
        <v>0.87508194630872493</v>
      </c>
      <c r="FI379" s="50"/>
      <c r="FK379" s="50">
        <f t="shared" ca="1" si="41"/>
        <v>0.87810733739186164</v>
      </c>
      <c r="FL379" s="50"/>
      <c r="FM379" s="50"/>
      <c r="FN379" s="50"/>
    </row>
    <row r="380" spans="49:170" hidden="1">
      <c r="AW380" s="112">
        <v>7.7619999999999996</v>
      </c>
      <c r="AX380" s="7">
        <v>0.56230000000000002</v>
      </c>
      <c r="AY380" s="7">
        <v>0.56969999999999998</v>
      </c>
      <c r="AZ380" s="7">
        <v>0.57699999999999996</v>
      </c>
      <c r="BA380" s="7">
        <v>0.58409999999999995</v>
      </c>
      <c r="BB380" s="7">
        <v>0.59099999999999997</v>
      </c>
      <c r="BC380" s="7">
        <v>0.5978</v>
      </c>
      <c r="BD380" s="7">
        <v>0.60450000000000004</v>
      </c>
      <c r="BE380" s="7">
        <v>0.61099999999999999</v>
      </c>
      <c r="BF380" s="7">
        <v>0.61739999999999995</v>
      </c>
      <c r="BG380" s="7">
        <v>0.62370000000000003</v>
      </c>
      <c r="BH380" s="7">
        <v>0.62980000000000003</v>
      </c>
      <c r="BI380" s="7">
        <v>0.63580000000000003</v>
      </c>
      <c r="BJ380" s="7">
        <v>0.64180000000000004</v>
      </c>
      <c r="BK380" s="7">
        <v>0.64749999999999996</v>
      </c>
      <c r="BL380" s="7">
        <v>0.6532</v>
      </c>
      <c r="BM380" s="7">
        <v>0.65880000000000005</v>
      </c>
      <c r="BN380" s="7">
        <v>0.6643</v>
      </c>
      <c r="BO380" s="7">
        <v>0.66969999999999996</v>
      </c>
      <c r="BP380" s="7">
        <v>0.67500000000000004</v>
      </c>
      <c r="BQ380" s="7">
        <v>0.68010000000000004</v>
      </c>
      <c r="BR380" s="7">
        <v>0.68520000000000003</v>
      </c>
      <c r="BS380" s="7">
        <v>0.69020000000000004</v>
      </c>
      <c r="BT380" s="7">
        <v>0.69520000000000004</v>
      </c>
      <c r="BU380" s="7">
        <v>0.7</v>
      </c>
      <c r="BV380" s="7">
        <v>0.70469999999999999</v>
      </c>
      <c r="BW380" s="7">
        <v>0.70940000000000003</v>
      </c>
      <c r="BX380" s="7">
        <v>0.71399999999999997</v>
      </c>
      <c r="BY380" s="7">
        <v>0.71850000000000003</v>
      </c>
      <c r="BZ380" s="7">
        <v>0.72289999999999999</v>
      </c>
      <c r="CA380" s="7">
        <v>0.72729999999999995</v>
      </c>
      <c r="CB380" s="7">
        <v>0.73160000000000003</v>
      </c>
      <c r="CC380" s="7">
        <v>0.73580000000000001</v>
      </c>
      <c r="CD380" s="7">
        <v>0.74</v>
      </c>
      <c r="CE380" s="7">
        <v>0.74409999999999998</v>
      </c>
      <c r="CF380" s="7">
        <v>0.74809999999999999</v>
      </c>
      <c r="CG380" s="7">
        <v>0.75209999999999999</v>
      </c>
      <c r="CH380" s="7">
        <v>0.75600000000000001</v>
      </c>
      <c r="CI380" s="7">
        <v>0.75980000000000003</v>
      </c>
      <c r="CJ380" s="7">
        <v>0.76359999999999995</v>
      </c>
      <c r="CK380" s="7">
        <v>0.76729999999999998</v>
      </c>
      <c r="CL380" s="7">
        <v>0.77100000000000002</v>
      </c>
      <c r="CM380" s="7">
        <v>0.77459999999999996</v>
      </c>
      <c r="CN380" s="7">
        <v>0.7782</v>
      </c>
      <c r="CO380" s="7">
        <v>0.78169999999999995</v>
      </c>
      <c r="CP380" s="7">
        <v>0.78520000000000001</v>
      </c>
      <c r="CQ380" s="7">
        <v>0.78859999999999997</v>
      </c>
      <c r="CR380" s="7">
        <v>0.79200000000000004</v>
      </c>
      <c r="CS380" s="7">
        <v>0.79530000000000001</v>
      </c>
      <c r="CT380" s="7">
        <v>0.79859999999999998</v>
      </c>
      <c r="CU380" s="7">
        <v>0.80179999999999996</v>
      </c>
      <c r="CV380" s="7">
        <v>0.80500000000000005</v>
      </c>
      <c r="CW380" s="7">
        <v>0.80810000000000004</v>
      </c>
      <c r="CX380" s="7">
        <v>0.81120000000000003</v>
      </c>
      <c r="CY380" s="7">
        <v>0.81430000000000002</v>
      </c>
      <c r="CZ380" s="7">
        <v>0.81730000000000003</v>
      </c>
      <c r="DA380" s="7">
        <v>0.82030000000000003</v>
      </c>
      <c r="DB380" s="7">
        <v>0.82320000000000004</v>
      </c>
      <c r="DC380" s="7">
        <v>0.82609999999999995</v>
      </c>
      <c r="DD380" s="7">
        <v>0.82899999999999996</v>
      </c>
      <c r="DE380" s="7">
        <v>0.83179999999999998</v>
      </c>
      <c r="DF380" s="7">
        <v>0.83460000000000001</v>
      </c>
      <c r="DG380" s="7">
        <v>0.83740000000000003</v>
      </c>
      <c r="DH380" s="7">
        <v>0.84009999999999996</v>
      </c>
      <c r="DI380" s="7">
        <v>0.84279999999999999</v>
      </c>
      <c r="DJ380" s="7">
        <v>0.84550000000000003</v>
      </c>
      <c r="DK380" s="7">
        <v>0.84809999999999997</v>
      </c>
      <c r="DL380" s="7">
        <v>0.85070000000000001</v>
      </c>
      <c r="DM380" s="7">
        <v>0.85329999999999995</v>
      </c>
      <c r="DN380" s="7">
        <v>0.85589999999999999</v>
      </c>
      <c r="DO380" s="7">
        <v>0.85840000000000005</v>
      </c>
      <c r="DP380" s="7">
        <v>0.8609</v>
      </c>
      <c r="DQ380" s="7">
        <v>0.86329999999999996</v>
      </c>
      <c r="DR380" s="7">
        <v>0.86580000000000001</v>
      </c>
      <c r="DS380" s="7">
        <v>0.86819999999999997</v>
      </c>
      <c r="DT380" s="7">
        <v>0.87050000000000005</v>
      </c>
      <c r="DU380" s="7">
        <v>0.87290000000000001</v>
      </c>
      <c r="DV380" s="7">
        <v>0.87519999999999998</v>
      </c>
      <c r="DW380" s="7">
        <v>0.87749999999999995</v>
      </c>
      <c r="DX380" s="7">
        <v>0.87980000000000003</v>
      </c>
      <c r="DY380" s="7">
        <v>0.8821</v>
      </c>
      <c r="DZ380" s="7">
        <v>0.88429999999999997</v>
      </c>
      <c r="EA380" s="7">
        <v>0.88660000000000005</v>
      </c>
      <c r="EB380" s="7">
        <v>0.88880000000000003</v>
      </c>
      <c r="EC380" s="7">
        <v>0.89090000000000003</v>
      </c>
      <c r="ED380" s="7">
        <v>0.8931</v>
      </c>
      <c r="EE380" s="7">
        <v>0.8952</v>
      </c>
      <c r="EF380" s="7">
        <v>0.89729999999999999</v>
      </c>
      <c r="EG380" s="7">
        <v>0.89939999999999998</v>
      </c>
      <c r="EH380" s="7">
        <v>0.90149999999999997</v>
      </c>
      <c r="EI380" s="7">
        <v>0.90359999999999996</v>
      </c>
      <c r="EJ380" s="7">
        <v>0.90559999999999996</v>
      </c>
      <c r="EK380" s="7">
        <v>0.90759999999999996</v>
      </c>
      <c r="EL380" s="7">
        <v>0.90969999999999995</v>
      </c>
      <c r="EM380" s="7">
        <v>0.91169999999999995</v>
      </c>
      <c r="EN380" s="7">
        <v>0.91359999999999997</v>
      </c>
      <c r="EO380" s="7">
        <v>0.91559999999999997</v>
      </c>
      <c r="EP380" s="7">
        <v>0.91749999999999998</v>
      </c>
      <c r="EQ380" s="7">
        <v>0.91949999999999998</v>
      </c>
      <c r="ER380" s="7">
        <v>0.9214</v>
      </c>
      <c r="ES380" s="7">
        <v>0.92330000000000001</v>
      </c>
      <c r="ET380" s="7">
        <v>0.92500000000000004</v>
      </c>
      <c r="EU380" s="7">
        <v>0.92700000000000005</v>
      </c>
      <c r="EV380" s="7">
        <v>0.92900000000000005</v>
      </c>
      <c r="EW380" s="7">
        <v>0.93100000000000005</v>
      </c>
      <c r="EX380" s="7">
        <v>0.93300000000000005</v>
      </c>
      <c r="EY380" s="7">
        <v>0.93500000000000005</v>
      </c>
      <c r="EZ380" s="7">
        <v>0.93600000000000005</v>
      </c>
      <c r="FA380" s="7">
        <v>0.93799999999999994</v>
      </c>
      <c r="FB380" s="7">
        <v>0.94</v>
      </c>
      <c r="FC380" s="7">
        <v>0.94199999999999995</v>
      </c>
      <c r="FE380" s="50">
        <f t="shared" ca="1" si="37"/>
        <v>0.87795943713673896</v>
      </c>
      <c r="FF380" s="50">
        <f t="shared" ca="1" si="38"/>
        <v>0.8765073373918616</v>
      </c>
      <c r="FG380" s="50">
        <f t="shared" ca="1" si="39"/>
        <v>0.87502557046979867</v>
      </c>
      <c r="FH380" s="50">
        <f t="shared" ca="1" si="40"/>
        <v>0.87348194630872489</v>
      </c>
      <c r="FI380" s="50"/>
      <c r="FK380" s="50">
        <f t="shared" ca="1" si="41"/>
        <v>0.8765073373918616</v>
      </c>
      <c r="FL380" s="50"/>
      <c r="FM380" s="50"/>
      <c r="FN380" s="50"/>
    </row>
    <row r="381" spans="49:170" hidden="1">
      <c r="AW381" s="112">
        <v>8.3179999999999996</v>
      </c>
      <c r="AX381" s="7">
        <v>0.56130000000000002</v>
      </c>
      <c r="AY381" s="7">
        <v>0.56869999999999998</v>
      </c>
      <c r="AZ381" s="7">
        <v>0.57589999999999997</v>
      </c>
      <c r="BA381" s="7">
        <v>0.58299999999999996</v>
      </c>
      <c r="BB381" s="7">
        <v>0.58989999999999998</v>
      </c>
      <c r="BC381" s="7">
        <v>0.59670000000000001</v>
      </c>
      <c r="BD381" s="7">
        <v>0.60340000000000005</v>
      </c>
      <c r="BE381" s="7">
        <v>0.6099</v>
      </c>
      <c r="BF381" s="7">
        <v>0.61629999999999996</v>
      </c>
      <c r="BG381" s="7">
        <v>0.62250000000000005</v>
      </c>
      <c r="BH381" s="7">
        <v>0.62870000000000004</v>
      </c>
      <c r="BI381" s="7">
        <v>0.63470000000000004</v>
      </c>
      <c r="BJ381" s="7">
        <v>0.64059999999999995</v>
      </c>
      <c r="BK381" s="7">
        <v>0.64639999999999997</v>
      </c>
      <c r="BL381" s="7">
        <v>0.65210000000000001</v>
      </c>
      <c r="BM381" s="7">
        <v>0.65759999999999996</v>
      </c>
      <c r="BN381" s="7">
        <v>0.66310000000000002</v>
      </c>
      <c r="BO381" s="7">
        <v>0.66849999999999998</v>
      </c>
      <c r="BP381" s="7">
        <v>0.67369999999999997</v>
      </c>
      <c r="BQ381" s="7">
        <v>0.67889999999999995</v>
      </c>
      <c r="BR381" s="7">
        <v>0.68400000000000005</v>
      </c>
      <c r="BS381" s="7">
        <v>0.68899999999999995</v>
      </c>
      <c r="BT381" s="7">
        <v>0.69389999999999996</v>
      </c>
      <c r="BU381" s="7">
        <v>0.69869999999999999</v>
      </c>
      <c r="BV381" s="7">
        <v>0.70350000000000001</v>
      </c>
      <c r="BW381" s="7">
        <v>0.70809999999999995</v>
      </c>
      <c r="BX381" s="7">
        <v>0.7127</v>
      </c>
      <c r="BY381" s="7">
        <v>0.71719999999999995</v>
      </c>
      <c r="BZ381" s="7">
        <v>0.72160000000000002</v>
      </c>
      <c r="CA381" s="7">
        <v>0.72599999999999998</v>
      </c>
      <c r="CB381" s="7">
        <v>0.73029999999999995</v>
      </c>
      <c r="CC381" s="7">
        <v>0.73450000000000004</v>
      </c>
      <c r="CD381" s="7">
        <v>0.73870000000000002</v>
      </c>
      <c r="CE381" s="7">
        <v>0.74270000000000003</v>
      </c>
      <c r="CF381" s="7">
        <v>0.74680000000000002</v>
      </c>
      <c r="CG381" s="7">
        <v>0.75070000000000003</v>
      </c>
      <c r="CH381" s="7">
        <v>0.75460000000000005</v>
      </c>
      <c r="CI381" s="7">
        <v>0.75849999999999995</v>
      </c>
      <c r="CJ381" s="7">
        <v>0.76219999999999999</v>
      </c>
      <c r="CK381" s="7">
        <v>0.76600000000000001</v>
      </c>
      <c r="CL381" s="7">
        <v>0.76959999999999995</v>
      </c>
      <c r="CM381" s="7">
        <v>0.7732</v>
      </c>
      <c r="CN381" s="7">
        <v>0.77680000000000005</v>
      </c>
      <c r="CO381" s="7">
        <v>0.78029999999999999</v>
      </c>
      <c r="CP381" s="7">
        <v>0.78380000000000005</v>
      </c>
      <c r="CQ381" s="7">
        <v>0.78720000000000001</v>
      </c>
      <c r="CR381" s="7">
        <v>0.79049999999999998</v>
      </c>
      <c r="CS381" s="7">
        <v>0.79390000000000005</v>
      </c>
      <c r="CT381" s="7">
        <v>0.79710000000000003</v>
      </c>
      <c r="CU381" s="7">
        <v>0.80030000000000001</v>
      </c>
      <c r="CV381" s="7">
        <v>0.80349999999999999</v>
      </c>
      <c r="CW381" s="7">
        <v>0.80669999999999997</v>
      </c>
      <c r="CX381" s="7">
        <v>0.80979999999999996</v>
      </c>
      <c r="CY381" s="7">
        <v>0.81279999999999997</v>
      </c>
      <c r="CZ381" s="7">
        <v>0.81579999999999997</v>
      </c>
      <c r="DA381" s="7">
        <v>0.81879999999999997</v>
      </c>
      <c r="DB381" s="7">
        <v>0.82179999999999997</v>
      </c>
      <c r="DC381" s="7">
        <v>0.82469999999999999</v>
      </c>
      <c r="DD381" s="7">
        <v>0.82750000000000001</v>
      </c>
      <c r="DE381" s="7">
        <v>0.83030000000000004</v>
      </c>
      <c r="DF381" s="7">
        <v>0.83309999999999995</v>
      </c>
      <c r="DG381" s="7">
        <v>0.83589999999999998</v>
      </c>
      <c r="DH381" s="7">
        <v>0.83860000000000001</v>
      </c>
      <c r="DI381" s="7">
        <v>0.84130000000000005</v>
      </c>
      <c r="DJ381" s="7">
        <v>0.84399999999999997</v>
      </c>
      <c r="DK381" s="7">
        <v>0.84660000000000002</v>
      </c>
      <c r="DL381" s="7">
        <v>0.84919999999999995</v>
      </c>
      <c r="DM381" s="7">
        <v>0.8518</v>
      </c>
      <c r="DN381" s="7">
        <v>0.85429999999999995</v>
      </c>
      <c r="DO381" s="7">
        <v>0.85680000000000001</v>
      </c>
      <c r="DP381" s="7">
        <v>0.85929999999999995</v>
      </c>
      <c r="DQ381" s="7">
        <v>0.86180000000000001</v>
      </c>
      <c r="DR381" s="7">
        <v>0.86419999999999997</v>
      </c>
      <c r="DS381" s="7">
        <v>0.86660000000000004</v>
      </c>
      <c r="DT381" s="7">
        <v>0.86899999999999999</v>
      </c>
      <c r="DU381" s="7">
        <v>0.87129999999999996</v>
      </c>
      <c r="DV381" s="7">
        <v>0.87370000000000003</v>
      </c>
      <c r="DW381" s="7">
        <v>0.876</v>
      </c>
      <c r="DX381" s="7">
        <v>0.87829999999999997</v>
      </c>
      <c r="DY381" s="7">
        <v>0.88049999999999995</v>
      </c>
      <c r="DZ381" s="7">
        <v>0.88270000000000004</v>
      </c>
      <c r="EA381" s="7">
        <v>0.88500000000000001</v>
      </c>
      <c r="EB381" s="7">
        <v>0.88719999999999999</v>
      </c>
      <c r="EC381" s="7">
        <v>0.88929999999999998</v>
      </c>
      <c r="ED381" s="7">
        <v>0.89149999999999996</v>
      </c>
      <c r="EE381" s="7">
        <v>0.89359999999999995</v>
      </c>
      <c r="EF381" s="7">
        <v>0.89570000000000005</v>
      </c>
      <c r="EG381" s="7">
        <v>0.89780000000000004</v>
      </c>
      <c r="EH381" s="7">
        <v>0.89990000000000003</v>
      </c>
      <c r="EI381" s="7">
        <v>0.90200000000000002</v>
      </c>
      <c r="EJ381" s="7">
        <v>0.90400000000000003</v>
      </c>
      <c r="EK381" s="7">
        <v>0.90600000000000003</v>
      </c>
      <c r="EL381" s="7">
        <v>0.90800000000000003</v>
      </c>
      <c r="EM381" s="7">
        <v>0.91</v>
      </c>
      <c r="EN381" s="7">
        <v>0.91200000000000003</v>
      </c>
      <c r="EO381" s="7">
        <v>0.91390000000000005</v>
      </c>
      <c r="EP381" s="7">
        <v>0.91590000000000005</v>
      </c>
      <c r="EQ381" s="7">
        <v>0.91779999999999995</v>
      </c>
      <c r="ER381" s="7">
        <v>0.91969999999999996</v>
      </c>
      <c r="ES381" s="7">
        <v>0.92159999999999997</v>
      </c>
      <c r="ET381" s="7">
        <v>0.92400000000000004</v>
      </c>
      <c r="EU381" s="7">
        <v>0.92500000000000004</v>
      </c>
      <c r="EV381" s="7">
        <v>0.92700000000000005</v>
      </c>
      <c r="EW381" s="7">
        <v>0.92900000000000005</v>
      </c>
      <c r="EX381" s="7">
        <v>0.93100000000000005</v>
      </c>
      <c r="EY381" s="7">
        <v>0.93300000000000005</v>
      </c>
      <c r="EZ381" s="7">
        <v>0.93500000000000005</v>
      </c>
      <c r="FA381" s="7">
        <v>0.93600000000000005</v>
      </c>
      <c r="FB381" s="7">
        <v>0.93799999999999994</v>
      </c>
      <c r="FC381" s="7">
        <v>0.94</v>
      </c>
      <c r="FE381" s="50">
        <f t="shared" ca="1" si="37"/>
        <v>0.87645943713673913</v>
      </c>
      <c r="FF381" s="50">
        <f t="shared" ca="1" si="38"/>
        <v>0.87500733739186165</v>
      </c>
      <c r="FG381" s="50">
        <f t="shared" ca="1" si="39"/>
        <v>0.87351798657718127</v>
      </c>
      <c r="FH381" s="50">
        <f t="shared" ca="1" si="40"/>
        <v>0.87190724832214772</v>
      </c>
      <c r="FI381" s="50"/>
      <c r="FK381" s="50">
        <f t="shared" ref="FK381:FK417" ca="1" si="42">FORECAST(AN$22,OFFSET($AX381,0,MATCH(AN$22,$AX$316:$FC$316,1)-1,1,2),OFFSET($AX$316,0,MATCH(AN$22,$AX$316:$FC$316,1)-1,1,2))</f>
        <v>0.87500733739186165</v>
      </c>
      <c r="FL381" s="50"/>
      <c r="FM381" s="50"/>
      <c r="FN381" s="50"/>
    </row>
    <row r="382" spans="49:170" hidden="1">
      <c r="AW382" s="112">
        <v>8.9130000000000003</v>
      </c>
      <c r="AX382" s="7">
        <v>0.56030000000000002</v>
      </c>
      <c r="AY382" s="7">
        <v>0.56769999999999998</v>
      </c>
      <c r="AZ382" s="7">
        <v>0.57489999999999997</v>
      </c>
      <c r="BA382" s="7">
        <v>0.58199999999999996</v>
      </c>
      <c r="BB382" s="7">
        <v>0.58889999999999998</v>
      </c>
      <c r="BC382" s="7">
        <v>0.59570000000000001</v>
      </c>
      <c r="BD382" s="7">
        <v>0.60229999999999995</v>
      </c>
      <c r="BE382" s="7">
        <v>0.60880000000000001</v>
      </c>
      <c r="BF382" s="7">
        <v>0.61519999999999997</v>
      </c>
      <c r="BG382" s="7">
        <v>0.62139999999999995</v>
      </c>
      <c r="BH382" s="7">
        <v>0.62760000000000005</v>
      </c>
      <c r="BI382" s="7">
        <v>0.63360000000000005</v>
      </c>
      <c r="BJ382" s="7">
        <v>0.63949999999999996</v>
      </c>
      <c r="BK382" s="7">
        <v>0.6452</v>
      </c>
      <c r="BL382" s="7">
        <v>0.65090000000000003</v>
      </c>
      <c r="BM382" s="7">
        <v>0.65649999999999997</v>
      </c>
      <c r="BN382" s="7">
        <v>0.66190000000000004</v>
      </c>
      <c r="BO382" s="7">
        <v>0.6673</v>
      </c>
      <c r="BP382" s="7">
        <v>0.67249999999999999</v>
      </c>
      <c r="BQ382" s="7">
        <v>0.67769999999999997</v>
      </c>
      <c r="BR382" s="7">
        <v>0.68279999999999996</v>
      </c>
      <c r="BS382" s="7">
        <v>0.68779999999999997</v>
      </c>
      <c r="BT382" s="7">
        <v>0.69269999999999998</v>
      </c>
      <c r="BU382" s="7">
        <v>0.69750000000000001</v>
      </c>
      <c r="BV382" s="7">
        <v>0.70220000000000005</v>
      </c>
      <c r="BW382" s="7">
        <v>0.70689999999999997</v>
      </c>
      <c r="BX382" s="7">
        <v>0.71140000000000003</v>
      </c>
      <c r="BY382" s="7">
        <v>0.71589999999999998</v>
      </c>
      <c r="BZ382" s="7">
        <v>0.72040000000000004</v>
      </c>
      <c r="CA382" s="7">
        <v>0.72470000000000001</v>
      </c>
      <c r="CB382" s="7">
        <v>0.72899999999999998</v>
      </c>
      <c r="CC382" s="7">
        <v>0.73319999999999996</v>
      </c>
      <c r="CD382" s="7">
        <v>0.73729999999999996</v>
      </c>
      <c r="CE382" s="7">
        <v>0.74139999999999995</v>
      </c>
      <c r="CF382" s="7">
        <v>0.74539999999999995</v>
      </c>
      <c r="CG382" s="7">
        <v>0.74939999999999996</v>
      </c>
      <c r="CH382" s="7">
        <v>0.75329999999999997</v>
      </c>
      <c r="CI382" s="7">
        <v>0.7571</v>
      </c>
      <c r="CJ382" s="7">
        <v>0.76090000000000002</v>
      </c>
      <c r="CK382" s="7">
        <v>0.76459999999999995</v>
      </c>
      <c r="CL382" s="7">
        <v>0.76829999999999998</v>
      </c>
      <c r="CM382" s="7">
        <v>0.77190000000000003</v>
      </c>
      <c r="CN382" s="7">
        <v>0.77539999999999998</v>
      </c>
      <c r="CO382" s="7">
        <v>0.77890000000000004</v>
      </c>
      <c r="CP382" s="7">
        <v>0.78239999999999998</v>
      </c>
      <c r="CQ382" s="7">
        <v>0.78580000000000005</v>
      </c>
      <c r="CR382" s="7">
        <v>0.78910000000000002</v>
      </c>
      <c r="CS382" s="7">
        <v>0.79239999999999999</v>
      </c>
      <c r="CT382" s="7">
        <v>0.79569999999999996</v>
      </c>
      <c r="CU382" s="7">
        <v>0.79890000000000005</v>
      </c>
      <c r="CV382" s="7">
        <v>0.80210000000000004</v>
      </c>
      <c r="CW382" s="7">
        <v>0.80520000000000003</v>
      </c>
      <c r="CX382" s="7">
        <v>0.80830000000000002</v>
      </c>
      <c r="CY382" s="7">
        <v>0.81140000000000001</v>
      </c>
      <c r="CZ382" s="7">
        <v>0.81440000000000001</v>
      </c>
      <c r="DA382" s="7">
        <v>0.81740000000000002</v>
      </c>
      <c r="DB382" s="7">
        <v>0.82030000000000003</v>
      </c>
      <c r="DC382" s="7">
        <v>0.82320000000000004</v>
      </c>
      <c r="DD382" s="7">
        <v>0.82599999999999996</v>
      </c>
      <c r="DE382" s="7">
        <v>0.82889999999999997</v>
      </c>
      <c r="DF382" s="7">
        <v>0.83169999999999999</v>
      </c>
      <c r="DG382" s="7">
        <v>0.83440000000000003</v>
      </c>
      <c r="DH382" s="7">
        <v>0.83709999999999996</v>
      </c>
      <c r="DI382" s="7">
        <v>0.83979999999999999</v>
      </c>
      <c r="DJ382" s="7">
        <v>0.84250000000000003</v>
      </c>
      <c r="DK382" s="7">
        <v>0.84509999999999996</v>
      </c>
      <c r="DL382" s="7">
        <v>0.84770000000000001</v>
      </c>
      <c r="DM382" s="7">
        <v>0.85029999999999994</v>
      </c>
      <c r="DN382" s="7">
        <v>0.8528</v>
      </c>
      <c r="DO382" s="7">
        <v>0.85529999999999995</v>
      </c>
      <c r="DP382" s="7">
        <v>0.85780000000000001</v>
      </c>
      <c r="DQ382" s="7">
        <v>0.86019999999999996</v>
      </c>
      <c r="DR382" s="7">
        <v>0.86270000000000002</v>
      </c>
      <c r="DS382" s="7">
        <v>0.86509999999999998</v>
      </c>
      <c r="DT382" s="7">
        <v>0.86739999999999995</v>
      </c>
      <c r="DU382" s="7">
        <v>0.86980000000000002</v>
      </c>
      <c r="DV382" s="7">
        <v>0.87209999999999999</v>
      </c>
      <c r="DW382" s="7">
        <v>0.87439999999999996</v>
      </c>
      <c r="DX382" s="7">
        <v>0.87670000000000003</v>
      </c>
      <c r="DY382" s="7">
        <v>0.87890000000000001</v>
      </c>
      <c r="DZ382" s="7">
        <v>0.88119999999999998</v>
      </c>
      <c r="EA382" s="7">
        <v>0.88339999999999996</v>
      </c>
      <c r="EB382" s="7">
        <v>0.88560000000000005</v>
      </c>
      <c r="EC382" s="7">
        <v>0.88770000000000004</v>
      </c>
      <c r="ED382" s="7">
        <v>0.88990000000000002</v>
      </c>
      <c r="EE382" s="7">
        <v>0.89200000000000002</v>
      </c>
      <c r="EF382" s="7">
        <v>0.89410000000000001</v>
      </c>
      <c r="EG382" s="7">
        <v>0.8962</v>
      </c>
      <c r="EH382" s="7">
        <v>0.89829999999999999</v>
      </c>
      <c r="EI382" s="7">
        <v>0.90029999999999999</v>
      </c>
      <c r="EJ382" s="7">
        <v>0.90239999999999998</v>
      </c>
      <c r="EK382" s="7">
        <v>0.90439999999999998</v>
      </c>
      <c r="EL382" s="7">
        <v>0.90639999999999998</v>
      </c>
      <c r="EM382" s="7">
        <v>0.90839999999999999</v>
      </c>
      <c r="EN382" s="7">
        <v>0.91039999999999999</v>
      </c>
      <c r="EO382" s="7">
        <v>0.9123</v>
      </c>
      <c r="EP382" s="7">
        <v>0.9143</v>
      </c>
      <c r="EQ382" s="7">
        <v>0.91620000000000001</v>
      </c>
      <c r="ER382" s="7">
        <v>0.91810000000000003</v>
      </c>
      <c r="ES382" s="7">
        <v>0.92</v>
      </c>
      <c r="ET382" s="7">
        <v>0.92200000000000004</v>
      </c>
      <c r="EU382" s="7">
        <v>0.92400000000000004</v>
      </c>
      <c r="EV382" s="7">
        <v>0.92600000000000005</v>
      </c>
      <c r="EW382" s="7">
        <v>0.92800000000000005</v>
      </c>
      <c r="EX382" s="7">
        <v>0.92900000000000005</v>
      </c>
      <c r="EY382" s="7">
        <v>0.93100000000000005</v>
      </c>
      <c r="EZ382" s="7">
        <v>0.93300000000000005</v>
      </c>
      <c r="FA382" s="7">
        <v>0.93500000000000005</v>
      </c>
      <c r="FB382" s="7">
        <v>0.93700000000000006</v>
      </c>
      <c r="FC382" s="7">
        <v>0.93799999999999994</v>
      </c>
      <c r="FE382" s="50">
        <f t="shared" ref="FE382:FE417" ca="1" si="43">FORECAST(J$39,OFFSET($AX382,0,MATCH(J$39,$AX$316:$FC$316,1)-1,1,2),OFFSET($AX$316,0,MATCH(J$39,$AX$316:$FC$316,1)-1,1,2))</f>
        <v>0.87485943713673908</v>
      </c>
      <c r="FF382" s="50">
        <f t="shared" ref="FF382:FF417" ca="1" si="44">FORECAST(L$39,OFFSET($AX382,0,MATCH(L$39,$AX$316:$FC$316,1)-1,1,2),OFFSET($AX$316,0,MATCH(L$39,$AX$316:$FC$316,1)-1,1,2))</f>
        <v>0.8734073373918616</v>
      </c>
      <c r="FG382" s="50">
        <f t="shared" ref="FG382:FG417" ca="1" si="45">FORECAST(N$39,OFFSET($AX382,0,MATCH(N$39,$AX$316:$FC$316,1)-1,1,2),OFFSET($AX$316,0,MATCH(N$39,$AX$316:$FC$316,1)-1,1,2))</f>
        <v>0.87192557046979868</v>
      </c>
      <c r="FH382" s="50">
        <f t="shared" ref="FH382:FH417" ca="1" si="46">FORECAST(P$39,OFFSET($AX382,0,MATCH(P$39,$AX$316:$FC$316,1)-1,1,2),OFFSET($AX$316,0,MATCH(P$39,$AX$316:$FC$316,1)-1,1,2))</f>
        <v>0.8703819463087249</v>
      </c>
      <c r="FI382" s="50"/>
      <c r="FK382" s="50">
        <f t="shared" ca="1" si="42"/>
        <v>0.8734073373918616</v>
      </c>
      <c r="FL382" s="50"/>
      <c r="FM382" s="50"/>
      <c r="FN382" s="50"/>
    </row>
    <row r="383" spans="49:170" hidden="1">
      <c r="AW383" s="112">
        <v>9.5500000000000007</v>
      </c>
      <c r="AX383" s="7">
        <v>0.55930000000000002</v>
      </c>
      <c r="AY383" s="7">
        <v>0.56669999999999998</v>
      </c>
      <c r="AZ383" s="7">
        <v>0.57389999999999997</v>
      </c>
      <c r="BA383" s="7">
        <v>0.58089999999999997</v>
      </c>
      <c r="BB383" s="7">
        <v>0.58789999999999998</v>
      </c>
      <c r="BC383" s="7">
        <v>0.59460000000000002</v>
      </c>
      <c r="BD383" s="7">
        <v>0.60129999999999995</v>
      </c>
      <c r="BE383" s="7">
        <v>0.60770000000000002</v>
      </c>
      <c r="BF383" s="7">
        <v>0.61409999999999998</v>
      </c>
      <c r="BG383" s="7">
        <v>0.62029999999999996</v>
      </c>
      <c r="BH383" s="7">
        <v>0.62649999999999995</v>
      </c>
      <c r="BI383" s="7">
        <v>0.63249999999999995</v>
      </c>
      <c r="BJ383" s="7">
        <v>0.63829999999999998</v>
      </c>
      <c r="BK383" s="7">
        <v>0.64410000000000001</v>
      </c>
      <c r="BL383" s="7">
        <v>0.64980000000000004</v>
      </c>
      <c r="BM383" s="7">
        <v>0.65529999999999999</v>
      </c>
      <c r="BN383" s="7">
        <v>0.66080000000000005</v>
      </c>
      <c r="BO383" s="7">
        <v>0.66610000000000003</v>
      </c>
      <c r="BP383" s="7">
        <v>0.6714</v>
      </c>
      <c r="BQ383" s="7">
        <v>0.67649999999999999</v>
      </c>
      <c r="BR383" s="7">
        <v>0.68159999999999998</v>
      </c>
      <c r="BS383" s="7">
        <v>0.68659999999999999</v>
      </c>
      <c r="BT383" s="7">
        <v>0.6915</v>
      </c>
      <c r="BU383" s="7">
        <v>0.69630000000000003</v>
      </c>
      <c r="BV383" s="7">
        <v>0.70099999999999996</v>
      </c>
      <c r="BW383" s="7">
        <v>0.7056</v>
      </c>
      <c r="BX383" s="7">
        <v>0.71020000000000005</v>
      </c>
      <c r="BY383" s="7">
        <v>0.7147</v>
      </c>
      <c r="BZ383" s="7">
        <v>0.71909999999999996</v>
      </c>
      <c r="CA383" s="7">
        <v>0.72340000000000004</v>
      </c>
      <c r="CB383" s="7">
        <v>0.72770000000000001</v>
      </c>
      <c r="CC383" s="7">
        <v>0.7319</v>
      </c>
      <c r="CD383" s="7">
        <v>0.73599999999999999</v>
      </c>
      <c r="CE383" s="7">
        <v>0.74009999999999998</v>
      </c>
      <c r="CF383" s="7">
        <v>0.74409999999999998</v>
      </c>
      <c r="CG383" s="7">
        <v>0.74809999999999999</v>
      </c>
      <c r="CH383" s="7">
        <v>0.752</v>
      </c>
      <c r="CI383" s="7">
        <v>0.75580000000000003</v>
      </c>
      <c r="CJ383" s="7">
        <v>0.75949999999999995</v>
      </c>
      <c r="CK383" s="7">
        <v>0.76329999999999998</v>
      </c>
      <c r="CL383" s="7">
        <v>0.76690000000000003</v>
      </c>
      <c r="CM383" s="7">
        <v>0.77049999999999996</v>
      </c>
      <c r="CN383" s="7">
        <v>0.77410000000000001</v>
      </c>
      <c r="CO383" s="7">
        <v>0.77759999999999996</v>
      </c>
      <c r="CP383" s="7">
        <v>0.78100000000000003</v>
      </c>
      <c r="CQ383" s="7">
        <v>0.78439999999999999</v>
      </c>
      <c r="CR383" s="7">
        <v>0.78769999999999996</v>
      </c>
      <c r="CS383" s="7">
        <v>0.79110000000000003</v>
      </c>
      <c r="CT383" s="7">
        <v>0.79430000000000001</v>
      </c>
      <c r="CU383" s="7">
        <v>0.79749999999999999</v>
      </c>
      <c r="CV383" s="7">
        <v>0.80069999999999997</v>
      </c>
      <c r="CW383" s="7">
        <v>0.80379999999999996</v>
      </c>
      <c r="CX383" s="7">
        <v>0.80689999999999995</v>
      </c>
      <c r="CY383" s="7">
        <v>0.81</v>
      </c>
      <c r="CZ383" s="7">
        <v>0.81299999999999994</v>
      </c>
      <c r="DA383" s="7">
        <v>0.81589999999999996</v>
      </c>
      <c r="DB383" s="7">
        <v>0.81879999999999997</v>
      </c>
      <c r="DC383" s="7">
        <v>0.82169999999999999</v>
      </c>
      <c r="DD383" s="7">
        <v>0.8246</v>
      </c>
      <c r="DE383" s="7">
        <v>0.82740000000000002</v>
      </c>
      <c r="DF383" s="7">
        <v>0.83020000000000005</v>
      </c>
      <c r="DG383" s="7">
        <v>0.83289999999999997</v>
      </c>
      <c r="DH383" s="7">
        <v>0.8357</v>
      </c>
      <c r="DI383" s="7">
        <v>0.83830000000000005</v>
      </c>
      <c r="DJ383" s="7">
        <v>0.84099999999999997</v>
      </c>
      <c r="DK383" s="7">
        <v>0.84360000000000002</v>
      </c>
      <c r="DL383" s="7">
        <v>0.84619999999999995</v>
      </c>
      <c r="DM383" s="7">
        <v>0.8488</v>
      </c>
      <c r="DN383" s="7">
        <v>0.85129999999999995</v>
      </c>
      <c r="DO383" s="7">
        <v>0.8538</v>
      </c>
      <c r="DP383" s="7">
        <v>0.85629999999999995</v>
      </c>
      <c r="DQ383" s="7">
        <v>0.85870000000000002</v>
      </c>
      <c r="DR383" s="7">
        <v>0.86119999999999997</v>
      </c>
      <c r="DS383" s="7">
        <v>0.86350000000000005</v>
      </c>
      <c r="DT383" s="7">
        <v>0.8659</v>
      </c>
      <c r="DU383" s="7">
        <v>0.86829999999999996</v>
      </c>
      <c r="DV383" s="7">
        <v>0.87060000000000004</v>
      </c>
      <c r="DW383" s="7">
        <v>0.87290000000000001</v>
      </c>
      <c r="DX383" s="7">
        <v>0.87519999999999998</v>
      </c>
      <c r="DY383" s="7">
        <v>0.87739999999999996</v>
      </c>
      <c r="DZ383" s="7">
        <v>0.87960000000000005</v>
      </c>
      <c r="EA383" s="7">
        <v>0.88180000000000003</v>
      </c>
      <c r="EB383" s="7">
        <v>0.88400000000000001</v>
      </c>
      <c r="EC383" s="7">
        <v>0.88619999999999999</v>
      </c>
      <c r="ED383" s="7">
        <v>0.88829999999999998</v>
      </c>
      <c r="EE383" s="7">
        <v>0.89049999999999996</v>
      </c>
      <c r="EF383" s="7">
        <v>0.89259999999999995</v>
      </c>
      <c r="EG383" s="7">
        <v>0.89459999999999995</v>
      </c>
      <c r="EH383" s="7">
        <v>0.89670000000000005</v>
      </c>
      <c r="EI383" s="7">
        <v>0.89880000000000004</v>
      </c>
      <c r="EJ383" s="7">
        <v>0.90080000000000005</v>
      </c>
      <c r="EK383" s="7">
        <v>0.90280000000000005</v>
      </c>
      <c r="EL383" s="7">
        <v>0.90480000000000005</v>
      </c>
      <c r="EM383" s="7">
        <v>0.90680000000000005</v>
      </c>
      <c r="EN383" s="7">
        <v>0.90880000000000005</v>
      </c>
      <c r="EO383" s="7">
        <v>0.91069999999999995</v>
      </c>
      <c r="EP383" s="7">
        <v>0.91269999999999996</v>
      </c>
      <c r="EQ383" s="7">
        <v>0.91459999999999997</v>
      </c>
      <c r="ER383" s="7">
        <v>0.91649999999999998</v>
      </c>
      <c r="ES383" s="7">
        <v>0.91839999999999999</v>
      </c>
      <c r="ET383" s="7">
        <v>0.92</v>
      </c>
      <c r="EU383" s="7">
        <v>0.92200000000000004</v>
      </c>
      <c r="EV383" s="7">
        <v>0.92400000000000004</v>
      </c>
      <c r="EW383" s="7">
        <v>0.92600000000000005</v>
      </c>
      <c r="EX383" s="7">
        <v>0.92800000000000005</v>
      </c>
      <c r="EY383" s="7">
        <v>0.93</v>
      </c>
      <c r="EZ383" s="7">
        <v>0.93100000000000005</v>
      </c>
      <c r="FA383" s="7">
        <v>0.93300000000000005</v>
      </c>
      <c r="FB383" s="7">
        <v>0.93500000000000005</v>
      </c>
      <c r="FC383" s="7">
        <v>0.93700000000000006</v>
      </c>
      <c r="FE383" s="50">
        <f t="shared" ca="1" si="43"/>
        <v>0.87335943713673914</v>
      </c>
      <c r="FF383" s="50">
        <f t="shared" ca="1" si="44"/>
        <v>0.87190733739186166</v>
      </c>
      <c r="FG383" s="50">
        <f t="shared" ca="1" si="45"/>
        <v>0.87042557046979874</v>
      </c>
      <c r="FH383" s="50">
        <f t="shared" ca="1" si="46"/>
        <v>0.86888194630872484</v>
      </c>
      <c r="FI383" s="50"/>
      <c r="FK383" s="50">
        <f t="shared" ca="1" si="42"/>
        <v>0.87190733739186166</v>
      </c>
      <c r="FL383" s="50"/>
      <c r="FM383" s="50"/>
      <c r="FN383" s="50"/>
    </row>
    <row r="384" spans="49:170" hidden="1">
      <c r="AW384" s="112">
        <v>10.233000000000001</v>
      </c>
      <c r="AX384" s="7">
        <v>0.55830000000000002</v>
      </c>
      <c r="AY384" s="7">
        <v>0.56569999999999998</v>
      </c>
      <c r="AZ384" s="7">
        <v>0.57289999999999996</v>
      </c>
      <c r="BA384" s="7">
        <v>0.57989999999999997</v>
      </c>
      <c r="BB384" s="7">
        <v>0.58679999999999999</v>
      </c>
      <c r="BC384" s="7">
        <v>0.59360000000000002</v>
      </c>
      <c r="BD384" s="7">
        <v>0.60019999999999996</v>
      </c>
      <c r="BE384" s="7">
        <v>0.60670000000000002</v>
      </c>
      <c r="BF384" s="7">
        <v>0.61299999999999999</v>
      </c>
      <c r="BG384" s="7">
        <v>0.61929999999999996</v>
      </c>
      <c r="BH384" s="7">
        <v>0.62539999999999996</v>
      </c>
      <c r="BI384" s="7">
        <v>0.63139999999999996</v>
      </c>
      <c r="BJ384" s="7">
        <v>0.63719999999999999</v>
      </c>
      <c r="BK384" s="7">
        <v>0.64300000000000002</v>
      </c>
      <c r="BL384" s="7">
        <v>0.64859999999999995</v>
      </c>
      <c r="BM384" s="7">
        <v>0.6542</v>
      </c>
      <c r="BN384" s="7">
        <v>0.65959999999999996</v>
      </c>
      <c r="BO384" s="7">
        <v>0.66500000000000004</v>
      </c>
      <c r="BP384" s="7">
        <v>0.67020000000000002</v>
      </c>
      <c r="BQ384" s="7">
        <v>0.6754</v>
      </c>
      <c r="BR384" s="7">
        <v>0.6804</v>
      </c>
      <c r="BS384" s="7">
        <v>0.68540000000000001</v>
      </c>
      <c r="BT384" s="7">
        <v>0.69030000000000002</v>
      </c>
      <c r="BU384" s="7">
        <v>0.69510000000000005</v>
      </c>
      <c r="BV384" s="7">
        <v>0.69979999999999998</v>
      </c>
      <c r="BW384" s="7">
        <v>0.70440000000000003</v>
      </c>
      <c r="BX384" s="7">
        <v>0.70899999999999996</v>
      </c>
      <c r="BY384" s="7">
        <v>0.71340000000000003</v>
      </c>
      <c r="BZ384" s="7">
        <v>0.71779999999999999</v>
      </c>
      <c r="CA384" s="7">
        <v>0.72219999999999995</v>
      </c>
      <c r="CB384" s="7">
        <v>0.72640000000000005</v>
      </c>
      <c r="CC384" s="7">
        <v>0.73060000000000003</v>
      </c>
      <c r="CD384" s="7">
        <v>0.73480000000000001</v>
      </c>
      <c r="CE384" s="7">
        <v>0.73880000000000001</v>
      </c>
      <c r="CF384" s="7">
        <v>0.74280000000000002</v>
      </c>
      <c r="CG384" s="7">
        <v>0.74680000000000002</v>
      </c>
      <c r="CH384" s="7">
        <v>0.75060000000000004</v>
      </c>
      <c r="CI384" s="7">
        <v>0.75449999999999995</v>
      </c>
      <c r="CJ384" s="7">
        <v>0.75819999999999999</v>
      </c>
      <c r="CK384" s="7">
        <v>0.76190000000000002</v>
      </c>
      <c r="CL384" s="7">
        <v>0.76559999999999995</v>
      </c>
      <c r="CM384" s="7">
        <v>0.76919999999999999</v>
      </c>
      <c r="CN384" s="7">
        <v>0.77270000000000005</v>
      </c>
      <c r="CO384" s="7">
        <v>0.7762</v>
      </c>
      <c r="CP384" s="7">
        <v>0.77959999999999996</v>
      </c>
      <c r="CQ384" s="7">
        <v>0.78300000000000003</v>
      </c>
      <c r="CR384" s="7">
        <v>0.78639999999999999</v>
      </c>
      <c r="CS384" s="7">
        <v>0.78969999999999996</v>
      </c>
      <c r="CT384" s="7">
        <v>0.79290000000000005</v>
      </c>
      <c r="CU384" s="7">
        <v>0.79610000000000003</v>
      </c>
      <c r="CV384" s="7">
        <v>0.79930000000000001</v>
      </c>
      <c r="CW384" s="7">
        <v>0.8024</v>
      </c>
      <c r="CX384" s="7">
        <v>0.80549999999999999</v>
      </c>
      <c r="CY384" s="7">
        <v>0.8085</v>
      </c>
      <c r="CZ384" s="7">
        <v>0.8115</v>
      </c>
      <c r="DA384" s="7">
        <v>0.8145</v>
      </c>
      <c r="DB384" s="7">
        <v>0.81740000000000002</v>
      </c>
      <c r="DC384" s="7">
        <v>0.82030000000000003</v>
      </c>
      <c r="DD384" s="7">
        <v>0.82320000000000004</v>
      </c>
      <c r="DE384" s="7">
        <v>0.82599999999999996</v>
      </c>
      <c r="DF384" s="7">
        <v>0.82879999999999998</v>
      </c>
      <c r="DG384" s="7">
        <v>0.83150000000000002</v>
      </c>
      <c r="DH384" s="7">
        <v>0.83420000000000005</v>
      </c>
      <c r="DI384" s="7">
        <v>0.83689999999999998</v>
      </c>
      <c r="DJ384" s="7">
        <v>0.83950000000000002</v>
      </c>
      <c r="DK384" s="7">
        <v>0.84219999999999995</v>
      </c>
      <c r="DL384" s="7">
        <v>0.84470000000000001</v>
      </c>
      <c r="DM384" s="7">
        <v>0.84730000000000005</v>
      </c>
      <c r="DN384" s="7">
        <v>0.8498</v>
      </c>
      <c r="DO384" s="7">
        <v>0.85229999999999995</v>
      </c>
      <c r="DP384" s="7">
        <v>0.8548</v>
      </c>
      <c r="DQ384" s="7">
        <v>0.85719999999999996</v>
      </c>
      <c r="DR384" s="7">
        <v>0.85970000000000002</v>
      </c>
      <c r="DS384" s="7">
        <v>0.86199999999999999</v>
      </c>
      <c r="DT384" s="7">
        <v>0.86439999999999995</v>
      </c>
      <c r="DU384" s="7">
        <v>0.86680000000000001</v>
      </c>
      <c r="DV384" s="7">
        <v>0.86909999999999998</v>
      </c>
      <c r="DW384" s="7">
        <v>0.87139999999999995</v>
      </c>
      <c r="DX384" s="7">
        <v>0.87360000000000004</v>
      </c>
      <c r="DY384" s="7">
        <v>0.87590000000000001</v>
      </c>
      <c r="DZ384" s="7">
        <v>0.87809999999999999</v>
      </c>
      <c r="EA384" s="7">
        <v>0.88029999999999997</v>
      </c>
      <c r="EB384" s="7">
        <v>0.88249999999999995</v>
      </c>
      <c r="EC384" s="7">
        <v>0.88460000000000005</v>
      </c>
      <c r="ED384" s="7">
        <v>0.88680000000000003</v>
      </c>
      <c r="EE384" s="7">
        <v>0.88890000000000002</v>
      </c>
      <c r="EF384" s="7">
        <v>0.89100000000000001</v>
      </c>
      <c r="EG384" s="7">
        <v>0.8931</v>
      </c>
      <c r="EH384" s="7">
        <v>0.8952</v>
      </c>
      <c r="EI384" s="7">
        <v>0.8972</v>
      </c>
      <c r="EJ384" s="7">
        <v>0.8992</v>
      </c>
      <c r="EK384" s="7">
        <v>0.90129999999999999</v>
      </c>
      <c r="EL384" s="7">
        <v>0.9032</v>
      </c>
      <c r="EM384" s="7">
        <v>0.9052</v>
      </c>
      <c r="EN384" s="7">
        <v>0.90720000000000001</v>
      </c>
      <c r="EO384" s="7">
        <v>0.90910000000000002</v>
      </c>
      <c r="EP384" s="7">
        <v>0.91110000000000002</v>
      </c>
      <c r="EQ384" s="7">
        <v>0.91300000000000003</v>
      </c>
      <c r="ER384" s="7">
        <v>0.91490000000000005</v>
      </c>
      <c r="ES384" s="7">
        <v>0.91679999999999995</v>
      </c>
      <c r="ET384" s="7">
        <v>0.91900000000000004</v>
      </c>
      <c r="EU384" s="7">
        <v>0.92100000000000004</v>
      </c>
      <c r="EV384" s="7">
        <v>0.92200000000000004</v>
      </c>
      <c r="EW384" s="7">
        <v>0.92400000000000004</v>
      </c>
      <c r="EX384" s="7">
        <v>0.92600000000000005</v>
      </c>
      <c r="EY384" s="7">
        <v>0.92800000000000005</v>
      </c>
      <c r="EZ384" s="7">
        <v>0.93</v>
      </c>
      <c r="FA384" s="7">
        <v>0.93200000000000005</v>
      </c>
      <c r="FB384" s="7">
        <v>0.93300000000000005</v>
      </c>
      <c r="FC384" s="7">
        <v>0.93500000000000005</v>
      </c>
      <c r="FE384" s="50">
        <f t="shared" ca="1" si="43"/>
        <v>0.87183946160905479</v>
      </c>
      <c r="FF384" s="50">
        <f t="shared" ca="1" si="44"/>
        <v>0.8704073373918616</v>
      </c>
      <c r="FG384" s="50">
        <f t="shared" ca="1" si="45"/>
        <v>0.86892557046979868</v>
      </c>
      <c r="FH384" s="50">
        <f t="shared" ca="1" si="46"/>
        <v>0.86738194630872489</v>
      </c>
      <c r="FI384" s="50"/>
      <c r="FK384" s="50">
        <f t="shared" ca="1" si="42"/>
        <v>0.8704073373918616</v>
      </c>
      <c r="FL384" s="50"/>
      <c r="FM384" s="50"/>
      <c r="FN384" s="50"/>
    </row>
    <row r="385" spans="49:170" hidden="1">
      <c r="AW385" s="112">
        <v>10.965</v>
      </c>
      <c r="AX385" s="7">
        <v>0.55740000000000001</v>
      </c>
      <c r="AY385" s="7">
        <v>0.56469999999999998</v>
      </c>
      <c r="AZ385" s="7">
        <v>0.57189999999999996</v>
      </c>
      <c r="BA385" s="7">
        <v>0.57889999999999997</v>
      </c>
      <c r="BB385" s="7">
        <v>0.58579999999999999</v>
      </c>
      <c r="BC385" s="7">
        <v>0.59260000000000002</v>
      </c>
      <c r="BD385" s="7">
        <v>0.59919999999999995</v>
      </c>
      <c r="BE385" s="7">
        <v>0.60570000000000002</v>
      </c>
      <c r="BF385" s="7">
        <v>0.61199999999999999</v>
      </c>
      <c r="BG385" s="7">
        <v>0.61819999999999997</v>
      </c>
      <c r="BH385" s="7">
        <v>0.62429999999999997</v>
      </c>
      <c r="BI385" s="7">
        <v>0.63029999999999997</v>
      </c>
      <c r="BJ385" s="7">
        <v>0.6361</v>
      </c>
      <c r="BK385" s="7">
        <v>0.64190000000000003</v>
      </c>
      <c r="BL385" s="7">
        <v>0.64749999999999996</v>
      </c>
      <c r="BM385" s="7">
        <v>0.65310000000000001</v>
      </c>
      <c r="BN385" s="7">
        <v>0.65849999999999997</v>
      </c>
      <c r="BO385" s="7">
        <v>0.66379999999999995</v>
      </c>
      <c r="BP385" s="7">
        <v>0.66910000000000003</v>
      </c>
      <c r="BQ385" s="7">
        <v>0.67420000000000002</v>
      </c>
      <c r="BR385" s="7">
        <v>0.67920000000000003</v>
      </c>
      <c r="BS385" s="7">
        <v>0.68420000000000003</v>
      </c>
      <c r="BT385" s="7">
        <v>0.68910000000000005</v>
      </c>
      <c r="BU385" s="7">
        <v>0.69389999999999996</v>
      </c>
      <c r="BV385" s="7">
        <v>0.6986</v>
      </c>
      <c r="BW385" s="7">
        <v>0.70320000000000005</v>
      </c>
      <c r="BX385" s="7">
        <v>0.7077</v>
      </c>
      <c r="BY385" s="7">
        <v>0.71220000000000006</v>
      </c>
      <c r="BZ385" s="7">
        <v>0.71660000000000001</v>
      </c>
      <c r="CA385" s="7">
        <v>0.72089999999999999</v>
      </c>
      <c r="CB385" s="7">
        <v>0.72519999999999996</v>
      </c>
      <c r="CC385" s="7">
        <v>0.72940000000000005</v>
      </c>
      <c r="CD385" s="7">
        <v>0.73350000000000004</v>
      </c>
      <c r="CE385" s="7">
        <v>0.73760000000000003</v>
      </c>
      <c r="CF385" s="7">
        <v>0.74160000000000004</v>
      </c>
      <c r="CG385" s="7">
        <v>0.74550000000000005</v>
      </c>
      <c r="CH385" s="7">
        <v>0.74939999999999996</v>
      </c>
      <c r="CI385" s="7">
        <v>0.75319999999999998</v>
      </c>
      <c r="CJ385" s="7">
        <v>0.75690000000000002</v>
      </c>
      <c r="CK385" s="7">
        <v>0.76060000000000005</v>
      </c>
      <c r="CL385" s="7">
        <v>0.76429999999999998</v>
      </c>
      <c r="CM385" s="7">
        <v>0.76790000000000003</v>
      </c>
      <c r="CN385" s="7">
        <v>0.77139999999999997</v>
      </c>
      <c r="CO385" s="7">
        <v>0.77490000000000003</v>
      </c>
      <c r="CP385" s="7">
        <v>0.77829999999999999</v>
      </c>
      <c r="CQ385" s="7">
        <v>0.78169999999999995</v>
      </c>
      <c r="CR385" s="7">
        <v>0.78500000000000003</v>
      </c>
      <c r="CS385" s="7">
        <v>0.7883</v>
      </c>
      <c r="CT385" s="7">
        <v>0.79159999999999997</v>
      </c>
      <c r="CU385" s="7">
        <v>0.79479999999999995</v>
      </c>
      <c r="CV385" s="7">
        <v>0.79790000000000005</v>
      </c>
      <c r="CW385" s="7">
        <v>0.80110000000000003</v>
      </c>
      <c r="CX385" s="7">
        <v>0.80410000000000004</v>
      </c>
      <c r="CY385" s="7">
        <v>0.80720000000000003</v>
      </c>
      <c r="CZ385" s="7">
        <v>0.81020000000000003</v>
      </c>
      <c r="DA385" s="7">
        <v>0.81310000000000004</v>
      </c>
      <c r="DB385" s="7">
        <v>0.81599999999999995</v>
      </c>
      <c r="DC385" s="7">
        <v>0.81889999999999996</v>
      </c>
      <c r="DD385" s="7">
        <v>0.82179999999999997</v>
      </c>
      <c r="DE385" s="7">
        <v>0.8246</v>
      </c>
      <c r="DF385" s="7">
        <v>0.82730000000000004</v>
      </c>
      <c r="DG385" s="7">
        <v>0.83009999999999995</v>
      </c>
      <c r="DH385" s="7">
        <v>0.83279999999999998</v>
      </c>
      <c r="DI385" s="7">
        <v>0.83550000000000002</v>
      </c>
      <c r="DJ385" s="7">
        <v>0.83809999999999996</v>
      </c>
      <c r="DK385" s="7">
        <v>0.8407</v>
      </c>
      <c r="DL385" s="7">
        <v>0.84330000000000005</v>
      </c>
      <c r="DM385" s="7">
        <v>0.8458</v>
      </c>
      <c r="DN385" s="7">
        <v>0.84840000000000004</v>
      </c>
      <c r="DO385" s="7">
        <v>0.85089999999999999</v>
      </c>
      <c r="DP385" s="7">
        <v>0.85329999999999995</v>
      </c>
      <c r="DQ385" s="7">
        <v>0.85580000000000001</v>
      </c>
      <c r="DR385" s="7">
        <v>0.85819999999999996</v>
      </c>
      <c r="DS385" s="7">
        <v>0.86060000000000003</v>
      </c>
      <c r="DT385" s="7">
        <v>0.8629</v>
      </c>
      <c r="DU385" s="7">
        <v>0.86529999999999996</v>
      </c>
      <c r="DV385" s="7">
        <v>0.86760000000000004</v>
      </c>
      <c r="DW385" s="7">
        <v>0.86990000000000001</v>
      </c>
      <c r="DX385" s="7">
        <v>0.87209999999999999</v>
      </c>
      <c r="DY385" s="7">
        <v>0.87439999999999996</v>
      </c>
      <c r="DZ385" s="7">
        <v>0.87660000000000005</v>
      </c>
      <c r="EA385" s="7">
        <v>0.87880000000000003</v>
      </c>
      <c r="EB385" s="7">
        <v>0.88100000000000001</v>
      </c>
      <c r="EC385" s="7">
        <v>0.8831</v>
      </c>
      <c r="ED385" s="7">
        <v>0.88529999999999998</v>
      </c>
      <c r="EE385" s="7">
        <v>0.88739999999999997</v>
      </c>
      <c r="EF385" s="7">
        <v>0.88949999999999996</v>
      </c>
      <c r="EG385" s="7">
        <v>0.89159999999999995</v>
      </c>
      <c r="EH385" s="7">
        <v>0.89359999999999995</v>
      </c>
      <c r="EI385" s="7">
        <v>0.89570000000000005</v>
      </c>
      <c r="EJ385" s="7">
        <v>0.89770000000000005</v>
      </c>
      <c r="EK385" s="7">
        <v>0.89970000000000006</v>
      </c>
      <c r="EL385" s="7">
        <v>0.90169999999999995</v>
      </c>
      <c r="EM385" s="7">
        <v>0.90369999999999995</v>
      </c>
      <c r="EN385" s="7">
        <v>0.90559999999999996</v>
      </c>
      <c r="EO385" s="7">
        <v>0.90759999999999996</v>
      </c>
      <c r="EP385" s="7">
        <v>0.90949999999999998</v>
      </c>
      <c r="EQ385" s="7">
        <v>0.91139999999999999</v>
      </c>
      <c r="ER385" s="7">
        <v>0.9133</v>
      </c>
      <c r="ES385" s="7">
        <v>0.91520000000000001</v>
      </c>
      <c r="ET385" s="7">
        <v>0.91700000000000004</v>
      </c>
      <c r="EU385" s="7">
        <v>0.91900000000000004</v>
      </c>
      <c r="EV385" s="7">
        <v>0.92100000000000004</v>
      </c>
      <c r="EW385" s="7">
        <v>0.92300000000000004</v>
      </c>
      <c r="EX385" s="7">
        <v>0.92500000000000004</v>
      </c>
      <c r="EY385" s="7">
        <v>0.92600000000000005</v>
      </c>
      <c r="EZ385" s="7">
        <v>0.92800000000000005</v>
      </c>
      <c r="FA385" s="7">
        <v>0.93</v>
      </c>
      <c r="FB385" s="7">
        <v>0.93200000000000005</v>
      </c>
      <c r="FC385" s="7">
        <v>0.93400000000000005</v>
      </c>
      <c r="FE385" s="50">
        <f t="shared" ca="1" si="43"/>
        <v>0.87033946160905473</v>
      </c>
      <c r="FF385" s="50">
        <f t="shared" ca="1" si="44"/>
        <v>0.86890733739186166</v>
      </c>
      <c r="FG385" s="50">
        <f t="shared" ca="1" si="45"/>
        <v>0.86742557046979862</v>
      </c>
      <c r="FH385" s="50">
        <f t="shared" ca="1" si="46"/>
        <v>0.86588194630872473</v>
      </c>
      <c r="FI385" s="50"/>
      <c r="FK385" s="50">
        <f t="shared" ca="1" si="42"/>
        <v>0.86890733739186166</v>
      </c>
      <c r="FL385" s="50"/>
      <c r="FM385" s="50"/>
      <c r="FN385" s="50"/>
    </row>
    <row r="386" spans="49:170" hidden="1">
      <c r="AW386" s="112">
        <v>11.749000000000001</v>
      </c>
      <c r="AX386" s="7">
        <v>0.55640000000000001</v>
      </c>
      <c r="AY386" s="7">
        <v>0.56379999999999997</v>
      </c>
      <c r="AZ386" s="7">
        <v>0.57089999999999996</v>
      </c>
      <c r="BA386" s="7">
        <v>0.57799999999999996</v>
      </c>
      <c r="BB386" s="7">
        <v>0.58479999999999999</v>
      </c>
      <c r="BC386" s="7">
        <v>0.59160000000000001</v>
      </c>
      <c r="BD386" s="7">
        <v>0.59819999999999995</v>
      </c>
      <c r="BE386" s="7">
        <v>0.60460000000000003</v>
      </c>
      <c r="BF386" s="7">
        <v>0.61099999999999999</v>
      </c>
      <c r="BG386" s="7">
        <v>0.61719999999999997</v>
      </c>
      <c r="BH386" s="7">
        <v>0.62319999999999998</v>
      </c>
      <c r="BI386" s="7">
        <v>0.62919999999999998</v>
      </c>
      <c r="BJ386" s="7">
        <v>0.6351</v>
      </c>
      <c r="BK386" s="7">
        <v>0.64080000000000004</v>
      </c>
      <c r="BL386" s="7">
        <v>0.64639999999999997</v>
      </c>
      <c r="BM386" s="7">
        <v>0.65200000000000002</v>
      </c>
      <c r="BN386" s="7">
        <v>0.65739999999999998</v>
      </c>
      <c r="BO386" s="7">
        <v>0.66269999999999996</v>
      </c>
      <c r="BP386" s="7">
        <v>0.66790000000000005</v>
      </c>
      <c r="BQ386" s="7">
        <v>0.67310000000000003</v>
      </c>
      <c r="BR386" s="7">
        <v>0.67810000000000004</v>
      </c>
      <c r="BS386" s="7">
        <v>0.68300000000000005</v>
      </c>
      <c r="BT386" s="7">
        <v>0.68789999999999996</v>
      </c>
      <c r="BU386" s="7">
        <v>0.69269999999999998</v>
      </c>
      <c r="BV386" s="7">
        <v>0.69740000000000002</v>
      </c>
      <c r="BW386" s="7">
        <v>0.70199999999999996</v>
      </c>
      <c r="BX386" s="7">
        <v>0.70660000000000001</v>
      </c>
      <c r="BY386" s="7">
        <v>0.71099999999999997</v>
      </c>
      <c r="BZ386" s="7">
        <v>0.71540000000000004</v>
      </c>
      <c r="CA386" s="7">
        <v>0.71970000000000001</v>
      </c>
      <c r="CB386" s="7">
        <v>0.72399999999999998</v>
      </c>
      <c r="CC386" s="7">
        <v>0.72819999999999996</v>
      </c>
      <c r="CD386" s="7">
        <v>0.73229999999999995</v>
      </c>
      <c r="CE386" s="7">
        <v>0.73629999999999995</v>
      </c>
      <c r="CF386" s="7">
        <v>0.74029999999999996</v>
      </c>
      <c r="CG386" s="7">
        <v>0.74419999999999997</v>
      </c>
      <c r="CH386" s="7">
        <v>0.74809999999999999</v>
      </c>
      <c r="CI386" s="7">
        <v>0.75190000000000001</v>
      </c>
      <c r="CJ386" s="7">
        <v>0.75560000000000005</v>
      </c>
      <c r="CK386" s="7">
        <v>0.75929999999999997</v>
      </c>
      <c r="CL386" s="7">
        <v>0.76300000000000001</v>
      </c>
      <c r="CM386" s="7">
        <v>0.76659999999999995</v>
      </c>
      <c r="CN386" s="7">
        <v>0.77010000000000001</v>
      </c>
      <c r="CO386" s="7">
        <v>0.77359999999999995</v>
      </c>
      <c r="CP386" s="7">
        <v>0.77700000000000002</v>
      </c>
      <c r="CQ386" s="7">
        <v>0.78039999999999998</v>
      </c>
      <c r="CR386" s="7">
        <v>0.78369999999999995</v>
      </c>
      <c r="CS386" s="7">
        <v>0.78700000000000003</v>
      </c>
      <c r="CT386" s="7">
        <v>0.79020000000000001</v>
      </c>
      <c r="CU386" s="7">
        <v>0.79339999999999999</v>
      </c>
      <c r="CV386" s="7">
        <v>0.79659999999999997</v>
      </c>
      <c r="CW386" s="7">
        <v>0.79969999999999997</v>
      </c>
      <c r="CX386" s="7">
        <v>0.80279999999999996</v>
      </c>
      <c r="CY386" s="7">
        <v>0.80579999999999996</v>
      </c>
      <c r="CZ386" s="7">
        <v>0.80879999999999996</v>
      </c>
      <c r="DA386" s="7">
        <v>0.81169999999999998</v>
      </c>
      <c r="DB386" s="7">
        <v>0.81459999999999999</v>
      </c>
      <c r="DC386" s="7">
        <v>0.8175</v>
      </c>
      <c r="DD386" s="7">
        <v>0.82040000000000002</v>
      </c>
      <c r="DE386" s="7">
        <v>0.82320000000000004</v>
      </c>
      <c r="DF386" s="7">
        <v>0.82589999999999997</v>
      </c>
      <c r="DG386" s="7">
        <v>0.82869999999999999</v>
      </c>
      <c r="DH386" s="7">
        <v>0.83140000000000003</v>
      </c>
      <c r="DI386" s="7">
        <v>0.83399999999999996</v>
      </c>
      <c r="DJ386" s="7">
        <v>0.8367</v>
      </c>
      <c r="DK386" s="7">
        <v>0.83930000000000005</v>
      </c>
      <c r="DL386" s="7">
        <v>0.84189999999999998</v>
      </c>
      <c r="DM386" s="7">
        <v>0.84440000000000004</v>
      </c>
      <c r="DN386" s="7">
        <v>0.84689999999999999</v>
      </c>
      <c r="DO386" s="7">
        <v>0.84940000000000004</v>
      </c>
      <c r="DP386" s="7">
        <v>0.85189999999999999</v>
      </c>
      <c r="DQ386" s="7">
        <v>0.85429999999999995</v>
      </c>
      <c r="DR386" s="7">
        <v>0.85670000000000002</v>
      </c>
      <c r="DS386" s="7">
        <v>0.85909999999999997</v>
      </c>
      <c r="DT386" s="7">
        <v>0.86150000000000004</v>
      </c>
      <c r="DU386" s="7">
        <v>0.86380000000000001</v>
      </c>
      <c r="DV386" s="7">
        <v>0.86609999999999998</v>
      </c>
      <c r="DW386" s="7">
        <v>0.86839999999999995</v>
      </c>
      <c r="DX386" s="7">
        <v>0.87070000000000003</v>
      </c>
      <c r="DY386" s="7">
        <v>0.87290000000000001</v>
      </c>
      <c r="DZ386" s="7">
        <v>0.87509999999999999</v>
      </c>
      <c r="EA386" s="7">
        <v>0.87729999999999997</v>
      </c>
      <c r="EB386" s="7">
        <v>0.87949999999999995</v>
      </c>
      <c r="EC386" s="7">
        <v>0.88160000000000005</v>
      </c>
      <c r="ED386" s="7">
        <v>0.88380000000000003</v>
      </c>
      <c r="EE386" s="7">
        <v>0.88590000000000002</v>
      </c>
      <c r="EF386" s="7">
        <v>0.88800000000000001</v>
      </c>
      <c r="EG386" s="7">
        <v>0.8901</v>
      </c>
      <c r="EH386" s="7">
        <v>0.8921</v>
      </c>
      <c r="EI386" s="7">
        <v>0.89419999999999999</v>
      </c>
      <c r="EJ386" s="7">
        <v>0.8962</v>
      </c>
      <c r="EK386" s="7">
        <v>0.8982</v>
      </c>
      <c r="EL386" s="7">
        <v>0.9002</v>
      </c>
      <c r="EM386" s="7">
        <v>0.90210000000000001</v>
      </c>
      <c r="EN386" s="7">
        <v>0.90410000000000001</v>
      </c>
      <c r="EO386" s="7">
        <v>0.90610000000000002</v>
      </c>
      <c r="EP386" s="7">
        <v>0.90800000000000003</v>
      </c>
      <c r="EQ386" s="7">
        <v>0.90990000000000004</v>
      </c>
      <c r="ER386" s="7">
        <v>0.91180000000000005</v>
      </c>
      <c r="ES386" s="7">
        <v>0.91369999999999996</v>
      </c>
      <c r="ET386" s="7">
        <v>0.91600000000000004</v>
      </c>
      <c r="EU386" s="7">
        <v>0.91700000000000004</v>
      </c>
      <c r="EV386" s="7">
        <v>0.91900000000000004</v>
      </c>
      <c r="EW386" s="7">
        <v>0.92100000000000004</v>
      </c>
      <c r="EX386" s="7">
        <v>0.92300000000000004</v>
      </c>
      <c r="EY386" s="7">
        <v>0.92500000000000004</v>
      </c>
      <c r="EZ386" s="7">
        <v>0.92700000000000005</v>
      </c>
      <c r="FA386" s="7">
        <v>0.92800000000000005</v>
      </c>
      <c r="FB386" s="7">
        <v>0.93</v>
      </c>
      <c r="FC386" s="7">
        <v>0.93200000000000005</v>
      </c>
      <c r="FE386" s="50">
        <f t="shared" ca="1" si="43"/>
        <v>0.86885943713673908</v>
      </c>
      <c r="FF386" s="50">
        <f t="shared" ca="1" si="44"/>
        <v>0.8674073373918616</v>
      </c>
      <c r="FG386" s="50">
        <f t="shared" ca="1" si="45"/>
        <v>0.86592557046979868</v>
      </c>
      <c r="FH386" s="50">
        <f t="shared" ca="1" si="46"/>
        <v>0.86438194630872489</v>
      </c>
      <c r="FI386" s="50"/>
      <c r="FK386" s="50">
        <f t="shared" ca="1" si="42"/>
        <v>0.8674073373918616</v>
      </c>
      <c r="FL386" s="50"/>
      <c r="FM386" s="50"/>
      <c r="FN386" s="50"/>
    </row>
    <row r="387" spans="49:170" hidden="1">
      <c r="AW387" s="112">
        <v>12.589</v>
      </c>
      <c r="AX387" s="7">
        <v>0.55549999999999999</v>
      </c>
      <c r="AY387" s="7">
        <v>0.56279999999999997</v>
      </c>
      <c r="AZ387" s="7">
        <v>0.56999999999999995</v>
      </c>
      <c r="BA387" s="7">
        <v>0.57699999999999996</v>
      </c>
      <c r="BB387" s="7">
        <v>0.58389999999999997</v>
      </c>
      <c r="BC387" s="7">
        <v>0.59060000000000001</v>
      </c>
      <c r="BD387" s="7">
        <v>0.59719999999999995</v>
      </c>
      <c r="BE387" s="7">
        <v>0.60360000000000003</v>
      </c>
      <c r="BF387" s="7">
        <v>0.6099</v>
      </c>
      <c r="BG387" s="7">
        <v>0.61609999999999998</v>
      </c>
      <c r="BH387" s="7">
        <v>0.62219999999999998</v>
      </c>
      <c r="BI387" s="7">
        <v>0.62819999999999998</v>
      </c>
      <c r="BJ387" s="7">
        <v>0.63400000000000001</v>
      </c>
      <c r="BK387" s="7">
        <v>0.63970000000000005</v>
      </c>
      <c r="BL387" s="7">
        <v>0.64529999999999998</v>
      </c>
      <c r="BM387" s="7">
        <v>0.65090000000000003</v>
      </c>
      <c r="BN387" s="7">
        <v>0.65629999999999999</v>
      </c>
      <c r="BO387" s="7">
        <v>0.66159999999999997</v>
      </c>
      <c r="BP387" s="7">
        <v>0.66679999999999995</v>
      </c>
      <c r="BQ387" s="7">
        <v>0.67190000000000005</v>
      </c>
      <c r="BR387" s="7">
        <v>0.67700000000000005</v>
      </c>
      <c r="BS387" s="7">
        <v>0.68189999999999995</v>
      </c>
      <c r="BT387" s="7">
        <v>0.68679999999999997</v>
      </c>
      <c r="BU387" s="7">
        <v>0.6915</v>
      </c>
      <c r="BV387" s="7">
        <v>0.69620000000000004</v>
      </c>
      <c r="BW387" s="7">
        <v>0.70079999999999998</v>
      </c>
      <c r="BX387" s="7">
        <v>0.70540000000000003</v>
      </c>
      <c r="BY387" s="7">
        <v>0.70979999999999999</v>
      </c>
      <c r="BZ387" s="7">
        <v>0.71419999999999995</v>
      </c>
      <c r="CA387" s="7">
        <v>0.71850000000000003</v>
      </c>
      <c r="CB387" s="7">
        <v>0.7228</v>
      </c>
      <c r="CC387" s="7">
        <v>0.72689999999999999</v>
      </c>
      <c r="CD387" s="7">
        <v>0.73099999999999998</v>
      </c>
      <c r="CE387" s="7">
        <v>0.73509999999999998</v>
      </c>
      <c r="CF387" s="7">
        <v>0.73909999999999998</v>
      </c>
      <c r="CG387" s="7">
        <v>0.74299999999999999</v>
      </c>
      <c r="CH387" s="7">
        <v>0.74680000000000002</v>
      </c>
      <c r="CI387" s="7">
        <v>0.75060000000000004</v>
      </c>
      <c r="CJ387" s="7">
        <v>0.75439999999999996</v>
      </c>
      <c r="CK387" s="7">
        <v>0.7581</v>
      </c>
      <c r="CL387" s="7">
        <v>0.76170000000000004</v>
      </c>
      <c r="CM387" s="7">
        <v>0.76529999999999998</v>
      </c>
      <c r="CN387" s="7">
        <v>0.76880000000000004</v>
      </c>
      <c r="CO387" s="7">
        <v>0.77229999999999999</v>
      </c>
      <c r="CP387" s="7">
        <v>0.77569999999999995</v>
      </c>
      <c r="CQ387" s="7">
        <v>0.77910000000000001</v>
      </c>
      <c r="CR387" s="7">
        <v>0.78239999999999998</v>
      </c>
      <c r="CS387" s="7">
        <v>0.78569999999999995</v>
      </c>
      <c r="CT387" s="7">
        <v>0.78890000000000005</v>
      </c>
      <c r="CU387" s="7">
        <v>0.79210000000000003</v>
      </c>
      <c r="CV387" s="7">
        <v>0.79530000000000001</v>
      </c>
      <c r="CW387" s="7">
        <v>0.7984</v>
      </c>
      <c r="CX387" s="7">
        <v>0.8014</v>
      </c>
      <c r="CY387" s="7">
        <v>0.8044</v>
      </c>
      <c r="CZ387" s="7">
        <v>0.80740000000000001</v>
      </c>
      <c r="DA387" s="7">
        <v>0.81040000000000001</v>
      </c>
      <c r="DB387" s="7">
        <v>0.81330000000000002</v>
      </c>
      <c r="DC387" s="7">
        <v>0.81620000000000004</v>
      </c>
      <c r="DD387" s="7">
        <v>0.81899999999999995</v>
      </c>
      <c r="DE387" s="7">
        <v>0.82179999999999997</v>
      </c>
      <c r="DF387" s="7">
        <v>0.8246</v>
      </c>
      <c r="DG387" s="7">
        <v>0.82730000000000004</v>
      </c>
      <c r="DH387" s="7">
        <v>0.83</v>
      </c>
      <c r="DI387" s="7">
        <v>0.8327</v>
      </c>
      <c r="DJ387" s="7">
        <v>0.83530000000000004</v>
      </c>
      <c r="DK387" s="7">
        <v>0.83789999999999998</v>
      </c>
      <c r="DL387" s="7">
        <v>0.84050000000000002</v>
      </c>
      <c r="DM387" s="7">
        <v>0.84299999999999997</v>
      </c>
      <c r="DN387" s="7">
        <v>0.84550000000000003</v>
      </c>
      <c r="DO387" s="7">
        <v>0.84799999999999998</v>
      </c>
      <c r="DP387" s="7">
        <v>0.85050000000000003</v>
      </c>
      <c r="DQ387" s="7">
        <v>0.85289999999999999</v>
      </c>
      <c r="DR387" s="7">
        <v>0.85529999999999995</v>
      </c>
      <c r="DS387" s="7">
        <v>0.85770000000000002</v>
      </c>
      <c r="DT387" s="7">
        <v>0.86</v>
      </c>
      <c r="DU387" s="7">
        <v>0.86240000000000006</v>
      </c>
      <c r="DV387" s="7">
        <v>0.86470000000000002</v>
      </c>
      <c r="DW387" s="7">
        <v>0.8669</v>
      </c>
      <c r="DX387" s="7">
        <v>0.86919999999999997</v>
      </c>
      <c r="DY387" s="7">
        <v>0.87139999999999995</v>
      </c>
      <c r="DZ387" s="7">
        <v>0.87370000000000003</v>
      </c>
      <c r="EA387" s="7">
        <v>0.87580000000000002</v>
      </c>
      <c r="EB387" s="7">
        <v>0.878</v>
      </c>
      <c r="EC387" s="7">
        <v>0.88019999999999998</v>
      </c>
      <c r="ED387" s="7">
        <v>0.88229999999999997</v>
      </c>
      <c r="EE387" s="7">
        <v>0.88439999999999996</v>
      </c>
      <c r="EF387" s="7">
        <v>0.88649999999999995</v>
      </c>
      <c r="EG387" s="7">
        <v>0.88859999999999995</v>
      </c>
      <c r="EH387" s="7">
        <v>0.89059999999999995</v>
      </c>
      <c r="EI387" s="7">
        <v>0.89270000000000005</v>
      </c>
      <c r="EJ387" s="7">
        <v>0.89470000000000005</v>
      </c>
      <c r="EK387" s="7">
        <v>0.89670000000000005</v>
      </c>
      <c r="EL387" s="7">
        <v>0.89870000000000005</v>
      </c>
      <c r="EM387" s="7">
        <v>0.90059999999999996</v>
      </c>
      <c r="EN387" s="7">
        <v>0.90259999999999996</v>
      </c>
      <c r="EO387" s="7">
        <v>0.90449999999999997</v>
      </c>
      <c r="EP387" s="7">
        <v>0.90649999999999997</v>
      </c>
      <c r="EQ387" s="7">
        <v>0.90839999999999999</v>
      </c>
      <c r="ER387" s="7">
        <v>0.9103</v>
      </c>
      <c r="ES387" s="7">
        <v>0.91220000000000001</v>
      </c>
      <c r="ET387" s="7">
        <v>0.91400000000000003</v>
      </c>
      <c r="EU387" s="7">
        <v>0.91600000000000004</v>
      </c>
      <c r="EV387" s="7">
        <v>0.91800000000000004</v>
      </c>
      <c r="EW387" s="7">
        <v>0.92</v>
      </c>
      <c r="EX387" s="7">
        <v>0.92100000000000004</v>
      </c>
      <c r="EY387" s="7">
        <v>0.92300000000000004</v>
      </c>
      <c r="EZ387" s="7">
        <v>0.92500000000000004</v>
      </c>
      <c r="FA387" s="7">
        <v>0.92700000000000005</v>
      </c>
      <c r="FB387" s="7">
        <v>0.92900000000000005</v>
      </c>
      <c r="FC387" s="7">
        <v>0.93</v>
      </c>
      <c r="FE387" s="50">
        <f t="shared" ca="1" si="43"/>
        <v>0.86735943713673913</v>
      </c>
      <c r="FF387" s="50">
        <f t="shared" ca="1" si="44"/>
        <v>0.86595049663569368</v>
      </c>
      <c r="FG387" s="50">
        <f t="shared" ca="1" si="45"/>
        <v>0.86452557046979872</v>
      </c>
      <c r="FH387" s="50">
        <f t="shared" ca="1" si="46"/>
        <v>0.86298194630872493</v>
      </c>
      <c r="FI387" s="50"/>
      <c r="FK387" s="50">
        <f t="shared" ca="1" si="42"/>
        <v>0.86595049663569368</v>
      </c>
      <c r="FL387" s="50"/>
      <c r="FM387" s="50"/>
      <c r="FN387" s="50"/>
    </row>
    <row r="388" spans="49:170" hidden="1">
      <c r="AW388" s="112">
        <v>13.49</v>
      </c>
      <c r="AX388" s="7">
        <v>0.55459999999999998</v>
      </c>
      <c r="AY388" s="7">
        <v>0.56189999999999996</v>
      </c>
      <c r="AZ388" s="7">
        <v>0.56910000000000005</v>
      </c>
      <c r="BA388" s="7">
        <v>0.57599999999999996</v>
      </c>
      <c r="BB388" s="7">
        <v>0.58289999999999997</v>
      </c>
      <c r="BC388" s="7">
        <v>0.58960000000000001</v>
      </c>
      <c r="BD388" s="7">
        <v>0.59619999999999995</v>
      </c>
      <c r="BE388" s="7">
        <v>0.60260000000000002</v>
      </c>
      <c r="BF388" s="7">
        <v>0.6089</v>
      </c>
      <c r="BG388" s="7">
        <v>0.61509999999999998</v>
      </c>
      <c r="BH388" s="7">
        <v>0.62119999999999997</v>
      </c>
      <c r="BI388" s="7">
        <v>0.62709999999999999</v>
      </c>
      <c r="BJ388" s="7">
        <v>0.63300000000000001</v>
      </c>
      <c r="BK388" s="7">
        <v>0.63870000000000005</v>
      </c>
      <c r="BL388" s="7">
        <v>0.64429999999999998</v>
      </c>
      <c r="BM388" s="7">
        <v>0.64980000000000004</v>
      </c>
      <c r="BN388" s="7">
        <v>0.6552</v>
      </c>
      <c r="BO388" s="7">
        <v>0.66049999999999998</v>
      </c>
      <c r="BP388" s="7">
        <v>0.66569999999999996</v>
      </c>
      <c r="BQ388" s="7">
        <v>0.67079999999999995</v>
      </c>
      <c r="BR388" s="7">
        <v>0.67579999999999996</v>
      </c>
      <c r="BS388" s="7">
        <v>0.68079999999999996</v>
      </c>
      <c r="BT388" s="7">
        <v>0.68559999999999999</v>
      </c>
      <c r="BU388" s="7">
        <v>0.69040000000000001</v>
      </c>
      <c r="BV388" s="7">
        <v>0.69510000000000005</v>
      </c>
      <c r="BW388" s="7">
        <v>0.69969999999999999</v>
      </c>
      <c r="BX388" s="7">
        <v>0.70420000000000005</v>
      </c>
      <c r="BY388" s="7">
        <v>0.7087</v>
      </c>
      <c r="BZ388" s="7">
        <v>0.71299999999999997</v>
      </c>
      <c r="CA388" s="7">
        <v>0.71730000000000005</v>
      </c>
      <c r="CB388" s="7">
        <v>0.72160000000000002</v>
      </c>
      <c r="CC388" s="7">
        <v>0.72570000000000001</v>
      </c>
      <c r="CD388" s="7">
        <v>0.7298</v>
      </c>
      <c r="CE388" s="7">
        <v>0.7339</v>
      </c>
      <c r="CF388" s="7">
        <v>0.73780000000000001</v>
      </c>
      <c r="CG388" s="7">
        <v>0.74180000000000001</v>
      </c>
      <c r="CH388" s="7">
        <v>0.74560000000000004</v>
      </c>
      <c r="CI388" s="7">
        <v>0.74939999999999996</v>
      </c>
      <c r="CJ388" s="7">
        <v>0.75309999999999999</v>
      </c>
      <c r="CK388" s="7">
        <v>0.75680000000000003</v>
      </c>
      <c r="CL388" s="7">
        <v>0.76039999999999996</v>
      </c>
      <c r="CM388" s="7">
        <v>0.76400000000000001</v>
      </c>
      <c r="CN388" s="7">
        <v>0.76749999999999996</v>
      </c>
      <c r="CO388" s="7">
        <v>0.77100000000000002</v>
      </c>
      <c r="CP388" s="7">
        <v>0.77439999999999998</v>
      </c>
      <c r="CQ388" s="7">
        <v>0.77780000000000005</v>
      </c>
      <c r="CR388" s="7">
        <v>0.78110000000000002</v>
      </c>
      <c r="CS388" s="7">
        <v>0.78439999999999999</v>
      </c>
      <c r="CT388" s="7">
        <v>0.78759999999999997</v>
      </c>
      <c r="CU388" s="7">
        <v>0.79079999999999995</v>
      </c>
      <c r="CV388" s="7">
        <v>0.79390000000000005</v>
      </c>
      <c r="CW388" s="7">
        <v>0.79700000000000004</v>
      </c>
      <c r="CX388" s="7">
        <v>0.80010000000000003</v>
      </c>
      <c r="CY388" s="7">
        <v>0.80310000000000004</v>
      </c>
      <c r="CZ388" s="7">
        <v>0.80610000000000004</v>
      </c>
      <c r="DA388" s="7">
        <v>0.80900000000000005</v>
      </c>
      <c r="DB388" s="7">
        <v>0.81189999999999996</v>
      </c>
      <c r="DC388" s="7">
        <v>0.81479999999999997</v>
      </c>
      <c r="DD388" s="7">
        <v>0.81759999999999999</v>
      </c>
      <c r="DE388" s="7">
        <v>0.82040000000000002</v>
      </c>
      <c r="DF388" s="7">
        <v>0.82320000000000004</v>
      </c>
      <c r="DG388" s="7">
        <v>0.82589999999999997</v>
      </c>
      <c r="DH388" s="7">
        <v>0.8286</v>
      </c>
      <c r="DI388" s="7">
        <v>0.83130000000000004</v>
      </c>
      <c r="DJ388" s="7">
        <v>0.83389999999999997</v>
      </c>
      <c r="DK388" s="7">
        <v>0.83650000000000002</v>
      </c>
      <c r="DL388" s="7">
        <v>0.83909999999999996</v>
      </c>
      <c r="DM388" s="7">
        <v>0.84160000000000001</v>
      </c>
      <c r="DN388" s="7">
        <v>0.84409999999999996</v>
      </c>
      <c r="DO388" s="7">
        <v>0.84660000000000002</v>
      </c>
      <c r="DP388" s="7">
        <v>0.84909999999999997</v>
      </c>
      <c r="DQ388" s="7">
        <v>0.85150000000000003</v>
      </c>
      <c r="DR388" s="7">
        <v>0.85389999999999999</v>
      </c>
      <c r="DS388" s="7">
        <v>0.85629999999999995</v>
      </c>
      <c r="DT388" s="7">
        <v>0.85860000000000003</v>
      </c>
      <c r="DU388" s="7">
        <v>0.8609</v>
      </c>
      <c r="DV388" s="7">
        <v>0.86319999999999997</v>
      </c>
      <c r="DW388" s="7">
        <v>0.86550000000000005</v>
      </c>
      <c r="DX388" s="7">
        <v>0.86780000000000002</v>
      </c>
      <c r="DY388" s="7">
        <v>0.87</v>
      </c>
      <c r="DZ388" s="7">
        <v>0.87219999999999998</v>
      </c>
      <c r="EA388" s="7">
        <v>0.87439999999999996</v>
      </c>
      <c r="EB388" s="7">
        <v>0.87660000000000005</v>
      </c>
      <c r="EC388" s="7">
        <v>0.87870000000000004</v>
      </c>
      <c r="ED388" s="7">
        <v>0.88080000000000003</v>
      </c>
      <c r="EE388" s="7">
        <v>0.88290000000000002</v>
      </c>
      <c r="EF388" s="7">
        <v>0.88500000000000001</v>
      </c>
      <c r="EG388" s="7">
        <v>0.8871</v>
      </c>
      <c r="EH388" s="7">
        <v>0.88919999999999999</v>
      </c>
      <c r="EI388" s="7">
        <v>0.89119999999999999</v>
      </c>
      <c r="EJ388" s="7">
        <v>0.89319999999999999</v>
      </c>
      <c r="EK388" s="7">
        <v>0.8952</v>
      </c>
      <c r="EL388" s="7">
        <v>0.8972</v>
      </c>
      <c r="EM388" s="7">
        <v>0.8992</v>
      </c>
      <c r="EN388" s="7">
        <v>0.90110000000000001</v>
      </c>
      <c r="EO388" s="7">
        <v>0.90300000000000002</v>
      </c>
      <c r="EP388" s="7">
        <v>0.90500000000000003</v>
      </c>
      <c r="EQ388" s="7">
        <v>0.90690000000000004</v>
      </c>
      <c r="ER388" s="7">
        <v>0.90880000000000005</v>
      </c>
      <c r="ES388" s="7">
        <v>0.91059999999999997</v>
      </c>
      <c r="ET388" s="7">
        <v>0.91300000000000003</v>
      </c>
      <c r="EU388" s="7">
        <v>0.91400000000000003</v>
      </c>
      <c r="EV388" s="7">
        <v>0.91600000000000004</v>
      </c>
      <c r="EW388" s="7">
        <v>0.91800000000000004</v>
      </c>
      <c r="EX388" s="7">
        <v>0.92</v>
      </c>
      <c r="EY388" s="7">
        <v>0.92200000000000004</v>
      </c>
      <c r="EZ388" s="7">
        <v>0.92400000000000004</v>
      </c>
      <c r="FA388" s="7">
        <v>0.92500000000000004</v>
      </c>
      <c r="FB388" s="7">
        <v>0.92700000000000005</v>
      </c>
      <c r="FC388" s="7">
        <v>0.92900000000000005</v>
      </c>
      <c r="FE388" s="50">
        <f t="shared" ca="1" si="43"/>
        <v>0.86595943713673917</v>
      </c>
      <c r="FF388" s="50">
        <f t="shared" ca="1" si="44"/>
        <v>0.86450733739186159</v>
      </c>
      <c r="FG388" s="50">
        <f t="shared" ca="1" si="45"/>
        <v>0.86302557046979866</v>
      </c>
      <c r="FH388" s="50">
        <f t="shared" ca="1" si="46"/>
        <v>0.86148194630872488</v>
      </c>
      <c r="FI388" s="50"/>
      <c r="FK388" s="50">
        <f t="shared" ca="1" si="42"/>
        <v>0.86450733739186159</v>
      </c>
      <c r="FL388" s="50"/>
      <c r="FM388" s="50"/>
      <c r="FN388" s="50"/>
    </row>
    <row r="389" spans="49:170" hidden="1">
      <c r="AW389" s="112">
        <v>14.454000000000001</v>
      </c>
      <c r="AX389" s="7">
        <v>0.55369999999999997</v>
      </c>
      <c r="AY389" s="7">
        <v>0.56100000000000005</v>
      </c>
      <c r="AZ389" s="7">
        <v>0.56810000000000005</v>
      </c>
      <c r="BA389" s="7">
        <v>0.57509999999999994</v>
      </c>
      <c r="BB389" s="7">
        <v>0.58189999999999997</v>
      </c>
      <c r="BC389" s="7">
        <v>0.58860000000000001</v>
      </c>
      <c r="BD389" s="7">
        <v>0.59519999999999995</v>
      </c>
      <c r="BE389" s="7">
        <v>0.60160000000000002</v>
      </c>
      <c r="BF389" s="7">
        <v>0.6079</v>
      </c>
      <c r="BG389" s="7">
        <v>0.61409999999999998</v>
      </c>
      <c r="BH389" s="7">
        <v>0.62019999999999997</v>
      </c>
      <c r="BI389" s="7">
        <v>0.62609999999999999</v>
      </c>
      <c r="BJ389" s="7">
        <v>0.63190000000000002</v>
      </c>
      <c r="BK389" s="7">
        <v>0.63759999999999994</v>
      </c>
      <c r="BL389" s="7">
        <v>0.64319999999999999</v>
      </c>
      <c r="BM389" s="7">
        <v>0.64870000000000005</v>
      </c>
      <c r="BN389" s="7">
        <v>0.65410000000000001</v>
      </c>
      <c r="BO389" s="7">
        <v>0.65939999999999999</v>
      </c>
      <c r="BP389" s="7">
        <v>0.66459999999999997</v>
      </c>
      <c r="BQ389" s="7">
        <v>0.66969999999999996</v>
      </c>
      <c r="BR389" s="7">
        <v>0.67469999999999997</v>
      </c>
      <c r="BS389" s="7">
        <v>0.67969999999999997</v>
      </c>
      <c r="BT389" s="7">
        <v>0.6845</v>
      </c>
      <c r="BU389" s="7">
        <v>0.68930000000000002</v>
      </c>
      <c r="BV389" s="7">
        <v>0.69389999999999996</v>
      </c>
      <c r="BW389" s="7">
        <v>0.69850000000000001</v>
      </c>
      <c r="BX389" s="7">
        <v>0.70309999999999995</v>
      </c>
      <c r="BY389" s="7">
        <v>0.70750000000000002</v>
      </c>
      <c r="BZ389" s="7">
        <v>0.71189999999999998</v>
      </c>
      <c r="CA389" s="7">
        <v>0.71619999999999995</v>
      </c>
      <c r="CB389" s="7">
        <v>0.72040000000000004</v>
      </c>
      <c r="CC389" s="7">
        <v>0.72460000000000002</v>
      </c>
      <c r="CD389" s="7">
        <v>0.72860000000000003</v>
      </c>
      <c r="CE389" s="7">
        <v>0.73270000000000002</v>
      </c>
      <c r="CF389" s="7">
        <v>0.73660000000000003</v>
      </c>
      <c r="CG389" s="7">
        <v>0.74050000000000005</v>
      </c>
      <c r="CH389" s="7">
        <v>0.74439999999999995</v>
      </c>
      <c r="CI389" s="7">
        <v>0.74819999999999998</v>
      </c>
      <c r="CJ389" s="7">
        <v>0.75190000000000001</v>
      </c>
      <c r="CK389" s="7">
        <v>0.75560000000000005</v>
      </c>
      <c r="CL389" s="7">
        <v>0.75919999999999999</v>
      </c>
      <c r="CM389" s="7">
        <v>0.76280000000000003</v>
      </c>
      <c r="CN389" s="7">
        <v>0.76629999999999998</v>
      </c>
      <c r="CO389" s="7">
        <v>0.76970000000000005</v>
      </c>
      <c r="CP389" s="7">
        <v>0.77310000000000001</v>
      </c>
      <c r="CQ389" s="7">
        <v>0.77649999999999997</v>
      </c>
      <c r="CR389" s="7">
        <v>0.77980000000000005</v>
      </c>
      <c r="CS389" s="7">
        <v>0.78310000000000002</v>
      </c>
      <c r="CT389" s="7">
        <v>0.7863</v>
      </c>
      <c r="CU389" s="7">
        <v>0.78949999999999998</v>
      </c>
      <c r="CV389" s="7">
        <v>0.79259999999999997</v>
      </c>
      <c r="CW389" s="7">
        <v>0.79569999999999996</v>
      </c>
      <c r="CX389" s="7">
        <v>0.79879999999999995</v>
      </c>
      <c r="CY389" s="7">
        <v>0.80179999999999996</v>
      </c>
      <c r="CZ389" s="7">
        <v>0.80479999999999996</v>
      </c>
      <c r="DA389" s="7">
        <v>0.80769999999999997</v>
      </c>
      <c r="DB389" s="7">
        <v>0.81059999999999999</v>
      </c>
      <c r="DC389" s="7">
        <v>0.8135</v>
      </c>
      <c r="DD389" s="7">
        <v>0.81630000000000003</v>
      </c>
      <c r="DE389" s="7">
        <v>0.81910000000000005</v>
      </c>
      <c r="DF389" s="7">
        <v>0.82189999999999996</v>
      </c>
      <c r="DG389" s="7">
        <v>0.8246</v>
      </c>
      <c r="DH389" s="7">
        <v>0.82730000000000004</v>
      </c>
      <c r="DI389" s="7">
        <v>0.82989999999999997</v>
      </c>
      <c r="DJ389" s="7">
        <v>0.83250000000000002</v>
      </c>
      <c r="DK389" s="7">
        <v>0.83509999999999995</v>
      </c>
      <c r="DL389" s="7">
        <v>0.8377</v>
      </c>
      <c r="DM389" s="7">
        <v>0.84019999999999995</v>
      </c>
      <c r="DN389" s="7">
        <v>0.8427</v>
      </c>
      <c r="DO389" s="7">
        <v>0.84519999999999995</v>
      </c>
      <c r="DP389" s="7">
        <v>0.84770000000000001</v>
      </c>
      <c r="DQ389" s="7">
        <v>0.85009999999999997</v>
      </c>
      <c r="DR389" s="7">
        <v>0.85250000000000004</v>
      </c>
      <c r="DS389" s="7">
        <v>0.85489999999999999</v>
      </c>
      <c r="DT389" s="7">
        <v>0.85719999999999996</v>
      </c>
      <c r="DU389" s="7">
        <v>0.85950000000000004</v>
      </c>
      <c r="DV389" s="7">
        <v>0.86180000000000001</v>
      </c>
      <c r="DW389" s="7">
        <v>0.86409999999999998</v>
      </c>
      <c r="DX389" s="7">
        <v>0.86639999999999995</v>
      </c>
      <c r="DY389" s="7">
        <v>0.86860000000000004</v>
      </c>
      <c r="DZ389" s="7">
        <v>0.87080000000000002</v>
      </c>
      <c r="EA389" s="7">
        <v>0.873</v>
      </c>
      <c r="EB389" s="7">
        <v>0.87509999999999999</v>
      </c>
      <c r="EC389" s="7">
        <v>0.87729999999999997</v>
      </c>
      <c r="ED389" s="7">
        <v>0.87939999999999996</v>
      </c>
      <c r="EE389" s="7">
        <v>0.88149999999999995</v>
      </c>
      <c r="EF389" s="7">
        <v>0.88360000000000005</v>
      </c>
      <c r="EG389" s="7">
        <v>0.88570000000000004</v>
      </c>
      <c r="EH389" s="7">
        <v>0.88770000000000004</v>
      </c>
      <c r="EI389" s="7">
        <v>0.88970000000000005</v>
      </c>
      <c r="EJ389" s="7">
        <v>0.89170000000000005</v>
      </c>
      <c r="EK389" s="7">
        <v>0.89370000000000005</v>
      </c>
      <c r="EL389" s="7">
        <v>0.89570000000000005</v>
      </c>
      <c r="EM389" s="7">
        <v>0.89770000000000005</v>
      </c>
      <c r="EN389" s="7">
        <v>0.89959999999999996</v>
      </c>
      <c r="EO389" s="7">
        <v>0.90159999999999996</v>
      </c>
      <c r="EP389" s="7">
        <v>0.90349999999999997</v>
      </c>
      <c r="EQ389" s="7">
        <v>0.90539999999999998</v>
      </c>
      <c r="ER389" s="7">
        <v>0.9073</v>
      </c>
      <c r="ES389" s="7">
        <v>0.90920000000000001</v>
      </c>
      <c r="ET389" s="7">
        <v>0.91100000000000003</v>
      </c>
      <c r="EU389" s="7">
        <v>0.91300000000000003</v>
      </c>
      <c r="EV389" s="7">
        <v>0.91500000000000004</v>
      </c>
      <c r="EW389" s="7">
        <v>0.91700000000000004</v>
      </c>
      <c r="EX389" s="7">
        <v>0.91800000000000004</v>
      </c>
      <c r="EY389" s="7">
        <v>0.92</v>
      </c>
      <c r="EZ389" s="7">
        <v>0.92200000000000004</v>
      </c>
      <c r="FA389" s="7">
        <v>0.92400000000000004</v>
      </c>
      <c r="FB389" s="7">
        <v>0.92600000000000005</v>
      </c>
      <c r="FC389" s="7">
        <v>0.92700000000000005</v>
      </c>
      <c r="FE389" s="50">
        <f t="shared" ca="1" si="43"/>
        <v>0.86455943713673911</v>
      </c>
      <c r="FF389" s="50">
        <f t="shared" ca="1" si="44"/>
        <v>0.86310733739186163</v>
      </c>
      <c r="FG389" s="50">
        <f t="shared" ca="1" si="45"/>
        <v>0.86162557046979871</v>
      </c>
      <c r="FH389" s="50">
        <f t="shared" ca="1" si="46"/>
        <v>0.86008194630872492</v>
      </c>
      <c r="FI389" s="50"/>
      <c r="FK389" s="50">
        <f t="shared" ca="1" si="42"/>
        <v>0.86310733739186163</v>
      </c>
      <c r="FL389" s="50"/>
      <c r="FM389" s="50"/>
      <c r="FN389" s="50"/>
    </row>
    <row r="390" spans="49:170" hidden="1">
      <c r="AW390" s="112">
        <v>15.488</v>
      </c>
      <c r="AX390" s="7">
        <v>0.55279999999999996</v>
      </c>
      <c r="AY390" s="7">
        <v>0.56010000000000004</v>
      </c>
      <c r="AZ390" s="7">
        <v>0.56720000000000004</v>
      </c>
      <c r="BA390" s="7">
        <v>0.57420000000000004</v>
      </c>
      <c r="BB390" s="7">
        <v>0.58099999999999996</v>
      </c>
      <c r="BC390" s="7">
        <v>0.5877</v>
      </c>
      <c r="BD390" s="7">
        <v>0.59419999999999995</v>
      </c>
      <c r="BE390" s="7">
        <v>0.60070000000000001</v>
      </c>
      <c r="BF390" s="7">
        <v>0.60699999999999998</v>
      </c>
      <c r="BG390" s="7">
        <v>0.61309999999999998</v>
      </c>
      <c r="BH390" s="7">
        <v>0.61919999999999997</v>
      </c>
      <c r="BI390" s="7">
        <v>0.62509999999999999</v>
      </c>
      <c r="BJ390" s="7">
        <v>0.63090000000000002</v>
      </c>
      <c r="BK390" s="7">
        <v>0.63660000000000005</v>
      </c>
      <c r="BL390" s="7">
        <v>0.64219999999999999</v>
      </c>
      <c r="BM390" s="7">
        <v>0.64770000000000005</v>
      </c>
      <c r="BN390" s="7">
        <v>0.65310000000000001</v>
      </c>
      <c r="BO390" s="7">
        <v>0.65839999999999999</v>
      </c>
      <c r="BP390" s="7">
        <v>0.66349999999999998</v>
      </c>
      <c r="BQ390" s="7">
        <v>0.66859999999999997</v>
      </c>
      <c r="BR390" s="7">
        <v>0.67369999999999997</v>
      </c>
      <c r="BS390" s="7">
        <v>0.67859999999999998</v>
      </c>
      <c r="BT390" s="7">
        <v>0.68340000000000001</v>
      </c>
      <c r="BU390" s="7">
        <v>0.68820000000000003</v>
      </c>
      <c r="BV390" s="7">
        <v>0.69279999999999997</v>
      </c>
      <c r="BW390" s="7">
        <v>0.69740000000000002</v>
      </c>
      <c r="BX390" s="7">
        <v>0.70189999999999997</v>
      </c>
      <c r="BY390" s="7">
        <v>0.70640000000000003</v>
      </c>
      <c r="BZ390" s="7">
        <v>0.7107</v>
      </c>
      <c r="CA390" s="7">
        <v>0.71499999999999997</v>
      </c>
      <c r="CB390" s="7">
        <v>0.71919999999999995</v>
      </c>
      <c r="CC390" s="7">
        <v>0.72340000000000004</v>
      </c>
      <c r="CD390" s="7">
        <v>0.72750000000000004</v>
      </c>
      <c r="CE390" s="7">
        <v>0.73150000000000004</v>
      </c>
      <c r="CF390" s="7">
        <v>0.73550000000000004</v>
      </c>
      <c r="CG390" s="7">
        <v>0.73939999999999995</v>
      </c>
      <c r="CH390" s="7">
        <v>0.74319999999999997</v>
      </c>
      <c r="CI390" s="7">
        <v>0.747</v>
      </c>
      <c r="CJ390" s="7">
        <v>0.75070000000000003</v>
      </c>
      <c r="CK390" s="7">
        <v>0.75439999999999996</v>
      </c>
      <c r="CL390" s="7">
        <v>0.75800000000000001</v>
      </c>
      <c r="CM390" s="7">
        <v>0.76149999999999995</v>
      </c>
      <c r="CN390" s="7">
        <v>0.76500000000000001</v>
      </c>
      <c r="CO390" s="7">
        <v>0.76849999999999996</v>
      </c>
      <c r="CP390" s="7">
        <v>0.77190000000000003</v>
      </c>
      <c r="CQ390" s="7">
        <v>0.77529999999999999</v>
      </c>
      <c r="CR390" s="7">
        <v>0.77859999999999996</v>
      </c>
      <c r="CS390" s="7">
        <v>0.78180000000000005</v>
      </c>
      <c r="CT390" s="7">
        <v>0.78510000000000002</v>
      </c>
      <c r="CU390" s="7">
        <v>0.78820000000000001</v>
      </c>
      <c r="CV390" s="7">
        <v>0.79139999999999999</v>
      </c>
      <c r="CW390" s="7">
        <v>0.79449999999999998</v>
      </c>
      <c r="CX390" s="7">
        <v>0.79749999999999999</v>
      </c>
      <c r="CY390" s="7">
        <v>0.80049999999999999</v>
      </c>
      <c r="CZ390" s="7">
        <v>0.80349999999999999</v>
      </c>
      <c r="DA390" s="7">
        <v>0.80640000000000001</v>
      </c>
      <c r="DB390" s="7">
        <v>0.80930000000000002</v>
      </c>
      <c r="DC390" s="7">
        <v>0.81220000000000003</v>
      </c>
      <c r="DD390" s="7">
        <v>0.81499999999999995</v>
      </c>
      <c r="DE390" s="7">
        <v>0.81779999999999997</v>
      </c>
      <c r="DF390" s="7">
        <v>0.82050000000000001</v>
      </c>
      <c r="DG390" s="7">
        <v>0.82320000000000004</v>
      </c>
      <c r="DH390" s="7">
        <v>0.82589999999999997</v>
      </c>
      <c r="DI390" s="7">
        <v>0.8286</v>
      </c>
      <c r="DJ390" s="7">
        <v>0.83120000000000005</v>
      </c>
      <c r="DK390" s="7">
        <v>0.83379999999999999</v>
      </c>
      <c r="DL390" s="7">
        <v>0.83640000000000003</v>
      </c>
      <c r="DM390" s="7">
        <v>0.83889999999999998</v>
      </c>
      <c r="DN390" s="7">
        <v>0.84140000000000004</v>
      </c>
      <c r="DO390" s="7">
        <v>0.84389999999999998</v>
      </c>
      <c r="DP390" s="7">
        <v>0.84630000000000005</v>
      </c>
      <c r="DQ390" s="7">
        <v>0.84870000000000001</v>
      </c>
      <c r="DR390" s="7">
        <v>0.85109999999999997</v>
      </c>
      <c r="DS390" s="7">
        <v>0.85350000000000004</v>
      </c>
      <c r="DT390" s="7">
        <v>0.85580000000000001</v>
      </c>
      <c r="DU390" s="7">
        <v>0.85809999999999997</v>
      </c>
      <c r="DV390" s="7">
        <v>0.86040000000000005</v>
      </c>
      <c r="DW390" s="7">
        <v>0.86270000000000002</v>
      </c>
      <c r="DX390" s="7">
        <v>0.86499999999999999</v>
      </c>
      <c r="DY390" s="7">
        <v>0.86719999999999997</v>
      </c>
      <c r="DZ390" s="7">
        <v>0.86939999999999995</v>
      </c>
      <c r="EA390" s="7">
        <v>0.87160000000000004</v>
      </c>
      <c r="EB390" s="7">
        <v>0.87370000000000003</v>
      </c>
      <c r="EC390" s="7">
        <v>0.87590000000000001</v>
      </c>
      <c r="ED390" s="7">
        <v>0.878</v>
      </c>
      <c r="EE390" s="7">
        <v>0.88009999999999999</v>
      </c>
      <c r="EF390" s="7">
        <v>0.88219999999999998</v>
      </c>
      <c r="EG390" s="7">
        <v>0.88419999999999999</v>
      </c>
      <c r="EH390" s="7">
        <v>0.88629999999999998</v>
      </c>
      <c r="EI390" s="7">
        <v>0.88829999999999998</v>
      </c>
      <c r="EJ390" s="7">
        <v>0.89029999999999998</v>
      </c>
      <c r="EK390" s="7">
        <v>0.89229999999999998</v>
      </c>
      <c r="EL390" s="7">
        <v>0.89429999999999998</v>
      </c>
      <c r="EM390" s="7">
        <v>0.8962</v>
      </c>
      <c r="EN390" s="7">
        <v>0.8982</v>
      </c>
      <c r="EO390" s="7">
        <v>0.90010000000000001</v>
      </c>
      <c r="EP390" s="7">
        <v>0.90200000000000002</v>
      </c>
      <c r="EQ390" s="7">
        <v>0.90390000000000004</v>
      </c>
      <c r="ER390" s="7">
        <v>0.90580000000000005</v>
      </c>
      <c r="ES390" s="7">
        <v>0.90769999999999995</v>
      </c>
      <c r="ET390" s="7">
        <v>0.91</v>
      </c>
      <c r="EU390" s="7">
        <v>0.91100000000000003</v>
      </c>
      <c r="EV390" s="7">
        <v>0.91300000000000003</v>
      </c>
      <c r="EW390" s="7">
        <v>0.91500000000000004</v>
      </c>
      <c r="EX390" s="7">
        <v>0.91700000000000004</v>
      </c>
      <c r="EY390" s="7">
        <v>0.91900000000000004</v>
      </c>
      <c r="EZ390" s="7">
        <v>0.92100000000000004</v>
      </c>
      <c r="FA390" s="7">
        <v>0.92200000000000004</v>
      </c>
      <c r="FB390" s="7">
        <v>0.92400000000000004</v>
      </c>
      <c r="FC390" s="7">
        <v>0.92600000000000005</v>
      </c>
      <c r="FE390" s="50">
        <f t="shared" ca="1" si="43"/>
        <v>0.86315943713673915</v>
      </c>
      <c r="FF390" s="50">
        <f t="shared" ca="1" si="44"/>
        <v>0.86170733739186167</v>
      </c>
      <c r="FG390" s="50">
        <f t="shared" ca="1" si="45"/>
        <v>0.86022557046979875</v>
      </c>
      <c r="FH390" s="50">
        <f t="shared" ca="1" si="46"/>
        <v>0.85868194630872485</v>
      </c>
      <c r="FI390" s="50"/>
      <c r="FK390" s="50">
        <f t="shared" ca="1" si="42"/>
        <v>0.86170733739186167</v>
      </c>
      <c r="FL390" s="50"/>
      <c r="FM390" s="50"/>
      <c r="FN390" s="50"/>
    </row>
    <row r="391" spans="49:170" hidden="1">
      <c r="AW391" s="112">
        <v>16.596</v>
      </c>
      <c r="AX391" s="7">
        <v>0.55189999999999995</v>
      </c>
      <c r="AY391" s="7">
        <v>0.55920000000000003</v>
      </c>
      <c r="AZ391" s="7">
        <v>0.56630000000000003</v>
      </c>
      <c r="BA391" s="7">
        <v>0.57330000000000003</v>
      </c>
      <c r="BB391" s="7">
        <v>0.58009999999999995</v>
      </c>
      <c r="BC391" s="7">
        <v>0.58679999999999999</v>
      </c>
      <c r="BD391" s="7">
        <v>0.59330000000000005</v>
      </c>
      <c r="BE391" s="7">
        <v>0.59970000000000001</v>
      </c>
      <c r="BF391" s="7">
        <v>0.60599999999999998</v>
      </c>
      <c r="BG391" s="7">
        <v>0.61209999999999998</v>
      </c>
      <c r="BH391" s="7">
        <v>0.61819999999999997</v>
      </c>
      <c r="BI391" s="7">
        <v>0.62409999999999999</v>
      </c>
      <c r="BJ391" s="7">
        <v>0.62990000000000002</v>
      </c>
      <c r="BK391" s="7">
        <v>0.63560000000000005</v>
      </c>
      <c r="BL391" s="7">
        <v>0.64119999999999999</v>
      </c>
      <c r="BM391" s="7">
        <v>0.64659999999999995</v>
      </c>
      <c r="BN391" s="7">
        <v>0.65200000000000002</v>
      </c>
      <c r="BO391" s="7">
        <v>0.6573</v>
      </c>
      <c r="BP391" s="7">
        <v>0.66249999999999998</v>
      </c>
      <c r="BQ391" s="7">
        <v>0.66759999999999997</v>
      </c>
      <c r="BR391" s="7">
        <v>0.67259999999999998</v>
      </c>
      <c r="BS391" s="7">
        <v>0.67749999999999999</v>
      </c>
      <c r="BT391" s="7">
        <v>0.68230000000000002</v>
      </c>
      <c r="BU391" s="7">
        <v>0.68710000000000004</v>
      </c>
      <c r="BV391" s="7">
        <v>0.69169999999999998</v>
      </c>
      <c r="BW391" s="7">
        <v>0.69630000000000003</v>
      </c>
      <c r="BX391" s="7">
        <v>0.70079999999999998</v>
      </c>
      <c r="BY391" s="7">
        <v>0.70520000000000005</v>
      </c>
      <c r="BZ391" s="7">
        <v>0.70960000000000001</v>
      </c>
      <c r="CA391" s="7">
        <v>0.71389999999999998</v>
      </c>
      <c r="CB391" s="7">
        <v>0.71809999999999996</v>
      </c>
      <c r="CC391" s="7">
        <v>0.72219999999999995</v>
      </c>
      <c r="CD391" s="7">
        <v>0.72629999999999995</v>
      </c>
      <c r="CE391" s="7">
        <v>0.73029999999999995</v>
      </c>
      <c r="CF391" s="7">
        <v>0.73429999999999995</v>
      </c>
      <c r="CG391" s="7">
        <v>0.73819999999999997</v>
      </c>
      <c r="CH391" s="7">
        <v>0.74199999999999999</v>
      </c>
      <c r="CI391" s="7">
        <v>0.74580000000000002</v>
      </c>
      <c r="CJ391" s="7">
        <v>0.74950000000000006</v>
      </c>
      <c r="CK391" s="7">
        <v>0.75319999999999998</v>
      </c>
      <c r="CL391" s="7">
        <v>0.75680000000000003</v>
      </c>
      <c r="CM391" s="7">
        <v>0.76029999999999998</v>
      </c>
      <c r="CN391" s="7">
        <v>0.76380000000000003</v>
      </c>
      <c r="CO391" s="7">
        <v>0.76729999999999998</v>
      </c>
      <c r="CP391" s="7">
        <v>0.77070000000000005</v>
      </c>
      <c r="CQ391" s="7">
        <v>0.77400000000000002</v>
      </c>
      <c r="CR391" s="7">
        <v>0.77729999999999999</v>
      </c>
      <c r="CS391" s="7">
        <v>0.78059999999999996</v>
      </c>
      <c r="CT391" s="7">
        <v>0.78380000000000005</v>
      </c>
      <c r="CU391" s="7">
        <v>0.78700000000000003</v>
      </c>
      <c r="CV391" s="7">
        <v>0.79010000000000002</v>
      </c>
      <c r="CW391" s="7">
        <v>0.79320000000000002</v>
      </c>
      <c r="CX391" s="7">
        <v>0.79620000000000002</v>
      </c>
      <c r="CY391" s="7">
        <v>0.79920000000000002</v>
      </c>
      <c r="CZ391" s="7">
        <v>0.80220000000000002</v>
      </c>
      <c r="DA391" s="7">
        <v>0.80510000000000004</v>
      </c>
      <c r="DB391" s="7">
        <v>0.80800000000000005</v>
      </c>
      <c r="DC391" s="7">
        <v>0.81089999999999995</v>
      </c>
      <c r="DD391" s="7">
        <v>0.81369999999999998</v>
      </c>
      <c r="DE391" s="7">
        <v>0.8165</v>
      </c>
      <c r="DF391" s="7">
        <v>0.81920000000000004</v>
      </c>
      <c r="DG391" s="7">
        <v>0.82189999999999996</v>
      </c>
      <c r="DH391" s="7">
        <v>0.8246</v>
      </c>
      <c r="DI391" s="7">
        <v>0.82730000000000004</v>
      </c>
      <c r="DJ391" s="7">
        <v>0.82989999999999997</v>
      </c>
      <c r="DK391" s="7">
        <v>0.83250000000000002</v>
      </c>
      <c r="DL391" s="7">
        <v>0.83499999999999996</v>
      </c>
      <c r="DM391" s="7">
        <v>0.83750000000000002</v>
      </c>
      <c r="DN391" s="7">
        <v>0.84</v>
      </c>
      <c r="DO391" s="7">
        <v>0.84250000000000003</v>
      </c>
      <c r="DP391" s="7">
        <v>0.84499999999999997</v>
      </c>
      <c r="DQ391" s="7">
        <v>0.84740000000000004</v>
      </c>
      <c r="DR391" s="7">
        <v>0.8498</v>
      </c>
      <c r="DS391" s="7">
        <v>0.85209999999999997</v>
      </c>
      <c r="DT391" s="7">
        <v>0.85450000000000004</v>
      </c>
      <c r="DU391" s="7">
        <v>0.85680000000000001</v>
      </c>
      <c r="DV391" s="7">
        <v>0.85909999999999997</v>
      </c>
      <c r="DW391" s="7">
        <v>0.86129999999999995</v>
      </c>
      <c r="DX391" s="7">
        <v>0.86360000000000003</v>
      </c>
      <c r="DY391" s="7">
        <v>0.86580000000000001</v>
      </c>
      <c r="DZ391" s="7">
        <v>0.86799999999999999</v>
      </c>
      <c r="EA391" s="7">
        <v>0.87019999999999997</v>
      </c>
      <c r="EB391" s="7">
        <v>0.87229999999999996</v>
      </c>
      <c r="EC391" s="7">
        <v>0.87450000000000006</v>
      </c>
      <c r="ED391" s="7">
        <v>0.87660000000000005</v>
      </c>
      <c r="EE391" s="7">
        <v>0.87870000000000004</v>
      </c>
      <c r="EF391" s="7">
        <v>0.88080000000000003</v>
      </c>
      <c r="EG391" s="7">
        <v>0.88280000000000003</v>
      </c>
      <c r="EH391" s="7">
        <v>0.88490000000000002</v>
      </c>
      <c r="EI391" s="7">
        <v>0.88690000000000002</v>
      </c>
      <c r="EJ391" s="7">
        <v>0.88890000000000002</v>
      </c>
      <c r="EK391" s="7">
        <v>0.89090000000000003</v>
      </c>
      <c r="EL391" s="7">
        <v>0.89290000000000003</v>
      </c>
      <c r="EM391" s="7">
        <v>0.89480000000000004</v>
      </c>
      <c r="EN391" s="7">
        <v>0.89680000000000004</v>
      </c>
      <c r="EO391" s="7">
        <v>0.89870000000000005</v>
      </c>
      <c r="EP391" s="7">
        <v>0.90059999999999996</v>
      </c>
      <c r="EQ391" s="7">
        <v>0.90249999999999997</v>
      </c>
      <c r="ER391" s="7">
        <v>0.90439999999999998</v>
      </c>
      <c r="ES391" s="7">
        <v>0.90620000000000001</v>
      </c>
      <c r="ET391" s="7">
        <v>0.90800000000000003</v>
      </c>
      <c r="EU391" s="7">
        <v>0.91</v>
      </c>
      <c r="EV391" s="7">
        <v>0.91200000000000003</v>
      </c>
      <c r="EW391" s="7">
        <v>0.91400000000000003</v>
      </c>
      <c r="EX391" s="7">
        <v>0.91500000000000004</v>
      </c>
      <c r="EY391" s="7">
        <v>0.91700000000000004</v>
      </c>
      <c r="EZ391" s="7">
        <v>0.91900000000000004</v>
      </c>
      <c r="FA391" s="7">
        <v>0.92100000000000004</v>
      </c>
      <c r="FB391" s="7">
        <v>0.92300000000000004</v>
      </c>
      <c r="FC391" s="7">
        <v>0.92400000000000004</v>
      </c>
      <c r="FE391" s="50">
        <f t="shared" ca="1" si="43"/>
        <v>0.86175943713673897</v>
      </c>
      <c r="FF391" s="50">
        <f t="shared" ca="1" si="44"/>
        <v>0.86035049663569363</v>
      </c>
      <c r="FG391" s="50">
        <f t="shared" ca="1" si="45"/>
        <v>0.85892557046979867</v>
      </c>
      <c r="FH391" s="50">
        <f t="shared" ca="1" si="46"/>
        <v>0.85738194630872488</v>
      </c>
      <c r="FI391" s="50"/>
      <c r="FK391" s="50">
        <f t="shared" ca="1" si="42"/>
        <v>0.86035049663569363</v>
      </c>
      <c r="FL391" s="50"/>
      <c r="FM391" s="50"/>
      <c r="FN391" s="50"/>
    </row>
    <row r="392" spans="49:170" hidden="1">
      <c r="AW392" s="112">
        <v>17.783000000000001</v>
      </c>
      <c r="AX392" s="7">
        <v>0.55100000000000005</v>
      </c>
      <c r="AY392" s="7">
        <v>0.55830000000000002</v>
      </c>
      <c r="AZ392" s="7">
        <v>0.56540000000000001</v>
      </c>
      <c r="BA392" s="7">
        <v>0.57240000000000002</v>
      </c>
      <c r="BB392" s="7">
        <v>0.57920000000000005</v>
      </c>
      <c r="BC392" s="7">
        <v>0.58579999999999999</v>
      </c>
      <c r="BD392" s="7">
        <v>0.59240000000000004</v>
      </c>
      <c r="BE392" s="7">
        <v>0.5988</v>
      </c>
      <c r="BF392" s="7">
        <v>0.60499999999999998</v>
      </c>
      <c r="BG392" s="7">
        <v>0.61119999999999997</v>
      </c>
      <c r="BH392" s="7">
        <v>0.61719999999999997</v>
      </c>
      <c r="BI392" s="7">
        <v>0.62309999999999999</v>
      </c>
      <c r="BJ392" s="7">
        <v>0.62890000000000001</v>
      </c>
      <c r="BK392" s="7">
        <v>0.63460000000000005</v>
      </c>
      <c r="BL392" s="7">
        <v>0.64019999999999999</v>
      </c>
      <c r="BM392" s="7">
        <v>0.64559999999999995</v>
      </c>
      <c r="BN392" s="7">
        <v>0.65100000000000002</v>
      </c>
      <c r="BO392" s="7">
        <v>0.65629999999999999</v>
      </c>
      <c r="BP392" s="7">
        <v>0.66139999999999999</v>
      </c>
      <c r="BQ392" s="7">
        <v>0.66649999999999998</v>
      </c>
      <c r="BR392" s="7">
        <v>0.67149999999999999</v>
      </c>
      <c r="BS392" s="7">
        <v>0.6764</v>
      </c>
      <c r="BT392" s="7">
        <v>0.68120000000000003</v>
      </c>
      <c r="BU392" s="7">
        <v>0.68600000000000005</v>
      </c>
      <c r="BV392" s="7">
        <v>0.69059999999999999</v>
      </c>
      <c r="BW392" s="7">
        <v>0.69520000000000004</v>
      </c>
      <c r="BX392" s="7">
        <v>0.69969999999999999</v>
      </c>
      <c r="BY392" s="7">
        <v>0.70409999999999995</v>
      </c>
      <c r="BZ392" s="7">
        <v>0.70850000000000002</v>
      </c>
      <c r="CA392" s="7">
        <v>0.7127</v>
      </c>
      <c r="CB392" s="7">
        <v>0.71699999999999997</v>
      </c>
      <c r="CC392" s="7">
        <v>0.72109999999999996</v>
      </c>
      <c r="CD392" s="7">
        <v>0.72519999999999996</v>
      </c>
      <c r="CE392" s="7">
        <v>0.72919999999999996</v>
      </c>
      <c r="CF392" s="7">
        <v>0.73309999999999997</v>
      </c>
      <c r="CG392" s="7">
        <v>0.73699999999999999</v>
      </c>
      <c r="CH392" s="7">
        <v>0.74080000000000001</v>
      </c>
      <c r="CI392" s="7">
        <v>0.74460000000000004</v>
      </c>
      <c r="CJ392" s="7">
        <v>0.74829999999999997</v>
      </c>
      <c r="CK392" s="7">
        <v>0.752</v>
      </c>
      <c r="CL392" s="7">
        <v>0.75560000000000005</v>
      </c>
      <c r="CM392" s="7">
        <v>0.7591</v>
      </c>
      <c r="CN392" s="7">
        <v>0.76259999999999994</v>
      </c>
      <c r="CO392" s="7">
        <v>0.7661</v>
      </c>
      <c r="CP392" s="7">
        <v>0.76949999999999996</v>
      </c>
      <c r="CQ392" s="7">
        <v>0.77280000000000004</v>
      </c>
      <c r="CR392" s="7">
        <v>0.77610000000000001</v>
      </c>
      <c r="CS392" s="7">
        <v>0.77939999999999998</v>
      </c>
      <c r="CT392" s="7">
        <v>0.78259999999999996</v>
      </c>
      <c r="CU392" s="7">
        <v>0.78569999999999995</v>
      </c>
      <c r="CV392" s="7">
        <v>0.78890000000000005</v>
      </c>
      <c r="CW392" s="7">
        <v>0.79190000000000005</v>
      </c>
      <c r="CX392" s="7">
        <v>0.79500000000000004</v>
      </c>
      <c r="CY392" s="7">
        <v>0.79800000000000004</v>
      </c>
      <c r="CZ392" s="7">
        <v>0.80089999999999995</v>
      </c>
      <c r="DA392" s="7">
        <v>0.80389999999999995</v>
      </c>
      <c r="DB392" s="7">
        <v>0.80669999999999997</v>
      </c>
      <c r="DC392" s="7">
        <v>0.80959999999999999</v>
      </c>
      <c r="DD392" s="7">
        <v>0.81240000000000001</v>
      </c>
      <c r="DE392" s="7">
        <v>0.81520000000000004</v>
      </c>
      <c r="DF392" s="7">
        <v>0.81789999999999996</v>
      </c>
      <c r="DG392" s="7">
        <v>0.8206</v>
      </c>
      <c r="DH392" s="7">
        <v>0.82330000000000003</v>
      </c>
      <c r="DI392" s="7">
        <v>0.82599999999999996</v>
      </c>
      <c r="DJ392" s="7">
        <v>0.8286</v>
      </c>
      <c r="DK392" s="7">
        <v>0.83120000000000005</v>
      </c>
      <c r="DL392" s="7">
        <v>0.8337</v>
      </c>
      <c r="DM392" s="7">
        <v>0.83620000000000005</v>
      </c>
      <c r="DN392" s="7">
        <v>0.8387</v>
      </c>
      <c r="DO392" s="7">
        <v>0.84119999999999995</v>
      </c>
      <c r="DP392" s="7">
        <v>0.84360000000000002</v>
      </c>
      <c r="DQ392" s="7">
        <v>0.84599999999999997</v>
      </c>
      <c r="DR392" s="7">
        <v>0.84840000000000004</v>
      </c>
      <c r="DS392" s="7">
        <v>0.8508</v>
      </c>
      <c r="DT392" s="7">
        <v>0.85309999999999997</v>
      </c>
      <c r="DU392" s="7">
        <v>0.85540000000000005</v>
      </c>
      <c r="DV392" s="7">
        <v>0.85770000000000002</v>
      </c>
      <c r="DW392" s="7">
        <v>0.86</v>
      </c>
      <c r="DX392" s="7">
        <v>0.86219999999999997</v>
      </c>
      <c r="DY392" s="7">
        <v>0.86439999999999995</v>
      </c>
      <c r="DZ392" s="7">
        <v>0.86660000000000004</v>
      </c>
      <c r="EA392" s="7">
        <v>0.86880000000000002</v>
      </c>
      <c r="EB392" s="7">
        <v>0.871</v>
      </c>
      <c r="EC392" s="7">
        <v>0.87309999999999999</v>
      </c>
      <c r="ED392" s="7">
        <v>0.87519999999999998</v>
      </c>
      <c r="EE392" s="7">
        <v>0.87729999999999997</v>
      </c>
      <c r="EF392" s="7">
        <v>0.87939999999999996</v>
      </c>
      <c r="EG392" s="7">
        <v>0.88139999999999996</v>
      </c>
      <c r="EH392" s="7">
        <v>0.88349999999999995</v>
      </c>
      <c r="EI392" s="7">
        <v>0.88549999999999995</v>
      </c>
      <c r="EJ392" s="7">
        <v>0.88749999999999996</v>
      </c>
      <c r="EK392" s="7">
        <v>0.88949999999999996</v>
      </c>
      <c r="EL392" s="7">
        <v>0.89139999999999997</v>
      </c>
      <c r="EM392" s="7">
        <v>0.89339999999999997</v>
      </c>
      <c r="EN392" s="7">
        <v>0.89529999999999998</v>
      </c>
      <c r="EO392" s="7">
        <v>0.89729999999999999</v>
      </c>
      <c r="EP392" s="7">
        <v>0.8992</v>
      </c>
      <c r="EQ392" s="7">
        <v>0.90110000000000001</v>
      </c>
      <c r="ER392" s="7">
        <v>0.90300000000000002</v>
      </c>
      <c r="ES392" s="7">
        <v>0.90480000000000005</v>
      </c>
      <c r="ET392" s="7">
        <v>0.90700000000000003</v>
      </c>
      <c r="EU392" s="7">
        <v>0.90900000000000003</v>
      </c>
      <c r="EV392" s="7">
        <v>0.91</v>
      </c>
      <c r="EW392" s="7">
        <v>0.91200000000000003</v>
      </c>
      <c r="EX392" s="7">
        <v>0.91400000000000003</v>
      </c>
      <c r="EY392" s="7">
        <v>0.91600000000000004</v>
      </c>
      <c r="EZ392" s="7">
        <v>0.91800000000000004</v>
      </c>
      <c r="FA392" s="7">
        <v>0.91900000000000004</v>
      </c>
      <c r="FB392" s="7">
        <v>0.92100000000000004</v>
      </c>
      <c r="FC392" s="7">
        <v>0.92300000000000004</v>
      </c>
      <c r="FE392" s="50">
        <f t="shared" ca="1" si="43"/>
        <v>0.86043946160905471</v>
      </c>
      <c r="FF392" s="50">
        <f t="shared" ca="1" si="44"/>
        <v>0.85900733739186164</v>
      </c>
      <c r="FG392" s="50">
        <f t="shared" ca="1" si="45"/>
        <v>0.85752557046979871</v>
      </c>
      <c r="FH392" s="50">
        <f t="shared" ca="1" si="46"/>
        <v>0.85598194630872493</v>
      </c>
      <c r="FI392" s="50"/>
      <c r="FK392" s="50">
        <f t="shared" ca="1" si="42"/>
        <v>0.85900733739186164</v>
      </c>
      <c r="FL392" s="50"/>
      <c r="FM392" s="50"/>
      <c r="FN392" s="50"/>
    </row>
    <row r="393" spans="49:170" hidden="1">
      <c r="AW393" s="112">
        <v>19.055</v>
      </c>
      <c r="AX393" s="7">
        <v>0.55020000000000002</v>
      </c>
      <c r="AY393" s="7">
        <v>0.55740000000000001</v>
      </c>
      <c r="AZ393" s="7">
        <v>0.5645</v>
      </c>
      <c r="BA393" s="7">
        <v>0.57150000000000001</v>
      </c>
      <c r="BB393" s="7">
        <v>0.57830000000000004</v>
      </c>
      <c r="BC393" s="7">
        <v>0.58489999999999998</v>
      </c>
      <c r="BD393" s="7">
        <v>0.59140000000000004</v>
      </c>
      <c r="BE393" s="7">
        <v>0.5978</v>
      </c>
      <c r="BF393" s="7">
        <v>0.60409999999999997</v>
      </c>
      <c r="BG393" s="7">
        <v>0.61019999999999996</v>
      </c>
      <c r="BH393" s="7">
        <v>0.61619999999999997</v>
      </c>
      <c r="BI393" s="7">
        <v>0.62209999999999999</v>
      </c>
      <c r="BJ393" s="7">
        <v>0.62790000000000001</v>
      </c>
      <c r="BK393" s="7">
        <v>0.63360000000000005</v>
      </c>
      <c r="BL393" s="7">
        <v>0.63919999999999999</v>
      </c>
      <c r="BM393" s="7">
        <v>0.64459999999999995</v>
      </c>
      <c r="BN393" s="7">
        <v>0.65</v>
      </c>
      <c r="BO393" s="7">
        <v>0.6552</v>
      </c>
      <c r="BP393" s="7">
        <v>0.66039999999999999</v>
      </c>
      <c r="BQ393" s="7">
        <v>0.66549999999999998</v>
      </c>
      <c r="BR393" s="7">
        <v>0.67049999999999998</v>
      </c>
      <c r="BS393" s="7">
        <v>0.6754</v>
      </c>
      <c r="BT393" s="7">
        <v>0.68020000000000003</v>
      </c>
      <c r="BU393" s="7">
        <v>0.68489999999999995</v>
      </c>
      <c r="BV393" s="7">
        <v>0.68959999999999999</v>
      </c>
      <c r="BW393" s="7">
        <v>0.69410000000000005</v>
      </c>
      <c r="BX393" s="7">
        <v>0.6986</v>
      </c>
      <c r="BY393" s="7">
        <v>0.70299999999999996</v>
      </c>
      <c r="BZ393" s="7">
        <v>0.70740000000000003</v>
      </c>
      <c r="CA393" s="7">
        <v>0.71160000000000001</v>
      </c>
      <c r="CB393" s="7">
        <v>0.71579999999999999</v>
      </c>
      <c r="CC393" s="7">
        <v>0.72</v>
      </c>
      <c r="CD393" s="7">
        <v>0.72399999999999998</v>
      </c>
      <c r="CE393" s="7">
        <v>0.72799999999999998</v>
      </c>
      <c r="CF393" s="7">
        <v>0.73199999999999998</v>
      </c>
      <c r="CG393" s="7">
        <v>0.7359</v>
      </c>
      <c r="CH393" s="7">
        <v>0.73970000000000002</v>
      </c>
      <c r="CI393" s="7">
        <v>0.74339999999999995</v>
      </c>
      <c r="CJ393" s="7">
        <v>0.74719999999999998</v>
      </c>
      <c r="CK393" s="7">
        <v>0.75080000000000002</v>
      </c>
      <c r="CL393" s="7">
        <v>0.75439999999999996</v>
      </c>
      <c r="CM393" s="7">
        <v>0.75790000000000002</v>
      </c>
      <c r="CN393" s="7">
        <v>0.76139999999999997</v>
      </c>
      <c r="CO393" s="7">
        <v>0.76490000000000002</v>
      </c>
      <c r="CP393" s="7">
        <v>0.76829999999999998</v>
      </c>
      <c r="CQ393" s="7">
        <v>0.77159999999999995</v>
      </c>
      <c r="CR393" s="7">
        <v>0.77490000000000003</v>
      </c>
      <c r="CS393" s="7">
        <v>0.77810000000000001</v>
      </c>
      <c r="CT393" s="7">
        <v>0.78139999999999998</v>
      </c>
      <c r="CU393" s="7">
        <v>0.78449999999999998</v>
      </c>
      <c r="CV393" s="7">
        <v>0.78759999999999997</v>
      </c>
      <c r="CW393" s="7">
        <v>0.79069999999999996</v>
      </c>
      <c r="CX393" s="7">
        <v>0.79369999999999996</v>
      </c>
      <c r="CY393" s="7">
        <v>0.79669999999999996</v>
      </c>
      <c r="CZ393" s="7">
        <v>0.79969999999999997</v>
      </c>
      <c r="DA393" s="7">
        <v>0.80259999999999998</v>
      </c>
      <c r="DB393" s="7">
        <v>0.80549999999999999</v>
      </c>
      <c r="DC393" s="7">
        <v>0.80830000000000002</v>
      </c>
      <c r="DD393" s="7">
        <v>0.81110000000000004</v>
      </c>
      <c r="DE393" s="7">
        <v>0.81389999999999996</v>
      </c>
      <c r="DF393" s="7">
        <v>0.81669999999999998</v>
      </c>
      <c r="DG393" s="7">
        <v>0.81940000000000002</v>
      </c>
      <c r="DH393" s="7">
        <v>0.82199999999999995</v>
      </c>
      <c r="DI393" s="7">
        <v>0.82469999999999999</v>
      </c>
      <c r="DJ393" s="7">
        <v>0.82730000000000004</v>
      </c>
      <c r="DK393" s="7">
        <v>0.82989999999999997</v>
      </c>
      <c r="DL393" s="7">
        <v>0.83240000000000003</v>
      </c>
      <c r="DM393" s="7">
        <v>0.83489999999999998</v>
      </c>
      <c r="DN393" s="7">
        <v>0.83740000000000003</v>
      </c>
      <c r="DO393" s="7">
        <v>0.83989999999999998</v>
      </c>
      <c r="DP393" s="7">
        <v>0.84230000000000005</v>
      </c>
      <c r="DQ393" s="7">
        <v>0.84470000000000001</v>
      </c>
      <c r="DR393" s="7">
        <v>0.84709999999999996</v>
      </c>
      <c r="DS393" s="7">
        <v>0.84950000000000003</v>
      </c>
      <c r="DT393" s="7">
        <v>0.8518</v>
      </c>
      <c r="DU393" s="7">
        <v>0.85409999999999997</v>
      </c>
      <c r="DV393" s="7">
        <v>0.85640000000000005</v>
      </c>
      <c r="DW393" s="7">
        <v>0.85860000000000003</v>
      </c>
      <c r="DX393" s="7">
        <v>0.8609</v>
      </c>
      <c r="DY393" s="7">
        <v>0.86309999999999998</v>
      </c>
      <c r="DZ393" s="7">
        <v>0.86529999999999996</v>
      </c>
      <c r="EA393" s="7">
        <v>0.86750000000000005</v>
      </c>
      <c r="EB393" s="7">
        <v>0.86960000000000004</v>
      </c>
      <c r="EC393" s="7">
        <v>0.87170000000000003</v>
      </c>
      <c r="ED393" s="7">
        <v>0.87380000000000002</v>
      </c>
      <c r="EE393" s="7">
        <v>0.87590000000000001</v>
      </c>
      <c r="EF393" s="7">
        <v>0.878</v>
      </c>
      <c r="EG393" s="7">
        <v>0.88009999999999999</v>
      </c>
      <c r="EH393" s="7">
        <v>0.8821</v>
      </c>
      <c r="EI393" s="7">
        <v>0.8841</v>
      </c>
      <c r="EJ393" s="7">
        <v>0.8861</v>
      </c>
      <c r="EK393" s="7">
        <v>0.8881</v>
      </c>
      <c r="EL393" s="7">
        <v>0.8901</v>
      </c>
      <c r="EM393" s="7">
        <v>0.89200000000000002</v>
      </c>
      <c r="EN393" s="7">
        <v>0.89390000000000003</v>
      </c>
      <c r="EO393" s="7">
        <v>0.89590000000000003</v>
      </c>
      <c r="EP393" s="7">
        <v>0.89780000000000004</v>
      </c>
      <c r="EQ393" s="7">
        <v>0.89970000000000006</v>
      </c>
      <c r="ER393" s="7">
        <v>0.90149999999999997</v>
      </c>
      <c r="ES393" s="7">
        <v>0.90339999999999998</v>
      </c>
      <c r="ET393" s="7">
        <v>0.90500000000000003</v>
      </c>
      <c r="EU393" s="7">
        <v>0.90700000000000003</v>
      </c>
      <c r="EV393" s="7">
        <v>0.90900000000000003</v>
      </c>
      <c r="EW393" s="7">
        <v>0.91100000000000003</v>
      </c>
      <c r="EX393" s="7">
        <v>0.91300000000000003</v>
      </c>
      <c r="EY393" s="7">
        <v>0.91400000000000003</v>
      </c>
      <c r="EZ393" s="7">
        <v>0.91600000000000004</v>
      </c>
      <c r="FA393" s="7">
        <v>0.91800000000000004</v>
      </c>
      <c r="FB393" s="7">
        <v>0.92</v>
      </c>
      <c r="FC393" s="7">
        <v>0.92100000000000004</v>
      </c>
      <c r="FE393" s="50">
        <f t="shared" ca="1" si="43"/>
        <v>0.85905943713673916</v>
      </c>
      <c r="FF393" s="50">
        <f t="shared" ca="1" si="44"/>
        <v>0.8576504966356937</v>
      </c>
      <c r="FG393" s="50">
        <f t="shared" ca="1" si="45"/>
        <v>0.85622557046979875</v>
      </c>
      <c r="FH393" s="50">
        <f t="shared" ca="1" si="46"/>
        <v>0.85468194630872485</v>
      </c>
      <c r="FI393" s="50"/>
      <c r="FK393" s="50">
        <f t="shared" ca="1" si="42"/>
        <v>0.8576504966356937</v>
      </c>
      <c r="FL393" s="50"/>
      <c r="FM393" s="50"/>
      <c r="FN393" s="50"/>
    </row>
    <row r="394" spans="49:170" hidden="1">
      <c r="AW394" s="112">
        <v>20.417000000000002</v>
      </c>
      <c r="AX394" s="7">
        <v>0.54930000000000001</v>
      </c>
      <c r="AY394" s="7">
        <v>0.55659999999999998</v>
      </c>
      <c r="AZ394" s="7">
        <v>0.56369999999999998</v>
      </c>
      <c r="BA394" s="7">
        <v>0.5706</v>
      </c>
      <c r="BB394" s="7">
        <v>0.57740000000000002</v>
      </c>
      <c r="BC394" s="7">
        <v>0.58399999999999996</v>
      </c>
      <c r="BD394" s="7">
        <v>0.59050000000000002</v>
      </c>
      <c r="BE394" s="7">
        <v>0.59689999999999999</v>
      </c>
      <c r="BF394" s="7">
        <v>0.60319999999999996</v>
      </c>
      <c r="BG394" s="7">
        <v>0.60929999999999995</v>
      </c>
      <c r="BH394" s="7">
        <v>0.61529999999999996</v>
      </c>
      <c r="BI394" s="7">
        <v>0.62119999999999997</v>
      </c>
      <c r="BJ394" s="7">
        <v>0.627</v>
      </c>
      <c r="BK394" s="7">
        <v>0.63260000000000005</v>
      </c>
      <c r="BL394" s="7">
        <v>0.63819999999999999</v>
      </c>
      <c r="BM394" s="7">
        <v>0.64359999999999995</v>
      </c>
      <c r="BN394" s="7">
        <v>0.64900000000000002</v>
      </c>
      <c r="BO394" s="7">
        <v>0.6542</v>
      </c>
      <c r="BP394" s="7">
        <v>0.65939999999999999</v>
      </c>
      <c r="BQ394" s="7">
        <v>0.66449999999999998</v>
      </c>
      <c r="BR394" s="7">
        <v>0.6694</v>
      </c>
      <c r="BS394" s="7">
        <v>0.67430000000000001</v>
      </c>
      <c r="BT394" s="7">
        <v>0.67910000000000004</v>
      </c>
      <c r="BU394" s="7">
        <v>0.68389999999999995</v>
      </c>
      <c r="BV394" s="7">
        <v>0.6885</v>
      </c>
      <c r="BW394" s="7">
        <v>0.69310000000000005</v>
      </c>
      <c r="BX394" s="7">
        <v>0.69750000000000001</v>
      </c>
      <c r="BY394" s="7">
        <v>0.70189999999999997</v>
      </c>
      <c r="BZ394" s="7">
        <v>0.70630000000000004</v>
      </c>
      <c r="CA394" s="7">
        <v>0.71050000000000002</v>
      </c>
      <c r="CB394" s="7">
        <v>0.7147</v>
      </c>
      <c r="CC394" s="7">
        <v>0.71889999999999998</v>
      </c>
      <c r="CD394" s="7">
        <v>0.72289999999999999</v>
      </c>
      <c r="CE394" s="7">
        <v>0.72689999999999999</v>
      </c>
      <c r="CF394" s="7">
        <v>0.73089999999999999</v>
      </c>
      <c r="CG394" s="7">
        <v>0.73470000000000002</v>
      </c>
      <c r="CH394" s="7">
        <v>0.73850000000000005</v>
      </c>
      <c r="CI394" s="7">
        <v>0.74229999999999996</v>
      </c>
      <c r="CJ394" s="7">
        <v>0.746</v>
      </c>
      <c r="CK394" s="7">
        <v>0.74960000000000004</v>
      </c>
      <c r="CL394" s="7">
        <v>0.75319999999999998</v>
      </c>
      <c r="CM394" s="7">
        <v>0.75680000000000003</v>
      </c>
      <c r="CN394" s="7">
        <v>0.76029999999999998</v>
      </c>
      <c r="CO394" s="7">
        <v>0.76370000000000005</v>
      </c>
      <c r="CP394" s="7">
        <v>0.7671</v>
      </c>
      <c r="CQ394" s="7">
        <v>0.77039999999999997</v>
      </c>
      <c r="CR394" s="7">
        <v>0.77370000000000005</v>
      </c>
      <c r="CS394" s="7">
        <v>0.77700000000000002</v>
      </c>
      <c r="CT394" s="7">
        <v>0.7802</v>
      </c>
      <c r="CU394" s="7">
        <v>0.7833</v>
      </c>
      <c r="CV394" s="7">
        <v>0.78639999999999999</v>
      </c>
      <c r="CW394" s="7">
        <v>0.78949999999999998</v>
      </c>
      <c r="CX394" s="7">
        <v>0.79249999999999998</v>
      </c>
      <c r="CY394" s="7">
        <v>0.79549999999999998</v>
      </c>
      <c r="CZ394" s="7">
        <v>0.79849999999999999</v>
      </c>
      <c r="DA394" s="7">
        <v>0.8014</v>
      </c>
      <c r="DB394" s="7">
        <v>0.80430000000000001</v>
      </c>
      <c r="DC394" s="7">
        <v>0.80710000000000004</v>
      </c>
      <c r="DD394" s="7">
        <v>0.80989999999999995</v>
      </c>
      <c r="DE394" s="7">
        <v>0.81269999999999998</v>
      </c>
      <c r="DF394" s="7">
        <v>0.81540000000000001</v>
      </c>
      <c r="DG394" s="7">
        <v>0.81810000000000005</v>
      </c>
      <c r="DH394" s="7">
        <v>0.82079999999999997</v>
      </c>
      <c r="DI394" s="7">
        <v>0.82340000000000002</v>
      </c>
      <c r="DJ394" s="7">
        <v>0.82599999999999996</v>
      </c>
      <c r="DK394" s="7">
        <v>0.8286</v>
      </c>
      <c r="DL394" s="7">
        <v>0.83109999999999995</v>
      </c>
      <c r="DM394" s="7">
        <v>0.83360000000000001</v>
      </c>
      <c r="DN394" s="7">
        <v>0.83609999999999995</v>
      </c>
      <c r="DO394" s="7">
        <v>0.83860000000000001</v>
      </c>
      <c r="DP394" s="7">
        <v>0.84099999999999997</v>
      </c>
      <c r="DQ394" s="7">
        <v>0.84340000000000004</v>
      </c>
      <c r="DR394" s="7">
        <v>0.8458</v>
      </c>
      <c r="DS394" s="7">
        <v>0.84819999999999995</v>
      </c>
      <c r="DT394" s="7">
        <v>0.85050000000000003</v>
      </c>
      <c r="DU394" s="7">
        <v>0.8528</v>
      </c>
      <c r="DV394" s="7">
        <v>0.85509999999999997</v>
      </c>
      <c r="DW394" s="7">
        <v>0.85729999999999995</v>
      </c>
      <c r="DX394" s="7">
        <v>0.85960000000000003</v>
      </c>
      <c r="DY394" s="7">
        <v>0.86180000000000001</v>
      </c>
      <c r="DZ394" s="7">
        <v>0.8639</v>
      </c>
      <c r="EA394" s="7">
        <v>0.86609999999999998</v>
      </c>
      <c r="EB394" s="7">
        <v>0.86829999999999996</v>
      </c>
      <c r="EC394" s="7">
        <v>0.87039999999999995</v>
      </c>
      <c r="ED394" s="7">
        <v>0.87250000000000005</v>
      </c>
      <c r="EE394" s="7">
        <v>0.87460000000000004</v>
      </c>
      <c r="EF394" s="7">
        <v>0.87670000000000003</v>
      </c>
      <c r="EG394" s="7">
        <v>0.87870000000000004</v>
      </c>
      <c r="EH394" s="7">
        <v>0.88070000000000004</v>
      </c>
      <c r="EI394" s="7">
        <v>0.88270000000000004</v>
      </c>
      <c r="EJ394" s="7">
        <v>0.88470000000000004</v>
      </c>
      <c r="EK394" s="7">
        <v>0.88670000000000004</v>
      </c>
      <c r="EL394" s="7">
        <v>0.88870000000000005</v>
      </c>
      <c r="EM394" s="7">
        <v>0.89059999999999995</v>
      </c>
      <c r="EN394" s="7">
        <v>0.89259999999999995</v>
      </c>
      <c r="EO394" s="7">
        <v>0.89449999999999996</v>
      </c>
      <c r="EP394" s="7">
        <v>0.89639999999999997</v>
      </c>
      <c r="EQ394" s="7">
        <v>0.89829999999999999</v>
      </c>
      <c r="ER394" s="7">
        <v>0.9002</v>
      </c>
      <c r="ES394" s="7">
        <v>0.90200000000000002</v>
      </c>
      <c r="ET394" s="7">
        <v>0.90400000000000003</v>
      </c>
      <c r="EU394" s="7">
        <v>0.90600000000000003</v>
      </c>
      <c r="EV394" s="7">
        <v>0.90800000000000003</v>
      </c>
      <c r="EW394" s="7">
        <v>0.90900000000000003</v>
      </c>
      <c r="EX394" s="7">
        <v>0.91100000000000003</v>
      </c>
      <c r="EY394" s="7">
        <v>0.91300000000000003</v>
      </c>
      <c r="EZ394" s="7">
        <v>0.91500000000000004</v>
      </c>
      <c r="FA394" s="7">
        <v>0.91700000000000004</v>
      </c>
      <c r="FB394" s="7">
        <v>0.91800000000000004</v>
      </c>
      <c r="FC394" s="7">
        <v>0.92</v>
      </c>
      <c r="FE394" s="50">
        <f t="shared" ca="1" si="43"/>
        <v>0.85775943713673897</v>
      </c>
      <c r="FF394" s="50">
        <f t="shared" ca="1" si="44"/>
        <v>0.85635049663569363</v>
      </c>
      <c r="FG394" s="50">
        <f t="shared" ca="1" si="45"/>
        <v>0.85492557046979867</v>
      </c>
      <c r="FH394" s="50">
        <f t="shared" ca="1" si="46"/>
        <v>0.85338194630872488</v>
      </c>
      <c r="FI394" s="50"/>
      <c r="FK394" s="50">
        <f t="shared" ca="1" si="42"/>
        <v>0.85635049663569363</v>
      </c>
      <c r="FL394" s="50"/>
      <c r="FM394" s="50"/>
      <c r="FN394" s="50"/>
    </row>
    <row r="395" spans="49:170" hidden="1">
      <c r="AW395" s="112">
        <v>21.878</v>
      </c>
      <c r="AX395" s="7">
        <v>0.54849999999999999</v>
      </c>
      <c r="AY395" s="7">
        <v>0.55569999999999997</v>
      </c>
      <c r="AZ395" s="7">
        <v>0.56279999999999997</v>
      </c>
      <c r="BA395" s="7">
        <v>0.56969999999999998</v>
      </c>
      <c r="BB395" s="7">
        <v>0.57650000000000001</v>
      </c>
      <c r="BC395" s="7">
        <v>0.58309999999999995</v>
      </c>
      <c r="BD395" s="7">
        <v>0.58960000000000001</v>
      </c>
      <c r="BE395" s="7">
        <v>0.59599999999999997</v>
      </c>
      <c r="BF395" s="7">
        <v>0.60219999999999996</v>
      </c>
      <c r="BG395" s="7">
        <v>0.60840000000000005</v>
      </c>
      <c r="BH395" s="7">
        <v>0.61439999999999995</v>
      </c>
      <c r="BI395" s="7">
        <v>0.62019999999999997</v>
      </c>
      <c r="BJ395" s="7">
        <v>0.626</v>
      </c>
      <c r="BK395" s="7">
        <v>0.63170000000000004</v>
      </c>
      <c r="BL395" s="7">
        <v>0.63719999999999999</v>
      </c>
      <c r="BM395" s="7">
        <v>0.64270000000000005</v>
      </c>
      <c r="BN395" s="7">
        <v>0.64800000000000002</v>
      </c>
      <c r="BO395" s="7">
        <v>0.6532</v>
      </c>
      <c r="BP395" s="7">
        <v>0.65839999999999999</v>
      </c>
      <c r="BQ395" s="7">
        <v>0.66349999999999998</v>
      </c>
      <c r="BR395" s="7">
        <v>0.66839999999999999</v>
      </c>
      <c r="BS395" s="7">
        <v>0.67330000000000001</v>
      </c>
      <c r="BT395" s="7">
        <v>0.67810000000000004</v>
      </c>
      <c r="BU395" s="7">
        <v>0.68279999999999996</v>
      </c>
      <c r="BV395" s="7">
        <v>0.68740000000000001</v>
      </c>
      <c r="BW395" s="7">
        <v>0.69199999999999995</v>
      </c>
      <c r="BX395" s="7">
        <v>0.69650000000000001</v>
      </c>
      <c r="BY395" s="7">
        <v>0.70089999999999997</v>
      </c>
      <c r="BZ395" s="7">
        <v>0.70520000000000005</v>
      </c>
      <c r="CA395" s="7">
        <v>0.70950000000000002</v>
      </c>
      <c r="CB395" s="7">
        <v>0.7137</v>
      </c>
      <c r="CC395" s="7">
        <v>0.71779999999999999</v>
      </c>
      <c r="CD395" s="7">
        <v>0.7218</v>
      </c>
      <c r="CE395" s="7">
        <v>0.7258</v>
      </c>
      <c r="CF395" s="7">
        <v>0.72970000000000002</v>
      </c>
      <c r="CG395" s="7">
        <v>0.73360000000000003</v>
      </c>
      <c r="CH395" s="7">
        <v>0.73740000000000006</v>
      </c>
      <c r="CI395" s="7">
        <v>0.74119999999999997</v>
      </c>
      <c r="CJ395" s="7">
        <v>0.74490000000000001</v>
      </c>
      <c r="CK395" s="7">
        <v>0.74850000000000005</v>
      </c>
      <c r="CL395" s="7">
        <v>0.75209999999999999</v>
      </c>
      <c r="CM395" s="7">
        <v>0.75560000000000005</v>
      </c>
      <c r="CN395" s="7">
        <v>0.7591</v>
      </c>
      <c r="CO395" s="7">
        <v>0.76249999999999996</v>
      </c>
      <c r="CP395" s="7">
        <v>0.76590000000000003</v>
      </c>
      <c r="CQ395" s="7">
        <v>0.76919999999999999</v>
      </c>
      <c r="CR395" s="7">
        <v>0.77249999999999996</v>
      </c>
      <c r="CS395" s="7">
        <v>0.77580000000000005</v>
      </c>
      <c r="CT395" s="7">
        <v>0.77900000000000003</v>
      </c>
      <c r="CU395" s="7">
        <v>0.78210000000000002</v>
      </c>
      <c r="CV395" s="7">
        <v>0.78520000000000001</v>
      </c>
      <c r="CW395" s="7">
        <v>0.7883</v>
      </c>
      <c r="CX395" s="7">
        <v>0.7913</v>
      </c>
      <c r="CY395" s="7">
        <v>0.79430000000000001</v>
      </c>
      <c r="CZ395" s="7">
        <v>0.79730000000000001</v>
      </c>
      <c r="DA395" s="7">
        <v>0.80020000000000002</v>
      </c>
      <c r="DB395" s="7">
        <v>0.80300000000000005</v>
      </c>
      <c r="DC395" s="7">
        <v>0.80589999999999995</v>
      </c>
      <c r="DD395" s="7">
        <v>0.80869999999999997</v>
      </c>
      <c r="DE395" s="7">
        <v>0.81140000000000001</v>
      </c>
      <c r="DF395" s="7">
        <v>0.81420000000000003</v>
      </c>
      <c r="DG395" s="7">
        <v>0.81689999999999996</v>
      </c>
      <c r="DH395" s="7">
        <v>0.81950000000000001</v>
      </c>
      <c r="DI395" s="7">
        <v>0.82220000000000004</v>
      </c>
      <c r="DJ395" s="7">
        <v>0.82479999999999998</v>
      </c>
      <c r="DK395" s="7">
        <v>0.82730000000000004</v>
      </c>
      <c r="DL395" s="7">
        <v>0.82989999999999997</v>
      </c>
      <c r="DM395" s="7">
        <v>0.83240000000000003</v>
      </c>
      <c r="DN395" s="7">
        <v>0.83489999999999998</v>
      </c>
      <c r="DO395" s="7">
        <v>0.83730000000000004</v>
      </c>
      <c r="DP395" s="7">
        <v>0.8397</v>
      </c>
      <c r="DQ395" s="7">
        <v>0.84209999999999996</v>
      </c>
      <c r="DR395" s="7">
        <v>0.84450000000000003</v>
      </c>
      <c r="DS395" s="7">
        <v>0.84689999999999999</v>
      </c>
      <c r="DT395" s="7">
        <v>0.84919999999999995</v>
      </c>
      <c r="DU395" s="7">
        <v>0.85150000000000003</v>
      </c>
      <c r="DV395" s="7">
        <v>0.8538</v>
      </c>
      <c r="DW395" s="7">
        <v>0.85599999999999998</v>
      </c>
      <c r="DX395" s="7">
        <v>0.85819999999999996</v>
      </c>
      <c r="DY395" s="7">
        <v>0.86050000000000004</v>
      </c>
      <c r="DZ395" s="7">
        <v>0.86260000000000003</v>
      </c>
      <c r="EA395" s="7">
        <v>0.86480000000000001</v>
      </c>
      <c r="EB395" s="7">
        <v>0.8669</v>
      </c>
      <c r="EC395" s="7">
        <v>0.86909999999999998</v>
      </c>
      <c r="ED395" s="7">
        <v>0.87119999999999997</v>
      </c>
      <c r="EE395" s="7">
        <v>0.87329999999999997</v>
      </c>
      <c r="EF395" s="7">
        <v>0.87529999999999997</v>
      </c>
      <c r="EG395" s="7">
        <v>0.87739999999999996</v>
      </c>
      <c r="EH395" s="7">
        <v>0.87939999999999996</v>
      </c>
      <c r="EI395" s="7">
        <v>0.88139999999999996</v>
      </c>
      <c r="EJ395" s="7">
        <v>0.88339999999999996</v>
      </c>
      <c r="EK395" s="7">
        <v>0.88539999999999996</v>
      </c>
      <c r="EL395" s="7">
        <v>0.88729999999999998</v>
      </c>
      <c r="EM395" s="7">
        <v>0.88929999999999998</v>
      </c>
      <c r="EN395" s="7">
        <v>0.89119999999999999</v>
      </c>
      <c r="EO395" s="7">
        <v>0.8931</v>
      </c>
      <c r="EP395" s="7">
        <v>0.89500000000000002</v>
      </c>
      <c r="EQ395" s="7">
        <v>0.89690000000000003</v>
      </c>
      <c r="ER395" s="7">
        <v>0.89880000000000004</v>
      </c>
      <c r="ES395" s="7">
        <v>0.90069999999999995</v>
      </c>
      <c r="ET395" s="7">
        <v>0.90300000000000002</v>
      </c>
      <c r="EU395" s="7">
        <v>0.90400000000000003</v>
      </c>
      <c r="EV395" s="7">
        <v>0.90600000000000003</v>
      </c>
      <c r="EW395" s="7">
        <v>0.90800000000000003</v>
      </c>
      <c r="EX395" s="7">
        <v>0.91</v>
      </c>
      <c r="EY395" s="7">
        <v>0.91200000000000003</v>
      </c>
      <c r="EZ395" s="7">
        <v>0.91300000000000003</v>
      </c>
      <c r="FA395" s="7">
        <v>0.91500000000000004</v>
      </c>
      <c r="FB395" s="7">
        <v>0.91700000000000004</v>
      </c>
      <c r="FC395" s="7">
        <v>0.91900000000000004</v>
      </c>
      <c r="FE395" s="50">
        <f t="shared" ca="1" si="43"/>
        <v>0.85643946160905471</v>
      </c>
      <c r="FF395" s="50">
        <f t="shared" ca="1" si="44"/>
        <v>0.85505049663569366</v>
      </c>
      <c r="FG395" s="50">
        <f t="shared" ca="1" si="45"/>
        <v>0.8536255704697987</v>
      </c>
      <c r="FH395" s="50">
        <f t="shared" ca="1" si="46"/>
        <v>0.85208194630872491</v>
      </c>
      <c r="FI395" s="50"/>
      <c r="FK395" s="50">
        <f t="shared" ca="1" si="42"/>
        <v>0.85505049663569366</v>
      </c>
      <c r="FL395" s="50"/>
      <c r="FM395" s="50"/>
      <c r="FN395" s="50"/>
    </row>
    <row r="396" spans="49:170" hidden="1">
      <c r="AW396" s="112">
        <v>23.442</v>
      </c>
      <c r="AX396" s="7">
        <v>0.54769999999999996</v>
      </c>
      <c r="AY396" s="7">
        <v>0.55489999999999995</v>
      </c>
      <c r="AZ396" s="7">
        <v>0.56200000000000006</v>
      </c>
      <c r="BA396" s="7">
        <v>0.56889999999999996</v>
      </c>
      <c r="BB396" s="7">
        <v>0.5756</v>
      </c>
      <c r="BC396" s="7">
        <v>0.58230000000000004</v>
      </c>
      <c r="BD396" s="7">
        <v>0.58879999999999999</v>
      </c>
      <c r="BE396" s="7">
        <v>0.59509999999999996</v>
      </c>
      <c r="BF396" s="7">
        <v>0.60129999999999995</v>
      </c>
      <c r="BG396" s="7">
        <v>0.60740000000000005</v>
      </c>
      <c r="BH396" s="7">
        <v>0.61339999999999995</v>
      </c>
      <c r="BI396" s="7">
        <v>0.61929999999999996</v>
      </c>
      <c r="BJ396" s="7">
        <v>0.62509999999999999</v>
      </c>
      <c r="BK396" s="7">
        <v>0.63070000000000004</v>
      </c>
      <c r="BL396" s="7">
        <v>0.63629999999999998</v>
      </c>
      <c r="BM396" s="7">
        <v>0.64170000000000005</v>
      </c>
      <c r="BN396" s="7">
        <v>0.64700000000000002</v>
      </c>
      <c r="BO396" s="7">
        <v>0.65229999999999999</v>
      </c>
      <c r="BP396" s="7">
        <v>0.65739999999999998</v>
      </c>
      <c r="BQ396" s="7">
        <v>0.66249999999999998</v>
      </c>
      <c r="BR396" s="7">
        <v>0.66739999999999999</v>
      </c>
      <c r="BS396" s="7">
        <v>0.67230000000000001</v>
      </c>
      <c r="BT396" s="7">
        <v>0.67710000000000004</v>
      </c>
      <c r="BU396" s="7">
        <v>0.68179999999999996</v>
      </c>
      <c r="BV396" s="7">
        <v>0.68640000000000001</v>
      </c>
      <c r="BW396" s="7">
        <v>0.69099999999999995</v>
      </c>
      <c r="BX396" s="7">
        <v>0.69540000000000002</v>
      </c>
      <c r="BY396" s="7">
        <v>0.69979999999999998</v>
      </c>
      <c r="BZ396" s="7">
        <v>0.70409999999999995</v>
      </c>
      <c r="CA396" s="7">
        <v>0.70840000000000003</v>
      </c>
      <c r="CB396" s="7">
        <v>0.71260000000000001</v>
      </c>
      <c r="CC396" s="7">
        <v>0.7167</v>
      </c>
      <c r="CD396" s="7">
        <v>0.72070000000000001</v>
      </c>
      <c r="CE396" s="7">
        <v>0.72470000000000001</v>
      </c>
      <c r="CF396" s="7">
        <v>0.72870000000000001</v>
      </c>
      <c r="CG396" s="7">
        <v>0.73250000000000004</v>
      </c>
      <c r="CH396" s="7">
        <v>0.73629999999999995</v>
      </c>
      <c r="CI396" s="7">
        <v>0.74009999999999998</v>
      </c>
      <c r="CJ396" s="7">
        <v>0.74370000000000003</v>
      </c>
      <c r="CK396" s="7">
        <v>0.74739999999999995</v>
      </c>
      <c r="CL396" s="7">
        <v>0.751</v>
      </c>
      <c r="CM396" s="7">
        <v>0.75449999999999995</v>
      </c>
      <c r="CN396" s="7">
        <v>0.75800000000000001</v>
      </c>
      <c r="CO396" s="7">
        <v>0.76139999999999997</v>
      </c>
      <c r="CP396" s="7">
        <v>0.76480000000000004</v>
      </c>
      <c r="CQ396" s="7">
        <v>0.7681</v>
      </c>
      <c r="CR396" s="7">
        <v>0.77139999999999997</v>
      </c>
      <c r="CS396" s="7">
        <v>0.77459999999999996</v>
      </c>
      <c r="CT396" s="7">
        <v>0.77780000000000005</v>
      </c>
      <c r="CU396" s="7">
        <v>0.78090000000000004</v>
      </c>
      <c r="CV396" s="7">
        <v>0.78400000000000003</v>
      </c>
      <c r="CW396" s="7">
        <v>0.78710000000000002</v>
      </c>
      <c r="CX396" s="7">
        <v>0.79010000000000002</v>
      </c>
      <c r="CY396" s="7">
        <v>0.79310000000000003</v>
      </c>
      <c r="CZ396" s="7">
        <v>0.79610000000000003</v>
      </c>
      <c r="DA396" s="7">
        <v>0.79900000000000004</v>
      </c>
      <c r="DB396" s="7">
        <v>0.80179999999999996</v>
      </c>
      <c r="DC396" s="7">
        <v>0.80469999999999997</v>
      </c>
      <c r="DD396" s="7">
        <v>0.80740000000000001</v>
      </c>
      <c r="DE396" s="7">
        <v>0.81020000000000003</v>
      </c>
      <c r="DF396" s="7">
        <v>0.81289999999999996</v>
      </c>
      <c r="DG396" s="7">
        <v>0.81559999999999999</v>
      </c>
      <c r="DH396" s="7">
        <v>0.81830000000000003</v>
      </c>
      <c r="DI396" s="7">
        <v>0.82089999999999996</v>
      </c>
      <c r="DJ396" s="7">
        <v>0.82350000000000001</v>
      </c>
      <c r="DK396" s="7">
        <v>0.82609999999999995</v>
      </c>
      <c r="DL396" s="7">
        <v>0.8286</v>
      </c>
      <c r="DM396" s="7">
        <v>0.83109999999999995</v>
      </c>
      <c r="DN396" s="7">
        <v>0.83360000000000001</v>
      </c>
      <c r="DO396" s="7">
        <v>0.83609999999999995</v>
      </c>
      <c r="DP396" s="7">
        <v>0.83850000000000002</v>
      </c>
      <c r="DQ396" s="7">
        <v>0.84089999999999998</v>
      </c>
      <c r="DR396" s="7">
        <v>0.84319999999999995</v>
      </c>
      <c r="DS396" s="7">
        <v>0.84560000000000002</v>
      </c>
      <c r="DT396" s="7">
        <v>0.84789999999999999</v>
      </c>
      <c r="DU396" s="7">
        <v>0.85019999999999996</v>
      </c>
      <c r="DV396" s="7">
        <v>0.85250000000000004</v>
      </c>
      <c r="DW396" s="7">
        <v>0.85470000000000002</v>
      </c>
      <c r="DX396" s="7">
        <v>0.85699999999999998</v>
      </c>
      <c r="DY396" s="7">
        <v>0.85919999999999996</v>
      </c>
      <c r="DZ396" s="7">
        <v>0.86129999999999995</v>
      </c>
      <c r="EA396" s="7">
        <v>0.86350000000000005</v>
      </c>
      <c r="EB396" s="7">
        <v>0.86560000000000004</v>
      </c>
      <c r="EC396" s="7">
        <v>0.86780000000000002</v>
      </c>
      <c r="ED396" s="7">
        <v>0.86990000000000001</v>
      </c>
      <c r="EE396" s="7">
        <v>0.87190000000000001</v>
      </c>
      <c r="EF396" s="7">
        <v>0.874</v>
      </c>
      <c r="EG396" s="7">
        <v>0.876</v>
      </c>
      <c r="EH396" s="7">
        <v>0.87809999999999999</v>
      </c>
      <c r="EI396" s="7">
        <v>0.88009999999999999</v>
      </c>
      <c r="EJ396" s="7">
        <v>0.8821</v>
      </c>
      <c r="EK396" s="7">
        <v>0.88400000000000001</v>
      </c>
      <c r="EL396" s="7">
        <v>0.88600000000000001</v>
      </c>
      <c r="EM396" s="7">
        <v>0.88790000000000002</v>
      </c>
      <c r="EN396" s="7">
        <v>0.88990000000000002</v>
      </c>
      <c r="EO396" s="7">
        <v>0.89180000000000004</v>
      </c>
      <c r="EP396" s="7">
        <v>0.89370000000000005</v>
      </c>
      <c r="EQ396" s="7">
        <v>0.89559999999999995</v>
      </c>
      <c r="ER396" s="7">
        <v>0.89739999999999998</v>
      </c>
      <c r="ES396" s="7">
        <v>0.89929999999999999</v>
      </c>
      <c r="ET396" s="7">
        <v>0.90100000000000002</v>
      </c>
      <c r="EU396" s="7">
        <v>0.90300000000000002</v>
      </c>
      <c r="EV396" s="7">
        <v>0.90500000000000003</v>
      </c>
      <c r="EW396" s="7">
        <v>0.90700000000000003</v>
      </c>
      <c r="EX396" s="7">
        <v>0.90800000000000003</v>
      </c>
      <c r="EY396" s="7">
        <v>0.91</v>
      </c>
      <c r="EZ396" s="7">
        <v>0.91200000000000003</v>
      </c>
      <c r="FA396" s="7">
        <v>0.91400000000000003</v>
      </c>
      <c r="FB396" s="7">
        <v>0.91600000000000004</v>
      </c>
      <c r="FC396" s="7">
        <v>0.91700000000000004</v>
      </c>
      <c r="FE396" s="50">
        <f t="shared" ca="1" si="43"/>
        <v>0.85515943713673914</v>
      </c>
      <c r="FF396" s="50">
        <f t="shared" ca="1" si="44"/>
        <v>0.85375049663569369</v>
      </c>
      <c r="FG396" s="50">
        <f t="shared" ca="1" si="45"/>
        <v>0.85232557046979873</v>
      </c>
      <c r="FH396" s="50">
        <f t="shared" ca="1" si="46"/>
        <v>0.85078194630872483</v>
      </c>
      <c r="FI396" s="50"/>
      <c r="FK396" s="50">
        <f t="shared" ca="1" si="42"/>
        <v>0.85375049663569369</v>
      </c>
      <c r="FL396" s="50"/>
      <c r="FM396" s="50"/>
      <c r="FN396" s="50"/>
    </row>
    <row r="397" spans="49:170" hidden="1">
      <c r="AW397" s="112">
        <v>25.119</v>
      </c>
      <c r="AX397" s="7">
        <v>0.54690000000000005</v>
      </c>
      <c r="AY397" s="7">
        <v>0.55410000000000004</v>
      </c>
      <c r="AZ397" s="7">
        <v>0.56110000000000004</v>
      </c>
      <c r="BA397" s="7">
        <v>0.56799999999999995</v>
      </c>
      <c r="BB397" s="7">
        <v>0.57479999999999998</v>
      </c>
      <c r="BC397" s="7">
        <v>0.58140000000000003</v>
      </c>
      <c r="BD397" s="7">
        <v>0.58789999999999998</v>
      </c>
      <c r="BE397" s="7">
        <v>0.59419999999999995</v>
      </c>
      <c r="BF397" s="7">
        <v>0.60040000000000004</v>
      </c>
      <c r="BG397" s="7">
        <v>0.60650000000000004</v>
      </c>
      <c r="BH397" s="7">
        <v>0.61250000000000004</v>
      </c>
      <c r="BI397" s="7">
        <v>0.61839999999999995</v>
      </c>
      <c r="BJ397" s="7">
        <v>0.62409999999999999</v>
      </c>
      <c r="BK397" s="7">
        <v>0.62980000000000003</v>
      </c>
      <c r="BL397" s="7">
        <v>0.63529999999999998</v>
      </c>
      <c r="BM397" s="7">
        <v>0.64070000000000005</v>
      </c>
      <c r="BN397" s="7">
        <v>0.64610000000000001</v>
      </c>
      <c r="BO397" s="7">
        <v>0.65129999999999999</v>
      </c>
      <c r="BP397" s="7">
        <v>0.65639999999999998</v>
      </c>
      <c r="BQ397" s="7">
        <v>0.66149999999999998</v>
      </c>
      <c r="BR397" s="7">
        <v>0.66639999999999999</v>
      </c>
      <c r="BS397" s="7">
        <v>0.67130000000000001</v>
      </c>
      <c r="BT397" s="7">
        <v>0.67610000000000003</v>
      </c>
      <c r="BU397" s="7">
        <v>0.68079999999999996</v>
      </c>
      <c r="BV397" s="7">
        <v>0.68540000000000001</v>
      </c>
      <c r="BW397" s="7">
        <v>0.68989999999999996</v>
      </c>
      <c r="BX397" s="7">
        <v>0.69440000000000002</v>
      </c>
      <c r="BY397" s="7">
        <v>0.69879999999999998</v>
      </c>
      <c r="BZ397" s="7">
        <v>0.70309999999999995</v>
      </c>
      <c r="CA397" s="7">
        <v>0.70730000000000004</v>
      </c>
      <c r="CB397" s="7">
        <v>0.71150000000000002</v>
      </c>
      <c r="CC397" s="7">
        <v>0.71560000000000001</v>
      </c>
      <c r="CD397" s="7">
        <v>0.71970000000000001</v>
      </c>
      <c r="CE397" s="7">
        <v>0.72370000000000001</v>
      </c>
      <c r="CF397" s="7">
        <v>0.72760000000000002</v>
      </c>
      <c r="CG397" s="7">
        <v>0.73140000000000005</v>
      </c>
      <c r="CH397" s="7">
        <v>0.73519999999999996</v>
      </c>
      <c r="CI397" s="7">
        <v>0.73899999999999999</v>
      </c>
      <c r="CJ397" s="7">
        <v>0.74260000000000004</v>
      </c>
      <c r="CK397" s="7">
        <v>0.74629999999999996</v>
      </c>
      <c r="CL397" s="7">
        <v>0.74980000000000002</v>
      </c>
      <c r="CM397" s="7">
        <v>0.75339999999999996</v>
      </c>
      <c r="CN397" s="7">
        <v>0.75680000000000003</v>
      </c>
      <c r="CO397" s="7">
        <v>0.76029999999999998</v>
      </c>
      <c r="CP397" s="7">
        <v>0.76359999999999995</v>
      </c>
      <c r="CQ397" s="7">
        <v>0.76690000000000003</v>
      </c>
      <c r="CR397" s="7">
        <v>0.7702</v>
      </c>
      <c r="CS397" s="7">
        <v>0.77349999999999997</v>
      </c>
      <c r="CT397" s="7">
        <v>0.77659999999999996</v>
      </c>
      <c r="CU397" s="7">
        <v>0.77980000000000005</v>
      </c>
      <c r="CV397" s="7">
        <v>0.78290000000000004</v>
      </c>
      <c r="CW397" s="7">
        <v>0.78590000000000004</v>
      </c>
      <c r="CX397" s="7">
        <v>0.78900000000000003</v>
      </c>
      <c r="CY397" s="7">
        <v>0.79190000000000005</v>
      </c>
      <c r="CZ397" s="7">
        <v>0.79490000000000005</v>
      </c>
      <c r="DA397" s="7">
        <v>0.79779999999999995</v>
      </c>
      <c r="DB397" s="7">
        <v>0.80059999999999998</v>
      </c>
      <c r="DC397" s="7">
        <v>0.80349999999999999</v>
      </c>
      <c r="DD397" s="7">
        <v>0.80630000000000002</v>
      </c>
      <c r="DE397" s="7">
        <v>0.80900000000000005</v>
      </c>
      <c r="DF397" s="7">
        <v>0.81169999999999998</v>
      </c>
      <c r="DG397" s="7">
        <v>0.81440000000000001</v>
      </c>
      <c r="DH397" s="7">
        <v>0.81710000000000005</v>
      </c>
      <c r="DI397" s="7">
        <v>0.81969999999999998</v>
      </c>
      <c r="DJ397" s="7">
        <v>0.82230000000000003</v>
      </c>
      <c r="DK397" s="7">
        <v>0.82489999999999997</v>
      </c>
      <c r="DL397" s="7">
        <v>0.82740000000000002</v>
      </c>
      <c r="DM397" s="7">
        <v>0.82989999999999997</v>
      </c>
      <c r="DN397" s="7">
        <v>0.83240000000000003</v>
      </c>
      <c r="DO397" s="7">
        <v>0.83479999999999999</v>
      </c>
      <c r="DP397" s="7">
        <v>0.83720000000000006</v>
      </c>
      <c r="DQ397" s="7">
        <v>0.83960000000000001</v>
      </c>
      <c r="DR397" s="7">
        <v>0.84199999999999997</v>
      </c>
      <c r="DS397" s="7">
        <v>0.84430000000000005</v>
      </c>
      <c r="DT397" s="7">
        <v>0.84670000000000001</v>
      </c>
      <c r="DU397" s="7">
        <v>0.84889999999999999</v>
      </c>
      <c r="DV397" s="7">
        <v>0.85119999999999996</v>
      </c>
      <c r="DW397" s="7">
        <v>0.85350000000000004</v>
      </c>
      <c r="DX397" s="7">
        <v>0.85570000000000002</v>
      </c>
      <c r="DY397" s="7">
        <v>0.8579</v>
      </c>
      <c r="DZ397" s="7">
        <v>0.86009999999999998</v>
      </c>
      <c r="EA397" s="7">
        <v>0.86219999999999997</v>
      </c>
      <c r="EB397" s="7">
        <v>0.86439999999999995</v>
      </c>
      <c r="EC397" s="7">
        <v>0.86650000000000005</v>
      </c>
      <c r="ED397" s="7">
        <v>0.86860000000000004</v>
      </c>
      <c r="EE397" s="7">
        <v>0.87060000000000004</v>
      </c>
      <c r="EF397" s="7">
        <v>0.87270000000000003</v>
      </c>
      <c r="EG397" s="7">
        <v>0.87470000000000003</v>
      </c>
      <c r="EH397" s="7">
        <v>0.87680000000000002</v>
      </c>
      <c r="EI397" s="7">
        <v>0.87880000000000003</v>
      </c>
      <c r="EJ397" s="7">
        <v>0.88080000000000003</v>
      </c>
      <c r="EK397" s="7">
        <v>0.88270000000000004</v>
      </c>
      <c r="EL397" s="7">
        <v>0.88470000000000004</v>
      </c>
      <c r="EM397" s="7">
        <v>0.88660000000000005</v>
      </c>
      <c r="EN397" s="7">
        <v>0.88859999999999995</v>
      </c>
      <c r="EO397" s="7">
        <v>0.89049999999999996</v>
      </c>
      <c r="EP397" s="7">
        <v>0.89239999999999997</v>
      </c>
      <c r="EQ397" s="7">
        <v>0.89419999999999999</v>
      </c>
      <c r="ER397" s="7">
        <v>0.89610000000000001</v>
      </c>
      <c r="ES397" s="7">
        <v>0.89800000000000002</v>
      </c>
      <c r="ET397" s="7">
        <v>0.9</v>
      </c>
      <c r="EU397" s="7">
        <v>0.90200000000000002</v>
      </c>
      <c r="EV397" s="7">
        <v>0.90300000000000002</v>
      </c>
      <c r="EW397" s="7">
        <v>0.90500000000000003</v>
      </c>
      <c r="EX397" s="7">
        <v>0.90700000000000003</v>
      </c>
      <c r="EY397" s="7">
        <v>0.90900000000000003</v>
      </c>
      <c r="EZ397" s="7">
        <v>0.91100000000000003</v>
      </c>
      <c r="FA397" s="7">
        <v>0.91200000000000003</v>
      </c>
      <c r="FB397" s="7">
        <v>0.91400000000000003</v>
      </c>
      <c r="FC397" s="7">
        <v>0.91600000000000004</v>
      </c>
      <c r="FE397" s="50">
        <f t="shared" ca="1" si="43"/>
        <v>0.85393946160905476</v>
      </c>
      <c r="FF397" s="50">
        <f t="shared" ca="1" si="44"/>
        <v>0.85250733739186157</v>
      </c>
      <c r="FG397" s="50">
        <f t="shared" ca="1" si="45"/>
        <v>0.85102557046979865</v>
      </c>
      <c r="FH397" s="50">
        <f t="shared" ca="1" si="46"/>
        <v>0.84948194630872487</v>
      </c>
      <c r="FI397" s="50"/>
      <c r="FK397" s="50">
        <f t="shared" ca="1" si="42"/>
        <v>0.85250733739186157</v>
      </c>
      <c r="FL397" s="50"/>
      <c r="FM397" s="50"/>
      <c r="FN397" s="50"/>
    </row>
    <row r="398" spans="49:170" hidden="1">
      <c r="AW398" s="112">
        <v>26.914999999999999</v>
      </c>
      <c r="AX398" s="7">
        <v>0.54610000000000003</v>
      </c>
      <c r="AY398" s="7">
        <v>0.55330000000000001</v>
      </c>
      <c r="AZ398" s="7">
        <v>0.56030000000000002</v>
      </c>
      <c r="BA398" s="7">
        <v>0.56720000000000004</v>
      </c>
      <c r="BB398" s="7">
        <v>0.57389999999999997</v>
      </c>
      <c r="BC398" s="7">
        <v>0.58050000000000002</v>
      </c>
      <c r="BD398" s="7">
        <v>0.58699999999999997</v>
      </c>
      <c r="BE398" s="7">
        <v>0.59340000000000004</v>
      </c>
      <c r="BF398" s="7">
        <v>0.59960000000000002</v>
      </c>
      <c r="BG398" s="7">
        <v>0.60570000000000002</v>
      </c>
      <c r="BH398" s="7">
        <v>0.61160000000000003</v>
      </c>
      <c r="BI398" s="7">
        <v>0.61750000000000005</v>
      </c>
      <c r="BJ398" s="7">
        <v>0.62319999999999998</v>
      </c>
      <c r="BK398" s="7">
        <v>0.62880000000000003</v>
      </c>
      <c r="BL398" s="7">
        <v>0.63439999999999996</v>
      </c>
      <c r="BM398" s="7">
        <v>0.63980000000000004</v>
      </c>
      <c r="BN398" s="7">
        <v>0.64510000000000001</v>
      </c>
      <c r="BO398" s="7">
        <v>0.65029999999999999</v>
      </c>
      <c r="BP398" s="7">
        <v>0.65549999999999997</v>
      </c>
      <c r="BQ398" s="7">
        <v>0.66049999999999998</v>
      </c>
      <c r="BR398" s="7">
        <v>0.66539999999999999</v>
      </c>
      <c r="BS398" s="7">
        <v>0.67030000000000001</v>
      </c>
      <c r="BT398" s="7">
        <v>0.67510000000000003</v>
      </c>
      <c r="BU398" s="7">
        <v>0.67979999999999996</v>
      </c>
      <c r="BV398" s="7">
        <v>0.68440000000000001</v>
      </c>
      <c r="BW398" s="7">
        <v>0.68889999999999996</v>
      </c>
      <c r="BX398" s="7">
        <v>0.69340000000000002</v>
      </c>
      <c r="BY398" s="7">
        <v>0.69779999999999998</v>
      </c>
      <c r="BZ398" s="7">
        <v>0.70209999999999995</v>
      </c>
      <c r="CA398" s="7">
        <v>0.70630000000000004</v>
      </c>
      <c r="CB398" s="7">
        <v>0.71050000000000002</v>
      </c>
      <c r="CC398" s="7">
        <v>0.71460000000000001</v>
      </c>
      <c r="CD398" s="7">
        <v>0.71860000000000002</v>
      </c>
      <c r="CE398" s="7">
        <v>0.72260000000000002</v>
      </c>
      <c r="CF398" s="7">
        <v>0.72650000000000003</v>
      </c>
      <c r="CG398" s="7">
        <v>0.73040000000000005</v>
      </c>
      <c r="CH398" s="7">
        <v>0.73409999999999997</v>
      </c>
      <c r="CI398" s="7">
        <v>0.7379</v>
      </c>
      <c r="CJ398" s="7">
        <v>0.74160000000000004</v>
      </c>
      <c r="CK398" s="7">
        <v>0.74519999999999997</v>
      </c>
      <c r="CL398" s="7">
        <v>0.74870000000000003</v>
      </c>
      <c r="CM398" s="7">
        <v>0.75229999999999997</v>
      </c>
      <c r="CN398" s="7">
        <v>0.75570000000000004</v>
      </c>
      <c r="CO398" s="7">
        <v>0.7591</v>
      </c>
      <c r="CP398" s="7">
        <v>0.76249999999999996</v>
      </c>
      <c r="CQ398" s="7">
        <v>0.76580000000000004</v>
      </c>
      <c r="CR398" s="7">
        <v>0.76910000000000001</v>
      </c>
      <c r="CS398" s="7">
        <v>0.77229999999999999</v>
      </c>
      <c r="CT398" s="7">
        <v>0.77549999999999997</v>
      </c>
      <c r="CU398" s="7">
        <v>0.77859999999999996</v>
      </c>
      <c r="CV398" s="7">
        <v>0.78169999999999995</v>
      </c>
      <c r="CW398" s="7">
        <v>0.78480000000000005</v>
      </c>
      <c r="CX398" s="7">
        <v>0.78779999999999994</v>
      </c>
      <c r="CY398" s="7">
        <v>0.79079999999999995</v>
      </c>
      <c r="CZ398" s="7">
        <v>0.79369999999999996</v>
      </c>
      <c r="DA398" s="7">
        <v>0.79659999999999997</v>
      </c>
      <c r="DB398" s="7">
        <v>0.79949999999999999</v>
      </c>
      <c r="DC398" s="7">
        <v>0.80230000000000001</v>
      </c>
      <c r="DD398" s="7">
        <v>0.80510000000000004</v>
      </c>
      <c r="DE398" s="7">
        <v>0.80779999999999996</v>
      </c>
      <c r="DF398" s="7">
        <v>0.8105</v>
      </c>
      <c r="DG398" s="7">
        <v>0.81320000000000003</v>
      </c>
      <c r="DH398" s="7">
        <v>0.81589999999999996</v>
      </c>
      <c r="DI398" s="7">
        <v>0.81850000000000001</v>
      </c>
      <c r="DJ398" s="7">
        <v>0.82110000000000005</v>
      </c>
      <c r="DK398" s="7">
        <v>0.8236</v>
      </c>
      <c r="DL398" s="7">
        <v>0.82620000000000005</v>
      </c>
      <c r="DM398" s="7">
        <v>0.82869999999999999</v>
      </c>
      <c r="DN398" s="7">
        <v>0.83109999999999995</v>
      </c>
      <c r="DO398" s="7">
        <v>0.83360000000000001</v>
      </c>
      <c r="DP398" s="7">
        <v>0.83599999999999997</v>
      </c>
      <c r="DQ398" s="7">
        <v>0.83840000000000003</v>
      </c>
      <c r="DR398" s="7">
        <v>0.84079999999999999</v>
      </c>
      <c r="DS398" s="7">
        <v>0.84309999999999996</v>
      </c>
      <c r="DT398" s="7">
        <v>0.84540000000000004</v>
      </c>
      <c r="DU398" s="7">
        <v>0.84770000000000001</v>
      </c>
      <c r="DV398" s="7">
        <v>0.85</v>
      </c>
      <c r="DW398" s="7">
        <v>0.85219999999999996</v>
      </c>
      <c r="DX398" s="7">
        <v>0.85440000000000005</v>
      </c>
      <c r="DY398" s="7">
        <v>0.85660000000000003</v>
      </c>
      <c r="DZ398" s="7">
        <v>0.85880000000000001</v>
      </c>
      <c r="EA398" s="7">
        <v>0.86099999999999999</v>
      </c>
      <c r="EB398" s="7">
        <v>0.86309999999999998</v>
      </c>
      <c r="EC398" s="7">
        <v>0.86519999999999997</v>
      </c>
      <c r="ED398" s="7">
        <v>0.86729999999999996</v>
      </c>
      <c r="EE398" s="7">
        <v>0.86939999999999995</v>
      </c>
      <c r="EF398" s="7">
        <v>0.87139999999999995</v>
      </c>
      <c r="EG398" s="7">
        <v>0.87350000000000005</v>
      </c>
      <c r="EH398" s="7">
        <v>0.87549999999999994</v>
      </c>
      <c r="EI398" s="7">
        <v>0.87749999999999995</v>
      </c>
      <c r="EJ398" s="7">
        <v>0.87949999999999995</v>
      </c>
      <c r="EK398" s="7">
        <v>0.88139999999999996</v>
      </c>
      <c r="EL398" s="7">
        <v>0.88339999999999996</v>
      </c>
      <c r="EM398" s="7">
        <v>0.88529999999999998</v>
      </c>
      <c r="EN398" s="7">
        <v>0.88719999999999999</v>
      </c>
      <c r="EO398" s="7">
        <v>0.88919999999999999</v>
      </c>
      <c r="EP398" s="7">
        <v>0.89100000000000001</v>
      </c>
      <c r="EQ398" s="7">
        <v>0.89290000000000003</v>
      </c>
      <c r="ER398" s="7">
        <v>0.89480000000000004</v>
      </c>
      <c r="ES398" s="7">
        <v>0.89659999999999995</v>
      </c>
      <c r="ET398" s="7">
        <v>0.89900000000000002</v>
      </c>
      <c r="EU398" s="7">
        <v>0.9</v>
      </c>
      <c r="EV398" s="7">
        <v>0.90200000000000002</v>
      </c>
      <c r="EW398" s="7">
        <v>0.90400000000000003</v>
      </c>
      <c r="EX398" s="7">
        <v>0.90600000000000003</v>
      </c>
      <c r="EY398" s="7">
        <v>0.90800000000000003</v>
      </c>
      <c r="EZ398" s="7">
        <v>0.90900000000000003</v>
      </c>
      <c r="FA398" s="7">
        <v>0.91100000000000003</v>
      </c>
      <c r="FB398" s="7">
        <v>0.91300000000000003</v>
      </c>
      <c r="FC398" s="7">
        <v>0.91500000000000004</v>
      </c>
      <c r="FE398" s="50">
        <f t="shared" ca="1" si="43"/>
        <v>0.85263946160905468</v>
      </c>
      <c r="FF398" s="50">
        <f t="shared" ca="1" si="44"/>
        <v>0.85125049663569363</v>
      </c>
      <c r="FG398" s="50">
        <f t="shared" ca="1" si="45"/>
        <v>0.84982557046979867</v>
      </c>
      <c r="FH398" s="50">
        <f t="shared" ca="1" si="46"/>
        <v>0.84828194630872489</v>
      </c>
      <c r="FI398" s="50"/>
      <c r="FK398" s="50">
        <f t="shared" ca="1" si="42"/>
        <v>0.85125049663569363</v>
      </c>
      <c r="FL398" s="50"/>
      <c r="FM398" s="50"/>
      <c r="FN398" s="50"/>
    </row>
    <row r="399" spans="49:170" hidden="1">
      <c r="AW399" s="112">
        <v>28.84</v>
      </c>
      <c r="AX399" s="7">
        <v>0.54530000000000001</v>
      </c>
      <c r="AY399" s="7">
        <v>0.55249999999999999</v>
      </c>
      <c r="AZ399" s="7">
        <v>0.5595</v>
      </c>
      <c r="BA399" s="7">
        <v>0.56640000000000001</v>
      </c>
      <c r="BB399" s="7">
        <v>0.57310000000000005</v>
      </c>
      <c r="BC399" s="7">
        <v>0.57969999999999999</v>
      </c>
      <c r="BD399" s="7">
        <v>0.58620000000000005</v>
      </c>
      <c r="BE399" s="7">
        <v>0.59250000000000003</v>
      </c>
      <c r="BF399" s="7">
        <v>0.59870000000000001</v>
      </c>
      <c r="BG399" s="7">
        <v>0.6048</v>
      </c>
      <c r="BH399" s="7">
        <v>0.61070000000000002</v>
      </c>
      <c r="BI399" s="7">
        <v>0.61660000000000004</v>
      </c>
      <c r="BJ399" s="7">
        <v>0.62229999999999996</v>
      </c>
      <c r="BK399" s="7">
        <v>0.62790000000000001</v>
      </c>
      <c r="BL399" s="7">
        <v>0.63349999999999995</v>
      </c>
      <c r="BM399" s="7">
        <v>0.63890000000000002</v>
      </c>
      <c r="BN399" s="7">
        <v>0.64419999999999999</v>
      </c>
      <c r="BO399" s="7">
        <v>0.64939999999999998</v>
      </c>
      <c r="BP399" s="7">
        <v>0.65449999999999997</v>
      </c>
      <c r="BQ399" s="7">
        <v>0.65949999999999998</v>
      </c>
      <c r="BR399" s="7">
        <v>0.66449999999999998</v>
      </c>
      <c r="BS399" s="7">
        <v>0.66930000000000001</v>
      </c>
      <c r="BT399" s="7">
        <v>0.67410000000000003</v>
      </c>
      <c r="BU399" s="7">
        <v>0.67879999999999996</v>
      </c>
      <c r="BV399" s="7">
        <v>0.68340000000000001</v>
      </c>
      <c r="BW399" s="7">
        <v>0.68789999999999996</v>
      </c>
      <c r="BX399" s="7">
        <v>0.69240000000000002</v>
      </c>
      <c r="BY399" s="7">
        <v>0.69669999999999999</v>
      </c>
      <c r="BZ399" s="7">
        <v>0.70099999999999996</v>
      </c>
      <c r="CA399" s="7">
        <v>0.70530000000000004</v>
      </c>
      <c r="CB399" s="7">
        <v>0.70940000000000003</v>
      </c>
      <c r="CC399" s="7">
        <v>0.71350000000000002</v>
      </c>
      <c r="CD399" s="7">
        <v>0.71760000000000002</v>
      </c>
      <c r="CE399" s="7">
        <v>0.72150000000000003</v>
      </c>
      <c r="CF399" s="7">
        <v>0.72540000000000004</v>
      </c>
      <c r="CG399" s="7">
        <v>0.72929999999999995</v>
      </c>
      <c r="CH399" s="7">
        <v>0.73309999999999997</v>
      </c>
      <c r="CI399" s="7">
        <v>0.73680000000000001</v>
      </c>
      <c r="CJ399" s="7">
        <v>0.74050000000000005</v>
      </c>
      <c r="CK399" s="7">
        <v>0.74409999999999998</v>
      </c>
      <c r="CL399" s="7">
        <v>0.74770000000000003</v>
      </c>
      <c r="CM399" s="7">
        <v>0.75119999999999998</v>
      </c>
      <c r="CN399" s="7">
        <v>0.75460000000000005</v>
      </c>
      <c r="CO399" s="7">
        <v>0.75800000000000001</v>
      </c>
      <c r="CP399" s="7">
        <v>0.76139999999999997</v>
      </c>
      <c r="CQ399" s="7">
        <v>0.76470000000000005</v>
      </c>
      <c r="CR399" s="7">
        <v>0.76800000000000002</v>
      </c>
      <c r="CS399" s="7">
        <v>0.7712</v>
      </c>
      <c r="CT399" s="7">
        <v>0.77439999999999998</v>
      </c>
      <c r="CU399" s="7">
        <v>0.77749999999999997</v>
      </c>
      <c r="CV399" s="7">
        <v>0.78059999999999996</v>
      </c>
      <c r="CW399" s="7">
        <v>0.78359999999999996</v>
      </c>
      <c r="CX399" s="7">
        <v>0.78669999999999995</v>
      </c>
      <c r="CY399" s="7">
        <v>0.78959999999999997</v>
      </c>
      <c r="CZ399" s="7">
        <v>0.79259999999999997</v>
      </c>
      <c r="DA399" s="7">
        <v>0.7954</v>
      </c>
      <c r="DB399" s="7">
        <v>0.79830000000000001</v>
      </c>
      <c r="DC399" s="7">
        <v>0.80110000000000003</v>
      </c>
      <c r="DD399" s="7">
        <v>0.80389999999999995</v>
      </c>
      <c r="DE399" s="7">
        <v>0.80659999999999998</v>
      </c>
      <c r="DF399" s="7">
        <v>0.80940000000000001</v>
      </c>
      <c r="DG399" s="7">
        <v>0.81200000000000006</v>
      </c>
      <c r="DH399" s="7">
        <v>0.81469999999999998</v>
      </c>
      <c r="DI399" s="7">
        <v>0.81730000000000003</v>
      </c>
      <c r="DJ399" s="7">
        <v>0.81989999999999996</v>
      </c>
      <c r="DK399" s="7">
        <v>0.82240000000000002</v>
      </c>
      <c r="DL399" s="7">
        <v>0.82499999999999996</v>
      </c>
      <c r="DM399" s="7">
        <v>0.82750000000000001</v>
      </c>
      <c r="DN399" s="7">
        <v>0.82989999999999997</v>
      </c>
      <c r="DO399" s="7">
        <v>0.83240000000000003</v>
      </c>
      <c r="DP399" s="7">
        <v>0.83479999999999999</v>
      </c>
      <c r="DQ399" s="7">
        <v>0.83720000000000006</v>
      </c>
      <c r="DR399" s="7">
        <v>0.83950000000000002</v>
      </c>
      <c r="DS399" s="7">
        <v>0.84189999999999998</v>
      </c>
      <c r="DT399" s="7">
        <v>0.84419999999999995</v>
      </c>
      <c r="DU399" s="7">
        <v>0.84650000000000003</v>
      </c>
      <c r="DV399" s="7">
        <v>0.84870000000000001</v>
      </c>
      <c r="DW399" s="7">
        <v>0.85099999999999998</v>
      </c>
      <c r="DX399" s="7">
        <v>0.85319999999999996</v>
      </c>
      <c r="DY399" s="7">
        <v>0.85540000000000005</v>
      </c>
      <c r="DZ399" s="7">
        <v>0.85760000000000003</v>
      </c>
      <c r="EA399" s="7">
        <v>0.85970000000000002</v>
      </c>
      <c r="EB399" s="7">
        <v>0.86180000000000001</v>
      </c>
      <c r="EC399" s="7">
        <v>0.8639</v>
      </c>
      <c r="ED399" s="7">
        <v>0.86599999999999999</v>
      </c>
      <c r="EE399" s="7">
        <v>0.86809999999999998</v>
      </c>
      <c r="EF399" s="7">
        <v>0.87019999999999997</v>
      </c>
      <c r="EG399" s="7">
        <v>0.87219999999999998</v>
      </c>
      <c r="EH399" s="7">
        <v>0.87419999999999998</v>
      </c>
      <c r="EI399" s="7">
        <v>0.87619999999999998</v>
      </c>
      <c r="EJ399" s="7">
        <v>0.87819999999999998</v>
      </c>
      <c r="EK399" s="7">
        <v>0.88019999999999998</v>
      </c>
      <c r="EL399" s="7">
        <v>0.8821</v>
      </c>
      <c r="EM399" s="7">
        <v>0.88400000000000001</v>
      </c>
      <c r="EN399" s="7">
        <v>0.88600000000000001</v>
      </c>
      <c r="EO399" s="7">
        <v>0.88790000000000002</v>
      </c>
      <c r="EP399" s="7">
        <v>0.88980000000000004</v>
      </c>
      <c r="EQ399" s="7">
        <v>0.89159999999999995</v>
      </c>
      <c r="ER399" s="7">
        <v>0.89349999999999996</v>
      </c>
      <c r="ES399" s="7">
        <v>0.89529999999999998</v>
      </c>
      <c r="ET399" s="7">
        <v>0.89700000000000002</v>
      </c>
      <c r="EU399" s="7">
        <v>0.89900000000000002</v>
      </c>
      <c r="EV399" s="7">
        <v>0.90100000000000002</v>
      </c>
      <c r="EW399" s="7">
        <v>0.90300000000000002</v>
      </c>
      <c r="EX399" s="7">
        <v>0.90400000000000003</v>
      </c>
      <c r="EY399" s="7">
        <v>0.90600000000000003</v>
      </c>
      <c r="EZ399" s="7">
        <v>0.90800000000000003</v>
      </c>
      <c r="FA399" s="7">
        <v>0.91</v>
      </c>
      <c r="FB399" s="7">
        <v>0.91200000000000003</v>
      </c>
      <c r="FC399" s="7">
        <v>0.91300000000000003</v>
      </c>
      <c r="FE399" s="50">
        <f t="shared" ca="1" si="43"/>
        <v>0.8514394616090547</v>
      </c>
      <c r="FF399" s="50">
        <f t="shared" ca="1" si="44"/>
        <v>0.85000733739186163</v>
      </c>
      <c r="FG399" s="50">
        <f t="shared" ca="1" si="45"/>
        <v>0.84853315436241616</v>
      </c>
      <c r="FH399" s="50">
        <f t="shared" ca="1" si="46"/>
        <v>0.84705664429530203</v>
      </c>
      <c r="FI399" s="50"/>
      <c r="FK399" s="50">
        <f t="shared" ca="1" si="42"/>
        <v>0.85000733739186163</v>
      </c>
      <c r="FL399" s="50"/>
      <c r="FM399" s="50"/>
      <c r="FN399" s="50"/>
    </row>
    <row r="400" spans="49:170" hidden="1">
      <c r="AW400" s="112">
        <v>30.902999999999999</v>
      </c>
      <c r="AX400" s="7">
        <v>0.54449999999999998</v>
      </c>
      <c r="AY400" s="7">
        <v>0.55169999999999997</v>
      </c>
      <c r="AZ400" s="7">
        <v>0.55869999999999997</v>
      </c>
      <c r="BA400" s="7">
        <v>0.56559999999999999</v>
      </c>
      <c r="BB400" s="7">
        <v>0.57230000000000003</v>
      </c>
      <c r="BC400" s="7">
        <v>0.57889999999999997</v>
      </c>
      <c r="BD400" s="7">
        <v>0.58530000000000004</v>
      </c>
      <c r="BE400" s="7">
        <v>0.59160000000000001</v>
      </c>
      <c r="BF400" s="7">
        <v>0.5978</v>
      </c>
      <c r="BG400" s="7">
        <v>0.60389999999999999</v>
      </c>
      <c r="BH400" s="7">
        <v>0.6099</v>
      </c>
      <c r="BI400" s="7">
        <v>0.61570000000000003</v>
      </c>
      <c r="BJ400" s="7">
        <v>0.62139999999999995</v>
      </c>
      <c r="BK400" s="7">
        <v>0.627</v>
      </c>
      <c r="BL400" s="7">
        <v>0.63249999999999995</v>
      </c>
      <c r="BM400" s="7">
        <v>0.63790000000000002</v>
      </c>
      <c r="BN400" s="7">
        <v>0.64329999999999998</v>
      </c>
      <c r="BO400" s="7">
        <v>0.64849999999999997</v>
      </c>
      <c r="BP400" s="7">
        <v>0.65359999999999996</v>
      </c>
      <c r="BQ400" s="7">
        <v>0.65859999999999996</v>
      </c>
      <c r="BR400" s="7">
        <v>0.66349999999999998</v>
      </c>
      <c r="BS400" s="7">
        <v>0.66839999999999999</v>
      </c>
      <c r="BT400" s="7">
        <v>0.67310000000000003</v>
      </c>
      <c r="BU400" s="7">
        <v>0.67779999999999996</v>
      </c>
      <c r="BV400" s="7">
        <v>0.68240000000000001</v>
      </c>
      <c r="BW400" s="7">
        <v>0.68689999999999996</v>
      </c>
      <c r="BX400" s="7">
        <v>0.69140000000000001</v>
      </c>
      <c r="BY400" s="7">
        <v>0.69569999999999999</v>
      </c>
      <c r="BZ400" s="7">
        <v>0.7</v>
      </c>
      <c r="CA400" s="7">
        <v>0.70430000000000004</v>
      </c>
      <c r="CB400" s="7">
        <v>0.70840000000000003</v>
      </c>
      <c r="CC400" s="7">
        <v>0.71250000000000002</v>
      </c>
      <c r="CD400" s="7">
        <v>0.71650000000000003</v>
      </c>
      <c r="CE400" s="7">
        <v>0.72050000000000003</v>
      </c>
      <c r="CF400" s="7">
        <v>0.72440000000000004</v>
      </c>
      <c r="CG400" s="7">
        <v>0.72819999999999996</v>
      </c>
      <c r="CH400" s="7">
        <v>0.73199999999999998</v>
      </c>
      <c r="CI400" s="7">
        <v>0.73570000000000002</v>
      </c>
      <c r="CJ400" s="7">
        <v>0.73939999999999995</v>
      </c>
      <c r="CK400" s="7">
        <v>0.74299999999999999</v>
      </c>
      <c r="CL400" s="7">
        <v>0.74660000000000004</v>
      </c>
      <c r="CM400" s="7">
        <v>0.75009999999999999</v>
      </c>
      <c r="CN400" s="7">
        <v>0.75349999999999995</v>
      </c>
      <c r="CO400" s="7">
        <v>0.75690000000000002</v>
      </c>
      <c r="CP400" s="7">
        <v>0.76029999999999998</v>
      </c>
      <c r="CQ400" s="7">
        <v>0.76359999999999995</v>
      </c>
      <c r="CR400" s="7">
        <v>0.76690000000000003</v>
      </c>
      <c r="CS400" s="7">
        <v>0.77010000000000001</v>
      </c>
      <c r="CT400" s="7">
        <v>0.77329999999999999</v>
      </c>
      <c r="CU400" s="7">
        <v>0.77639999999999998</v>
      </c>
      <c r="CV400" s="7">
        <v>0.77949999999999997</v>
      </c>
      <c r="CW400" s="7">
        <v>0.78249999999999997</v>
      </c>
      <c r="CX400" s="7">
        <v>0.78549999999999998</v>
      </c>
      <c r="CY400" s="7">
        <v>0.78849999999999998</v>
      </c>
      <c r="CZ400" s="7">
        <v>0.79139999999999999</v>
      </c>
      <c r="DA400" s="7">
        <v>0.79430000000000001</v>
      </c>
      <c r="DB400" s="7">
        <v>0.79720000000000002</v>
      </c>
      <c r="DC400" s="7">
        <v>0.8</v>
      </c>
      <c r="DD400" s="7">
        <v>0.80269999999999997</v>
      </c>
      <c r="DE400" s="7">
        <v>0.80549999999999999</v>
      </c>
      <c r="DF400" s="7">
        <v>0.80820000000000003</v>
      </c>
      <c r="DG400" s="7">
        <v>0.81089999999999995</v>
      </c>
      <c r="DH400" s="7">
        <v>0.8135</v>
      </c>
      <c r="DI400" s="7">
        <v>0.81610000000000005</v>
      </c>
      <c r="DJ400" s="7">
        <v>0.81869999999999998</v>
      </c>
      <c r="DK400" s="7">
        <v>0.82130000000000003</v>
      </c>
      <c r="DL400" s="7">
        <v>0.82379999999999998</v>
      </c>
      <c r="DM400" s="7">
        <v>0.82630000000000003</v>
      </c>
      <c r="DN400" s="7">
        <v>0.82869999999999999</v>
      </c>
      <c r="DO400" s="7">
        <v>0.83120000000000005</v>
      </c>
      <c r="DP400" s="7">
        <v>0.83360000000000001</v>
      </c>
      <c r="DQ400" s="7">
        <v>0.83599999999999997</v>
      </c>
      <c r="DR400" s="7">
        <v>0.83830000000000005</v>
      </c>
      <c r="DS400" s="7">
        <v>0.8407</v>
      </c>
      <c r="DT400" s="7">
        <v>0.84299999999999997</v>
      </c>
      <c r="DU400" s="7">
        <v>0.84530000000000005</v>
      </c>
      <c r="DV400" s="7">
        <v>0.84750000000000003</v>
      </c>
      <c r="DW400" s="7">
        <v>0.84970000000000001</v>
      </c>
      <c r="DX400" s="7">
        <v>0.85199999999999998</v>
      </c>
      <c r="DY400" s="7">
        <v>0.85419999999999996</v>
      </c>
      <c r="DZ400" s="7">
        <v>0.85629999999999995</v>
      </c>
      <c r="EA400" s="7">
        <v>0.85850000000000004</v>
      </c>
      <c r="EB400" s="7">
        <v>0.86060000000000003</v>
      </c>
      <c r="EC400" s="7">
        <v>0.86270000000000002</v>
      </c>
      <c r="ED400" s="7">
        <v>0.86480000000000001</v>
      </c>
      <c r="EE400" s="7">
        <v>0.8669</v>
      </c>
      <c r="EF400" s="7">
        <v>0.86890000000000001</v>
      </c>
      <c r="EG400" s="7">
        <v>0.87090000000000001</v>
      </c>
      <c r="EH400" s="7">
        <v>0.873</v>
      </c>
      <c r="EI400" s="7">
        <v>0.875</v>
      </c>
      <c r="EJ400" s="7">
        <v>0.87690000000000001</v>
      </c>
      <c r="EK400" s="7">
        <v>0.87890000000000001</v>
      </c>
      <c r="EL400" s="7">
        <v>0.88080000000000003</v>
      </c>
      <c r="EM400" s="7">
        <v>0.88280000000000003</v>
      </c>
      <c r="EN400" s="7">
        <v>0.88470000000000004</v>
      </c>
      <c r="EO400" s="7">
        <v>0.88660000000000005</v>
      </c>
      <c r="EP400" s="7">
        <v>0.88849999999999996</v>
      </c>
      <c r="EQ400" s="7">
        <v>0.89039999999999997</v>
      </c>
      <c r="ER400" s="7">
        <v>0.89219999999999999</v>
      </c>
      <c r="ES400" s="7">
        <v>0.89410000000000001</v>
      </c>
      <c r="ET400" s="7">
        <v>0.89600000000000002</v>
      </c>
      <c r="EU400" s="7">
        <v>0.89800000000000002</v>
      </c>
      <c r="EV400" s="7">
        <v>0.9</v>
      </c>
      <c r="EW400" s="7">
        <v>0.90100000000000002</v>
      </c>
      <c r="EX400" s="7">
        <v>0.90300000000000002</v>
      </c>
      <c r="EY400" s="7">
        <v>0.90500000000000003</v>
      </c>
      <c r="EZ400" s="7">
        <v>0.90700000000000003</v>
      </c>
      <c r="FA400" s="7">
        <v>0.90800000000000003</v>
      </c>
      <c r="FB400" s="7">
        <v>0.91</v>
      </c>
      <c r="FC400" s="7">
        <v>0.91200000000000003</v>
      </c>
      <c r="FE400" s="50">
        <f t="shared" ca="1" si="43"/>
        <v>0.85015943713673914</v>
      </c>
      <c r="FF400" s="50">
        <f t="shared" ca="1" si="44"/>
        <v>0.84875049663569369</v>
      </c>
      <c r="FG400" s="50">
        <f t="shared" ca="1" si="45"/>
        <v>0.84733315436241607</v>
      </c>
      <c r="FH400" s="50">
        <f t="shared" ca="1" si="46"/>
        <v>0.84585664429530205</v>
      </c>
      <c r="FI400" s="50"/>
      <c r="FK400" s="50">
        <f t="shared" ca="1" si="42"/>
        <v>0.84875049663569369</v>
      </c>
      <c r="FL400" s="50"/>
      <c r="FM400" s="50"/>
      <c r="FN400" s="50"/>
    </row>
    <row r="401" spans="49:170" hidden="1">
      <c r="AW401" s="112">
        <v>33.113</v>
      </c>
      <c r="AX401" s="7">
        <v>0.54369999999999996</v>
      </c>
      <c r="AY401" s="7">
        <v>0.55089999999999995</v>
      </c>
      <c r="AZ401" s="7">
        <v>0.55789999999999995</v>
      </c>
      <c r="BA401" s="7">
        <v>0.56479999999999997</v>
      </c>
      <c r="BB401" s="7">
        <v>0.57150000000000001</v>
      </c>
      <c r="BC401" s="7">
        <v>0.57799999999999996</v>
      </c>
      <c r="BD401" s="7">
        <v>0.58450000000000002</v>
      </c>
      <c r="BE401" s="7">
        <v>0.59079999999999999</v>
      </c>
      <c r="BF401" s="7">
        <v>0.59699999999999998</v>
      </c>
      <c r="BG401" s="7">
        <v>0.60309999999999997</v>
      </c>
      <c r="BH401" s="7">
        <v>0.60899999999999999</v>
      </c>
      <c r="BI401" s="7">
        <v>0.61480000000000001</v>
      </c>
      <c r="BJ401" s="7">
        <v>0.62050000000000005</v>
      </c>
      <c r="BK401" s="7">
        <v>0.62609999999999999</v>
      </c>
      <c r="BL401" s="7">
        <v>0.63160000000000005</v>
      </c>
      <c r="BM401" s="7">
        <v>0.63700000000000001</v>
      </c>
      <c r="BN401" s="7">
        <v>0.64229999999999998</v>
      </c>
      <c r="BO401" s="7">
        <v>0.64749999999999996</v>
      </c>
      <c r="BP401" s="7">
        <v>0.65259999999999996</v>
      </c>
      <c r="BQ401" s="7">
        <v>0.65769999999999995</v>
      </c>
      <c r="BR401" s="7">
        <v>0.66259999999999997</v>
      </c>
      <c r="BS401" s="7">
        <v>0.66739999999999999</v>
      </c>
      <c r="BT401" s="7">
        <v>0.67220000000000002</v>
      </c>
      <c r="BU401" s="7">
        <v>0.67689999999999995</v>
      </c>
      <c r="BV401" s="7">
        <v>0.68140000000000001</v>
      </c>
      <c r="BW401" s="7">
        <v>0.68600000000000005</v>
      </c>
      <c r="BX401" s="7">
        <v>0.69040000000000001</v>
      </c>
      <c r="BY401" s="7">
        <v>0.69479999999999997</v>
      </c>
      <c r="BZ401" s="7">
        <v>0.69899999999999995</v>
      </c>
      <c r="CA401" s="7">
        <v>0.70330000000000004</v>
      </c>
      <c r="CB401" s="7">
        <v>0.70740000000000003</v>
      </c>
      <c r="CC401" s="7">
        <v>0.71150000000000002</v>
      </c>
      <c r="CD401" s="7">
        <v>0.71550000000000002</v>
      </c>
      <c r="CE401" s="7">
        <v>0.71950000000000003</v>
      </c>
      <c r="CF401" s="7">
        <v>0.72340000000000004</v>
      </c>
      <c r="CG401" s="7">
        <v>0.72719999999999996</v>
      </c>
      <c r="CH401" s="7">
        <v>0.73099999999999998</v>
      </c>
      <c r="CI401" s="7">
        <v>0.73470000000000002</v>
      </c>
      <c r="CJ401" s="7">
        <v>0.73839999999999995</v>
      </c>
      <c r="CK401" s="7">
        <v>0.74199999999999999</v>
      </c>
      <c r="CL401" s="7">
        <v>0.74550000000000005</v>
      </c>
      <c r="CM401" s="7">
        <v>0.749</v>
      </c>
      <c r="CN401" s="7">
        <v>0.75249999999999995</v>
      </c>
      <c r="CO401" s="7">
        <v>0.75590000000000002</v>
      </c>
      <c r="CP401" s="7">
        <v>0.75919999999999999</v>
      </c>
      <c r="CQ401" s="7">
        <v>0.76249999999999996</v>
      </c>
      <c r="CR401" s="7">
        <v>0.76580000000000004</v>
      </c>
      <c r="CS401" s="7">
        <v>0.76900000000000002</v>
      </c>
      <c r="CT401" s="7">
        <v>0.7722</v>
      </c>
      <c r="CU401" s="7">
        <v>0.77529999999999999</v>
      </c>
      <c r="CV401" s="7">
        <v>0.77839999999999998</v>
      </c>
      <c r="CW401" s="7">
        <v>0.78139999999999998</v>
      </c>
      <c r="CX401" s="7">
        <v>0.78439999999999999</v>
      </c>
      <c r="CY401" s="7">
        <v>0.78739999999999999</v>
      </c>
      <c r="CZ401" s="7">
        <v>0.7903</v>
      </c>
      <c r="DA401" s="7">
        <v>0.79320000000000002</v>
      </c>
      <c r="DB401" s="7">
        <v>0.79600000000000004</v>
      </c>
      <c r="DC401" s="7">
        <v>0.79879999999999995</v>
      </c>
      <c r="DD401" s="7">
        <v>0.80159999999999998</v>
      </c>
      <c r="DE401" s="7">
        <v>0.80430000000000001</v>
      </c>
      <c r="DF401" s="7">
        <v>0.80710000000000004</v>
      </c>
      <c r="DG401" s="7">
        <v>0.80969999999999998</v>
      </c>
      <c r="DH401" s="7">
        <v>0.81240000000000001</v>
      </c>
      <c r="DI401" s="7">
        <v>0.81499999999999995</v>
      </c>
      <c r="DJ401" s="7">
        <v>0.81759999999999999</v>
      </c>
      <c r="DK401" s="7">
        <v>0.82010000000000005</v>
      </c>
      <c r="DL401" s="7">
        <v>0.8226</v>
      </c>
      <c r="DM401" s="7">
        <v>0.82509999999999994</v>
      </c>
      <c r="DN401" s="7">
        <v>0.8276</v>
      </c>
      <c r="DO401" s="7">
        <v>0.83</v>
      </c>
      <c r="DP401" s="7">
        <v>0.83240000000000003</v>
      </c>
      <c r="DQ401" s="7">
        <v>0.83479999999999999</v>
      </c>
      <c r="DR401" s="7">
        <v>0.83709999999999996</v>
      </c>
      <c r="DS401" s="7">
        <v>0.83950000000000002</v>
      </c>
      <c r="DT401" s="7">
        <v>0.84179999999999999</v>
      </c>
      <c r="DU401" s="7">
        <v>0.84409999999999996</v>
      </c>
      <c r="DV401" s="7">
        <v>0.84630000000000005</v>
      </c>
      <c r="DW401" s="7">
        <v>0.84850000000000003</v>
      </c>
      <c r="DX401" s="7">
        <v>0.8508</v>
      </c>
      <c r="DY401" s="7">
        <v>0.85289999999999999</v>
      </c>
      <c r="DZ401" s="7">
        <v>0.85509999999999997</v>
      </c>
      <c r="EA401" s="7">
        <v>0.85729999999999995</v>
      </c>
      <c r="EB401" s="7">
        <v>0.85940000000000005</v>
      </c>
      <c r="EC401" s="7">
        <v>0.86150000000000004</v>
      </c>
      <c r="ED401" s="7">
        <v>0.86360000000000003</v>
      </c>
      <c r="EE401" s="7">
        <v>0.86560000000000004</v>
      </c>
      <c r="EF401" s="7">
        <v>0.86770000000000003</v>
      </c>
      <c r="EG401" s="7">
        <v>0.86970000000000003</v>
      </c>
      <c r="EH401" s="7">
        <v>0.87170000000000003</v>
      </c>
      <c r="EI401" s="7">
        <v>0.87370000000000003</v>
      </c>
      <c r="EJ401" s="7">
        <v>0.87570000000000003</v>
      </c>
      <c r="EK401" s="7">
        <v>0.87760000000000005</v>
      </c>
      <c r="EL401" s="7">
        <v>0.87960000000000005</v>
      </c>
      <c r="EM401" s="7">
        <v>0.88149999999999995</v>
      </c>
      <c r="EN401" s="7">
        <v>0.88339999999999996</v>
      </c>
      <c r="EO401" s="7">
        <v>0.88529999999999998</v>
      </c>
      <c r="EP401" s="7">
        <v>0.88719999999999999</v>
      </c>
      <c r="EQ401" s="7">
        <v>0.8891</v>
      </c>
      <c r="ER401" s="7">
        <v>0.89090000000000003</v>
      </c>
      <c r="ES401" s="7">
        <v>0.89280000000000004</v>
      </c>
      <c r="ET401" s="7">
        <v>0.89500000000000002</v>
      </c>
      <c r="EU401" s="7">
        <v>0.89600000000000002</v>
      </c>
      <c r="EV401" s="7">
        <v>0.89800000000000002</v>
      </c>
      <c r="EW401" s="7">
        <v>0.9</v>
      </c>
      <c r="EX401" s="7">
        <v>0.90200000000000002</v>
      </c>
      <c r="EY401" s="7">
        <v>0.90400000000000003</v>
      </c>
      <c r="EZ401" s="7">
        <v>0.90500000000000003</v>
      </c>
      <c r="FA401" s="7">
        <v>0.90700000000000003</v>
      </c>
      <c r="FB401" s="7">
        <v>0.90900000000000003</v>
      </c>
      <c r="FC401" s="7">
        <v>0.91100000000000003</v>
      </c>
      <c r="FE401" s="50">
        <f t="shared" ca="1" si="43"/>
        <v>0.84895943713673916</v>
      </c>
      <c r="FF401" s="50">
        <f t="shared" ca="1" si="44"/>
        <v>0.84755049663569371</v>
      </c>
      <c r="FG401" s="50">
        <f t="shared" ca="1" si="45"/>
        <v>0.8461331543624161</v>
      </c>
      <c r="FH401" s="50">
        <f t="shared" ca="1" si="46"/>
        <v>0.84465664429530185</v>
      </c>
      <c r="FI401" s="50"/>
      <c r="FK401" s="50">
        <f t="shared" ca="1" si="42"/>
        <v>0.84755049663569371</v>
      </c>
      <c r="FL401" s="50"/>
      <c r="FM401" s="50"/>
      <c r="FN401" s="50"/>
    </row>
    <row r="402" spans="49:170" hidden="1">
      <c r="AW402" s="112">
        <v>35.481000000000002</v>
      </c>
      <c r="AX402" s="7">
        <v>0.54300000000000004</v>
      </c>
      <c r="AY402" s="7">
        <v>0.55010000000000003</v>
      </c>
      <c r="AZ402" s="7">
        <v>0.55710000000000004</v>
      </c>
      <c r="BA402" s="7">
        <v>0.56399999999999995</v>
      </c>
      <c r="BB402" s="7">
        <v>0.57069999999999999</v>
      </c>
      <c r="BC402" s="7">
        <v>0.57720000000000005</v>
      </c>
      <c r="BD402" s="7">
        <v>0.5837</v>
      </c>
      <c r="BE402" s="7">
        <v>0.59</v>
      </c>
      <c r="BF402" s="7">
        <v>0.59619999999999995</v>
      </c>
      <c r="BG402" s="7">
        <v>0.60219999999999996</v>
      </c>
      <c r="BH402" s="7">
        <v>0.60809999999999997</v>
      </c>
      <c r="BI402" s="7">
        <v>0.61399999999999999</v>
      </c>
      <c r="BJ402" s="7">
        <v>0.61970000000000003</v>
      </c>
      <c r="BK402" s="7">
        <v>0.62529999999999997</v>
      </c>
      <c r="BL402" s="7">
        <v>0.63080000000000003</v>
      </c>
      <c r="BM402" s="7">
        <v>0.6361</v>
      </c>
      <c r="BN402" s="7">
        <v>0.64139999999999997</v>
      </c>
      <c r="BO402" s="7">
        <v>0.64659999999999995</v>
      </c>
      <c r="BP402" s="7">
        <v>0.65169999999999995</v>
      </c>
      <c r="BQ402" s="7">
        <v>0.65669999999999995</v>
      </c>
      <c r="BR402" s="7">
        <v>0.66169999999999995</v>
      </c>
      <c r="BS402" s="7">
        <v>0.66649999999999998</v>
      </c>
      <c r="BT402" s="7">
        <v>0.67120000000000002</v>
      </c>
      <c r="BU402" s="7">
        <v>0.67589999999999995</v>
      </c>
      <c r="BV402" s="7">
        <v>0.68049999999999999</v>
      </c>
      <c r="BW402" s="7">
        <v>0.68500000000000005</v>
      </c>
      <c r="BX402" s="7">
        <v>0.68940000000000001</v>
      </c>
      <c r="BY402" s="7">
        <v>0.69379999999999997</v>
      </c>
      <c r="BZ402" s="7">
        <v>0.69810000000000005</v>
      </c>
      <c r="CA402" s="7">
        <v>0.70230000000000004</v>
      </c>
      <c r="CB402" s="7">
        <v>0.70640000000000003</v>
      </c>
      <c r="CC402" s="7">
        <v>0.71050000000000002</v>
      </c>
      <c r="CD402" s="7">
        <v>0.71450000000000002</v>
      </c>
      <c r="CE402" s="7">
        <v>0.71850000000000003</v>
      </c>
      <c r="CF402" s="7">
        <v>0.72240000000000004</v>
      </c>
      <c r="CG402" s="7">
        <v>0.72619999999999996</v>
      </c>
      <c r="CH402" s="7">
        <v>0.73</v>
      </c>
      <c r="CI402" s="7">
        <v>0.73370000000000002</v>
      </c>
      <c r="CJ402" s="7">
        <v>0.73729999999999996</v>
      </c>
      <c r="CK402" s="7">
        <v>0.7409</v>
      </c>
      <c r="CL402" s="7">
        <v>0.74450000000000005</v>
      </c>
      <c r="CM402" s="7">
        <v>0.748</v>
      </c>
      <c r="CN402" s="7">
        <v>0.75139999999999996</v>
      </c>
      <c r="CO402" s="7">
        <v>0.75480000000000003</v>
      </c>
      <c r="CP402" s="7">
        <v>0.75819999999999999</v>
      </c>
      <c r="CQ402" s="7">
        <v>0.76149999999999995</v>
      </c>
      <c r="CR402" s="7">
        <v>0.76470000000000005</v>
      </c>
      <c r="CS402" s="7">
        <v>0.76790000000000003</v>
      </c>
      <c r="CT402" s="7">
        <v>0.77110000000000001</v>
      </c>
      <c r="CU402" s="7">
        <v>0.7742</v>
      </c>
      <c r="CV402" s="7">
        <v>0.77729999999999999</v>
      </c>
      <c r="CW402" s="7">
        <v>0.78029999999999999</v>
      </c>
      <c r="CX402" s="7">
        <v>0.7833</v>
      </c>
      <c r="CY402" s="7">
        <v>0.7863</v>
      </c>
      <c r="CZ402" s="7">
        <v>0.78920000000000001</v>
      </c>
      <c r="DA402" s="7">
        <v>0.79210000000000003</v>
      </c>
      <c r="DB402" s="7">
        <v>0.79490000000000005</v>
      </c>
      <c r="DC402" s="7">
        <v>0.79769999999999996</v>
      </c>
      <c r="DD402" s="7">
        <v>0.80049999999999999</v>
      </c>
      <c r="DE402" s="7">
        <v>0.80320000000000003</v>
      </c>
      <c r="DF402" s="7">
        <v>0.80589999999999995</v>
      </c>
      <c r="DG402" s="7">
        <v>0.80859999999999999</v>
      </c>
      <c r="DH402" s="7">
        <v>0.81120000000000003</v>
      </c>
      <c r="DI402" s="7">
        <v>0.81379999999999997</v>
      </c>
      <c r="DJ402" s="7">
        <v>0.81640000000000001</v>
      </c>
      <c r="DK402" s="7">
        <v>0.81889999999999996</v>
      </c>
      <c r="DL402" s="7">
        <v>0.82150000000000001</v>
      </c>
      <c r="DM402" s="7">
        <v>0.82399999999999995</v>
      </c>
      <c r="DN402" s="7">
        <v>0.82640000000000002</v>
      </c>
      <c r="DO402" s="7">
        <v>0.82879999999999998</v>
      </c>
      <c r="DP402" s="7">
        <v>0.83120000000000005</v>
      </c>
      <c r="DQ402" s="7">
        <v>0.83360000000000001</v>
      </c>
      <c r="DR402" s="7">
        <v>0.83599999999999997</v>
      </c>
      <c r="DS402" s="7">
        <v>0.83830000000000005</v>
      </c>
      <c r="DT402" s="7">
        <v>0.84060000000000001</v>
      </c>
      <c r="DU402" s="7">
        <v>0.84289999999999998</v>
      </c>
      <c r="DV402" s="7">
        <v>0.84509999999999996</v>
      </c>
      <c r="DW402" s="7">
        <v>0.84740000000000004</v>
      </c>
      <c r="DX402" s="7">
        <v>0.84960000000000002</v>
      </c>
      <c r="DY402" s="7">
        <v>0.85170000000000001</v>
      </c>
      <c r="DZ402" s="7">
        <v>0.85389999999999999</v>
      </c>
      <c r="EA402" s="7">
        <v>0.85599999999999998</v>
      </c>
      <c r="EB402" s="7">
        <v>0.85819999999999996</v>
      </c>
      <c r="EC402" s="7">
        <v>0.86029999999999995</v>
      </c>
      <c r="ED402" s="7">
        <v>0.86240000000000006</v>
      </c>
      <c r="EE402" s="7">
        <v>0.86439999999999995</v>
      </c>
      <c r="EF402" s="7">
        <v>0.86650000000000005</v>
      </c>
      <c r="EG402" s="7">
        <v>0.86850000000000005</v>
      </c>
      <c r="EH402" s="7">
        <v>0.87050000000000005</v>
      </c>
      <c r="EI402" s="7">
        <v>0.87250000000000005</v>
      </c>
      <c r="EJ402" s="7">
        <v>0.87450000000000006</v>
      </c>
      <c r="EK402" s="7">
        <v>0.87639999999999996</v>
      </c>
      <c r="EL402" s="7">
        <v>0.87839999999999996</v>
      </c>
      <c r="EM402" s="7">
        <v>0.88029999999999997</v>
      </c>
      <c r="EN402" s="7">
        <v>0.88219999999999998</v>
      </c>
      <c r="EO402" s="7">
        <v>0.8841</v>
      </c>
      <c r="EP402" s="7">
        <v>0.88600000000000001</v>
      </c>
      <c r="EQ402" s="7">
        <v>0.88780000000000003</v>
      </c>
      <c r="ER402" s="7">
        <v>0.88970000000000005</v>
      </c>
      <c r="ES402" s="7">
        <v>0.89149999999999996</v>
      </c>
      <c r="ET402" s="7">
        <v>0.89300000000000002</v>
      </c>
      <c r="EU402" s="7">
        <v>0.89500000000000002</v>
      </c>
      <c r="EV402" s="7">
        <v>0.89700000000000002</v>
      </c>
      <c r="EW402" s="7">
        <v>0.89900000000000002</v>
      </c>
      <c r="EX402" s="7">
        <v>0.90100000000000002</v>
      </c>
      <c r="EY402" s="7">
        <v>0.90200000000000002</v>
      </c>
      <c r="EZ402" s="7">
        <v>0.90400000000000003</v>
      </c>
      <c r="FA402" s="7">
        <v>0.90600000000000003</v>
      </c>
      <c r="FB402" s="7">
        <v>0.90800000000000003</v>
      </c>
      <c r="FC402" s="7">
        <v>0.90900000000000003</v>
      </c>
      <c r="FE402" s="50">
        <f t="shared" ca="1" si="43"/>
        <v>0.84783946160905477</v>
      </c>
      <c r="FF402" s="50">
        <f t="shared" ca="1" si="44"/>
        <v>0.84640733739186158</v>
      </c>
      <c r="FG402" s="50">
        <f t="shared" ca="1" si="45"/>
        <v>0.84493315436241612</v>
      </c>
      <c r="FH402" s="50">
        <f t="shared" ca="1" si="46"/>
        <v>0.84345664429530198</v>
      </c>
      <c r="FI402" s="50"/>
      <c r="FK402" s="50">
        <f t="shared" ca="1" si="42"/>
        <v>0.84640733739186158</v>
      </c>
      <c r="FL402" s="50"/>
      <c r="FM402" s="50"/>
      <c r="FN402" s="50"/>
    </row>
    <row r="403" spans="49:170" hidden="1">
      <c r="AW403" s="112">
        <v>38.018999999999998</v>
      </c>
      <c r="AX403" s="7">
        <v>0.54220000000000002</v>
      </c>
      <c r="AY403" s="7">
        <v>0.54930000000000001</v>
      </c>
      <c r="AZ403" s="7">
        <v>0.55630000000000002</v>
      </c>
      <c r="BA403" s="7">
        <v>0.56320000000000003</v>
      </c>
      <c r="BB403" s="7">
        <v>0.56989999999999996</v>
      </c>
      <c r="BC403" s="7">
        <v>0.57640000000000002</v>
      </c>
      <c r="BD403" s="7">
        <v>0.58289999999999997</v>
      </c>
      <c r="BE403" s="7">
        <v>0.58919999999999995</v>
      </c>
      <c r="BF403" s="7">
        <v>0.59530000000000005</v>
      </c>
      <c r="BG403" s="7">
        <v>0.60140000000000005</v>
      </c>
      <c r="BH403" s="7">
        <v>0.60729999999999995</v>
      </c>
      <c r="BI403" s="7">
        <v>0.61309999999999998</v>
      </c>
      <c r="BJ403" s="7">
        <v>0.61880000000000002</v>
      </c>
      <c r="BK403" s="7">
        <v>0.62439999999999996</v>
      </c>
      <c r="BL403" s="7">
        <v>0.62990000000000002</v>
      </c>
      <c r="BM403" s="7">
        <v>0.63529999999999998</v>
      </c>
      <c r="BN403" s="7">
        <v>0.64059999999999995</v>
      </c>
      <c r="BO403" s="7">
        <v>0.64570000000000005</v>
      </c>
      <c r="BP403" s="7">
        <v>0.65080000000000005</v>
      </c>
      <c r="BQ403" s="7">
        <v>0.65580000000000005</v>
      </c>
      <c r="BR403" s="7">
        <v>0.66069999999999995</v>
      </c>
      <c r="BS403" s="7">
        <v>0.66559999999999997</v>
      </c>
      <c r="BT403" s="7">
        <v>0.67030000000000001</v>
      </c>
      <c r="BU403" s="7">
        <v>0.67500000000000004</v>
      </c>
      <c r="BV403" s="7">
        <v>0.67949999999999999</v>
      </c>
      <c r="BW403" s="7">
        <v>0.68400000000000005</v>
      </c>
      <c r="BX403" s="7">
        <v>0.6885</v>
      </c>
      <c r="BY403" s="7">
        <v>0.69279999999999997</v>
      </c>
      <c r="BZ403" s="7">
        <v>0.69710000000000005</v>
      </c>
      <c r="CA403" s="7">
        <v>0.70130000000000003</v>
      </c>
      <c r="CB403" s="7">
        <v>0.70540000000000003</v>
      </c>
      <c r="CC403" s="7">
        <v>0.70950000000000002</v>
      </c>
      <c r="CD403" s="7">
        <v>0.71350000000000002</v>
      </c>
      <c r="CE403" s="7">
        <v>0.71750000000000003</v>
      </c>
      <c r="CF403" s="7">
        <v>0.72140000000000004</v>
      </c>
      <c r="CG403" s="7">
        <v>0.72519999999999996</v>
      </c>
      <c r="CH403" s="7">
        <v>0.72889999999999999</v>
      </c>
      <c r="CI403" s="7">
        <v>0.73270000000000002</v>
      </c>
      <c r="CJ403" s="7">
        <v>0.73629999999999995</v>
      </c>
      <c r="CK403" s="7">
        <v>0.7399</v>
      </c>
      <c r="CL403" s="7">
        <v>0.74339999999999995</v>
      </c>
      <c r="CM403" s="7">
        <v>0.74690000000000001</v>
      </c>
      <c r="CN403" s="7">
        <v>0.75039999999999996</v>
      </c>
      <c r="CO403" s="7">
        <v>0.75380000000000003</v>
      </c>
      <c r="CP403" s="7">
        <v>0.7571</v>
      </c>
      <c r="CQ403" s="7">
        <v>0.76039999999999996</v>
      </c>
      <c r="CR403" s="7">
        <v>0.76370000000000005</v>
      </c>
      <c r="CS403" s="7">
        <v>0.76690000000000003</v>
      </c>
      <c r="CT403" s="7">
        <v>0.77</v>
      </c>
      <c r="CU403" s="7">
        <v>0.77310000000000001</v>
      </c>
      <c r="CV403" s="7">
        <v>0.7762</v>
      </c>
      <c r="CW403" s="7">
        <v>0.7792</v>
      </c>
      <c r="CX403" s="7">
        <v>0.78220000000000001</v>
      </c>
      <c r="CY403" s="7">
        <v>0.78520000000000001</v>
      </c>
      <c r="CZ403" s="7">
        <v>0.78810000000000002</v>
      </c>
      <c r="DA403" s="7">
        <v>0.79100000000000004</v>
      </c>
      <c r="DB403" s="7">
        <v>0.79379999999999995</v>
      </c>
      <c r="DC403" s="7">
        <v>0.79659999999999997</v>
      </c>
      <c r="DD403" s="7">
        <v>0.7994</v>
      </c>
      <c r="DE403" s="7">
        <v>0.80210000000000004</v>
      </c>
      <c r="DF403" s="7">
        <v>0.80479999999999996</v>
      </c>
      <c r="DG403" s="7">
        <v>0.8075</v>
      </c>
      <c r="DH403" s="7">
        <v>0.81010000000000004</v>
      </c>
      <c r="DI403" s="7">
        <v>0.81269999999999998</v>
      </c>
      <c r="DJ403" s="7">
        <v>0.81530000000000002</v>
      </c>
      <c r="DK403" s="7">
        <v>0.81779999999999997</v>
      </c>
      <c r="DL403" s="7">
        <v>0.82030000000000003</v>
      </c>
      <c r="DM403" s="7">
        <v>0.82279999999999998</v>
      </c>
      <c r="DN403" s="7">
        <v>0.82530000000000003</v>
      </c>
      <c r="DO403" s="7">
        <v>0.82769999999999999</v>
      </c>
      <c r="DP403" s="7">
        <v>0.83009999999999995</v>
      </c>
      <c r="DQ403" s="7">
        <v>0.83250000000000002</v>
      </c>
      <c r="DR403" s="7">
        <v>0.83479999999999999</v>
      </c>
      <c r="DS403" s="7">
        <v>0.83709999999999996</v>
      </c>
      <c r="DT403" s="7">
        <v>0.83940000000000003</v>
      </c>
      <c r="DU403" s="7">
        <v>0.8417</v>
      </c>
      <c r="DV403" s="7">
        <v>0.84389999999999998</v>
      </c>
      <c r="DW403" s="7">
        <v>0.84619999999999995</v>
      </c>
      <c r="DX403" s="7">
        <v>0.84840000000000004</v>
      </c>
      <c r="DY403" s="7">
        <v>0.85060000000000002</v>
      </c>
      <c r="DZ403" s="7">
        <v>0.85270000000000001</v>
      </c>
      <c r="EA403" s="7">
        <v>0.85489999999999999</v>
      </c>
      <c r="EB403" s="7">
        <v>0.85699999999999998</v>
      </c>
      <c r="EC403" s="7">
        <v>0.85909999999999997</v>
      </c>
      <c r="ED403" s="7">
        <v>0.86119999999999997</v>
      </c>
      <c r="EE403" s="7">
        <v>0.86319999999999997</v>
      </c>
      <c r="EF403" s="7">
        <v>0.86529999999999996</v>
      </c>
      <c r="EG403" s="7">
        <v>0.86729999999999996</v>
      </c>
      <c r="EH403" s="7">
        <v>0.86929999999999996</v>
      </c>
      <c r="EI403" s="7">
        <v>0.87129999999999996</v>
      </c>
      <c r="EJ403" s="7">
        <v>0.87319999999999998</v>
      </c>
      <c r="EK403" s="7">
        <v>0.87519999999999998</v>
      </c>
      <c r="EL403" s="7">
        <v>0.87709999999999999</v>
      </c>
      <c r="EM403" s="7">
        <v>0.87909999999999999</v>
      </c>
      <c r="EN403" s="7">
        <v>0.88100000000000001</v>
      </c>
      <c r="EO403" s="7">
        <v>0.88290000000000002</v>
      </c>
      <c r="EP403" s="7">
        <v>0.88470000000000004</v>
      </c>
      <c r="EQ403" s="7">
        <v>0.88660000000000005</v>
      </c>
      <c r="ER403" s="7">
        <v>0.88849999999999996</v>
      </c>
      <c r="ES403" s="7">
        <v>0.89029999999999998</v>
      </c>
      <c r="ET403" s="7">
        <v>0.89200000000000002</v>
      </c>
      <c r="EU403" s="7">
        <v>0.89400000000000002</v>
      </c>
      <c r="EV403" s="7">
        <v>0.89600000000000002</v>
      </c>
      <c r="EW403" s="7">
        <v>0.89800000000000002</v>
      </c>
      <c r="EX403" s="7">
        <v>0.89900000000000002</v>
      </c>
      <c r="EY403" s="7">
        <v>0.90100000000000002</v>
      </c>
      <c r="EZ403" s="7">
        <v>0.90300000000000002</v>
      </c>
      <c r="FA403" s="7">
        <v>0.90500000000000003</v>
      </c>
      <c r="FB403" s="7">
        <v>0.90600000000000003</v>
      </c>
      <c r="FC403" s="7">
        <v>0.90800000000000003</v>
      </c>
      <c r="FE403" s="50">
        <f t="shared" ca="1" si="43"/>
        <v>0.84663946160905468</v>
      </c>
      <c r="FF403" s="50">
        <f t="shared" ca="1" si="44"/>
        <v>0.8452073373918616</v>
      </c>
      <c r="FG403" s="50">
        <f t="shared" ca="1" si="45"/>
        <v>0.84373315436241603</v>
      </c>
      <c r="FH403" s="50">
        <f t="shared" ca="1" si="46"/>
        <v>0.842256644295302</v>
      </c>
      <c r="FI403" s="50"/>
      <c r="FK403" s="50">
        <f t="shared" ca="1" si="42"/>
        <v>0.8452073373918616</v>
      </c>
      <c r="FL403" s="50"/>
      <c r="FM403" s="50"/>
      <c r="FN403" s="50"/>
    </row>
    <row r="404" spans="49:170" hidden="1">
      <c r="AW404" s="112">
        <v>40.738</v>
      </c>
      <c r="AX404" s="7">
        <v>0.54149999999999998</v>
      </c>
      <c r="AY404" s="7">
        <v>0.54859999999999998</v>
      </c>
      <c r="AZ404" s="7">
        <v>0.55559999999999998</v>
      </c>
      <c r="BA404" s="7">
        <v>0.56240000000000001</v>
      </c>
      <c r="BB404" s="7">
        <v>0.56910000000000005</v>
      </c>
      <c r="BC404" s="7">
        <v>0.5756</v>
      </c>
      <c r="BD404" s="7">
        <v>0.58209999999999995</v>
      </c>
      <c r="BE404" s="7">
        <v>0.58830000000000005</v>
      </c>
      <c r="BF404" s="7">
        <v>0.59450000000000003</v>
      </c>
      <c r="BG404" s="7">
        <v>0.60050000000000003</v>
      </c>
      <c r="BH404" s="7">
        <v>0.60650000000000004</v>
      </c>
      <c r="BI404" s="7">
        <v>0.61229999999999996</v>
      </c>
      <c r="BJ404" s="7">
        <v>0.61799999999999999</v>
      </c>
      <c r="BK404" s="7">
        <v>0.62350000000000005</v>
      </c>
      <c r="BL404" s="7">
        <v>0.629</v>
      </c>
      <c r="BM404" s="7">
        <v>0.63439999999999996</v>
      </c>
      <c r="BN404" s="7">
        <v>0.63970000000000005</v>
      </c>
      <c r="BO404" s="7">
        <v>0.64490000000000003</v>
      </c>
      <c r="BP404" s="7">
        <v>0.64990000000000003</v>
      </c>
      <c r="BQ404" s="7">
        <v>0.65490000000000004</v>
      </c>
      <c r="BR404" s="7">
        <v>0.65980000000000005</v>
      </c>
      <c r="BS404" s="7">
        <v>0.66469999999999996</v>
      </c>
      <c r="BT404" s="7">
        <v>0.6694</v>
      </c>
      <c r="BU404" s="7">
        <v>0.67400000000000004</v>
      </c>
      <c r="BV404" s="7">
        <v>0.67859999999999998</v>
      </c>
      <c r="BW404" s="7">
        <v>0.68310000000000004</v>
      </c>
      <c r="BX404" s="7">
        <v>0.6875</v>
      </c>
      <c r="BY404" s="7">
        <v>0.69189999999999996</v>
      </c>
      <c r="BZ404" s="7">
        <v>0.69610000000000005</v>
      </c>
      <c r="CA404" s="7">
        <v>0.70030000000000003</v>
      </c>
      <c r="CB404" s="7">
        <v>0.70450000000000002</v>
      </c>
      <c r="CC404" s="7">
        <v>0.70850000000000002</v>
      </c>
      <c r="CD404" s="7">
        <v>0.71260000000000001</v>
      </c>
      <c r="CE404" s="7">
        <v>0.71650000000000003</v>
      </c>
      <c r="CF404" s="7">
        <v>0.72040000000000004</v>
      </c>
      <c r="CG404" s="7">
        <v>0.72419999999999995</v>
      </c>
      <c r="CH404" s="7">
        <v>0.72789999999999999</v>
      </c>
      <c r="CI404" s="7">
        <v>0.73170000000000002</v>
      </c>
      <c r="CJ404" s="7">
        <v>0.73529999999999995</v>
      </c>
      <c r="CK404" s="7">
        <v>0.7389</v>
      </c>
      <c r="CL404" s="7">
        <v>0.74239999999999995</v>
      </c>
      <c r="CM404" s="7">
        <v>0.74590000000000001</v>
      </c>
      <c r="CN404" s="7">
        <v>0.74929999999999997</v>
      </c>
      <c r="CO404" s="7">
        <v>0.75270000000000004</v>
      </c>
      <c r="CP404" s="7">
        <v>0.75609999999999999</v>
      </c>
      <c r="CQ404" s="7">
        <v>0.75939999999999996</v>
      </c>
      <c r="CR404" s="7">
        <v>0.76259999999999994</v>
      </c>
      <c r="CS404" s="7">
        <v>0.76580000000000004</v>
      </c>
      <c r="CT404" s="7">
        <v>0.76900000000000002</v>
      </c>
      <c r="CU404" s="7">
        <v>0.77210000000000001</v>
      </c>
      <c r="CV404" s="7">
        <v>0.77510000000000001</v>
      </c>
      <c r="CW404" s="7">
        <v>0.7782</v>
      </c>
      <c r="CX404" s="7">
        <v>0.78120000000000001</v>
      </c>
      <c r="CY404" s="7">
        <v>0.78410000000000002</v>
      </c>
      <c r="CZ404" s="7">
        <v>0.78700000000000003</v>
      </c>
      <c r="DA404" s="7">
        <v>0.78990000000000005</v>
      </c>
      <c r="DB404" s="7">
        <v>0.79269999999999996</v>
      </c>
      <c r="DC404" s="7">
        <v>0.79549999999999998</v>
      </c>
      <c r="DD404" s="7">
        <v>0.79830000000000001</v>
      </c>
      <c r="DE404" s="7">
        <v>0.80100000000000005</v>
      </c>
      <c r="DF404" s="7">
        <v>0.80369999999999997</v>
      </c>
      <c r="DG404" s="7">
        <v>0.80640000000000001</v>
      </c>
      <c r="DH404" s="7">
        <v>0.80900000000000005</v>
      </c>
      <c r="DI404" s="7">
        <v>0.81159999999999999</v>
      </c>
      <c r="DJ404" s="7">
        <v>0.81420000000000003</v>
      </c>
      <c r="DK404" s="7">
        <v>0.81669999999999998</v>
      </c>
      <c r="DL404" s="7">
        <v>0.81920000000000004</v>
      </c>
      <c r="DM404" s="7">
        <v>0.82169999999999999</v>
      </c>
      <c r="DN404" s="7">
        <v>0.82410000000000005</v>
      </c>
      <c r="DO404" s="7">
        <v>0.8266</v>
      </c>
      <c r="DP404" s="7">
        <v>0.82889999999999997</v>
      </c>
      <c r="DQ404" s="7">
        <v>0.83130000000000004</v>
      </c>
      <c r="DR404" s="7">
        <v>0.8337</v>
      </c>
      <c r="DS404" s="7">
        <v>0.83599999999999997</v>
      </c>
      <c r="DT404" s="7">
        <v>0.83830000000000005</v>
      </c>
      <c r="DU404" s="7">
        <v>0.84050000000000002</v>
      </c>
      <c r="DV404" s="7">
        <v>0.84279999999999999</v>
      </c>
      <c r="DW404" s="7">
        <v>0.84499999999999997</v>
      </c>
      <c r="DX404" s="7">
        <v>0.84719999999999995</v>
      </c>
      <c r="DY404" s="7">
        <v>0.84940000000000004</v>
      </c>
      <c r="DZ404" s="7">
        <v>0.85160000000000002</v>
      </c>
      <c r="EA404" s="7">
        <v>0.85370000000000001</v>
      </c>
      <c r="EB404" s="7">
        <v>0.85580000000000001</v>
      </c>
      <c r="EC404" s="7">
        <v>0.8579</v>
      </c>
      <c r="ED404" s="7">
        <v>0.86</v>
      </c>
      <c r="EE404" s="7">
        <v>0.86199999999999999</v>
      </c>
      <c r="EF404" s="7">
        <v>0.86409999999999998</v>
      </c>
      <c r="EG404" s="7">
        <v>0.86609999999999998</v>
      </c>
      <c r="EH404" s="7">
        <v>0.86809999999999998</v>
      </c>
      <c r="EI404" s="7">
        <v>0.87009999999999998</v>
      </c>
      <c r="EJ404" s="7">
        <v>0.872</v>
      </c>
      <c r="EK404" s="7">
        <v>0.874</v>
      </c>
      <c r="EL404" s="7">
        <v>0.87590000000000001</v>
      </c>
      <c r="EM404" s="7">
        <v>0.87790000000000001</v>
      </c>
      <c r="EN404" s="7">
        <v>0.87980000000000003</v>
      </c>
      <c r="EO404" s="7">
        <v>0.88170000000000004</v>
      </c>
      <c r="EP404" s="7">
        <v>0.88349999999999995</v>
      </c>
      <c r="EQ404" s="7">
        <v>0.88539999999999996</v>
      </c>
      <c r="ER404" s="7">
        <v>0.88719999999999999</v>
      </c>
      <c r="ES404" s="7">
        <v>0.8891</v>
      </c>
      <c r="ET404" s="7">
        <v>0.89100000000000001</v>
      </c>
      <c r="EU404" s="7">
        <v>0.89300000000000002</v>
      </c>
      <c r="EV404" s="7">
        <v>0.89500000000000002</v>
      </c>
      <c r="EW404" s="7">
        <v>0.89600000000000002</v>
      </c>
      <c r="EX404" s="7">
        <v>0.89800000000000002</v>
      </c>
      <c r="EY404" s="7">
        <v>0.9</v>
      </c>
      <c r="EZ404" s="7">
        <v>0.90200000000000002</v>
      </c>
      <c r="FA404" s="7">
        <v>0.90300000000000002</v>
      </c>
      <c r="FB404" s="7">
        <v>0.90500000000000003</v>
      </c>
      <c r="FC404" s="7">
        <v>0.90700000000000003</v>
      </c>
      <c r="FE404" s="50">
        <f t="shared" ca="1" si="43"/>
        <v>0.8454394616090547</v>
      </c>
      <c r="FF404" s="50">
        <f t="shared" ca="1" si="44"/>
        <v>0.84405049663569365</v>
      </c>
      <c r="FG404" s="50">
        <f t="shared" ca="1" si="45"/>
        <v>0.84262557046979869</v>
      </c>
      <c r="FH404" s="50">
        <f t="shared" ca="1" si="46"/>
        <v>0.8410819463087249</v>
      </c>
      <c r="FI404" s="50"/>
      <c r="FK404" s="50">
        <f t="shared" ca="1" si="42"/>
        <v>0.84405049663569365</v>
      </c>
      <c r="FL404" s="50"/>
      <c r="FM404" s="50"/>
      <c r="FN404" s="50"/>
    </row>
    <row r="405" spans="49:170" hidden="1">
      <c r="AW405" s="112">
        <v>43.652000000000001</v>
      </c>
      <c r="AX405" s="7">
        <v>0.54069999999999996</v>
      </c>
      <c r="AY405" s="7">
        <v>0.54790000000000005</v>
      </c>
      <c r="AZ405" s="7">
        <v>0.55479999999999996</v>
      </c>
      <c r="BA405" s="7">
        <v>0.56159999999999999</v>
      </c>
      <c r="BB405" s="7">
        <v>0.56830000000000003</v>
      </c>
      <c r="BC405" s="7">
        <v>0.57489999999999997</v>
      </c>
      <c r="BD405" s="7">
        <v>0.58130000000000004</v>
      </c>
      <c r="BE405" s="7">
        <v>0.58750000000000002</v>
      </c>
      <c r="BF405" s="7">
        <v>0.59370000000000001</v>
      </c>
      <c r="BG405" s="7">
        <v>0.59970000000000001</v>
      </c>
      <c r="BH405" s="7">
        <v>0.60560000000000003</v>
      </c>
      <c r="BI405" s="7">
        <v>0.61140000000000005</v>
      </c>
      <c r="BJ405" s="7">
        <v>0.61709999999999998</v>
      </c>
      <c r="BK405" s="7">
        <v>0.62270000000000003</v>
      </c>
      <c r="BL405" s="7">
        <v>0.62819999999999998</v>
      </c>
      <c r="BM405" s="7">
        <v>0.63349999999999995</v>
      </c>
      <c r="BN405" s="7">
        <v>0.63880000000000003</v>
      </c>
      <c r="BO405" s="7">
        <v>0.64400000000000002</v>
      </c>
      <c r="BP405" s="7">
        <v>0.64910000000000001</v>
      </c>
      <c r="BQ405" s="7">
        <v>0.65400000000000003</v>
      </c>
      <c r="BR405" s="7">
        <v>0.65890000000000004</v>
      </c>
      <c r="BS405" s="7">
        <v>0.66379999999999995</v>
      </c>
      <c r="BT405" s="7">
        <v>0.66849999999999998</v>
      </c>
      <c r="BU405" s="7">
        <v>0.67310000000000003</v>
      </c>
      <c r="BV405" s="7">
        <v>0.67769999999999997</v>
      </c>
      <c r="BW405" s="7">
        <v>0.68220000000000003</v>
      </c>
      <c r="BX405" s="7">
        <v>0.68659999999999999</v>
      </c>
      <c r="BY405" s="7">
        <v>0.69089999999999996</v>
      </c>
      <c r="BZ405" s="7">
        <v>0.69520000000000004</v>
      </c>
      <c r="CA405" s="7">
        <v>0.69940000000000002</v>
      </c>
      <c r="CB405" s="7">
        <v>0.70350000000000001</v>
      </c>
      <c r="CC405" s="7">
        <v>0.70760000000000001</v>
      </c>
      <c r="CD405" s="7">
        <v>0.71160000000000001</v>
      </c>
      <c r="CE405" s="7">
        <v>0.71550000000000002</v>
      </c>
      <c r="CF405" s="7">
        <v>0.71940000000000004</v>
      </c>
      <c r="CG405" s="7">
        <v>0.72319999999999995</v>
      </c>
      <c r="CH405" s="7">
        <v>0.72699999999999998</v>
      </c>
      <c r="CI405" s="7">
        <v>0.73070000000000002</v>
      </c>
      <c r="CJ405" s="7">
        <v>0.73429999999999995</v>
      </c>
      <c r="CK405" s="7">
        <v>0.7379</v>
      </c>
      <c r="CL405" s="7">
        <v>0.74139999999999995</v>
      </c>
      <c r="CM405" s="7">
        <v>0.74490000000000001</v>
      </c>
      <c r="CN405" s="7">
        <v>0.74829999999999997</v>
      </c>
      <c r="CO405" s="7">
        <v>0.75170000000000003</v>
      </c>
      <c r="CP405" s="7">
        <v>0.755</v>
      </c>
      <c r="CQ405" s="7">
        <v>0.75829999999999997</v>
      </c>
      <c r="CR405" s="7">
        <v>0.76160000000000005</v>
      </c>
      <c r="CS405" s="7">
        <v>0.76480000000000004</v>
      </c>
      <c r="CT405" s="7">
        <v>0.76790000000000003</v>
      </c>
      <c r="CU405" s="7">
        <v>0.77100000000000002</v>
      </c>
      <c r="CV405" s="7">
        <v>0.77410000000000001</v>
      </c>
      <c r="CW405" s="7">
        <v>0.77710000000000001</v>
      </c>
      <c r="CX405" s="7">
        <v>0.78010000000000002</v>
      </c>
      <c r="CY405" s="7">
        <v>0.78300000000000003</v>
      </c>
      <c r="CZ405" s="7">
        <v>0.78590000000000004</v>
      </c>
      <c r="DA405" s="7">
        <v>0.78879999999999995</v>
      </c>
      <c r="DB405" s="7">
        <v>0.79159999999999997</v>
      </c>
      <c r="DC405" s="7">
        <v>0.7944</v>
      </c>
      <c r="DD405" s="7">
        <v>0.79720000000000002</v>
      </c>
      <c r="DE405" s="7">
        <v>0.79990000000000006</v>
      </c>
      <c r="DF405" s="7">
        <v>0.80259999999999998</v>
      </c>
      <c r="DG405" s="7">
        <v>0.80530000000000002</v>
      </c>
      <c r="DH405" s="7">
        <v>0.80789999999999995</v>
      </c>
      <c r="DI405" s="7">
        <v>0.8105</v>
      </c>
      <c r="DJ405" s="7">
        <v>0.81310000000000004</v>
      </c>
      <c r="DK405" s="7">
        <v>0.81559999999999999</v>
      </c>
      <c r="DL405" s="7">
        <v>0.81810000000000005</v>
      </c>
      <c r="DM405" s="7">
        <v>0.8206</v>
      </c>
      <c r="DN405" s="7">
        <v>0.82299999999999995</v>
      </c>
      <c r="DO405" s="7">
        <v>0.82540000000000002</v>
      </c>
      <c r="DP405" s="7">
        <v>0.82779999999999998</v>
      </c>
      <c r="DQ405" s="7">
        <v>0.83020000000000005</v>
      </c>
      <c r="DR405" s="7">
        <v>0.83250000000000002</v>
      </c>
      <c r="DS405" s="7">
        <v>0.83479999999999999</v>
      </c>
      <c r="DT405" s="7">
        <v>0.83709999999999996</v>
      </c>
      <c r="DU405" s="7">
        <v>0.83940000000000003</v>
      </c>
      <c r="DV405" s="7">
        <v>0.84160000000000001</v>
      </c>
      <c r="DW405" s="7">
        <v>0.84389999999999998</v>
      </c>
      <c r="DX405" s="7">
        <v>0.84609999999999996</v>
      </c>
      <c r="DY405" s="7">
        <v>0.84819999999999995</v>
      </c>
      <c r="DZ405" s="7">
        <v>0.85040000000000004</v>
      </c>
      <c r="EA405" s="7">
        <v>0.85250000000000004</v>
      </c>
      <c r="EB405" s="7">
        <v>0.85460000000000003</v>
      </c>
      <c r="EC405" s="7">
        <v>0.85670000000000002</v>
      </c>
      <c r="ED405" s="7">
        <v>0.85880000000000001</v>
      </c>
      <c r="EE405" s="7">
        <v>0.8609</v>
      </c>
      <c r="EF405" s="7">
        <v>0.8629</v>
      </c>
      <c r="EG405" s="7">
        <v>0.8649</v>
      </c>
      <c r="EH405" s="7">
        <v>0.8669</v>
      </c>
      <c r="EI405" s="7">
        <v>0.86890000000000001</v>
      </c>
      <c r="EJ405" s="7">
        <v>0.87090000000000001</v>
      </c>
      <c r="EK405" s="7">
        <v>0.87280000000000002</v>
      </c>
      <c r="EL405" s="7">
        <v>0.87470000000000003</v>
      </c>
      <c r="EM405" s="7">
        <v>0.87670000000000003</v>
      </c>
      <c r="EN405" s="7">
        <v>0.87860000000000005</v>
      </c>
      <c r="EO405" s="7">
        <v>0.88049999999999995</v>
      </c>
      <c r="EP405" s="7">
        <v>0.88229999999999997</v>
      </c>
      <c r="EQ405" s="7">
        <v>0.88419999999999999</v>
      </c>
      <c r="ER405" s="7">
        <v>0.88600000000000001</v>
      </c>
      <c r="ES405" s="7">
        <v>0.88790000000000002</v>
      </c>
      <c r="ET405" s="7">
        <v>0.89</v>
      </c>
      <c r="EU405" s="7">
        <v>0.89200000000000002</v>
      </c>
      <c r="EV405" s="7">
        <v>0.89300000000000002</v>
      </c>
      <c r="EW405" s="7">
        <v>0.89500000000000002</v>
      </c>
      <c r="EX405" s="7">
        <v>0.89700000000000002</v>
      </c>
      <c r="EY405" s="7">
        <v>0.89900000000000002</v>
      </c>
      <c r="EZ405" s="7">
        <v>0.9</v>
      </c>
      <c r="FA405" s="7">
        <v>0.90200000000000002</v>
      </c>
      <c r="FB405" s="7">
        <v>0.90400000000000003</v>
      </c>
      <c r="FC405" s="7">
        <v>0.90600000000000003</v>
      </c>
      <c r="FE405" s="50">
        <f t="shared" ca="1" si="43"/>
        <v>0.84433946160905471</v>
      </c>
      <c r="FF405" s="50">
        <f t="shared" ca="1" si="44"/>
        <v>0.84290733739186163</v>
      </c>
      <c r="FG405" s="50">
        <f t="shared" ca="1" si="45"/>
        <v>0.84143315436241606</v>
      </c>
      <c r="FH405" s="50">
        <f t="shared" ca="1" si="46"/>
        <v>0.83995664429530204</v>
      </c>
      <c r="FI405" s="50"/>
      <c r="FK405" s="50">
        <f t="shared" ca="1" si="42"/>
        <v>0.84290733739186163</v>
      </c>
      <c r="FL405" s="50"/>
      <c r="FM405" s="50"/>
      <c r="FN405" s="50"/>
    </row>
    <row r="406" spans="49:170" hidden="1">
      <c r="AW406" s="112">
        <v>46.774000000000001</v>
      </c>
      <c r="AX406" s="7">
        <v>0.54</v>
      </c>
      <c r="AY406" s="7">
        <v>0.54710000000000003</v>
      </c>
      <c r="AZ406" s="7">
        <v>0.55410000000000004</v>
      </c>
      <c r="BA406" s="7">
        <v>0.56089999999999995</v>
      </c>
      <c r="BB406" s="7">
        <v>0.56759999999999999</v>
      </c>
      <c r="BC406" s="7">
        <v>0.57410000000000005</v>
      </c>
      <c r="BD406" s="7">
        <v>0.58050000000000002</v>
      </c>
      <c r="BE406" s="7">
        <v>0.58679999999999999</v>
      </c>
      <c r="BF406" s="7">
        <v>0.59289999999999998</v>
      </c>
      <c r="BG406" s="7">
        <v>0.59889999999999999</v>
      </c>
      <c r="BH406" s="7">
        <v>0.6048</v>
      </c>
      <c r="BI406" s="7">
        <v>0.61060000000000003</v>
      </c>
      <c r="BJ406" s="7">
        <v>0.61629999999999996</v>
      </c>
      <c r="BK406" s="7">
        <v>0.62190000000000001</v>
      </c>
      <c r="BL406" s="7">
        <v>0.62729999999999997</v>
      </c>
      <c r="BM406" s="7">
        <v>0.63270000000000004</v>
      </c>
      <c r="BN406" s="7">
        <v>0.63790000000000002</v>
      </c>
      <c r="BO406" s="7">
        <v>0.6431</v>
      </c>
      <c r="BP406" s="7">
        <v>0.6482</v>
      </c>
      <c r="BQ406" s="7">
        <v>0.6532</v>
      </c>
      <c r="BR406" s="7">
        <v>0.65810000000000002</v>
      </c>
      <c r="BS406" s="7">
        <v>0.66290000000000004</v>
      </c>
      <c r="BT406" s="7">
        <v>0.66759999999999997</v>
      </c>
      <c r="BU406" s="7">
        <v>0.67220000000000002</v>
      </c>
      <c r="BV406" s="7">
        <v>0.67679999999999996</v>
      </c>
      <c r="BW406" s="7">
        <v>0.68130000000000002</v>
      </c>
      <c r="BX406" s="7">
        <v>0.68569999999999998</v>
      </c>
      <c r="BY406" s="7">
        <v>0.69</v>
      </c>
      <c r="BZ406" s="7">
        <v>0.69430000000000003</v>
      </c>
      <c r="CA406" s="7">
        <v>0.69850000000000001</v>
      </c>
      <c r="CB406" s="7">
        <v>0.7026</v>
      </c>
      <c r="CC406" s="7">
        <v>0.70660000000000001</v>
      </c>
      <c r="CD406" s="7">
        <v>0.71060000000000001</v>
      </c>
      <c r="CE406" s="7">
        <v>0.71460000000000001</v>
      </c>
      <c r="CF406" s="7">
        <v>0.71840000000000004</v>
      </c>
      <c r="CG406" s="7">
        <v>0.72219999999999995</v>
      </c>
      <c r="CH406" s="7">
        <v>0.72599999999999998</v>
      </c>
      <c r="CI406" s="7">
        <v>0.72970000000000002</v>
      </c>
      <c r="CJ406" s="7">
        <v>0.73329999999999995</v>
      </c>
      <c r="CK406" s="7">
        <v>0.7369</v>
      </c>
      <c r="CL406" s="7">
        <v>0.74039999999999995</v>
      </c>
      <c r="CM406" s="7">
        <v>0.74390000000000001</v>
      </c>
      <c r="CN406" s="7">
        <v>0.74729999999999996</v>
      </c>
      <c r="CO406" s="7">
        <v>0.75070000000000003</v>
      </c>
      <c r="CP406" s="7">
        <v>0.754</v>
      </c>
      <c r="CQ406" s="7">
        <v>0.75729999999999997</v>
      </c>
      <c r="CR406" s="7">
        <v>0.76049999999999995</v>
      </c>
      <c r="CS406" s="7">
        <v>0.76370000000000005</v>
      </c>
      <c r="CT406" s="7">
        <v>0.76690000000000003</v>
      </c>
      <c r="CU406" s="7">
        <v>0.77</v>
      </c>
      <c r="CV406" s="7">
        <v>0.77300000000000002</v>
      </c>
      <c r="CW406" s="7">
        <v>0.77610000000000001</v>
      </c>
      <c r="CX406" s="7">
        <v>0.77900000000000003</v>
      </c>
      <c r="CY406" s="7">
        <v>0.78200000000000003</v>
      </c>
      <c r="CZ406" s="7">
        <v>0.78490000000000004</v>
      </c>
      <c r="DA406" s="7">
        <v>0.78769999999999996</v>
      </c>
      <c r="DB406" s="7">
        <v>0.79059999999999997</v>
      </c>
      <c r="DC406" s="7">
        <v>0.79339999999999999</v>
      </c>
      <c r="DD406" s="7">
        <v>0.79610000000000003</v>
      </c>
      <c r="DE406" s="7">
        <v>0.79879999999999995</v>
      </c>
      <c r="DF406" s="7">
        <v>0.80149999999999999</v>
      </c>
      <c r="DG406" s="7">
        <v>0.80420000000000003</v>
      </c>
      <c r="DH406" s="7">
        <v>0.80679999999999996</v>
      </c>
      <c r="DI406" s="7">
        <v>0.80940000000000001</v>
      </c>
      <c r="DJ406" s="7">
        <v>0.81200000000000006</v>
      </c>
      <c r="DK406" s="7">
        <v>0.8145</v>
      </c>
      <c r="DL406" s="7">
        <v>0.81699999999999995</v>
      </c>
      <c r="DM406" s="7">
        <v>0.81950000000000001</v>
      </c>
      <c r="DN406" s="7">
        <v>0.82189999999999996</v>
      </c>
      <c r="DO406" s="7">
        <v>0.82430000000000003</v>
      </c>
      <c r="DP406" s="7">
        <v>0.82669999999999999</v>
      </c>
      <c r="DQ406" s="7">
        <v>0.82909999999999995</v>
      </c>
      <c r="DR406" s="7">
        <v>0.83140000000000003</v>
      </c>
      <c r="DS406" s="7">
        <v>0.8337</v>
      </c>
      <c r="DT406" s="7">
        <v>0.83599999999999997</v>
      </c>
      <c r="DU406" s="7">
        <v>0.83830000000000005</v>
      </c>
      <c r="DV406" s="7">
        <v>0.84050000000000002</v>
      </c>
      <c r="DW406" s="7">
        <v>0.8427</v>
      </c>
      <c r="DX406" s="7">
        <v>0.84489999999999998</v>
      </c>
      <c r="DY406" s="7">
        <v>0.84709999999999996</v>
      </c>
      <c r="DZ406" s="7">
        <v>0.84930000000000005</v>
      </c>
      <c r="EA406" s="7">
        <v>0.85140000000000005</v>
      </c>
      <c r="EB406" s="7">
        <v>0.85350000000000004</v>
      </c>
      <c r="EC406" s="7">
        <v>0.85560000000000003</v>
      </c>
      <c r="ED406" s="7">
        <v>0.85770000000000002</v>
      </c>
      <c r="EE406" s="7">
        <v>0.85970000000000002</v>
      </c>
      <c r="EF406" s="7">
        <v>0.86170000000000002</v>
      </c>
      <c r="EG406" s="7">
        <v>0.86380000000000001</v>
      </c>
      <c r="EH406" s="7">
        <v>0.86580000000000001</v>
      </c>
      <c r="EI406" s="7">
        <v>0.86770000000000003</v>
      </c>
      <c r="EJ406" s="7">
        <v>0.86970000000000003</v>
      </c>
      <c r="EK406" s="7">
        <v>0.87160000000000004</v>
      </c>
      <c r="EL406" s="7">
        <v>0.87360000000000004</v>
      </c>
      <c r="EM406" s="7">
        <v>0.87549999999999994</v>
      </c>
      <c r="EN406" s="7">
        <v>0.87739999999999996</v>
      </c>
      <c r="EO406" s="7">
        <v>0.87929999999999997</v>
      </c>
      <c r="EP406" s="7">
        <v>0.88109999999999999</v>
      </c>
      <c r="EQ406" s="7">
        <v>0.88300000000000001</v>
      </c>
      <c r="ER406" s="7">
        <v>0.88480000000000003</v>
      </c>
      <c r="ES406" s="7">
        <v>0.88670000000000004</v>
      </c>
      <c r="ET406" s="7">
        <v>0.88900000000000001</v>
      </c>
      <c r="EU406" s="7">
        <v>0.89</v>
      </c>
      <c r="EV406" s="7">
        <v>0.89200000000000002</v>
      </c>
      <c r="EW406" s="7">
        <v>0.89400000000000002</v>
      </c>
      <c r="EX406" s="7">
        <v>0.89600000000000002</v>
      </c>
      <c r="EY406" s="7">
        <v>0.89700000000000002</v>
      </c>
      <c r="EZ406" s="7">
        <v>0.89900000000000002</v>
      </c>
      <c r="FA406" s="7">
        <v>0.90100000000000002</v>
      </c>
      <c r="FB406" s="7">
        <v>0.90300000000000002</v>
      </c>
      <c r="FC406" s="7">
        <v>0.90400000000000003</v>
      </c>
      <c r="FE406" s="50">
        <f t="shared" ca="1" si="43"/>
        <v>0.84313946160905473</v>
      </c>
      <c r="FF406" s="50">
        <f t="shared" ca="1" si="44"/>
        <v>0.84175049663569368</v>
      </c>
      <c r="FG406" s="50">
        <f t="shared" ca="1" si="45"/>
        <v>0.84033315436241618</v>
      </c>
      <c r="FH406" s="50">
        <f t="shared" ca="1" si="46"/>
        <v>0.83885664429530205</v>
      </c>
      <c r="FI406" s="50"/>
      <c r="FK406" s="50">
        <f t="shared" ca="1" si="42"/>
        <v>0.84175049663569368</v>
      </c>
      <c r="FL406" s="50"/>
      <c r="FM406" s="50"/>
      <c r="FN406" s="50"/>
    </row>
    <row r="407" spans="49:170" hidden="1">
      <c r="AW407" s="112">
        <v>50.119</v>
      </c>
      <c r="AX407" s="7">
        <v>0.5393</v>
      </c>
      <c r="AY407" s="7">
        <v>0.5464</v>
      </c>
      <c r="AZ407" s="7">
        <v>0.55330000000000001</v>
      </c>
      <c r="BA407" s="7">
        <v>0.56010000000000004</v>
      </c>
      <c r="BB407" s="7">
        <v>0.56679999999999997</v>
      </c>
      <c r="BC407" s="7">
        <v>0.57330000000000003</v>
      </c>
      <c r="BD407" s="7">
        <v>0.57969999999999999</v>
      </c>
      <c r="BE407" s="7">
        <v>0.58599999999999997</v>
      </c>
      <c r="BF407" s="7">
        <v>0.59209999999999996</v>
      </c>
      <c r="BG407" s="7">
        <v>0.59809999999999997</v>
      </c>
      <c r="BH407" s="7">
        <v>0.60399999999999998</v>
      </c>
      <c r="BI407" s="7">
        <v>0.60980000000000001</v>
      </c>
      <c r="BJ407" s="7">
        <v>0.61550000000000005</v>
      </c>
      <c r="BK407" s="7">
        <v>0.621</v>
      </c>
      <c r="BL407" s="7">
        <v>0.62649999999999995</v>
      </c>
      <c r="BM407" s="7">
        <v>0.63180000000000003</v>
      </c>
      <c r="BN407" s="7">
        <v>0.6371</v>
      </c>
      <c r="BO407" s="7">
        <v>0.64229999999999998</v>
      </c>
      <c r="BP407" s="7">
        <v>0.64729999999999999</v>
      </c>
      <c r="BQ407" s="7">
        <v>0.65229999999999999</v>
      </c>
      <c r="BR407" s="7">
        <v>0.65720000000000001</v>
      </c>
      <c r="BS407" s="7">
        <v>0.66200000000000003</v>
      </c>
      <c r="BT407" s="7">
        <v>0.66669999999999996</v>
      </c>
      <c r="BU407" s="7">
        <v>0.67130000000000001</v>
      </c>
      <c r="BV407" s="7">
        <v>0.67589999999999995</v>
      </c>
      <c r="BW407" s="7">
        <v>0.6804</v>
      </c>
      <c r="BX407" s="7">
        <v>0.68479999999999996</v>
      </c>
      <c r="BY407" s="7">
        <v>0.68910000000000005</v>
      </c>
      <c r="BZ407" s="7">
        <v>0.69330000000000003</v>
      </c>
      <c r="CA407" s="7">
        <v>0.69750000000000001</v>
      </c>
      <c r="CB407" s="7">
        <v>0.70169999999999999</v>
      </c>
      <c r="CC407" s="7">
        <v>0.70569999999999999</v>
      </c>
      <c r="CD407" s="7">
        <v>0.7097</v>
      </c>
      <c r="CE407" s="7">
        <v>0.71360000000000001</v>
      </c>
      <c r="CF407" s="7">
        <v>0.71750000000000003</v>
      </c>
      <c r="CG407" s="7">
        <v>0.72130000000000005</v>
      </c>
      <c r="CH407" s="7">
        <v>0.72499999999999998</v>
      </c>
      <c r="CI407" s="7">
        <v>0.72870000000000001</v>
      </c>
      <c r="CJ407" s="7">
        <v>0.73229999999999995</v>
      </c>
      <c r="CK407" s="7">
        <v>0.7359</v>
      </c>
      <c r="CL407" s="7">
        <v>0.73939999999999995</v>
      </c>
      <c r="CM407" s="7">
        <v>0.7429</v>
      </c>
      <c r="CN407" s="7">
        <v>0.74629999999999996</v>
      </c>
      <c r="CO407" s="7">
        <v>0.74970000000000003</v>
      </c>
      <c r="CP407" s="7">
        <v>0.753</v>
      </c>
      <c r="CQ407" s="7">
        <v>0.75629999999999997</v>
      </c>
      <c r="CR407" s="7">
        <v>0.75949999999999995</v>
      </c>
      <c r="CS407" s="7">
        <v>0.76270000000000004</v>
      </c>
      <c r="CT407" s="7">
        <v>0.76590000000000003</v>
      </c>
      <c r="CU407" s="7">
        <v>0.76900000000000002</v>
      </c>
      <c r="CV407" s="7">
        <v>0.77200000000000002</v>
      </c>
      <c r="CW407" s="7">
        <v>0.77500000000000002</v>
      </c>
      <c r="CX407" s="7">
        <v>0.77800000000000002</v>
      </c>
      <c r="CY407" s="7">
        <v>0.78090000000000004</v>
      </c>
      <c r="CZ407" s="7">
        <v>0.78380000000000005</v>
      </c>
      <c r="DA407" s="7">
        <v>0.78669999999999995</v>
      </c>
      <c r="DB407" s="7">
        <v>0.78949999999999998</v>
      </c>
      <c r="DC407" s="7">
        <v>0.7923</v>
      </c>
      <c r="DD407" s="7">
        <v>0.79510000000000003</v>
      </c>
      <c r="DE407" s="7">
        <v>0.79779999999999995</v>
      </c>
      <c r="DF407" s="7">
        <v>0.80049999999999999</v>
      </c>
      <c r="DG407" s="7">
        <v>0.80310000000000004</v>
      </c>
      <c r="DH407" s="7">
        <v>0.80569999999999997</v>
      </c>
      <c r="DI407" s="7">
        <v>0.80830000000000002</v>
      </c>
      <c r="DJ407" s="7">
        <v>0.81089999999999995</v>
      </c>
      <c r="DK407" s="7">
        <v>0.81340000000000001</v>
      </c>
      <c r="DL407" s="7">
        <v>0.81589999999999996</v>
      </c>
      <c r="DM407" s="7">
        <v>0.81840000000000002</v>
      </c>
      <c r="DN407" s="7">
        <v>0.82079999999999997</v>
      </c>
      <c r="DO407" s="7">
        <v>0.82320000000000004</v>
      </c>
      <c r="DP407" s="7">
        <v>0.8256</v>
      </c>
      <c r="DQ407" s="7">
        <v>0.82799999999999996</v>
      </c>
      <c r="DR407" s="7">
        <v>0.83030000000000004</v>
      </c>
      <c r="DS407" s="7">
        <v>0.83260000000000001</v>
      </c>
      <c r="DT407" s="7">
        <v>0.83489999999999998</v>
      </c>
      <c r="DU407" s="7">
        <v>0.83720000000000006</v>
      </c>
      <c r="DV407" s="7">
        <v>0.83940000000000003</v>
      </c>
      <c r="DW407" s="7">
        <v>0.84160000000000001</v>
      </c>
      <c r="DX407" s="7">
        <v>0.84379999999999999</v>
      </c>
      <c r="DY407" s="7">
        <v>0.84599999999999997</v>
      </c>
      <c r="DZ407" s="7">
        <v>0.84809999999999997</v>
      </c>
      <c r="EA407" s="7">
        <v>0.85029999999999994</v>
      </c>
      <c r="EB407" s="7">
        <v>0.85240000000000005</v>
      </c>
      <c r="EC407" s="7">
        <v>0.85450000000000004</v>
      </c>
      <c r="ED407" s="7">
        <v>0.85650000000000004</v>
      </c>
      <c r="EE407" s="7">
        <v>0.85860000000000003</v>
      </c>
      <c r="EF407" s="7">
        <v>0.86060000000000003</v>
      </c>
      <c r="EG407" s="7">
        <v>0.86260000000000003</v>
      </c>
      <c r="EH407" s="7">
        <v>0.86460000000000004</v>
      </c>
      <c r="EI407" s="7">
        <v>0.86660000000000004</v>
      </c>
      <c r="EJ407" s="7">
        <v>0.86850000000000005</v>
      </c>
      <c r="EK407" s="7">
        <v>0.87050000000000005</v>
      </c>
      <c r="EL407" s="7">
        <v>0.87239999999999995</v>
      </c>
      <c r="EM407" s="7">
        <v>0.87429999999999997</v>
      </c>
      <c r="EN407" s="7">
        <v>0.87619999999999998</v>
      </c>
      <c r="EO407" s="7">
        <v>0.87809999999999999</v>
      </c>
      <c r="EP407" s="7">
        <v>0.88</v>
      </c>
      <c r="EQ407" s="7">
        <v>0.88180000000000003</v>
      </c>
      <c r="ER407" s="7">
        <v>0.88370000000000004</v>
      </c>
      <c r="ES407" s="7">
        <v>0.88549999999999995</v>
      </c>
      <c r="ET407" s="7">
        <v>0.88700000000000001</v>
      </c>
      <c r="EU407" s="7">
        <v>0.88900000000000001</v>
      </c>
      <c r="EV407" s="7">
        <v>0.89100000000000001</v>
      </c>
      <c r="EW407" s="7">
        <v>0.89300000000000002</v>
      </c>
      <c r="EX407" s="7">
        <v>0.89500000000000002</v>
      </c>
      <c r="EY407" s="7">
        <v>0.89600000000000002</v>
      </c>
      <c r="EZ407" s="7">
        <v>0.89800000000000002</v>
      </c>
      <c r="FA407" s="7">
        <v>0.9</v>
      </c>
      <c r="FB407" s="7">
        <v>0.90100000000000002</v>
      </c>
      <c r="FC407" s="7">
        <v>0.90300000000000002</v>
      </c>
      <c r="FE407" s="50">
        <f t="shared" ca="1" si="43"/>
        <v>0.84203946160905474</v>
      </c>
      <c r="FF407" s="50">
        <f t="shared" ca="1" si="44"/>
        <v>0.84065049663569369</v>
      </c>
      <c r="FG407" s="50">
        <f t="shared" ca="1" si="45"/>
        <v>0.83923315436241608</v>
      </c>
      <c r="FH407" s="50">
        <f t="shared" ca="1" si="46"/>
        <v>0.83775664429530206</v>
      </c>
      <c r="FI407" s="50"/>
      <c r="FK407" s="50">
        <f t="shared" ca="1" si="42"/>
        <v>0.84065049663569369</v>
      </c>
      <c r="FL407" s="50"/>
      <c r="FM407" s="50"/>
      <c r="FN407" s="50"/>
    </row>
    <row r="408" spans="49:170" hidden="1">
      <c r="AW408" s="112">
        <v>53.703000000000003</v>
      </c>
      <c r="AX408" s="7">
        <v>0.53859999999999997</v>
      </c>
      <c r="AY408" s="7">
        <v>0.54569999999999996</v>
      </c>
      <c r="AZ408" s="7">
        <v>0.55259999999999998</v>
      </c>
      <c r="BA408" s="7">
        <v>0.55940000000000001</v>
      </c>
      <c r="BB408" s="7">
        <v>0.56610000000000005</v>
      </c>
      <c r="BC408" s="7">
        <v>0.5726</v>
      </c>
      <c r="BD408" s="7">
        <v>0.57899999999999996</v>
      </c>
      <c r="BE408" s="7">
        <v>0.58520000000000005</v>
      </c>
      <c r="BF408" s="7">
        <v>0.59130000000000005</v>
      </c>
      <c r="BG408" s="7">
        <v>0.59730000000000005</v>
      </c>
      <c r="BH408" s="7">
        <v>0.60319999999999996</v>
      </c>
      <c r="BI408" s="7">
        <v>0.60899999999999999</v>
      </c>
      <c r="BJ408" s="7">
        <v>0.61470000000000002</v>
      </c>
      <c r="BK408" s="7">
        <v>0.62019999999999997</v>
      </c>
      <c r="BL408" s="7">
        <v>0.62570000000000003</v>
      </c>
      <c r="BM408" s="7">
        <v>0.63100000000000001</v>
      </c>
      <c r="BN408" s="7">
        <v>0.63629999999999998</v>
      </c>
      <c r="BO408" s="7">
        <v>0.64139999999999997</v>
      </c>
      <c r="BP408" s="7">
        <v>0.64649999999999996</v>
      </c>
      <c r="BQ408" s="7">
        <v>0.65139999999999998</v>
      </c>
      <c r="BR408" s="7">
        <v>0.65629999999999999</v>
      </c>
      <c r="BS408" s="7">
        <v>0.66110000000000002</v>
      </c>
      <c r="BT408" s="7">
        <v>0.66579999999999995</v>
      </c>
      <c r="BU408" s="7">
        <v>0.67049999999999998</v>
      </c>
      <c r="BV408" s="7">
        <v>0.67500000000000004</v>
      </c>
      <c r="BW408" s="7">
        <v>0.67949999999999999</v>
      </c>
      <c r="BX408" s="7">
        <v>0.68389999999999995</v>
      </c>
      <c r="BY408" s="7">
        <v>0.68820000000000003</v>
      </c>
      <c r="BZ408" s="7">
        <v>0.69240000000000002</v>
      </c>
      <c r="CA408" s="7">
        <v>0.6966</v>
      </c>
      <c r="CB408" s="7">
        <v>0.70069999999999999</v>
      </c>
      <c r="CC408" s="7">
        <v>0.70479999999999998</v>
      </c>
      <c r="CD408" s="7">
        <v>0.70879999999999999</v>
      </c>
      <c r="CE408" s="7">
        <v>0.7127</v>
      </c>
      <c r="CF408" s="7">
        <v>0.71650000000000003</v>
      </c>
      <c r="CG408" s="7">
        <v>0.72030000000000005</v>
      </c>
      <c r="CH408" s="7">
        <v>0.72409999999999997</v>
      </c>
      <c r="CI408" s="7">
        <v>0.7278</v>
      </c>
      <c r="CJ408" s="7">
        <v>0.73140000000000005</v>
      </c>
      <c r="CK408" s="7">
        <v>0.73499999999999999</v>
      </c>
      <c r="CL408" s="7">
        <v>0.73850000000000005</v>
      </c>
      <c r="CM408" s="7">
        <v>0.7419</v>
      </c>
      <c r="CN408" s="7">
        <v>0.74539999999999995</v>
      </c>
      <c r="CO408" s="7">
        <v>0.74870000000000003</v>
      </c>
      <c r="CP408" s="7">
        <v>0.752</v>
      </c>
      <c r="CQ408" s="7">
        <v>0.75529999999999997</v>
      </c>
      <c r="CR408" s="7">
        <v>0.75849999999999995</v>
      </c>
      <c r="CS408" s="7">
        <v>0.76170000000000004</v>
      </c>
      <c r="CT408" s="7">
        <v>0.76490000000000002</v>
      </c>
      <c r="CU408" s="7">
        <v>0.76800000000000002</v>
      </c>
      <c r="CV408" s="7">
        <v>0.77100000000000002</v>
      </c>
      <c r="CW408" s="7">
        <v>0.77400000000000002</v>
      </c>
      <c r="CX408" s="7">
        <v>0.77700000000000002</v>
      </c>
      <c r="CY408" s="7">
        <v>0.77990000000000004</v>
      </c>
      <c r="CZ408" s="7">
        <v>0.78280000000000005</v>
      </c>
      <c r="DA408" s="7">
        <v>0.78569999999999995</v>
      </c>
      <c r="DB408" s="7">
        <v>0.78849999999999998</v>
      </c>
      <c r="DC408" s="7">
        <v>0.7913</v>
      </c>
      <c r="DD408" s="7">
        <v>0.79400000000000004</v>
      </c>
      <c r="DE408" s="7">
        <v>0.79669999999999996</v>
      </c>
      <c r="DF408" s="7">
        <v>0.7994</v>
      </c>
      <c r="DG408" s="7">
        <v>0.80210000000000004</v>
      </c>
      <c r="DH408" s="7">
        <v>0.80469999999999997</v>
      </c>
      <c r="DI408" s="7">
        <v>0.80730000000000002</v>
      </c>
      <c r="DJ408" s="7">
        <v>0.80979999999999996</v>
      </c>
      <c r="DK408" s="7">
        <v>0.81230000000000002</v>
      </c>
      <c r="DL408" s="7">
        <v>0.81479999999999997</v>
      </c>
      <c r="DM408" s="7">
        <v>0.81730000000000003</v>
      </c>
      <c r="DN408" s="7">
        <v>0.81969999999999998</v>
      </c>
      <c r="DO408" s="7">
        <v>0.82220000000000004</v>
      </c>
      <c r="DP408" s="7">
        <v>0.82450000000000001</v>
      </c>
      <c r="DQ408" s="7">
        <v>0.82689999999999997</v>
      </c>
      <c r="DR408" s="7">
        <v>0.82920000000000005</v>
      </c>
      <c r="DS408" s="7">
        <v>0.83150000000000002</v>
      </c>
      <c r="DT408" s="7">
        <v>0.83379999999999999</v>
      </c>
      <c r="DU408" s="7">
        <v>0.83609999999999995</v>
      </c>
      <c r="DV408" s="7">
        <v>0.83830000000000005</v>
      </c>
      <c r="DW408" s="7">
        <v>0.84050000000000002</v>
      </c>
      <c r="DX408" s="7">
        <v>0.8427</v>
      </c>
      <c r="DY408" s="7">
        <v>0.84489999999999998</v>
      </c>
      <c r="DZ408" s="7">
        <v>0.84699999999999998</v>
      </c>
      <c r="EA408" s="7">
        <v>0.84909999999999997</v>
      </c>
      <c r="EB408" s="7">
        <v>0.85119999999999996</v>
      </c>
      <c r="EC408" s="7">
        <v>0.85329999999999995</v>
      </c>
      <c r="ED408" s="7">
        <v>0.85540000000000005</v>
      </c>
      <c r="EE408" s="7">
        <v>0.85740000000000005</v>
      </c>
      <c r="EF408" s="7">
        <v>0.85950000000000004</v>
      </c>
      <c r="EG408" s="7">
        <v>0.86150000000000004</v>
      </c>
      <c r="EH408" s="7">
        <v>0.86350000000000005</v>
      </c>
      <c r="EI408" s="7">
        <v>0.86539999999999995</v>
      </c>
      <c r="EJ408" s="7">
        <v>0.86739999999999995</v>
      </c>
      <c r="EK408" s="7">
        <v>0.86929999999999996</v>
      </c>
      <c r="EL408" s="7">
        <v>0.87129999999999996</v>
      </c>
      <c r="EM408" s="7">
        <v>0.87319999999999998</v>
      </c>
      <c r="EN408" s="7">
        <v>0.87509999999999999</v>
      </c>
      <c r="EO408" s="7">
        <v>0.877</v>
      </c>
      <c r="EP408" s="7">
        <v>0.87880000000000003</v>
      </c>
      <c r="EQ408" s="7">
        <v>0.88070000000000004</v>
      </c>
      <c r="ER408" s="7">
        <v>0.88249999999999995</v>
      </c>
      <c r="ES408" s="7">
        <v>0.88429999999999997</v>
      </c>
      <c r="ET408" s="7">
        <v>0.88600000000000001</v>
      </c>
      <c r="EU408" s="7">
        <v>0.88800000000000001</v>
      </c>
      <c r="EV408" s="7">
        <v>0.89</v>
      </c>
      <c r="EW408" s="7">
        <v>0.89200000000000002</v>
      </c>
      <c r="EX408" s="7">
        <v>0.89300000000000002</v>
      </c>
      <c r="EY408" s="7">
        <v>0.89500000000000002</v>
      </c>
      <c r="EZ408" s="7">
        <v>0.89700000000000002</v>
      </c>
      <c r="FA408" s="7">
        <v>0.89900000000000002</v>
      </c>
      <c r="FB408" s="7">
        <v>0.9</v>
      </c>
      <c r="FC408" s="7">
        <v>0.90200000000000002</v>
      </c>
      <c r="FE408" s="50">
        <f t="shared" ca="1" si="43"/>
        <v>0.84093946160905475</v>
      </c>
      <c r="FF408" s="50">
        <f t="shared" ca="1" si="44"/>
        <v>0.8395504966356937</v>
      </c>
      <c r="FG408" s="50">
        <f t="shared" ca="1" si="45"/>
        <v>0.83813315436241609</v>
      </c>
      <c r="FH408" s="50">
        <f t="shared" ca="1" si="46"/>
        <v>0.83665664429530184</v>
      </c>
      <c r="FI408" s="50"/>
      <c r="FK408" s="50">
        <f t="shared" ca="1" si="42"/>
        <v>0.8395504966356937</v>
      </c>
      <c r="FL408" s="50"/>
      <c r="FM408" s="50"/>
      <c r="FN408" s="50"/>
    </row>
    <row r="409" spans="49:170" hidden="1">
      <c r="AW409" s="112">
        <v>57.543999999999997</v>
      </c>
      <c r="AX409" s="7">
        <v>0.53790000000000004</v>
      </c>
      <c r="AY409" s="7">
        <v>0.54500000000000004</v>
      </c>
      <c r="AZ409" s="7">
        <v>0.55189999999999995</v>
      </c>
      <c r="BA409" s="7">
        <v>0.55869999999999997</v>
      </c>
      <c r="BB409" s="7">
        <v>0.56530000000000002</v>
      </c>
      <c r="BC409" s="7">
        <v>0.57179999999999997</v>
      </c>
      <c r="BD409" s="7">
        <v>0.57820000000000005</v>
      </c>
      <c r="BE409" s="7">
        <v>0.58450000000000002</v>
      </c>
      <c r="BF409" s="7">
        <v>0.59060000000000001</v>
      </c>
      <c r="BG409" s="7">
        <v>0.59660000000000002</v>
      </c>
      <c r="BH409" s="7">
        <v>0.60250000000000004</v>
      </c>
      <c r="BI409" s="7">
        <v>0.60819999999999996</v>
      </c>
      <c r="BJ409" s="7">
        <v>0.6139</v>
      </c>
      <c r="BK409" s="7">
        <v>0.61939999999999995</v>
      </c>
      <c r="BL409" s="7">
        <v>0.62490000000000001</v>
      </c>
      <c r="BM409" s="7">
        <v>0.63019999999999998</v>
      </c>
      <c r="BN409" s="7">
        <v>0.63539999999999996</v>
      </c>
      <c r="BO409" s="7">
        <v>0.64059999999999995</v>
      </c>
      <c r="BP409" s="7">
        <v>0.64559999999999995</v>
      </c>
      <c r="BQ409" s="7">
        <v>0.65059999999999996</v>
      </c>
      <c r="BR409" s="7">
        <v>0.65549999999999997</v>
      </c>
      <c r="BS409" s="7">
        <v>0.6603</v>
      </c>
      <c r="BT409" s="7">
        <v>0.66500000000000004</v>
      </c>
      <c r="BU409" s="7">
        <v>0.66959999999999997</v>
      </c>
      <c r="BV409" s="7">
        <v>0.67410000000000003</v>
      </c>
      <c r="BW409" s="7">
        <v>0.67859999999999998</v>
      </c>
      <c r="BX409" s="7">
        <v>0.68300000000000005</v>
      </c>
      <c r="BY409" s="7">
        <v>0.68730000000000002</v>
      </c>
      <c r="BZ409" s="7">
        <v>0.6915</v>
      </c>
      <c r="CA409" s="7">
        <v>0.69569999999999999</v>
      </c>
      <c r="CB409" s="7">
        <v>0.69979999999999998</v>
      </c>
      <c r="CC409" s="7">
        <v>0.70389999999999997</v>
      </c>
      <c r="CD409" s="7">
        <v>0.70779999999999998</v>
      </c>
      <c r="CE409" s="7">
        <v>0.71179999999999999</v>
      </c>
      <c r="CF409" s="7">
        <v>0.71560000000000001</v>
      </c>
      <c r="CG409" s="7">
        <v>0.71940000000000004</v>
      </c>
      <c r="CH409" s="7">
        <v>0.72309999999999997</v>
      </c>
      <c r="CI409" s="7">
        <v>0.7268</v>
      </c>
      <c r="CJ409" s="7">
        <v>0.73040000000000005</v>
      </c>
      <c r="CK409" s="7">
        <v>0.73399999999999999</v>
      </c>
      <c r="CL409" s="7">
        <v>0.73750000000000004</v>
      </c>
      <c r="CM409" s="7">
        <v>0.74099999999999999</v>
      </c>
      <c r="CN409" s="7">
        <v>0.74439999999999995</v>
      </c>
      <c r="CO409" s="7">
        <v>0.74780000000000002</v>
      </c>
      <c r="CP409" s="7">
        <v>0.75109999999999999</v>
      </c>
      <c r="CQ409" s="7">
        <v>0.75429999999999997</v>
      </c>
      <c r="CR409" s="7">
        <v>0.75760000000000005</v>
      </c>
      <c r="CS409" s="7">
        <v>0.76070000000000004</v>
      </c>
      <c r="CT409" s="7">
        <v>0.76390000000000002</v>
      </c>
      <c r="CU409" s="7">
        <v>0.76700000000000002</v>
      </c>
      <c r="CV409" s="7">
        <v>0.77</v>
      </c>
      <c r="CW409" s="7">
        <v>0.77300000000000002</v>
      </c>
      <c r="CX409" s="7">
        <v>0.77600000000000002</v>
      </c>
      <c r="CY409" s="7">
        <v>0.77890000000000004</v>
      </c>
      <c r="CZ409" s="7">
        <v>0.78180000000000005</v>
      </c>
      <c r="DA409" s="7">
        <v>0.78469999999999995</v>
      </c>
      <c r="DB409" s="7">
        <v>0.78749999999999998</v>
      </c>
      <c r="DC409" s="7">
        <v>0.79020000000000001</v>
      </c>
      <c r="DD409" s="7">
        <v>0.79300000000000004</v>
      </c>
      <c r="DE409" s="7">
        <v>0.79569999999999996</v>
      </c>
      <c r="DF409" s="7">
        <v>0.7984</v>
      </c>
      <c r="DG409" s="7">
        <v>0.80100000000000005</v>
      </c>
      <c r="DH409" s="7">
        <v>0.80359999999999998</v>
      </c>
      <c r="DI409" s="7">
        <v>0.80620000000000003</v>
      </c>
      <c r="DJ409" s="7">
        <v>0.80879999999999996</v>
      </c>
      <c r="DK409" s="7">
        <v>0.81130000000000002</v>
      </c>
      <c r="DL409" s="7">
        <v>0.81379999999999997</v>
      </c>
      <c r="DM409" s="7">
        <v>0.81620000000000004</v>
      </c>
      <c r="DN409" s="7">
        <v>0.81869999999999998</v>
      </c>
      <c r="DO409" s="7">
        <v>0.82110000000000005</v>
      </c>
      <c r="DP409" s="7">
        <v>0.82350000000000001</v>
      </c>
      <c r="DQ409" s="7">
        <v>0.82579999999999998</v>
      </c>
      <c r="DR409" s="7">
        <v>0.82809999999999995</v>
      </c>
      <c r="DS409" s="7">
        <v>0.83040000000000003</v>
      </c>
      <c r="DT409" s="7">
        <v>0.8327</v>
      </c>
      <c r="DU409" s="7">
        <v>0.83499999999999996</v>
      </c>
      <c r="DV409" s="7">
        <v>0.83720000000000006</v>
      </c>
      <c r="DW409" s="7">
        <v>0.83940000000000003</v>
      </c>
      <c r="DX409" s="7">
        <v>0.84160000000000001</v>
      </c>
      <c r="DY409" s="7">
        <v>0.84379999999999999</v>
      </c>
      <c r="DZ409" s="7">
        <v>0.84589999999999999</v>
      </c>
      <c r="EA409" s="7">
        <v>0.84799999999999998</v>
      </c>
      <c r="EB409" s="7">
        <v>0.85009999999999997</v>
      </c>
      <c r="EC409" s="7">
        <v>0.85219999999999996</v>
      </c>
      <c r="ED409" s="7">
        <v>0.85429999999999995</v>
      </c>
      <c r="EE409" s="7">
        <v>0.85629999999999995</v>
      </c>
      <c r="EF409" s="7">
        <v>0.85840000000000005</v>
      </c>
      <c r="EG409" s="7">
        <v>0.86040000000000005</v>
      </c>
      <c r="EH409" s="7">
        <v>0.86240000000000006</v>
      </c>
      <c r="EI409" s="7">
        <v>0.86429999999999996</v>
      </c>
      <c r="EJ409" s="7">
        <v>0.86629999999999996</v>
      </c>
      <c r="EK409" s="7">
        <v>0.86819999999999997</v>
      </c>
      <c r="EL409" s="7">
        <v>0.87009999999999998</v>
      </c>
      <c r="EM409" s="7">
        <v>0.872</v>
      </c>
      <c r="EN409" s="7">
        <v>0.87390000000000001</v>
      </c>
      <c r="EO409" s="7">
        <v>0.87580000000000002</v>
      </c>
      <c r="EP409" s="7">
        <v>0.87770000000000004</v>
      </c>
      <c r="EQ409" s="7">
        <v>0.87949999999999995</v>
      </c>
      <c r="ER409" s="7">
        <v>0.88139999999999996</v>
      </c>
      <c r="ES409" s="7">
        <v>0.88319999999999999</v>
      </c>
      <c r="ET409" s="7">
        <v>0.88500000000000001</v>
      </c>
      <c r="EU409" s="7">
        <v>0.88700000000000001</v>
      </c>
      <c r="EV409" s="7">
        <v>0.88900000000000001</v>
      </c>
      <c r="EW409" s="7">
        <v>0.89</v>
      </c>
      <c r="EX409" s="7">
        <v>0.89200000000000002</v>
      </c>
      <c r="EY409" s="7">
        <v>0.89400000000000002</v>
      </c>
      <c r="EZ409" s="7">
        <v>0.89600000000000002</v>
      </c>
      <c r="FA409" s="7">
        <v>0.89700000000000002</v>
      </c>
      <c r="FB409" s="7">
        <v>0.89900000000000002</v>
      </c>
      <c r="FC409" s="7">
        <v>0.90100000000000002</v>
      </c>
      <c r="FE409" s="50">
        <f t="shared" ca="1" si="43"/>
        <v>0.83983946160905476</v>
      </c>
      <c r="FF409" s="50">
        <f t="shared" ca="1" si="44"/>
        <v>0.83845049663569371</v>
      </c>
      <c r="FG409" s="50">
        <f t="shared" ca="1" si="45"/>
        <v>0.83703315436241621</v>
      </c>
      <c r="FH409" s="50">
        <f t="shared" ca="1" si="46"/>
        <v>0.83555664429530196</v>
      </c>
      <c r="FI409" s="50"/>
      <c r="FK409" s="50">
        <f t="shared" ca="1" si="42"/>
        <v>0.83845049663569371</v>
      </c>
      <c r="FL409" s="50"/>
      <c r="FM409" s="50"/>
      <c r="FN409" s="50"/>
    </row>
    <row r="410" spans="49:170" hidden="1">
      <c r="AW410" s="112">
        <v>61.66</v>
      </c>
      <c r="AX410" s="7">
        <v>0.53720000000000001</v>
      </c>
      <c r="AY410" s="7">
        <v>0.54430000000000001</v>
      </c>
      <c r="AZ410" s="7">
        <v>0.55120000000000002</v>
      </c>
      <c r="BA410" s="7">
        <v>0.55800000000000005</v>
      </c>
      <c r="BB410" s="7">
        <v>0.56459999999999999</v>
      </c>
      <c r="BC410" s="7">
        <v>0.57110000000000005</v>
      </c>
      <c r="BD410" s="7">
        <v>0.57750000000000001</v>
      </c>
      <c r="BE410" s="7">
        <v>0.5837</v>
      </c>
      <c r="BF410" s="7">
        <v>0.58979999999999999</v>
      </c>
      <c r="BG410" s="7">
        <v>0.5958</v>
      </c>
      <c r="BH410" s="7">
        <v>0.60170000000000001</v>
      </c>
      <c r="BI410" s="7">
        <v>0.60740000000000005</v>
      </c>
      <c r="BJ410" s="7">
        <v>0.61309999999999998</v>
      </c>
      <c r="BK410" s="7">
        <v>0.61860000000000004</v>
      </c>
      <c r="BL410" s="7">
        <v>0.62409999999999999</v>
      </c>
      <c r="BM410" s="7">
        <v>0.62939999999999996</v>
      </c>
      <c r="BN410" s="7">
        <v>0.63460000000000005</v>
      </c>
      <c r="BO410" s="7">
        <v>0.63980000000000004</v>
      </c>
      <c r="BP410" s="7">
        <v>0.64480000000000004</v>
      </c>
      <c r="BQ410" s="7">
        <v>0.64980000000000004</v>
      </c>
      <c r="BR410" s="7">
        <v>0.65459999999999996</v>
      </c>
      <c r="BS410" s="7">
        <v>0.65939999999999999</v>
      </c>
      <c r="BT410" s="7">
        <v>0.66410000000000002</v>
      </c>
      <c r="BU410" s="7">
        <v>0.66869999999999996</v>
      </c>
      <c r="BV410" s="7">
        <v>0.67330000000000001</v>
      </c>
      <c r="BW410" s="7">
        <v>0.67769999999999997</v>
      </c>
      <c r="BX410" s="7">
        <v>0.68210000000000004</v>
      </c>
      <c r="BY410" s="7">
        <v>0.68640000000000001</v>
      </c>
      <c r="BZ410" s="7">
        <v>0.69059999999999999</v>
      </c>
      <c r="CA410" s="7">
        <v>0.69479999999999997</v>
      </c>
      <c r="CB410" s="7">
        <v>0.69889999999999997</v>
      </c>
      <c r="CC410" s="7">
        <v>0.70299999999999996</v>
      </c>
      <c r="CD410" s="7">
        <v>0.70689999999999997</v>
      </c>
      <c r="CE410" s="7">
        <v>0.71079999999999999</v>
      </c>
      <c r="CF410" s="7">
        <v>0.7147</v>
      </c>
      <c r="CG410" s="7">
        <v>0.71850000000000003</v>
      </c>
      <c r="CH410" s="7">
        <v>0.72219999999999995</v>
      </c>
      <c r="CI410" s="7">
        <v>0.72589999999999999</v>
      </c>
      <c r="CJ410" s="7">
        <v>0.72950000000000004</v>
      </c>
      <c r="CK410" s="7">
        <v>0.73309999999999997</v>
      </c>
      <c r="CL410" s="7">
        <v>0.73660000000000003</v>
      </c>
      <c r="CM410" s="7">
        <v>0.74</v>
      </c>
      <c r="CN410" s="7">
        <v>0.74339999999999995</v>
      </c>
      <c r="CO410" s="7">
        <v>0.74680000000000002</v>
      </c>
      <c r="CP410" s="7">
        <v>0.75009999999999999</v>
      </c>
      <c r="CQ410" s="7">
        <v>0.75339999999999996</v>
      </c>
      <c r="CR410" s="7">
        <v>0.75660000000000005</v>
      </c>
      <c r="CS410" s="7">
        <v>0.75980000000000003</v>
      </c>
      <c r="CT410" s="7">
        <v>0.76290000000000002</v>
      </c>
      <c r="CU410" s="7">
        <v>0.76600000000000001</v>
      </c>
      <c r="CV410" s="7">
        <v>0.76900000000000002</v>
      </c>
      <c r="CW410" s="7">
        <v>0.77200000000000002</v>
      </c>
      <c r="CX410" s="7">
        <v>0.77500000000000002</v>
      </c>
      <c r="CY410" s="7">
        <v>0.77790000000000004</v>
      </c>
      <c r="CZ410" s="7">
        <v>0.78080000000000005</v>
      </c>
      <c r="DA410" s="7">
        <v>0.78359999999999996</v>
      </c>
      <c r="DB410" s="7">
        <v>0.78649999999999998</v>
      </c>
      <c r="DC410" s="7">
        <v>0.78920000000000001</v>
      </c>
      <c r="DD410" s="7">
        <v>0.79200000000000004</v>
      </c>
      <c r="DE410" s="7">
        <v>0.79469999999999996</v>
      </c>
      <c r="DF410" s="7">
        <v>0.7974</v>
      </c>
      <c r="DG410" s="7">
        <v>0.8</v>
      </c>
      <c r="DH410" s="7">
        <v>0.80259999999999998</v>
      </c>
      <c r="DI410" s="7">
        <v>0.80520000000000003</v>
      </c>
      <c r="DJ410" s="7">
        <v>0.80769999999999997</v>
      </c>
      <c r="DK410" s="7">
        <v>0.81020000000000003</v>
      </c>
      <c r="DL410" s="7">
        <v>0.81269999999999998</v>
      </c>
      <c r="DM410" s="7">
        <v>0.81520000000000004</v>
      </c>
      <c r="DN410" s="7">
        <v>0.81759999999999999</v>
      </c>
      <c r="DO410" s="7">
        <v>0.82</v>
      </c>
      <c r="DP410" s="7">
        <v>0.82240000000000002</v>
      </c>
      <c r="DQ410" s="7">
        <v>0.82479999999999998</v>
      </c>
      <c r="DR410" s="7">
        <v>0.82709999999999995</v>
      </c>
      <c r="DS410" s="7">
        <v>0.82940000000000003</v>
      </c>
      <c r="DT410" s="7">
        <v>0.83169999999999999</v>
      </c>
      <c r="DU410" s="7">
        <v>0.83389999999999997</v>
      </c>
      <c r="DV410" s="7">
        <v>0.83609999999999995</v>
      </c>
      <c r="DW410" s="7">
        <v>0.83830000000000005</v>
      </c>
      <c r="DX410" s="7">
        <v>0.84050000000000002</v>
      </c>
      <c r="DY410" s="7">
        <v>0.8427</v>
      </c>
      <c r="DZ410" s="7">
        <v>0.8448</v>
      </c>
      <c r="EA410" s="7">
        <v>0.84699999999999998</v>
      </c>
      <c r="EB410" s="7">
        <v>0.84909999999999997</v>
      </c>
      <c r="EC410" s="7">
        <v>0.85109999999999997</v>
      </c>
      <c r="ED410" s="7">
        <v>0.85319999999999996</v>
      </c>
      <c r="EE410" s="7">
        <v>0.85519999999999996</v>
      </c>
      <c r="EF410" s="7">
        <v>0.85729999999999995</v>
      </c>
      <c r="EG410" s="7">
        <v>0.85929999999999995</v>
      </c>
      <c r="EH410" s="7">
        <v>0.86119999999999997</v>
      </c>
      <c r="EI410" s="7">
        <v>0.86319999999999997</v>
      </c>
      <c r="EJ410" s="7">
        <v>0.86519999999999997</v>
      </c>
      <c r="EK410" s="7">
        <v>0.86709999999999998</v>
      </c>
      <c r="EL410" s="7">
        <v>0.86899999999999999</v>
      </c>
      <c r="EM410" s="7">
        <v>0.87090000000000001</v>
      </c>
      <c r="EN410" s="7">
        <v>0.87280000000000002</v>
      </c>
      <c r="EO410" s="7">
        <v>0.87470000000000003</v>
      </c>
      <c r="EP410" s="7">
        <v>0.87660000000000005</v>
      </c>
      <c r="EQ410" s="7">
        <v>0.87839999999999996</v>
      </c>
      <c r="ER410" s="7">
        <v>0.88019999999999998</v>
      </c>
      <c r="ES410" s="7">
        <v>0.8821</v>
      </c>
      <c r="ET410" s="7">
        <v>0.88400000000000001</v>
      </c>
      <c r="EU410" s="7">
        <v>0.88600000000000001</v>
      </c>
      <c r="EV410" s="7">
        <v>0.88800000000000001</v>
      </c>
      <c r="EW410" s="7">
        <v>0.88900000000000001</v>
      </c>
      <c r="EX410" s="7">
        <v>0.89100000000000001</v>
      </c>
      <c r="EY410" s="7">
        <v>0.89300000000000002</v>
      </c>
      <c r="EZ410" s="7">
        <v>0.89500000000000002</v>
      </c>
      <c r="FA410" s="7">
        <v>0.89600000000000002</v>
      </c>
      <c r="FB410" s="7">
        <v>0.89800000000000002</v>
      </c>
      <c r="FC410" s="7">
        <v>0.9</v>
      </c>
      <c r="FE410" s="50">
        <f t="shared" ca="1" si="43"/>
        <v>0.83873946160905477</v>
      </c>
      <c r="FF410" s="50">
        <f t="shared" ca="1" si="44"/>
        <v>0.83735049663569361</v>
      </c>
      <c r="FG410" s="50">
        <f t="shared" ca="1" si="45"/>
        <v>0.835933154362416</v>
      </c>
      <c r="FH410" s="50">
        <f t="shared" ca="1" si="46"/>
        <v>0.83445664429530197</v>
      </c>
      <c r="FI410" s="50"/>
      <c r="FK410" s="50">
        <f t="shared" ca="1" si="42"/>
        <v>0.83735049663569361</v>
      </c>
      <c r="FL410" s="50"/>
      <c r="FM410" s="50"/>
      <c r="FN410" s="50"/>
    </row>
    <row r="411" spans="49:170" hidden="1">
      <c r="AW411" s="112">
        <v>66.069000000000003</v>
      </c>
      <c r="AX411" s="7">
        <v>0.53649999999999998</v>
      </c>
      <c r="AY411" s="7">
        <v>0.54359999999999997</v>
      </c>
      <c r="AZ411" s="7">
        <v>0.55049999999999999</v>
      </c>
      <c r="BA411" s="7">
        <v>0.55730000000000002</v>
      </c>
      <c r="BB411" s="7">
        <v>0.56389999999999996</v>
      </c>
      <c r="BC411" s="7">
        <v>0.57040000000000002</v>
      </c>
      <c r="BD411" s="7">
        <v>0.57669999999999999</v>
      </c>
      <c r="BE411" s="7">
        <v>0.58299999999999996</v>
      </c>
      <c r="BF411" s="7">
        <v>0.58909999999999996</v>
      </c>
      <c r="BG411" s="7">
        <v>0.59499999999999997</v>
      </c>
      <c r="BH411" s="7">
        <v>0.60089999999999999</v>
      </c>
      <c r="BI411" s="7">
        <v>0.60670000000000002</v>
      </c>
      <c r="BJ411" s="7">
        <v>0.61229999999999996</v>
      </c>
      <c r="BK411" s="7">
        <v>0.61780000000000002</v>
      </c>
      <c r="BL411" s="7">
        <v>0.62329999999999997</v>
      </c>
      <c r="BM411" s="7">
        <v>0.62860000000000005</v>
      </c>
      <c r="BN411" s="7">
        <v>0.63380000000000003</v>
      </c>
      <c r="BO411" s="7">
        <v>0.63900000000000001</v>
      </c>
      <c r="BP411" s="7">
        <v>0.64400000000000002</v>
      </c>
      <c r="BQ411" s="7">
        <v>0.64890000000000003</v>
      </c>
      <c r="BR411" s="7">
        <v>0.65380000000000005</v>
      </c>
      <c r="BS411" s="7">
        <v>0.65859999999999996</v>
      </c>
      <c r="BT411" s="7">
        <v>0.6633</v>
      </c>
      <c r="BU411" s="7">
        <v>0.66790000000000005</v>
      </c>
      <c r="BV411" s="7">
        <v>0.6724</v>
      </c>
      <c r="BW411" s="7">
        <v>0.67689999999999995</v>
      </c>
      <c r="BX411" s="7">
        <v>0.68120000000000003</v>
      </c>
      <c r="BY411" s="7">
        <v>0.6855</v>
      </c>
      <c r="BZ411" s="7">
        <v>0.68979999999999997</v>
      </c>
      <c r="CA411" s="7">
        <v>0.69389999999999996</v>
      </c>
      <c r="CB411" s="7">
        <v>0.69799999999999995</v>
      </c>
      <c r="CC411" s="7">
        <v>0.70209999999999995</v>
      </c>
      <c r="CD411" s="7">
        <v>0.70599999999999996</v>
      </c>
      <c r="CE411" s="7">
        <v>0.70989999999999998</v>
      </c>
      <c r="CF411" s="7">
        <v>0.71379999999999999</v>
      </c>
      <c r="CG411" s="7">
        <v>0.71760000000000002</v>
      </c>
      <c r="CH411" s="7">
        <v>0.72130000000000005</v>
      </c>
      <c r="CI411" s="7">
        <v>0.72499999999999998</v>
      </c>
      <c r="CJ411" s="7">
        <v>0.72860000000000003</v>
      </c>
      <c r="CK411" s="7">
        <v>0.73209999999999997</v>
      </c>
      <c r="CL411" s="7">
        <v>0.73560000000000003</v>
      </c>
      <c r="CM411" s="7">
        <v>0.73909999999999998</v>
      </c>
      <c r="CN411" s="7">
        <v>0.74250000000000005</v>
      </c>
      <c r="CO411" s="7">
        <v>0.74580000000000002</v>
      </c>
      <c r="CP411" s="7">
        <v>0.74919999999999998</v>
      </c>
      <c r="CQ411" s="7">
        <v>0.75239999999999996</v>
      </c>
      <c r="CR411" s="7">
        <v>0.75560000000000005</v>
      </c>
      <c r="CS411" s="7">
        <v>0.75880000000000003</v>
      </c>
      <c r="CT411" s="7">
        <v>0.76190000000000002</v>
      </c>
      <c r="CU411" s="7">
        <v>0.76500000000000001</v>
      </c>
      <c r="CV411" s="7">
        <v>0.76800000000000002</v>
      </c>
      <c r="CW411" s="7">
        <v>0.77100000000000002</v>
      </c>
      <c r="CX411" s="7">
        <v>0.77400000000000002</v>
      </c>
      <c r="CY411" s="7">
        <v>0.77690000000000003</v>
      </c>
      <c r="CZ411" s="7">
        <v>0.77980000000000005</v>
      </c>
      <c r="DA411" s="7">
        <v>0.78259999999999996</v>
      </c>
      <c r="DB411" s="7">
        <v>0.78549999999999998</v>
      </c>
      <c r="DC411" s="7">
        <v>0.78820000000000001</v>
      </c>
      <c r="DD411" s="7">
        <v>0.79100000000000004</v>
      </c>
      <c r="DE411" s="7">
        <v>0.79369999999999996</v>
      </c>
      <c r="DF411" s="7">
        <v>0.79630000000000001</v>
      </c>
      <c r="DG411" s="7">
        <v>0.79900000000000004</v>
      </c>
      <c r="DH411" s="7">
        <v>0.80159999999999998</v>
      </c>
      <c r="DI411" s="7">
        <v>0.80420000000000003</v>
      </c>
      <c r="DJ411" s="7">
        <v>0.80669999999999997</v>
      </c>
      <c r="DK411" s="7">
        <v>0.80920000000000003</v>
      </c>
      <c r="DL411" s="7">
        <v>0.81169999999999998</v>
      </c>
      <c r="DM411" s="7">
        <v>0.81420000000000003</v>
      </c>
      <c r="DN411" s="7">
        <v>0.81659999999999999</v>
      </c>
      <c r="DO411" s="7">
        <v>0.81899999999999995</v>
      </c>
      <c r="DP411" s="7">
        <v>0.82140000000000002</v>
      </c>
      <c r="DQ411" s="7">
        <v>0.82369999999999999</v>
      </c>
      <c r="DR411" s="7">
        <v>0.82599999999999996</v>
      </c>
      <c r="DS411" s="7">
        <v>0.82830000000000004</v>
      </c>
      <c r="DT411" s="7">
        <v>0.8306</v>
      </c>
      <c r="DU411" s="7">
        <v>0.83289999999999997</v>
      </c>
      <c r="DV411" s="7">
        <v>0.83509999999999995</v>
      </c>
      <c r="DW411" s="7">
        <v>0.83730000000000004</v>
      </c>
      <c r="DX411" s="7">
        <v>0.83950000000000002</v>
      </c>
      <c r="DY411" s="7">
        <v>0.84160000000000001</v>
      </c>
      <c r="DZ411" s="7">
        <v>0.84379999999999999</v>
      </c>
      <c r="EA411" s="7">
        <v>0.84589999999999999</v>
      </c>
      <c r="EB411" s="7">
        <v>0.84799999999999998</v>
      </c>
      <c r="EC411" s="7">
        <v>0.85</v>
      </c>
      <c r="ED411" s="7">
        <v>0.85209999999999997</v>
      </c>
      <c r="EE411" s="7">
        <v>0.85409999999999997</v>
      </c>
      <c r="EF411" s="7">
        <v>0.85619999999999996</v>
      </c>
      <c r="EG411" s="7">
        <v>0.85819999999999996</v>
      </c>
      <c r="EH411" s="7">
        <v>0.86019999999999996</v>
      </c>
      <c r="EI411" s="7">
        <v>0.86209999999999998</v>
      </c>
      <c r="EJ411" s="7">
        <v>0.86409999999999998</v>
      </c>
      <c r="EK411" s="7">
        <v>0.86599999999999999</v>
      </c>
      <c r="EL411" s="7">
        <v>0.8679</v>
      </c>
      <c r="EM411" s="7">
        <v>0.86980000000000002</v>
      </c>
      <c r="EN411" s="7">
        <v>0.87170000000000003</v>
      </c>
      <c r="EO411" s="7">
        <v>0.87360000000000004</v>
      </c>
      <c r="EP411" s="7">
        <v>0.87539999999999996</v>
      </c>
      <c r="EQ411" s="7">
        <v>0.87729999999999997</v>
      </c>
      <c r="ER411" s="7">
        <v>0.87909999999999999</v>
      </c>
      <c r="ES411" s="7">
        <v>0.88090000000000002</v>
      </c>
      <c r="ET411" s="7">
        <v>0.88300000000000001</v>
      </c>
      <c r="EU411" s="7">
        <v>0.88500000000000001</v>
      </c>
      <c r="EV411" s="7">
        <v>0.88600000000000001</v>
      </c>
      <c r="EW411" s="7">
        <v>0.88800000000000001</v>
      </c>
      <c r="EX411" s="7">
        <v>0.89</v>
      </c>
      <c r="EY411" s="7">
        <v>0.89200000000000002</v>
      </c>
      <c r="EZ411" s="7">
        <v>0.89300000000000002</v>
      </c>
      <c r="FA411" s="7">
        <v>0.89500000000000002</v>
      </c>
      <c r="FB411" s="7">
        <v>0.89700000000000002</v>
      </c>
      <c r="FC411" s="7">
        <v>0.89900000000000002</v>
      </c>
      <c r="FE411" s="50">
        <f t="shared" ca="1" si="43"/>
        <v>0.83773946160905477</v>
      </c>
      <c r="FF411" s="50">
        <f t="shared" ca="1" si="44"/>
        <v>0.83635049663569372</v>
      </c>
      <c r="FG411" s="50">
        <f t="shared" ca="1" si="45"/>
        <v>0.83493315436241611</v>
      </c>
      <c r="FH411" s="50">
        <f t="shared" ca="1" si="46"/>
        <v>0.83345664429530197</v>
      </c>
      <c r="FI411" s="50"/>
      <c r="FK411" s="50">
        <f t="shared" ca="1" si="42"/>
        <v>0.83635049663569372</v>
      </c>
      <c r="FL411" s="50"/>
      <c r="FM411" s="50"/>
      <c r="FN411" s="50"/>
    </row>
    <row r="412" spans="49:170" hidden="1">
      <c r="AW412" s="112">
        <v>70.795000000000002</v>
      </c>
      <c r="AX412" s="7">
        <v>0.53580000000000005</v>
      </c>
      <c r="AY412" s="7">
        <v>0.54290000000000005</v>
      </c>
      <c r="AZ412" s="7">
        <v>0.54979999999999996</v>
      </c>
      <c r="BA412" s="7">
        <v>0.55659999999999998</v>
      </c>
      <c r="BB412" s="7">
        <v>0.56320000000000003</v>
      </c>
      <c r="BC412" s="7">
        <v>0.56969999999999998</v>
      </c>
      <c r="BD412" s="7">
        <v>0.57599999999999996</v>
      </c>
      <c r="BE412" s="7">
        <v>0.58220000000000005</v>
      </c>
      <c r="BF412" s="7">
        <v>0.58830000000000005</v>
      </c>
      <c r="BG412" s="7">
        <v>0.59430000000000005</v>
      </c>
      <c r="BH412" s="7">
        <v>0.60019999999999996</v>
      </c>
      <c r="BI412" s="7">
        <v>0.60589999999999999</v>
      </c>
      <c r="BJ412" s="7">
        <v>0.61150000000000004</v>
      </c>
      <c r="BK412" s="7">
        <v>0.61709999999999998</v>
      </c>
      <c r="BL412" s="7">
        <v>0.62250000000000005</v>
      </c>
      <c r="BM412" s="7">
        <v>0.62780000000000002</v>
      </c>
      <c r="BN412" s="7">
        <v>0.63300000000000001</v>
      </c>
      <c r="BO412" s="7">
        <v>0.6381</v>
      </c>
      <c r="BP412" s="7">
        <v>0.64319999999999999</v>
      </c>
      <c r="BQ412" s="7">
        <v>0.64810000000000001</v>
      </c>
      <c r="BR412" s="7">
        <v>0.65300000000000002</v>
      </c>
      <c r="BS412" s="7">
        <v>0.65769999999999995</v>
      </c>
      <c r="BT412" s="7">
        <v>0.66239999999999999</v>
      </c>
      <c r="BU412" s="7">
        <v>0.66700000000000004</v>
      </c>
      <c r="BV412" s="7">
        <v>0.67159999999999997</v>
      </c>
      <c r="BW412" s="7">
        <v>0.67600000000000005</v>
      </c>
      <c r="BX412" s="7">
        <v>0.6804</v>
      </c>
      <c r="BY412" s="7">
        <v>0.68469999999999998</v>
      </c>
      <c r="BZ412" s="7">
        <v>0.68889999999999996</v>
      </c>
      <c r="CA412" s="7">
        <v>0.69310000000000005</v>
      </c>
      <c r="CB412" s="7">
        <v>0.69720000000000004</v>
      </c>
      <c r="CC412" s="7">
        <v>0.70120000000000005</v>
      </c>
      <c r="CD412" s="7">
        <v>0.70509999999999995</v>
      </c>
      <c r="CE412" s="7">
        <v>0.70899999999999996</v>
      </c>
      <c r="CF412" s="7">
        <v>0.71289999999999998</v>
      </c>
      <c r="CG412" s="7">
        <v>0.7167</v>
      </c>
      <c r="CH412" s="7">
        <v>0.72040000000000004</v>
      </c>
      <c r="CI412" s="7">
        <v>0.72399999999999998</v>
      </c>
      <c r="CJ412" s="7">
        <v>0.72770000000000001</v>
      </c>
      <c r="CK412" s="7">
        <v>0.73119999999999996</v>
      </c>
      <c r="CL412" s="7">
        <v>0.73470000000000002</v>
      </c>
      <c r="CM412" s="7">
        <v>0.73819999999999997</v>
      </c>
      <c r="CN412" s="7">
        <v>0.74160000000000004</v>
      </c>
      <c r="CO412" s="7">
        <v>0.74490000000000001</v>
      </c>
      <c r="CP412" s="7">
        <v>0.74819999999999998</v>
      </c>
      <c r="CQ412" s="7">
        <v>0.75149999999999995</v>
      </c>
      <c r="CR412" s="7">
        <v>0.75470000000000004</v>
      </c>
      <c r="CS412" s="7">
        <v>0.75780000000000003</v>
      </c>
      <c r="CT412" s="7">
        <v>0.76100000000000001</v>
      </c>
      <c r="CU412" s="7">
        <v>0.76400000000000001</v>
      </c>
      <c r="CV412" s="7">
        <v>0.7671</v>
      </c>
      <c r="CW412" s="7">
        <v>0.77010000000000001</v>
      </c>
      <c r="CX412" s="7">
        <v>0.77300000000000002</v>
      </c>
      <c r="CY412" s="7">
        <v>0.77590000000000003</v>
      </c>
      <c r="CZ412" s="7">
        <v>0.77880000000000005</v>
      </c>
      <c r="DA412" s="7">
        <v>0.78169999999999995</v>
      </c>
      <c r="DB412" s="7">
        <v>0.78449999999999998</v>
      </c>
      <c r="DC412" s="7">
        <v>0.78720000000000001</v>
      </c>
      <c r="DD412" s="7">
        <v>0.79</v>
      </c>
      <c r="DE412" s="7">
        <v>0.79269999999999996</v>
      </c>
      <c r="DF412" s="7">
        <v>0.79530000000000001</v>
      </c>
      <c r="DG412" s="7">
        <v>0.79800000000000004</v>
      </c>
      <c r="DH412" s="7">
        <v>0.80059999999999998</v>
      </c>
      <c r="DI412" s="7">
        <v>0.80320000000000003</v>
      </c>
      <c r="DJ412" s="7">
        <v>0.80569999999999997</v>
      </c>
      <c r="DK412" s="7">
        <v>0.80820000000000003</v>
      </c>
      <c r="DL412" s="7">
        <v>0.81069999999999998</v>
      </c>
      <c r="DM412" s="7">
        <v>0.81310000000000004</v>
      </c>
      <c r="DN412" s="7">
        <v>0.81559999999999999</v>
      </c>
      <c r="DO412" s="7">
        <v>0.81799999999999995</v>
      </c>
      <c r="DP412" s="7">
        <v>0.82030000000000003</v>
      </c>
      <c r="DQ412" s="7">
        <v>0.82269999999999999</v>
      </c>
      <c r="DR412" s="7">
        <v>0.82499999999999996</v>
      </c>
      <c r="DS412" s="7">
        <v>0.82730000000000004</v>
      </c>
      <c r="DT412" s="7">
        <v>0.8296</v>
      </c>
      <c r="DU412" s="7">
        <v>0.83179999999999998</v>
      </c>
      <c r="DV412" s="7">
        <v>0.83399999999999996</v>
      </c>
      <c r="DW412" s="7">
        <v>0.83620000000000005</v>
      </c>
      <c r="DX412" s="7">
        <v>0.83840000000000003</v>
      </c>
      <c r="DY412" s="7">
        <v>0.84060000000000001</v>
      </c>
      <c r="DZ412" s="7">
        <v>0.8427</v>
      </c>
      <c r="EA412" s="7">
        <v>0.8448</v>
      </c>
      <c r="EB412" s="7">
        <v>0.84689999999999999</v>
      </c>
      <c r="EC412" s="7">
        <v>0.84899999999999998</v>
      </c>
      <c r="ED412" s="7">
        <v>0.85099999999999998</v>
      </c>
      <c r="EE412" s="7">
        <v>0.85309999999999997</v>
      </c>
      <c r="EF412" s="7">
        <v>0.85509999999999997</v>
      </c>
      <c r="EG412" s="7">
        <v>0.85709999999999997</v>
      </c>
      <c r="EH412" s="7">
        <v>0.85909999999999997</v>
      </c>
      <c r="EI412" s="7">
        <v>0.86099999999999999</v>
      </c>
      <c r="EJ412" s="7">
        <v>0.86299999999999999</v>
      </c>
      <c r="EK412" s="7">
        <v>0.8649</v>
      </c>
      <c r="EL412" s="7">
        <v>0.86680000000000001</v>
      </c>
      <c r="EM412" s="7">
        <v>0.86870000000000003</v>
      </c>
      <c r="EN412" s="7">
        <v>0.87060000000000004</v>
      </c>
      <c r="EO412" s="7">
        <v>0.87250000000000005</v>
      </c>
      <c r="EP412" s="7">
        <v>0.87429999999999997</v>
      </c>
      <c r="EQ412" s="7">
        <v>0.87619999999999998</v>
      </c>
      <c r="ER412" s="7">
        <v>0.878</v>
      </c>
      <c r="ES412" s="7">
        <v>0.87980000000000003</v>
      </c>
      <c r="ET412" s="7">
        <v>0.88200000000000001</v>
      </c>
      <c r="EU412" s="7">
        <v>0.88300000000000001</v>
      </c>
      <c r="EV412" s="7">
        <v>0.88500000000000001</v>
      </c>
      <c r="EW412" s="7">
        <v>0.88700000000000001</v>
      </c>
      <c r="EX412" s="7">
        <v>0.88900000000000001</v>
      </c>
      <c r="EY412" s="7">
        <v>0.89100000000000001</v>
      </c>
      <c r="EZ412" s="7">
        <v>0.89200000000000002</v>
      </c>
      <c r="FA412" s="7">
        <v>0.89400000000000002</v>
      </c>
      <c r="FB412" s="7">
        <v>0.89600000000000002</v>
      </c>
      <c r="FC412" s="7">
        <v>0.89700000000000002</v>
      </c>
      <c r="FE412" s="50">
        <f t="shared" ca="1" si="43"/>
        <v>0.83663946160905478</v>
      </c>
      <c r="FF412" s="50">
        <f t="shared" ca="1" si="44"/>
        <v>0.83525049663569362</v>
      </c>
      <c r="FG412" s="50">
        <f t="shared" ca="1" si="45"/>
        <v>0.83383315436241601</v>
      </c>
      <c r="FH412" s="50">
        <f t="shared" ca="1" si="46"/>
        <v>0.83235664429530198</v>
      </c>
      <c r="FI412" s="50"/>
      <c r="FK412" s="50">
        <f t="shared" ca="1" si="42"/>
        <v>0.83525049663569362</v>
      </c>
      <c r="FL412" s="50"/>
      <c r="FM412" s="50"/>
      <c r="FN412" s="50"/>
    </row>
    <row r="413" spans="49:170" hidden="1">
      <c r="AW413" s="112">
        <v>75.858000000000004</v>
      </c>
      <c r="AX413" s="7">
        <v>0.53520000000000001</v>
      </c>
      <c r="AY413" s="7">
        <v>0.54220000000000002</v>
      </c>
      <c r="AZ413" s="7">
        <v>0.54910000000000003</v>
      </c>
      <c r="BA413" s="7">
        <v>0.55589999999999995</v>
      </c>
      <c r="BB413" s="7">
        <v>0.5625</v>
      </c>
      <c r="BC413" s="7">
        <v>0.56899999999999995</v>
      </c>
      <c r="BD413" s="7">
        <v>0.57530000000000003</v>
      </c>
      <c r="BE413" s="7">
        <v>0.58150000000000002</v>
      </c>
      <c r="BF413" s="7">
        <v>0.58760000000000001</v>
      </c>
      <c r="BG413" s="7">
        <v>0.59360000000000002</v>
      </c>
      <c r="BH413" s="7">
        <v>0.59940000000000004</v>
      </c>
      <c r="BI413" s="7">
        <v>0.60509999999999997</v>
      </c>
      <c r="BJ413" s="7">
        <v>0.61080000000000001</v>
      </c>
      <c r="BK413" s="7">
        <v>0.61629999999999996</v>
      </c>
      <c r="BL413" s="7">
        <v>0.62170000000000003</v>
      </c>
      <c r="BM413" s="7">
        <v>0.627</v>
      </c>
      <c r="BN413" s="7">
        <v>0.63219999999999998</v>
      </c>
      <c r="BO413" s="7">
        <v>0.63739999999999997</v>
      </c>
      <c r="BP413" s="7">
        <v>0.64239999999999997</v>
      </c>
      <c r="BQ413" s="7">
        <v>0.64729999999999999</v>
      </c>
      <c r="BR413" s="7">
        <v>0.6522</v>
      </c>
      <c r="BS413" s="7">
        <v>0.65690000000000004</v>
      </c>
      <c r="BT413" s="7">
        <v>0.66159999999999997</v>
      </c>
      <c r="BU413" s="7">
        <v>0.66620000000000001</v>
      </c>
      <c r="BV413" s="7">
        <v>0.67069999999999996</v>
      </c>
      <c r="BW413" s="7">
        <v>0.67520000000000002</v>
      </c>
      <c r="BX413" s="7">
        <v>0.67949999999999999</v>
      </c>
      <c r="BY413" s="7">
        <v>0.68379999999999996</v>
      </c>
      <c r="BZ413" s="7">
        <v>0.68810000000000004</v>
      </c>
      <c r="CA413" s="7">
        <v>0.69220000000000004</v>
      </c>
      <c r="CB413" s="7">
        <v>0.69630000000000003</v>
      </c>
      <c r="CC413" s="7">
        <v>0.70030000000000003</v>
      </c>
      <c r="CD413" s="7">
        <v>0.70430000000000004</v>
      </c>
      <c r="CE413" s="7">
        <v>0.70820000000000005</v>
      </c>
      <c r="CF413" s="7">
        <v>0.71199999999999997</v>
      </c>
      <c r="CG413" s="7">
        <v>0.71579999999999999</v>
      </c>
      <c r="CH413" s="7">
        <v>0.71950000000000003</v>
      </c>
      <c r="CI413" s="7">
        <v>0.72309999999999997</v>
      </c>
      <c r="CJ413" s="7">
        <v>0.72670000000000001</v>
      </c>
      <c r="CK413" s="7">
        <v>0.73029999999999995</v>
      </c>
      <c r="CL413" s="7">
        <v>0.73380000000000001</v>
      </c>
      <c r="CM413" s="7">
        <v>0.73719999999999997</v>
      </c>
      <c r="CN413" s="7">
        <v>0.74060000000000004</v>
      </c>
      <c r="CO413" s="7">
        <v>0.74399999999999999</v>
      </c>
      <c r="CP413" s="7">
        <v>0.74729999999999996</v>
      </c>
      <c r="CQ413" s="7">
        <v>0.75049999999999994</v>
      </c>
      <c r="CR413" s="7">
        <v>0.75370000000000004</v>
      </c>
      <c r="CS413" s="7">
        <v>0.75690000000000002</v>
      </c>
      <c r="CT413" s="7">
        <v>0.76</v>
      </c>
      <c r="CU413" s="7">
        <v>0.7631</v>
      </c>
      <c r="CV413" s="7">
        <v>0.7661</v>
      </c>
      <c r="CW413" s="7">
        <v>0.76910000000000001</v>
      </c>
      <c r="CX413" s="7">
        <v>0.77210000000000001</v>
      </c>
      <c r="CY413" s="7">
        <v>0.77500000000000002</v>
      </c>
      <c r="CZ413" s="7">
        <v>0.77790000000000004</v>
      </c>
      <c r="DA413" s="7">
        <v>0.78069999999999995</v>
      </c>
      <c r="DB413" s="7">
        <v>0.78349999999999997</v>
      </c>
      <c r="DC413" s="7">
        <v>0.7863</v>
      </c>
      <c r="DD413" s="7">
        <v>0.78900000000000003</v>
      </c>
      <c r="DE413" s="7">
        <v>0.79169999999999996</v>
      </c>
      <c r="DF413" s="7">
        <v>0.7944</v>
      </c>
      <c r="DG413" s="7">
        <v>0.79700000000000004</v>
      </c>
      <c r="DH413" s="7">
        <v>0.79959999999999998</v>
      </c>
      <c r="DI413" s="7">
        <v>0.80220000000000002</v>
      </c>
      <c r="DJ413" s="7">
        <v>0.80469999999999997</v>
      </c>
      <c r="DK413" s="7">
        <v>0.80720000000000003</v>
      </c>
      <c r="DL413" s="7">
        <v>0.80969999999999998</v>
      </c>
      <c r="DM413" s="7">
        <v>0.81210000000000004</v>
      </c>
      <c r="DN413" s="7">
        <v>0.8145</v>
      </c>
      <c r="DO413" s="7">
        <v>0.81689999999999996</v>
      </c>
      <c r="DP413" s="7">
        <v>0.81930000000000003</v>
      </c>
      <c r="DQ413" s="7">
        <v>0.82169999999999999</v>
      </c>
      <c r="DR413" s="7">
        <v>0.82399999999999995</v>
      </c>
      <c r="DS413" s="7">
        <v>0.82630000000000003</v>
      </c>
      <c r="DT413" s="7">
        <v>0.82850000000000001</v>
      </c>
      <c r="DU413" s="7">
        <v>0.83079999999999998</v>
      </c>
      <c r="DV413" s="7">
        <v>0.83299999999999996</v>
      </c>
      <c r="DW413" s="7">
        <v>0.83520000000000005</v>
      </c>
      <c r="DX413" s="7">
        <v>0.83740000000000003</v>
      </c>
      <c r="DY413" s="7">
        <v>0.83950000000000002</v>
      </c>
      <c r="DZ413" s="7">
        <v>0.8417</v>
      </c>
      <c r="EA413" s="7">
        <v>0.84379999999999999</v>
      </c>
      <c r="EB413" s="7">
        <v>0.84589999999999999</v>
      </c>
      <c r="EC413" s="7">
        <v>0.84789999999999999</v>
      </c>
      <c r="ED413" s="7">
        <v>0.85</v>
      </c>
      <c r="EE413" s="7">
        <v>0.85199999999999998</v>
      </c>
      <c r="EF413" s="7">
        <v>0.85399999999999998</v>
      </c>
      <c r="EG413" s="7">
        <v>0.85599999999999998</v>
      </c>
      <c r="EH413" s="7">
        <v>0.85799999999999998</v>
      </c>
      <c r="EI413" s="7">
        <v>0.86</v>
      </c>
      <c r="EJ413" s="7">
        <v>0.8619</v>
      </c>
      <c r="EK413" s="7">
        <v>0.86380000000000001</v>
      </c>
      <c r="EL413" s="7">
        <v>0.86580000000000001</v>
      </c>
      <c r="EM413" s="7">
        <v>0.86770000000000003</v>
      </c>
      <c r="EN413" s="7">
        <v>0.86950000000000005</v>
      </c>
      <c r="EO413" s="7">
        <v>0.87139999999999995</v>
      </c>
      <c r="EP413" s="7">
        <v>0.87329999999999997</v>
      </c>
      <c r="EQ413" s="7">
        <v>0.87509999999999999</v>
      </c>
      <c r="ER413" s="7">
        <v>0.87690000000000001</v>
      </c>
      <c r="ES413" s="7">
        <v>0.87870000000000004</v>
      </c>
      <c r="ET413" s="7">
        <v>0.88100000000000001</v>
      </c>
      <c r="EU413" s="7">
        <v>0.88200000000000001</v>
      </c>
      <c r="EV413" s="7">
        <v>0.88400000000000001</v>
      </c>
      <c r="EW413" s="7">
        <v>0.88600000000000001</v>
      </c>
      <c r="EX413" s="7">
        <v>0.88800000000000001</v>
      </c>
      <c r="EY413" s="7">
        <v>0.88900000000000001</v>
      </c>
      <c r="EZ413" s="7">
        <v>0.89100000000000001</v>
      </c>
      <c r="FA413" s="7">
        <v>0.89300000000000002</v>
      </c>
      <c r="FB413" s="7">
        <v>0.89500000000000002</v>
      </c>
      <c r="FC413" s="7">
        <v>0.89600000000000002</v>
      </c>
      <c r="FE413" s="50">
        <f t="shared" ca="1" si="43"/>
        <v>0.83563946160905478</v>
      </c>
      <c r="FF413" s="50">
        <f t="shared" ca="1" si="44"/>
        <v>0.83425049663569373</v>
      </c>
      <c r="FG413" s="50">
        <f t="shared" ca="1" si="45"/>
        <v>0.83283315436241612</v>
      </c>
      <c r="FH413" s="50">
        <f t="shared" ca="1" si="46"/>
        <v>0.83135664429530198</v>
      </c>
      <c r="FI413" s="50"/>
      <c r="FK413" s="50">
        <f t="shared" ca="1" si="42"/>
        <v>0.83425049663569373</v>
      </c>
      <c r="FL413" s="50"/>
      <c r="FM413" s="50"/>
      <c r="FN413" s="50"/>
    </row>
    <row r="414" spans="49:170" hidden="1">
      <c r="AW414" s="112">
        <v>81.283000000000001</v>
      </c>
      <c r="AX414" s="7">
        <v>0.53449999999999998</v>
      </c>
      <c r="AY414" s="7">
        <v>0.54159999999999997</v>
      </c>
      <c r="AZ414" s="7">
        <v>0.5484</v>
      </c>
      <c r="BA414" s="7">
        <v>0.55520000000000003</v>
      </c>
      <c r="BB414" s="7">
        <v>0.56179999999999997</v>
      </c>
      <c r="BC414" s="7">
        <v>0.56830000000000003</v>
      </c>
      <c r="BD414" s="7">
        <v>0.5746</v>
      </c>
      <c r="BE414" s="7">
        <v>0.58079999999999998</v>
      </c>
      <c r="BF414" s="7">
        <v>0.58689999999999998</v>
      </c>
      <c r="BG414" s="7">
        <v>0.59279999999999999</v>
      </c>
      <c r="BH414" s="7">
        <v>0.59870000000000001</v>
      </c>
      <c r="BI414" s="7">
        <v>0.60440000000000005</v>
      </c>
      <c r="BJ414" s="7">
        <v>0.61</v>
      </c>
      <c r="BK414" s="7">
        <v>0.61550000000000005</v>
      </c>
      <c r="BL414" s="7">
        <v>0.62090000000000001</v>
      </c>
      <c r="BM414" s="7">
        <v>0.62629999999999997</v>
      </c>
      <c r="BN414" s="7">
        <v>0.63149999999999995</v>
      </c>
      <c r="BO414" s="7">
        <v>0.63660000000000005</v>
      </c>
      <c r="BP414" s="7">
        <v>0.64159999999999995</v>
      </c>
      <c r="BQ414" s="7">
        <v>0.64649999999999996</v>
      </c>
      <c r="BR414" s="7">
        <v>0.65139999999999998</v>
      </c>
      <c r="BS414" s="7">
        <v>0.65610000000000002</v>
      </c>
      <c r="BT414" s="7">
        <v>0.66080000000000005</v>
      </c>
      <c r="BU414" s="7">
        <v>0.66539999999999999</v>
      </c>
      <c r="BV414" s="7">
        <v>0.66990000000000005</v>
      </c>
      <c r="BW414" s="7">
        <v>0.67430000000000001</v>
      </c>
      <c r="BX414" s="7">
        <v>0.67869999999999997</v>
      </c>
      <c r="BY414" s="7">
        <v>0.68300000000000005</v>
      </c>
      <c r="BZ414" s="7">
        <v>0.68720000000000003</v>
      </c>
      <c r="CA414" s="7">
        <v>0.69140000000000001</v>
      </c>
      <c r="CB414" s="7">
        <v>0.69540000000000002</v>
      </c>
      <c r="CC414" s="7">
        <v>0.69950000000000001</v>
      </c>
      <c r="CD414" s="7">
        <v>0.70340000000000003</v>
      </c>
      <c r="CE414" s="7">
        <v>0.70730000000000004</v>
      </c>
      <c r="CF414" s="7">
        <v>0.71109999999999995</v>
      </c>
      <c r="CG414" s="7">
        <v>0.71489999999999998</v>
      </c>
      <c r="CH414" s="7">
        <v>0.71860000000000002</v>
      </c>
      <c r="CI414" s="7">
        <v>0.72230000000000005</v>
      </c>
      <c r="CJ414" s="7">
        <v>0.72589999999999999</v>
      </c>
      <c r="CK414" s="7">
        <v>0.72940000000000005</v>
      </c>
      <c r="CL414" s="7">
        <v>0.7329</v>
      </c>
      <c r="CM414" s="7">
        <v>0.73629999999999995</v>
      </c>
      <c r="CN414" s="7">
        <v>0.73970000000000002</v>
      </c>
      <c r="CO414" s="7">
        <v>0.74309999999999998</v>
      </c>
      <c r="CP414" s="7">
        <v>0.74639999999999995</v>
      </c>
      <c r="CQ414" s="7">
        <v>0.74960000000000004</v>
      </c>
      <c r="CR414" s="7">
        <v>0.75280000000000002</v>
      </c>
      <c r="CS414" s="7">
        <v>0.75600000000000001</v>
      </c>
      <c r="CT414" s="7">
        <v>0.7591</v>
      </c>
      <c r="CU414" s="7">
        <v>0.76219999999999999</v>
      </c>
      <c r="CV414" s="7">
        <v>0.76519999999999999</v>
      </c>
      <c r="CW414" s="7">
        <v>0.76819999999999999</v>
      </c>
      <c r="CX414" s="7">
        <v>0.77110000000000001</v>
      </c>
      <c r="CY414" s="7">
        <v>0.77400000000000002</v>
      </c>
      <c r="CZ414" s="7">
        <v>0.77690000000000003</v>
      </c>
      <c r="DA414" s="7">
        <v>0.77969999999999995</v>
      </c>
      <c r="DB414" s="7">
        <v>0.78249999999999997</v>
      </c>
      <c r="DC414" s="7">
        <v>0.7853</v>
      </c>
      <c r="DD414" s="7">
        <v>0.78800000000000003</v>
      </c>
      <c r="DE414" s="7">
        <v>0.79069999999999996</v>
      </c>
      <c r="DF414" s="7">
        <v>0.79339999999999999</v>
      </c>
      <c r="DG414" s="7">
        <v>0.79600000000000004</v>
      </c>
      <c r="DH414" s="7">
        <v>0.79859999999999998</v>
      </c>
      <c r="DI414" s="7">
        <v>0.80120000000000002</v>
      </c>
      <c r="DJ414" s="7">
        <v>0.80369999999999997</v>
      </c>
      <c r="DK414" s="7">
        <v>0.80620000000000003</v>
      </c>
      <c r="DL414" s="7">
        <v>0.80869999999999997</v>
      </c>
      <c r="DM414" s="7">
        <v>0.81110000000000004</v>
      </c>
      <c r="DN414" s="7">
        <v>0.8135</v>
      </c>
      <c r="DO414" s="7">
        <v>0.81589999999999996</v>
      </c>
      <c r="DP414" s="7">
        <v>0.81830000000000003</v>
      </c>
      <c r="DQ414" s="7">
        <v>0.8206</v>
      </c>
      <c r="DR414" s="7">
        <v>0.82299999999999995</v>
      </c>
      <c r="DS414" s="7">
        <v>0.82520000000000004</v>
      </c>
      <c r="DT414" s="7">
        <v>0.82750000000000001</v>
      </c>
      <c r="DU414" s="7">
        <v>0.82979999999999998</v>
      </c>
      <c r="DV414" s="7">
        <v>0.83199999999999996</v>
      </c>
      <c r="DW414" s="7">
        <v>0.83420000000000005</v>
      </c>
      <c r="DX414" s="7">
        <v>0.83630000000000004</v>
      </c>
      <c r="DY414" s="7">
        <v>0.83850000000000002</v>
      </c>
      <c r="DZ414" s="7">
        <v>0.84060000000000001</v>
      </c>
      <c r="EA414" s="7">
        <v>0.8427</v>
      </c>
      <c r="EB414" s="7">
        <v>0.8448</v>
      </c>
      <c r="EC414" s="7">
        <v>0.84689999999999999</v>
      </c>
      <c r="ED414" s="7">
        <v>0.84889999999999999</v>
      </c>
      <c r="EE414" s="7">
        <v>0.85099999999999998</v>
      </c>
      <c r="EF414" s="7">
        <v>0.85299999999999998</v>
      </c>
      <c r="EG414" s="7">
        <v>0.85499999999999998</v>
      </c>
      <c r="EH414" s="7">
        <v>0.8569</v>
      </c>
      <c r="EI414" s="7">
        <v>0.8589</v>
      </c>
      <c r="EJ414" s="7">
        <v>0.8609</v>
      </c>
      <c r="EK414" s="7">
        <v>0.86280000000000001</v>
      </c>
      <c r="EL414" s="7">
        <v>0.86470000000000002</v>
      </c>
      <c r="EM414" s="7">
        <v>0.86660000000000004</v>
      </c>
      <c r="EN414" s="7">
        <v>0.86850000000000005</v>
      </c>
      <c r="EO414" s="7">
        <v>0.87029999999999996</v>
      </c>
      <c r="EP414" s="7">
        <v>0.87219999999999998</v>
      </c>
      <c r="EQ414" s="7">
        <v>0.874</v>
      </c>
      <c r="ER414" s="7">
        <v>0.87580000000000002</v>
      </c>
      <c r="ES414" s="7">
        <v>0.87770000000000004</v>
      </c>
      <c r="ET414" s="7">
        <v>0.88</v>
      </c>
      <c r="EU414" s="7">
        <v>0.88100000000000001</v>
      </c>
      <c r="EV414" s="7">
        <v>0.88300000000000001</v>
      </c>
      <c r="EW414" s="7">
        <v>0.88500000000000001</v>
      </c>
      <c r="EX414" s="7">
        <v>0.88700000000000001</v>
      </c>
      <c r="EY414" s="7">
        <v>0.88800000000000001</v>
      </c>
      <c r="EZ414" s="7">
        <v>0.89</v>
      </c>
      <c r="FA414" s="7">
        <v>0.89200000000000002</v>
      </c>
      <c r="FB414" s="7">
        <v>0.89400000000000002</v>
      </c>
      <c r="FC414" s="7">
        <v>0.89500000000000002</v>
      </c>
      <c r="FE414" s="50">
        <f t="shared" ca="1" si="43"/>
        <v>0.83461948608137049</v>
      </c>
      <c r="FF414" s="50">
        <f t="shared" ca="1" si="44"/>
        <v>0.83325049663569362</v>
      </c>
      <c r="FG414" s="50">
        <f t="shared" ca="1" si="45"/>
        <v>0.83183315436241601</v>
      </c>
      <c r="FH414" s="50">
        <f t="shared" ca="1" si="46"/>
        <v>0.83035664429530198</v>
      </c>
      <c r="FI414" s="50"/>
      <c r="FK414" s="50">
        <f t="shared" ca="1" si="42"/>
        <v>0.83325049663569362</v>
      </c>
      <c r="FL414" s="50"/>
      <c r="FM414" s="50"/>
      <c r="FN414" s="50"/>
    </row>
    <row r="415" spans="49:170" hidden="1">
      <c r="AW415" s="112">
        <v>87.096000000000004</v>
      </c>
      <c r="AX415" s="7">
        <v>0.53390000000000004</v>
      </c>
      <c r="AY415" s="7">
        <v>0.54090000000000005</v>
      </c>
      <c r="AZ415" s="7">
        <v>0.54779999999999995</v>
      </c>
      <c r="BA415" s="7">
        <v>0.55449999999999999</v>
      </c>
      <c r="BB415" s="7">
        <v>0.56110000000000004</v>
      </c>
      <c r="BC415" s="7">
        <v>0.56759999999999999</v>
      </c>
      <c r="BD415" s="7">
        <v>0.57389999999999997</v>
      </c>
      <c r="BE415" s="7">
        <v>0.58009999999999995</v>
      </c>
      <c r="BF415" s="7">
        <v>0.58620000000000005</v>
      </c>
      <c r="BG415" s="7">
        <v>0.59209999999999996</v>
      </c>
      <c r="BH415" s="7">
        <v>0.59789999999999999</v>
      </c>
      <c r="BI415" s="7">
        <v>0.60370000000000001</v>
      </c>
      <c r="BJ415" s="7">
        <v>0.60929999999999995</v>
      </c>
      <c r="BK415" s="7">
        <v>0.61480000000000001</v>
      </c>
      <c r="BL415" s="7">
        <v>0.62019999999999997</v>
      </c>
      <c r="BM415" s="7">
        <v>0.62549999999999994</v>
      </c>
      <c r="BN415" s="7">
        <v>0.63070000000000004</v>
      </c>
      <c r="BO415" s="7">
        <v>0.63580000000000003</v>
      </c>
      <c r="BP415" s="7">
        <v>0.64080000000000004</v>
      </c>
      <c r="BQ415" s="7">
        <v>0.64570000000000005</v>
      </c>
      <c r="BR415" s="7">
        <v>0.65059999999999996</v>
      </c>
      <c r="BS415" s="7">
        <v>0.65529999999999999</v>
      </c>
      <c r="BT415" s="7">
        <v>0.66</v>
      </c>
      <c r="BU415" s="7">
        <v>0.66459999999999997</v>
      </c>
      <c r="BV415" s="7">
        <v>0.66910000000000003</v>
      </c>
      <c r="BW415" s="7">
        <v>0.67349999999999999</v>
      </c>
      <c r="BX415" s="7">
        <v>0.67789999999999995</v>
      </c>
      <c r="BY415" s="7">
        <v>0.68220000000000003</v>
      </c>
      <c r="BZ415" s="7">
        <v>0.68640000000000001</v>
      </c>
      <c r="CA415" s="7">
        <v>0.6905</v>
      </c>
      <c r="CB415" s="7">
        <v>0.6946</v>
      </c>
      <c r="CC415" s="7">
        <v>0.6986</v>
      </c>
      <c r="CD415" s="7">
        <v>0.70250000000000001</v>
      </c>
      <c r="CE415" s="7">
        <v>0.70640000000000003</v>
      </c>
      <c r="CF415" s="7">
        <v>0.71030000000000004</v>
      </c>
      <c r="CG415" s="7">
        <v>0.71399999999999997</v>
      </c>
      <c r="CH415" s="7">
        <v>0.7177</v>
      </c>
      <c r="CI415" s="7">
        <v>0.72140000000000004</v>
      </c>
      <c r="CJ415" s="7">
        <v>0.72499999999999998</v>
      </c>
      <c r="CK415" s="7">
        <v>0.72850000000000004</v>
      </c>
      <c r="CL415" s="7">
        <v>0.73199999999999998</v>
      </c>
      <c r="CM415" s="7">
        <v>0.73540000000000005</v>
      </c>
      <c r="CN415" s="7">
        <v>0.73880000000000001</v>
      </c>
      <c r="CO415" s="7">
        <v>0.74219999999999997</v>
      </c>
      <c r="CP415" s="7">
        <v>0.74550000000000005</v>
      </c>
      <c r="CQ415" s="7">
        <v>0.74870000000000003</v>
      </c>
      <c r="CR415" s="7">
        <v>0.75190000000000001</v>
      </c>
      <c r="CS415" s="7">
        <v>0.75509999999999999</v>
      </c>
      <c r="CT415" s="7">
        <v>0.75819999999999999</v>
      </c>
      <c r="CU415" s="7">
        <v>0.76119999999999999</v>
      </c>
      <c r="CV415" s="7">
        <v>0.76429999999999998</v>
      </c>
      <c r="CW415" s="7">
        <v>0.76719999999999999</v>
      </c>
      <c r="CX415" s="7">
        <v>0.7702</v>
      </c>
      <c r="CY415" s="7">
        <v>0.77310000000000001</v>
      </c>
      <c r="CZ415" s="7">
        <v>0.77600000000000002</v>
      </c>
      <c r="DA415" s="7">
        <v>0.77880000000000005</v>
      </c>
      <c r="DB415" s="7">
        <v>0.78159999999999996</v>
      </c>
      <c r="DC415" s="7">
        <v>0.7843</v>
      </c>
      <c r="DD415" s="7">
        <v>0.78710000000000002</v>
      </c>
      <c r="DE415" s="7">
        <v>0.78979999999999995</v>
      </c>
      <c r="DF415" s="7">
        <v>0.79239999999999999</v>
      </c>
      <c r="DG415" s="7">
        <v>0.79500000000000004</v>
      </c>
      <c r="DH415" s="7">
        <v>0.79759999999999998</v>
      </c>
      <c r="DI415" s="7">
        <v>0.80020000000000002</v>
      </c>
      <c r="DJ415" s="7">
        <v>0.80269999999999997</v>
      </c>
      <c r="DK415" s="7">
        <v>0.80520000000000003</v>
      </c>
      <c r="DL415" s="7">
        <v>0.80769999999999997</v>
      </c>
      <c r="DM415" s="7">
        <v>0.81010000000000004</v>
      </c>
      <c r="DN415" s="7">
        <v>0.81259999999999999</v>
      </c>
      <c r="DO415" s="7">
        <v>0.81489999999999996</v>
      </c>
      <c r="DP415" s="7">
        <v>0.81730000000000003</v>
      </c>
      <c r="DQ415" s="7">
        <v>0.8196</v>
      </c>
      <c r="DR415" s="7">
        <v>0.82199999999999995</v>
      </c>
      <c r="DS415" s="7">
        <v>0.82420000000000004</v>
      </c>
      <c r="DT415" s="7">
        <v>0.82650000000000001</v>
      </c>
      <c r="DU415" s="7">
        <v>0.82869999999999999</v>
      </c>
      <c r="DV415" s="7">
        <v>0.83099999999999996</v>
      </c>
      <c r="DW415" s="7">
        <v>0.83309999999999995</v>
      </c>
      <c r="DX415" s="7">
        <v>0.83530000000000004</v>
      </c>
      <c r="DY415" s="7">
        <v>0.83750000000000002</v>
      </c>
      <c r="DZ415" s="7">
        <v>0.83960000000000001</v>
      </c>
      <c r="EA415" s="7">
        <v>0.8417</v>
      </c>
      <c r="EB415" s="7">
        <v>0.84379999999999999</v>
      </c>
      <c r="EC415" s="7">
        <v>0.84589999999999999</v>
      </c>
      <c r="ED415" s="7">
        <v>0.84789999999999999</v>
      </c>
      <c r="EE415" s="7">
        <v>0.84989999999999999</v>
      </c>
      <c r="EF415" s="7">
        <v>0.85189999999999999</v>
      </c>
      <c r="EG415" s="7">
        <v>0.85389999999999999</v>
      </c>
      <c r="EH415" s="7">
        <v>0.85589999999999999</v>
      </c>
      <c r="EI415" s="7">
        <v>0.8579</v>
      </c>
      <c r="EJ415" s="7">
        <v>0.85980000000000001</v>
      </c>
      <c r="EK415" s="7">
        <v>0.86170000000000002</v>
      </c>
      <c r="EL415" s="7">
        <v>0.86360000000000003</v>
      </c>
      <c r="EM415" s="7">
        <v>0.86550000000000005</v>
      </c>
      <c r="EN415" s="7">
        <v>0.86739999999999995</v>
      </c>
      <c r="EO415" s="7">
        <v>0.86929999999999996</v>
      </c>
      <c r="EP415" s="7">
        <v>0.87109999999999999</v>
      </c>
      <c r="EQ415" s="7">
        <v>0.873</v>
      </c>
      <c r="ER415" s="7">
        <v>0.87480000000000002</v>
      </c>
      <c r="ES415" s="7">
        <v>0.87660000000000005</v>
      </c>
      <c r="ET415" s="7">
        <v>0.878</v>
      </c>
      <c r="EU415" s="7">
        <v>0.88</v>
      </c>
      <c r="EV415" s="7">
        <v>0.88200000000000001</v>
      </c>
      <c r="EW415" s="7">
        <v>0.88400000000000001</v>
      </c>
      <c r="EX415" s="7">
        <v>0.88600000000000001</v>
      </c>
      <c r="EY415" s="7">
        <v>0.88700000000000001</v>
      </c>
      <c r="EZ415" s="7">
        <v>0.88900000000000001</v>
      </c>
      <c r="FA415" s="7">
        <v>0.89100000000000001</v>
      </c>
      <c r="FB415" s="7">
        <v>0.89200000000000002</v>
      </c>
      <c r="FC415" s="7">
        <v>0.89400000000000002</v>
      </c>
      <c r="FE415" s="50">
        <f t="shared" ca="1" si="43"/>
        <v>0.83353946160905479</v>
      </c>
      <c r="FF415" s="50">
        <f t="shared" ca="1" si="44"/>
        <v>0.83219365587952576</v>
      </c>
      <c r="FG415" s="50">
        <f t="shared" ca="1" si="45"/>
        <v>0.83082557046979866</v>
      </c>
      <c r="FH415" s="50">
        <f t="shared" ca="1" si="46"/>
        <v>0.82928194630872487</v>
      </c>
      <c r="FI415" s="50"/>
      <c r="FK415" s="50">
        <f t="shared" ca="1" si="42"/>
        <v>0.83219365587952576</v>
      </c>
      <c r="FL415" s="50"/>
      <c r="FM415" s="50"/>
      <c r="FN415" s="50"/>
    </row>
    <row r="416" spans="49:170" hidden="1">
      <c r="AW416" s="112">
        <v>93.325000000000003</v>
      </c>
      <c r="AX416" s="7">
        <v>0.53320000000000001</v>
      </c>
      <c r="AY416" s="7">
        <v>0.54020000000000001</v>
      </c>
      <c r="AZ416" s="7">
        <v>0.54710000000000003</v>
      </c>
      <c r="BA416" s="7">
        <v>0.55379999999999996</v>
      </c>
      <c r="BB416" s="7">
        <v>0.56040000000000001</v>
      </c>
      <c r="BC416" s="7">
        <v>0.56689999999999996</v>
      </c>
      <c r="BD416" s="7">
        <v>0.57320000000000004</v>
      </c>
      <c r="BE416" s="7">
        <v>0.57940000000000003</v>
      </c>
      <c r="BF416" s="7">
        <v>0.58550000000000002</v>
      </c>
      <c r="BG416" s="7">
        <v>0.59140000000000004</v>
      </c>
      <c r="BH416" s="7">
        <v>0.59719999999999995</v>
      </c>
      <c r="BI416" s="7">
        <v>0.60289999999999999</v>
      </c>
      <c r="BJ416" s="7">
        <v>0.60850000000000004</v>
      </c>
      <c r="BK416" s="7">
        <v>0.61399999999999999</v>
      </c>
      <c r="BL416" s="7">
        <v>0.61939999999999995</v>
      </c>
      <c r="BM416" s="7">
        <v>0.62470000000000003</v>
      </c>
      <c r="BN416" s="7">
        <v>0.62990000000000002</v>
      </c>
      <c r="BO416" s="7">
        <v>0.63500000000000001</v>
      </c>
      <c r="BP416" s="7">
        <v>0.64</v>
      </c>
      <c r="BQ416" s="7">
        <v>0.64500000000000002</v>
      </c>
      <c r="BR416" s="7">
        <v>0.64980000000000004</v>
      </c>
      <c r="BS416" s="7">
        <v>0.65449999999999997</v>
      </c>
      <c r="BT416" s="7">
        <v>0.65920000000000001</v>
      </c>
      <c r="BU416" s="7">
        <v>0.66379999999999995</v>
      </c>
      <c r="BV416" s="7">
        <v>0.66830000000000001</v>
      </c>
      <c r="BW416" s="7">
        <v>0.67269999999999996</v>
      </c>
      <c r="BX416" s="7">
        <v>0.67710000000000004</v>
      </c>
      <c r="BY416" s="7">
        <v>0.68130000000000002</v>
      </c>
      <c r="BZ416" s="7">
        <v>0.6855</v>
      </c>
      <c r="CA416" s="7">
        <v>0.68969999999999998</v>
      </c>
      <c r="CB416" s="7">
        <v>0.69379999999999997</v>
      </c>
      <c r="CC416" s="7">
        <v>0.69779999999999998</v>
      </c>
      <c r="CD416" s="7">
        <v>0.70169999999999999</v>
      </c>
      <c r="CE416" s="7">
        <v>0.7056</v>
      </c>
      <c r="CF416" s="7">
        <v>0.70940000000000003</v>
      </c>
      <c r="CG416" s="7">
        <v>0.71319999999999995</v>
      </c>
      <c r="CH416" s="7">
        <v>0.71689999999999998</v>
      </c>
      <c r="CI416" s="7">
        <v>0.72050000000000003</v>
      </c>
      <c r="CJ416" s="7">
        <v>0.72409999999999997</v>
      </c>
      <c r="CK416" s="7">
        <v>0.72760000000000002</v>
      </c>
      <c r="CL416" s="7">
        <v>0.73109999999999997</v>
      </c>
      <c r="CM416" s="7">
        <v>0.73460000000000003</v>
      </c>
      <c r="CN416" s="7">
        <v>0.7379</v>
      </c>
      <c r="CO416" s="7">
        <v>0.74129999999999996</v>
      </c>
      <c r="CP416" s="7">
        <v>0.74460000000000004</v>
      </c>
      <c r="CQ416" s="7">
        <v>0.74780000000000002</v>
      </c>
      <c r="CR416" s="7">
        <v>0.751</v>
      </c>
      <c r="CS416" s="7">
        <v>0.75409999999999999</v>
      </c>
      <c r="CT416" s="7">
        <v>0.75719999999999998</v>
      </c>
      <c r="CU416" s="7">
        <v>0.76029999999999998</v>
      </c>
      <c r="CV416" s="7">
        <v>0.76329999999999998</v>
      </c>
      <c r="CW416" s="7">
        <v>0.76629999999999998</v>
      </c>
      <c r="CX416" s="7">
        <v>0.76929999999999998</v>
      </c>
      <c r="CY416" s="7">
        <v>0.7722</v>
      </c>
      <c r="CZ416" s="7">
        <v>0.77500000000000002</v>
      </c>
      <c r="DA416" s="7">
        <v>0.77790000000000004</v>
      </c>
      <c r="DB416" s="7">
        <v>0.78059999999999996</v>
      </c>
      <c r="DC416" s="7">
        <v>0.78339999999999999</v>
      </c>
      <c r="DD416" s="7">
        <v>0.78610000000000002</v>
      </c>
      <c r="DE416" s="7">
        <v>0.78879999999999995</v>
      </c>
      <c r="DF416" s="7">
        <v>0.79149999999999998</v>
      </c>
      <c r="DG416" s="7">
        <v>0.79410000000000003</v>
      </c>
      <c r="DH416" s="7">
        <v>0.79669999999999996</v>
      </c>
      <c r="DI416" s="7">
        <v>0.79920000000000002</v>
      </c>
      <c r="DJ416" s="7">
        <v>0.80179999999999996</v>
      </c>
      <c r="DK416" s="7">
        <v>0.80430000000000001</v>
      </c>
      <c r="DL416" s="7">
        <v>0.80669999999999997</v>
      </c>
      <c r="DM416" s="7">
        <v>0.80920000000000003</v>
      </c>
      <c r="DN416" s="7">
        <v>0.81159999999999999</v>
      </c>
      <c r="DO416" s="7">
        <v>0.81399999999999995</v>
      </c>
      <c r="DP416" s="7">
        <v>0.81630000000000003</v>
      </c>
      <c r="DQ416" s="7">
        <v>0.81869999999999998</v>
      </c>
      <c r="DR416" s="7">
        <v>0.82099999999999995</v>
      </c>
      <c r="DS416" s="7">
        <v>0.82330000000000003</v>
      </c>
      <c r="DT416" s="7">
        <v>0.82550000000000001</v>
      </c>
      <c r="DU416" s="7">
        <v>0.82769999999999999</v>
      </c>
      <c r="DV416" s="7">
        <v>0.83</v>
      </c>
      <c r="DW416" s="7">
        <v>0.83209999999999995</v>
      </c>
      <c r="DX416" s="7">
        <v>0.83430000000000004</v>
      </c>
      <c r="DY416" s="7">
        <v>0.83650000000000002</v>
      </c>
      <c r="DZ416" s="7">
        <v>0.83860000000000001</v>
      </c>
      <c r="EA416" s="7">
        <v>0.8407</v>
      </c>
      <c r="EB416" s="7">
        <v>0.84279999999999999</v>
      </c>
      <c r="EC416" s="7">
        <v>0.8448</v>
      </c>
      <c r="ED416" s="7">
        <v>0.84689999999999999</v>
      </c>
      <c r="EE416" s="7">
        <v>0.84889999999999999</v>
      </c>
      <c r="EF416" s="7">
        <v>0.85089999999999999</v>
      </c>
      <c r="EG416" s="7">
        <v>0.85289999999999999</v>
      </c>
      <c r="EH416" s="7">
        <v>0.85489999999999999</v>
      </c>
      <c r="EI416" s="7">
        <v>0.85680000000000001</v>
      </c>
      <c r="EJ416" s="7">
        <v>0.85880000000000001</v>
      </c>
      <c r="EK416" s="7">
        <v>0.86070000000000002</v>
      </c>
      <c r="EL416" s="7">
        <v>0.86260000000000003</v>
      </c>
      <c r="EM416" s="7">
        <v>0.86450000000000005</v>
      </c>
      <c r="EN416" s="7">
        <v>0.86639999999999995</v>
      </c>
      <c r="EO416" s="7">
        <v>0.86819999999999997</v>
      </c>
      <c r="EP416" s="7">
        <v>0.87009999999999998</v>
      </c>
      <c r="EQ416" s="7">
        <v>0.87190000000000001</v>
      </c>
      <c r="ER416" s="7">
        <v>0.87370000000000003</v>
      </c>
      <c r="ES416" s="7">
        <v>0.87549999999999994</v>
      </c>
      <c r="ET416" s="7">
        <v>0.877</v>
      </c>
      <c r="EU416" s="7">
        <v>0.879</v>
      </c>
      <c r="EV416" s="7">
        <v>0.88100000000000001</v>
      </c>
      <c r="EW416" s="7">
        <v>0.88300000000000001</v>
      </c>
      <c r="EX416" s="7">
        <v>0.88400000000000001</v>
      </c>
      <c r="EY416" s="7">
        <v>0.88600000000000001</v>
      </c>
      <c r="EZ416" s="7">
        <v>0.88800000000000001</v>
      </c>
      <c r="FA416" s="7">
        <v>0.89</v>
      </c>
      <c r="FB416" s="7">
        <v>0.89100000000000001</v>
      </c>
      <c r="FC416" s="7">
        <v>0.89300000000000002</v>
      </c>
      <c r="FE416" s="50">
        <f t="shared" ca="1" si="43"/>
        <v>0.83253946160905468</v>
      </c>
      <c r="FF416" s="50">
        <f t="shared" ca="1" si="44"/>
        <v>0.83119365587952576</v>
      </c>
      <c r="FG416" s="50">
        <f t="shared" ca="1" si="45"/>
        <v>0.82982557046979866</v>
      </c>
      <c r="FH416" s="50">
        <f t="shared" ca="1" si="46"/>
        <v>0.82828194630872487</v>
      </c>
      <c r="FI416" s="50"/>
      <c r="FK416" s="50">
        <f t="shared" ca="1" si="42"/>
        <v>0.83119365587952576</v>
      </c>
      <c r="FL416" s="50"/>
      <c r="FM416" s="50"/>
      <c r="FN416" s="50"/>
    </row>
    <row r="417" spans="48:170" hidden="1">
      <c r="AW417" s="112">
        <v>100</v>
      </c>
      <c r="AX417" s="7">
        <v>0.53259999999999996</v>
      </c>
      <c r="AY417" s="7">
        <v>0.53959999999999997</v>
      </c>
      <c r="AZ417" s="7">
        <v>0.54649999999999999</v>
      </c>
      <c r="BA417" s="7">
        <v>0.55320000000000003</v>
      </c>
      <c r="BB417" s="7">
        <v>0.55979999999999996</v>
      </c>
      <c r="BC417" s="7">
        <v>0.56620000000000004</v>
      </c>
      <c r="BD417" s="7">
        <v>0.57250000000000001</v>
      </c>
      <c r="BE417" s="7">
        <v>0.57869999999999999</v>
      </c>
      <c r="BF417" s="7">
        <v>0.58479999999999999</v>
      </c>
      <c r="BG417" s="7">
        <v>0.5907</v>
      </c>
      <c r="BH417" s="7">
        <v>0.59650000000000003</v>
      </c>
      <c r="BI417" s="7">
        <v>0.60219999999999996</v>
      </c>
      <c r="BJ417" s="7">
        <v>0.60780000000000001</v>
      </c>
      <c r="BK417" s="7">
        <v>0.61329999999999996</v>
      </c>
      <c r="BL417" s="7">
        <v>0.61870000000000003</v>
      </c>
      <c r="BM417" s="7">
        <v>0.624</v>
      </c>
      <c r="BN417" s="7">
        <v>0.62919999999999998</v>
      </c>
      <c r="BO417" s="7">
        <v>0.63429999999999997</v>
      </c>
      <c r="BP417" s="7">
        <v>0.63929999999999998</v>
      </c>
      <c r="BQ417" s="7">
        <v>0.64419999999999999</v>
      </c>
      <c r="BR417" s="7">
        <v>0.64900000000000002</v>
      </c>
      <c r="BS417" s="7">
        <v>0.65380000000000005</v>
      </c>
      <c r="BT417" s="7">
        <v>0.65839999999999999</v>
      </c>
      <c r="BU417" s="7">
        <v>0.66300000000000003</v>
      </c>
      <c r="BV417" s="7">
        <v>0.66749999999999998</v>
      </c>
      <c r="BW417" s="7">
        <v>0.67190000000000005</v>
      </c>
      <c r="BX417" s="7">
        <v>0.67620000000000002</v>
      </c>
      <c r="BY417" s="7">
        <v>0.68049999999999999</v>
      </c>
      <c r="BZ417" s="7">
        <v>0.68469999999999998</v>
      </c>
      <c r="CA417" s="7">
        <v>0.68889999999999996</v>
      </c>
      <c r="CB417" s="7">
        <v>0.69289999999999996</v>
      </c>
      <c r="CC417" s="7">
        <v>0.69689999999999996</v>
      </c>
      <c r="CD417" s="7">
        <v>0.70089999999999997</v>
      </c>
      <c r="CE417" s="7">
        <v>0.70469999999999999</v>
      </c>
      <c r="CF417" s="7">
        <v>0.70860000000000001</v>
      </c>
      <c r="CG417" s="7">
        <v>0.71230000000000004</v>
      </c>
      <c r="CH417" s="7">
        <v>0.71599999999999997</v>
      </c>
      <c r="CI417" s="7">
        <v>0.71970000000000001</v>
      </c>
      <c r="CJ417" s="7">
        <v>0.72319999999999995</v>
      </c>
      <c r="CK417" s="7">
        <v>0.7268</v>
      </c>
      <c r="CL417" s="7">
        <v>0.73029999999999995</v>
      </c>
      <c r="CM417" s="7">
        <v>0.73370000000000002</v>
      </c>
      <c r="CN417" s="7">
        <v>0.73709999999999998</v>
      </c>
      <c r="CO417" s="7">
        <v>0.74039999999999995</v>
      </c>
      <c r="CP417" s="7">
        <v>0.74370000000000003</v>
      </c>
      <c r="CQ417" s="7">
        <v>0.74690000000000001</v>
      </c>
      <c r="CR417" s="7">
        <v>0.75009999999999999</v>
      </c>
      <c r="CS417" s="7">
        <v>0.75319999999999998</v>
      </c>
      <c r="CT417" s="7">
        <v>0.75629999999999997</v>
      </c>
      <c r="CU417" s="7">
        <v>0.75939999999999996</v>
      </c>
      <c r="CV417" s="7">
        <v>0.76239999999999997</v>
      </c>
      <c r="CW417" s="7">
        <v>0.76539999999999997</v>
      </c>
      <c r="CX417" s="7">
        <v>0.76829999999999998</v>
      </c>
      <c r="CY417" s="7">
        <v>0.7712</v>
      </c>
      <c r="CZ417" s="7">
        <v>0.77410000000000001</v>
      </c>
      <c r="DA417" s="7">
        <v>0.77690000000000003</v>
      </c>
      <c r="DB417" s="7">
        <v>0.77969999999999995</v>
      </c>
      <c r="DC417" s="7">
        <v>0.78249999999999997</v>
      </c>
      <c r="DD417" s="7">
        <v>0.78520000000000001</v>
      </c>
      <c r="DE417" s="7">
        <v>0.78790000000000004</v>
      </c>
      <c r="DF417" s="7">
        <v>0.79049999999999998</v>
      </c>
      <c r="DG417" s="7">
        <v>0.79310000000000003</v>
      </c>
      <c r="DH417" s="7">
        <v>0.79569999999999996</v>
      </c>
      <c r="DI417" s="7">
        <v>0.79830000000000001</v>
      </c>
      <c r="DJ417" s="7">
        <v>0.80079999999999996</v>
      </c>
      <c r="DK417" s="7">
        <v>0.80330000000000001</v>
      </c>
      <c r="DL417" s="7">
        <v>0.80579999999999996</v>
      </c>
      <c r="DM417" s="7">
        <v>0.80820000000000003</v>
      </c>
      <c r="DN417" s="7">
        <v>0.81059999999999999</v>
      </c>
      <c r="DO417" s="7">
        <v>0.81299999999999994</v>
      </c>
      <c r="DP417" s="7">
        <v>0.81540000000000001</v>
      </c>
      <c r="DQ417" s="7">
        <v>0.81769999999999998</v>
      </c>
      <c r="DR417" s="7">
        <v>0.82</v>
      </c>
      <c r="DS417" s="7">
        <v>0.82230000000000003</v>
      </c>
      <c r="DT417" s="7">
        <v>0.82450000000000001</v>
      </c>
      <c r="DU417" s="7">
        <v>0.82679999999999998</v>
      </c>
      <c r="DV417" s="7">
        <v>0.82899999999999996</v>
      </c>
      <c r="DW417" s="7">
        <v>0.83120000000000005</v>
      </c>
      <c r="DX417" s="7">
        <v>0.83330000000000004</v>
      </c>
      <c r="DY417" s="7">
        <v>0.83550000000000002</v>
      </c>
      <c r="DZ417" s="7">
        <v>0.83760000000000001</v>
      </c>
      <c r="EA417" s="7">
        <v>0.8397</v>
      </c>
      <c r="EB417" s="7">
        <v>0.84179999999999999</v>
      </c>
      <c r="EC417" s="7">
        <v>0.84379999999999999</v>
      </c>
      <c r="ED417" s="7">
        <v>0.84589999999999999</v>
      </c>
      <c r="EE417" s="7">
        <v>0.84789999999999999</v>
      </c>
      <c r="EF417" s="7">
        <v>0.84989999999999999</v>
      </c>
      <c r="EG417" s="7">
        <v>0.85189999999999999</v>
      </c>
      <c r="EH417" s="7">
        <v>0.85389999999999999</v>
      </c>
      <c r="EI417" s="7">
        <v>0.85580000000000001</v>
      </c>
      <c r="EJ417" s="7">
        <v>0.85770000000000002</v>
      </c>
      <c r="EK417" s="7">
        <v>0.85970000000000002</v>
      </c>
      <c r="EL417" s="7">
        <v>0.86160000000000003</v>
      </c>
      <c r="EM417" s="7">
        <v>0.86350000000000005</v>
      </c>
      <c r="EN417" s="7">
        <v>0.86529999999999996</v>
      </c>
      <c r="EO417" s="7">
        <v>0.86719999999999997</v>
      </c>
      <c r="EP417" s="7">
        <v>0.86899999999999999</v>
      </c>
      <c r="EQ417" s="7">
        <v>0.87090000000000001</v>
      </c>
      <c r="ER417" s="7">
        <v>0.87270000000000003</v>
      </c>
      <c r="ES417" s="7">
        <v>0.87450000000000006</v>
      </c>
      <c r="ET417" s="7">
        <v>0.876</v>
      </c>
      <c r="EU417" s="7">
        <v>0.878</v>
      </c>
      <c r="EV417" s="7">
        <v>0.88</v>
      </c>
      <c r="EW417" s="7">
        <v>0.88200000000000001</v>
      </c>
      <c r="EX417" s="7">
        <v>0.88300000000000001</v>
      </c>
      <c r="EY417" s="7">
        <v>0.88500000000000001</v>
      </c>
      <c r="EZ417" s="7">
        <v>0.88700000000000001</v>
      </c>
      <c r="FA417" s="7">
        <v>0.88900000000000001</v>
      </c>
      <c r="FB417" s="7">
        <v>0.89</v>
      </c>
      <c r="FC417" s="7">
        <v>0.89200000000000002</v>
      </c>
      <c r="FE417" s="50">
        <f t="shared" ca="1" si="43"/>
        <v>0.83161948608137048</v>
      </c>
      <c r="FF417" s="50">
        <f t="shared" ca="1" si="44"/>
        <v>0.83025049663569372</v>
      </c>
      <c r="FG417" s="50">
        <f t="shared" ca="1" si="45"/>
        <v>0.82883315436241611</v>
      </c>
      <c r="FH417" s="50">
        <f t="shared" ca="1" si="46"/>
        <v>0.82735664429530198</v>
      </c>
      <c r="FI417" s="50"/>
      <c r="FK417" s="50">
        <f t="shared" ca="1" si="42"/>
        <v>0.83025049663569372</v>
      </c>
      <c r="FL417" s="50"/>
      <c r="FM417" s="50"/>
      <c r="FN417" s="50"/>
    </row>
    <row r="418" spans="48:170" hidden="1"/>
    <row r="419" spans="48:170" hidden="1"/>
    <row r="420" spans="48:170" hidden="1">
      <c r="AV420" s="43" t="s">
        <v>208</v>
      </c>
      <c r="AW420" s="44" t="s">
        <v>209</v>
      </c>
    </row>
    <row r="421" spans="48:170" hidden="1">
      <c r="AW421" s="7"/>
      <c r="AX421" s="433">
        <v>2</v>
      </c>
      <c r="AY421" s="433">
        <v>2.0939999999999999</v>
      </c>
      <c r="AZ421" s="433">
        <v>2.1930000000000001</v>
      </c>
      <c r="BA421" s="433">
        <v>2.2959999999999998</v>
      </c>
      <c r="BB421" s="433">
        <v>2.4049999999999998</v>
      </c>
      <c r="BC421" s="433">
        <v>2.5179999999999998</v>
      </c>
      <c r="BD421" s="433">
        <v>2.637</v>
      </c>
      <c r="BE421" s="433">
        <v>2.7610000000000001</v>
      </c>
      <c r="BF421" s="433">
        <v>2.891</v>
      </c>
      <c r="BG421" s="433">
        <v>3.0270000000000001</v>
      </c>
      <c r="BH421" s="433">
        <v>3.17</v>
      </c>
      <c r="BI421" s="433">
        <v>3.319</v>
      </c>
      <c r="BJ421" s="433">
        <v>3.476</v>
      </c>
      <c r="BK421" s="433">
        <v>3.6389999999999998</v>
      </c>
      <c r="BL421" s="433">
        <v>3.8109999999999999</v>
      </c>
      <c r="BM421" s="433">
        <v>3.9910000000000001</v>
      </c>
      <c r="BN421" s="433">
        <v>4.1790000000000003</v>
      </c>
      <c r="BO421" s="433">
        <v>4.3760000000000003</v>
      </c>
      <c r="BP421" s="433">
        <v>4.5819999999999999</v>
      </c>
      <c r="BQ421" s="433">
        <v>4.798</v>
      </c>
      <c r="BR421" s="433">
        <v>5.024</v>
      </c>
      <c r="BS421" s="433">
        <v>5.2610000000000001</v>
      </c>
      <c r="BT421" s="433">
        <v>5.508</v>
      </c>
      <c r="BU421" s="433">
        <v>5.7679999999999998</v>
      </c>
      <c r="BV421" s="433">
        <v>6.04</v>
      </c>
      <c r="BW421" s="433">
        <v>6.3250000000000002</v>
      </c>
      <c r="BX421" s="433">
        <v>6.6230000000000002</v>
      </c>
      <c r="BY421" s="433">
        <v>6.9349999999999996</v>
      </c>
      <c r="BZ421" s="433">
        <v>7.2619999999999996</v>
      </c>
      <c r="CA421" s="433">
        <v>7.6040000000000001</v>
      </c>
      <c r="CB421" s="433">
        <v>7.9619999999999997</v>
      </c>
      <c r="CC421" s="433">
        <v>8.3369999999999997</v>
      </c>
      <c r="CD421" s="433">
        <v>8.73</v>
      </c>
      <c r="CE421" s="433">
        <v>9.1419999999999995</v>
      </c>
      <c r="CF421" s="433">
        <v>9.5730000000000004</v>
      </c>
      <c r="CG421" s="433">
        <v>10.023999999999999</v>
      </c>
      <c r="CH421" s="433">
        <v>10.496</v>
      </c>
      <c r="CI421" s="433">
        <v>10.991</v>
      </c>
      <c r="CJ421" s="433">
        <v>11.509</v>
      </c>
      <c r="CK421" s="433">
        <v>12.051</v>
      </c>
      <c r="CL421" s="433">
        <v>12.619</v>
      </c>
      <c r="CM421" s="433">
        <v>13.214</v>
      </c>
      <c r="CN421" s="433">
        <v>13.837</v>
      </c>
      <c r="CO421" s="433">
        <v>14.489000000000001</v>
      </c>
      <c r="CP421" s="433">
        <v>15.172000000000001</v>
      </c>
      <c r="CQ421" s="433">
        <v>15.887</v>
      </c>
      <c r="CR421" s="433">
        <v>16.635000000000002</v>
      </c>
      <c r="CS421" s="433">
        <v>17.419</v>
      </c>
      <c r="CT421" s="433">
        <v>18.239999999999998</v>
      </c>
      <c r="CU421" s="433">
        <v>19.100000000000001</v>
      </c>
      <c r="CV421" s="433">
        <v>20</v>
      </c>
      <c r="CW421" s="433">
        <v>20.943000000000001</v>
      </c>
      <c r="CX421" s="433">
        <v>21.93</v>
      </c>
      <c r="CY421" s="433">
        <v>22.963000000000001</v>
      </c>
      <c r="CZ421" s="433">
        <v>24.045000000000002</v>
      </c>
      <c r="DA421" s="433">
        <v>25.178999999999998</v>
      </c>
      <c r="DB421" s="433">
        <v>26.364999999999998</v>
      </c>
      <c r="DC421" s="433">
        <v>27.608000000000001</v>
      </c>
      <c r="DD421" s="433">
        <v>28.908999999999999</v>
      </c>
      <c r="DE421" s="433">
        <v>30.271000000000001</v>
      </c>
      <c r="DF421" s="433">
        <v>31.698</v>
      </c>
      <c r="DG421" s="433">
        <v>33.192</v>
      </c>
      <c r="DH421" s="433">
        <v>34.756</v>
      </c>
      <c r="DI421" s="433">
        <v>36.393999999999998</v>
      </c>
      <c r="DJ421" s="433">
        <v>38.109000000000002</v>
      </c>
      <c r="DK421" s="433">
        <v>39.905000000000001</v>
      </c>
      <c r="DL421" s="433">
        <v>41.786000000000001</v>
      </c>
      <c r="DM421" s="433">
        <v>43.755000000000003</v>
      </c>
      <c r="DN421" s="433">
        <v>45.817</v>
      </c>
      <c r="DO421" s="433">
        <v>47.976999999999997</v>
      </c>
      <c r="DP421" s="433">
        <v>50.238</v>
      </c>
      <c r="DQ421" s="433">
        <v>52.604999999999997</v>
      </c>
      <c r="DR421" s="433">
        <v>55.085000000000001</v>
      </c>
      <c r="DS421" s="433">
        <v>57.680999999999997</v>
      </c>
      <c r="DT421" s="433">
        <v>60.399000000000001</v>
      </c>
      <c r="DU421" s="433">
        <v>63.246000000000002</v>
      </c>
      <c r="DV421" s="433">
        <v>66.225999999999999</v>
      </c>
      <c r="DW421" s="433">
        <v>69.346999999999994</v>
      </c>
      <c r="DX421" s="433">
        <v>72.616</v>
      </c>
      <c r="DY421" s="433">
        <v>76.037999999999997</v>
      </c>
      <c r="DZ421" s="433">
        <v>79.620999999999995</v>
      </c>
      <c r="EA421" s="433">
        <v>83.373999999999995</v>
      </c>
      <c r="EB421" s="433">
        <v>87.302999999999997</v>
      </c>
      <c r="EC421" s="433">
        <v>91.418000000000006</v>
      </c>
      <c r="ED421" s="433">
        <v>95.725999999999999</v>
      </c>
      <c r="EE421" s="433">
        <v>100.23699999999999</v>
      </c>
      <c r="EF421" s="433">
        <v>104.961</v>
      </c>
      <c r="EG421" s="433">
        <v>109.908</v>
      </c>
      <c r="EH421" s="433">
        <v>115.08799999999999</v>
      </c>
      <c r="EI421" s="433">
        <v>120.512</v>
      </c>
      <c r="EJ421" s="433">
        <v>126.191</v>
      </c>
      <c r="EK421" s="433">
        <v>132.13900000000001</v>
      </c>
      <c r="EL421" s="433">
        <v>138.36600000000001</v>
      </c>
      <c r="EM421" s="433">
        <v>144.887</v>
      </c>
      <c r="EN421" s="433">
        <v>151.71600000000001</v>
      </c>
      <c r="EO421" s="433">
        <v>158.86600000000001</v>
      </c>
      <c r="EP421" s="433">
        <v>166.35300000000001</v>
      </c>
      <c r="EQ421" s="433">
        <v>174.19300000000001</v>
      </c>
      <c r="ER421" s="433">
        <v>182.40199999999999</v>
      </c>
      <c r="ES421" s="433">
        <v>190.999</v>
      </c>
      <c r="ET421" s="433">
        <v>200</v>
      </c>
      <c r="EU421" s="433">
        <v>209.42599999999999</v>
      </c>
      <c r="EV421" s="433">
        <v>219.29599999999999</v>
      </c>
      <c r="EW421" s="433">
        <v>229.631</v>
      </c>
      <c r="EX421" s="433">
        <v>240.453</v>
      </c>
      <c r="EY421" s="433">
        <v>251.785</v>
      </c>
      <c r="EZ421" s="433">
        <v>263.65100000000001</v>
      </c>
      <c r="FA421" s="433">
        <v>276.077</v>
      </c>
      <c r="FB421" s="433">
        <v>289.08800000000002</v>
      </c>
      <c r="FC421" s="433">
        <v>302.71199999999999</v>
      </c>
    </row>
    <row r="422" spans="48:170" hidden="1">
      <c r="AW422" s="433">
        <v>0.1</v>
      </c>
      <c r="AX422" s="7">
        <v>2.0087999999999999</v>
      </c>
      <c r="AY422" s="7">
        <v>1.9851000000000001</v>
      </c>
      <c r="AZ422" s="7">
        <v>1.9624999999999999</v>
      </c>
      <c r="BA422" s="7">
        <v>1.9410000000000001</v>
      </c>
      <c r="BB422" s="7">
        <v>1.9205000000000001</v>
      </c>
      <c r="BC422" s="7">
        <v>1.9009</v>
      </c>
      <c r="BD422" s="7">
        <v>1.8822000000000001</v>
      </c>
      <c r="BE422" s="7">
        <v>1.8643000000000001</v>
      </c>
      <c r="BF422" s="7">
        <v>1.8472</v>
      </c>
      <c r="BG422" s="7">
        <v>1.8308</v>
      </c>
      <c r="BH422" s="7">
        <v>1.8150999999999999</v>
      </c>
      <c r="BI422" s="7">
        <v>1.8</v>
      </c>
      <c r="BJ422" s="7">
        <v>1.7856000000000001</v>
      </c>
      <c r="BK422" s="7">
        <v>1.7717000000000001</v>
      </c>
      <c r="BL422" s="7">
        <v>1.7517</v>
      </c>
      <c r="BM422" s="7">
        <v>1.7251000000000001</v>
      </c>
      <c r="BN422" s="7">
        <v>1.6992</v>
      </c>
      <c r="BO422" s="7">
        <v>1.6740999999999999</v>
      </c>
      <c r="BP422" s="7">
        <v>1.6497999999999999</v>
      </c>
      <c r="BQ422" s="7">
        <v>1.6261000000000001</v>
      </c>
      <c r="BR422" s="7">
        <v>1.6031</v>
      </c>
      <c r="BS422" s="7">
        <v>1.5807</v>
      </c>
      <c r="BT422" s="7">
        <v>1.5589</v>
      </c>
      <c r="BU422" s="7">
        <v>1.5376000000000001</v>
      </c>
      <c r="BV422" s="7">
        <v>1.5168999999999999</v>
      </c>
      <c r="BW422" s="7">
        <v>1.4967999999999999</v>
      </c>
      <c r="BX422" s="7">
        <v>1.4771000000000001</v>
      </c>
      <c r="BY422" s="7">
        <v>1.4579</v>
      </c>
      <c r="BZ422" s="7">
        <v>1.4391</v>
      </c>
      <c r="CA422" s="7">
        <v>1.4208000000000001</v>
      </c>
      <c r="CB422" s="7">
        <v>1.4029</v>
      </c>
      <c r="CC422" s="7">
        <v>1.3855</v>
      </c>
      <c r="CD422" s="7">
        <v>1.3684000000000001</v>
      </c>
      <c r="CE422" s="7">
        <v>1.3515999999999999</v>
      </c>
      <c r="CF422" s="7">
        <v>1.3352999999999999</v>
      </c>
      <c r="CG422" s="7">
        <v>1.3191999999999999</v>
      </c>
      <c r="CH422" s="7">
        <v>1.3035000000000001</v>
      </c>
      <c r="CI422" s="7">
        <v>1.2881</v>
      </c>
      <c r="CJ422" s="7">
        <v>1.2729999999999999</v>
      </c>
      <c r="CK422" s="7">
        <v>1.2582</v>
      </c>
      <c r="CL422" s="7">
        <v>1.2437</v>
      </c>
      <c r="CM422" s="7">
        <v>1.2295</v>
      </c>
      <c r="CN422" s="7">
        <v>1.2155</v>
      </c>
      <c r="CO422" s="7">
        <v>1.2018</v>
      </c>
      <c r="CP422" s="7">
        <v>1.1882999999999999</v>
      </c>
      <c r="CQ422" s="7">
        <v>1.175</v>
      </c>
      <c r="CR422" s="7">
        <v>1.1619999999999999</v>
      </c>
      <c r="CS422" s="7">
        <v>1.1491</v>
      </c>
      <c r="CT422" s="7">
        <v>1.1365000000000001</v>
      </c>
      <c r="CU422" s="7">
        <v>1.1241000000000001</v>
      </c>
      <c r="CV422" s="7">
        <v>1.1117999999999999</v>
      </c>
      <c r="CW422" s="7">
        <v>1.0998000000000001</v>
      </c>
      <c r="CX422" s="7">
        <v>1.0879000000000001</v>
      </c>
      <c r="CY422" s="7">
        <v>1.0762</v>
      </c>
      <c r="CZ422" s="7">
        <v>1.0646</v>
      </c>
      <c r="DA422" s="7">
        <v>1.0531999999999999</v>
      </c>
      <c r="DB422" s="7">
        <v>1.0419</v>
      </c>
      <c r="DC422" s="7">
        <v>1.0307999999999999</v>
      </c>
      <c r="DD422" s="7">
        <v>1.0197000000000001</v>
      </c>
      <c r="DE422" s="7">
        <v>1.0088999999999999</v>
      </c>
      <c r="DF422" s="7">
        <v>1</v>
      </c>
      <c r="DG422" s="7">
        <v>1</v>
      </c>
      <c r="DH422" s="7">
        <v>1</v>
      </c>
      <c r="DI422" s="7">
        <v>1</v>
      </c>
      <c r="DJ422" s="7">
        <v>1</v>
      </c>
      <c r="DK422" s="7">
        <v>1</v>
      </c>
      <c r="DL422" s="7">
        <v>1</v>
      </c>
      <c r="DM422" s="7">
        <v>1</v>
      </c>
      <c r="DN422" s="7">
        <v>1</v>
      </c>
      <c r="DO422" s="7">
        <v>1</v>
      </c>
      <c r="DP422" s="7">
        <v>1</v>
      </c>
      <c r="DQ422" s="7">
        <v>1</v>
      </c>
      <c r="DR422" s="7">
        <v>1</v>
      </c>
      <c r="DS422" s="7">
        <v>1</v>
      </c>
      <c r="DT422" s="7">
        <v>1</v>
      </c>
      <c r="DU422" s="7">
        <v>1</v>
      </c>
      <c r="DV422" s="7">
        <v>1</v>
      </c>
      <c r="DW422" s="7">
        <v>1</v>
      </c>
      <c r="DX422" s="7">
        <v>1</v>
      </c>
      <c r="DY422" s="7">
        <v>1</v>
      </c>
      <c r="DZ422" s="7">
        <v>1</v>
      </c>
      <c r="EA422" s="7">
        <v>1</v>
      </c>
      <c r="EB422" s="7">
        <v>1</v>
      </c>
      <c r="EC422" s="7">
        <v>1</v>
      </c>
      <c r="ED422" s="7">
        <v>1</v>
      </c>
      <c r="EE422" s="7">
        <v>1</v>
      </c>
      <c r="EF422" s="7">
        <v>1</v>
      </c>
      <c r="EG422" s="7">
        <v>1</v>
      </c>
      <c r="EH422" s="7">
        <v>1</v>
      </c>
      <c r="EI422" s="7">
        <v>1</v>
      </c>
      <c r="EJ422" s="7">
        <v>1</v>
      </c>
      <c r="EK422" s="7">
        <v>1</v>
      </c>
      <c r="EL422" s="7">
        <v>1</v>
      </c>
      <c r="EM422" s="7">
        <v>1</v>
      </c>
      <c r="EN422" s="7">
        <v>1</v>
      </c>
      <c r="EO422" s="7">
        <v>1</v>
      </c>
      <c r="EP422" s="7">
        <v>1</v>
      </c>
      <c r="EQ422" s="7">
        <v>1</v>
      </c>
      <c r="ER422" s="7">
        <v>1</v>
      </c>
      <c r="ES422" s="7">
        <v>1</v>
      </c>
      <c r="ET422" s="7">
        <v>1</v>
      </c>
      <c r="EU422" s="7">
        <v>1</v>
      </c>
      <c r="EV422" s="7">
        <v>1</v>
      </c>
      <c r="EW422" s="7">
        <v>1</v>
      </c>
      <c r="EX422" s="7">
        <v>1</v>
      </c>
      <c r="EY422" s="7">
        <v>1</v>
      </c>
      <c r="EZ422" s="7">
        <v>1</v>
      </c>
      <c r="FA422" s="7">
        <v>1</v>
      </c>
      <c r="FB422" s="7">
        <v>1</v>
      </c>
      <c r="FC422" s="7">
        <v>1</v>
      </c>
      <c r="FE422" s="50">
        <f ca="1">FORECAST(J$39,OFFSET($AX422,0,MATCH(J$39,$AX$421:$FC$421,1)-1,1,2),OFFSET($AX$421,0,MATCH(J$39,$AX$421:$FC$421,1)-1,1,2))</f>
        <v>1</v>
      </c>
      <c r="FF422" s="50">
        <f ca="1">FORECAST(L$39,OFFSET($AX422,0,MATCH(L$39,$AX$421:$FC$421,1)-1,1,2),OFFSET($AX$421,0,MATCH(L$39,$AX$421:$FC$421,1)-1,1,2))</f>
        <v>1</v>
      </c>
      <c r="FG422" s="50">
        <f ca="1">FORECAST(N$39,OFFSET($AX422,0,MATCH(N$39,$AX$421:$FC$421,1)-1,1,2),OFFSET($AX$421,0,MATCH(N$39,$AX$421:$FC$421,1)-1,1,2))</f>
        <v>1</v>
      </c>
      <c r="FH422" s="50">
        <f ca="1">FORECAST(P$39,OFFSET($AX422,0,MATCH(P$39,$AX$421:$FC$421,1)-1,1,2),OFFSET($AX$421,0,MATCH(P$39,$AX$421:$FC$421,1)-1,1,2))</f>
        <v>1</v>
      </c>
      <c r="FK422" s="50">
        <f t="shared" ref="FK422:FK453" ca="1" si="47">FORECAST(AN$22,OFFSET($AX422,0,MATCH(AN$22,$AX$421:$FC$421,1)-1,1,2),OFFSET($AX$421,0,MATCH(AN$22,$AX$421:$FC$421,1)-1,1,2))</f>
        <v>1</v>
      </c>
      <c r="FL422" s="50"/>
      <c r="FM422" s="50"/>
      <c r="FN422" s="50"/>
    </row>
    <row r="423" spans="48:170" hidden="1">
      <c r="AW423" s="433">
        <v>0.107</v>
      </c>
      <c r="AX423" s="7">
        <v>2.0087999999999999</v>
      </c>
      <c r="AY423" s="7">
        <v>1.9851000000000001</v>
      </c>
      <c r="AZ423" s="7">
        <v>1.9624999999999999</v>
      </c>
      <c r="BA423" s="7">
        <v>1.9410000000000001</v>
      </c>
      <c r="BB423" s="7">
        <v>1.9205000000000001</v>
      </c>
      <c r="BC423" s="7">
        <v>1.9009</v>
      </c>
      <c r="BD423" s="7">
        <v>1.8822000000000001</v>
      </c>
      <c r="BE423" s="7">
        <v>1.8643000000000001</v>
      </c>
      <c r="BF423" s="7">
        <v>1.8472</v>
      </c>
      <c r="BG423" s="7">
        <v>1.8308</v>
      </c>
      <c r="BH423" s="7">
        <v>1.8150999999999999</v>
      </c>
      <c r="BI423" s="7">
        <v>1.8</v>
      </c>
      <c r="BJ423" s="7">
        <v>1.7856000000000001</v>
      </c>
      <c r="BK423" s="7">
        <v>1.7717000000000001</v>
      </c>
      <c r="BL423" s="7">
        <v>1.7584</v>
      </c>
      <c r="BM423" s="7">
        <v>1.7402</v>
      </c>
      <c r="BN423" s="7">
        <v>1.7142999999999999</v>
      </c>
      <c r="BO423" s="7">
        <v>1.6891</v>
      </c>
      <c r="BP423" s="7">
        <v>1.6647000000000001</v>
      </c>
      <c r="BQ423" s="7">
        <v>1.641</v>
      </c>
      <c r="BR423" s="7">
        <v>1.6178999999999999</v>
      </c>
      <c r="BS423" s="7">
        <v>1.5953999999999999</v>
      </c>
      <c r="BT423" s="7">
        <v>1.5736000000000001</v>
      </c>
      <c r="BU423" s="7">
        <v>1.5523</v>
      </c>
      <c r="BV423" s="7">
        <v>1.5315000000000001</v>
      </c>
      <c r="BW423" s="7">
        <v>1.5113000000000001</v>
      </c>
      <c r="BX423" s="7">
        <v>1.4916</v>
      </c>
      <c r="BY423" s="7">
        <v>1.4723999999999999</v>
      </c>
      <c r="BZ423" s="7">
        <v>1.4536</v>
      </c>
      <c r="CA423" s="7">
        <v>1.4352</v>
      </c>
      <c r="CB423" s="7">
        <v>1.4173</v>
      </c>
      <c r="CC423" s="7">
        <v>1.3997999999999999</v>
      </c>
      <c r="CD423" s="7">
        <v>1.3827</v>
      </c>
      <c r="CE423" s="7">
        <v>1.3658999999999999</v>
      </c>
      <c r="CF423" s="7">
        <v>1.3494999999999999</v>
      </c>
      <c r="CG423" s="7">
        <v>1.3334999999999999</v>
      </c>
      <c r="CH423" s="7">
        <v>1.3177000000000001</v>
      </c>
      <c r="CI423" s="7">
        <v>1.3023</v>
      </c>
      <c r="CJ423" s="7">
        <v>1.2871999999999999</v>
      </c>
      <c r="CK423" s="7">
        <v>1.2724</v>
      </c>
      <c r="CL423" s="7">
        <v>1.2579</v>
      </c>
      <c r="CM423" s="7">
        <v>1.2436</v>
      </c>
      <c r="CN423" s="7">
        <v>1.2296</v>
      </c>
      <c r="CO423" s="7">
        <v>1.2158</v>
      </c>
      <c r="CP423" s="7">
        <v>1.2022999999999999</v>
      </c>
      <c r="CQ423" s="7">
        <v>1.1891</v>
      </c>
      <c r="CR423" s="7">
        <v>1.1759999999999999</v>
      </c>
      <c r="CS423" s="7">
        <v>1.1632</v>
      </c>
      <c r="CT423" s="7">
        <v>1.1505000000000001</v>
      </c>
      <c r="CU423" s="7">
        <v>1.1380999999999999</v>
      </c>
      <c r="CV423" s="7">
        <v>1.1258999999999999</v>
      </c>
      <c r="CW423" s="7">
        <v>1.1137999999999999</v>
      </c>
      <c r="CX423" s="7">
        <v>1.1019000000000001</v>
      </c>
      <c r="CY423" s="7">
        <v>1.0902000000000001</v>
      </c>
      <c r="CZ423" s="7">
        <v>1.0786</v>
      </c>
      <c r="DA423" s="7">
        <v>1.0671999999999999</v>
      </c>
      <c r="DB423" s="7">
        <v>1.056</v>
      </c>
      <c r="DC423" s="7">
        <v>1.0448</v>
      </c>
      <c r="DD423" s="7">
        <v>1.0338000000000001</v>
      </c>
      <c r="DE423" s="7">
        <v>1.0228999999999999</v>
      </c>
      <c r="DF423" s="7">
        <v>1.0122</v>
      </c>
      <c r="DG423" s="7">
        <v>1.0015000000000001</v>
      </c>
      <c r="DH423" s="7">
        <v>1</v>
      </c>
      <c r="DI423" s="7">
        <v>1</v>
      </c>
      <c r="DJ423" s="7">
        <v>1</v>
      </c>
      <c r="DK423" s="7">
        <v>1</v>
      </c>
      <c r="DL423" s="7">
        <v>1</v>
      </c>
      <c r="DM423" s="7">
        <v>1</v>
      </c>
      <c r="DN423" s="7">
        <v>1</v>
      </c>
      <c r="DO423" s="7">
        <v>1</v>
      </c>
      <c r="DP423" s="7">
        <v>1</v>
      </c>
      <c r="DQ423" s="7">
        <v>1</v>
      </c>
      <c r="DR423" s="7">
        <v>1</v>
      </c>
      <c r="DS423" s="7">
        <v>1</v>
      </c>
      <c r="DT423" s="7">
        <v>1</v>
      </c>
      <c r="DU423" s="7">
        <v>1</v>
      </c>
      <c r="DV423" s="7">
        <v>1</v>
      </c>
      <c r="DW423" s="7">
        <v>1</v>
      </c>
      <c r="DX423" s="7">
        <v>1</v>
      </c>
      <c r="DY423" s="7">
        <v>1</v>
      </c>
      <c r="DZ423" s="7">
        <v>1</v>
      </c>
      <c r="EA423" s="7">
        <v>1</v>
      </c>
      <c r="EB423" s="7">
        <v>1</v>
      </c>
      <c r="EC423" s="7">
        <v>1</v>
      </c>
      <c r="ED423" s="7">
        <v>1</v>
      </c>
      <c r="EE423" s="7">
        <v>1</v>
      </c>
      <c r="EF423" s="7">
        <v>1</v>
      </c>
      <c r="EG423" s="7">
        <v>1</v>
      </c>
      <c r="EH423" s="7">
        <v>1</v>
      </c>
      <c r="EI423" s="7">
        <v>1</v>
      </c>
      <c r="EJ423" s="7">
        <v>1</v>
      </c>
      <c r="EK423" s="7">
        <v>1</v>
      </c>
      <c r="EL423" s="7">
        <v>1</v>
      </c>
      <c r="EM423" s="7">
        <v>1</v>
      </c>
      <c r="EN423" s="7">
        <v>1</v>
      </c>
      <c r="EO423" s="7">
        <v>1</v>
      </c>
      <c r="EP423" s="7">
        <v>1</v>
      </c>
      <c r="EQ423" s="7">
        <v>1</v>
      </c>
      <c r="ER423" s="7">
        <v>1</v>
      </c>
      <c r="ES423" s="7">
        <v>1</v>
      </c>
      <c r="ET423" s="7">
        <v>1</v>
      </c>
      <c r="EU423" s="7">
        <v>1</v>
      </c>
      <c r="EV423" s="7">
        <v>1</v>
      </c>
      <c r="EW423" s="7">
        <v>1</v>
      </c>
      <c r="EX423" s="7">
        <v>1</v>
      </c>
      <c r="EY423" s="7">
        <v>1</v>
      </c>
      <c r="EZ423" s="7">
        <v>1</v>
      </c>
      <c r="FA423" s="7">
        <v>1</v>
      </c>
      <c r="FB423" s="7">
        <v>1</v>
      </c>
      <c r="FC423" s="7">
        <v>1</v>
      </c>
      <c r="FE423" s="50">
        <f t="shared" ref="FE423:FE486" ca="1" si="48">FORECAST(J$39,OFFSET($AX423,0,MATCH(J$39,$AX$421:$FC$421,1)-1,1,2),OFFSET($AX$421,0,MATCH(J$39,$AX$421:$FC$421,1)-1,1,2))</f>
        <v>1</v>
      </c>
      <c r="FF423" s="50">
        <f t="shared" ref="FF423:FF486" ca="1" si="49">FORECAST(L$39,OFFSET($AX423,0,MATCH(L$39,$AX$421:$FC$421,1)-1,1,2),OFFSET($AX$421,0,MATCH(L$39,$AX$421:$FC$421,1)-1,1,2))</f>
        <v>1</v>
      </c>
      <c r="FG423" s="50">
        <f t="shared" ref="FG423:FG486" ca="1" si="50">FORECAST(N$39,OFFSET($AX423,0,MATCH(N$39,$AX$421:$FC$421,1)-1,1,2),OFFSET($AX$421,0,MATCH(N$39,$AX$421:$FC$421,1)-1,1,2))</f>
        <v>1</v>
      </c>
      <c r="FH423" s="50">
        <f t="shared" ref="FH423:FH486" ca="1" si="51">FORECAST(P$39,OFFSET($AX423,0,MATCH(P$39,$AX$421:$FC$421,1)-1,1,2),OFFSET($AX$421,0,MATCH(P$39,$AX$421:$FC$421,1)-1,1,2))</f>
        <v>1</v>
      </c>
      <c r="FK423" s="50">
        <f t="shared" ca="1" si="47"/>
        <v>1</v>
      </c>
      <c r="FL423" s="50"/>
      <c r="FM423" s="50"/>
      <c r="FN423" s="50"/>
    </row>
    <row r="424" spans="48:170" hidden="1">
      <c r="AW424" s="433">
        <v>0.115</v>
      </c>
      <c r="AX424" s="7">
        <v>2.0087999999999999</v>
      </c>
      <c r="AY424" s="7">
        <v>1.9851000000000001</v>
      </c>
      <c r="AZ424" s="7">
        <v>1.9624999999999999</v>
      </c>
      <c r="BA424" s="7">
        <v>1.9410000000000001</v>
      </c>
      <c r="BB424" s="7">
        <v>1.9205000000000001</v>
      </c>
      <c r="BC424" s="7">
        <v>1.9009</v>
      </c>
      <c r="BD424" s="7">
        <v>1.8822000000000001</v>
      </c>
      <c r="BE424" s="7">
        <v>1.8643000000000001</v>
      </c>
      <c r="BF424" s="7">
        <v>1.8472</v>
      </c>
      <c r="BG424" s="7">
        <v>1.8308</v>
      </c>
      <c r="BH424" s="7">
        <v>1.8150999999999999</v>
      </c>
      <c r="BI424" s="7">
        <v>1.8</v>
      </c>
      <c r="BJ424" s="7">
        <v>1.7856000000000001</v>
      </c>
      <c r="BK424" s="7">
        <v>1.7717000000000001</v>
      </c>
      <c r="BL424" s="7">
        <v>1.7584</v>
      </c>
      <c r="BM424" s="7">
        <v>1.7455000000000001</v>
      </c>
      <c r="BN424" s="7">
        <v>1.7292000000000001</v>
      </c>
      <c r="BO424" s="7">
        <v>1.704</v>
      </c>
      <c r="BP424" s="7">
        <v>1.6795</v>
      </c>
      <c r="BQ424" s="7">
        <v>1.6556999999999999</v>
      </c>
      <c r="BR424" s="7">
        <v>1.6325000000000001</v>
      </c>
      <c r="BS424" s="7">
        <v>1.61</v>
      </c>
      <c r="BT424" s="7">
        <v>1.5881000000000001</v>
      </c>
      <c r="BU424" s="7">
        <v>1.5668</v>
      </c>
      <c r="BV424" s="7">
        <v>1.546</v>
      </c>
      <c r="BW424" s="7">
        <v>1.5257000000000001</v>
      </c>
      <c r="BX424" s="7">
        <v>1.506</v>
      </c>
      <c r="BY424" s="7">
        <v>1.4866999999999999</v>
      </c>
      <c r="BZ424" s="7">
        <v>1.4679</v>
      </c>
      <c r="CA424" s="7">
        <v>1.4495</v>
      </c>
      <c r="CB424" s="7">
        <v>1.4315</v>
      </c>
      <c r="CC424" s="7">
        <v>1.4139999999999999</v>
      </c>
      <c r="CD424" s="7">
        <v>1.3968</v>
      </c>
      <c r="CE424" s="7">
        <v>1.38</v>
      </c>
      <c r="CF424" s="7">
        <v>1.3635999999999999</v>
      </c>
      <c r="CG424" s="7">
        <v>1.3474999999999999</v>
      </c>
      <c r="CH424" s="7">
        <v>1.3318000000000001</v>
      </c>
      <c r="CI424" s="7">
        <v>1.3163</v>
      </c>
      <c r="CJ424" s="7">
        <v>1.3011999999999999</v>
      </c>
      <c r="CK424" s="7">
        <v>1.2864</v>
      </c>
      <c r="CL424" s="7">
        <v>1.2718</v>
      </c>
      <c r="CM424" s="7">
        <v>1.2576000000000001</v>
      </c>
      <c r="CN424" s="7">
        <v>1.2435</v>
      </c>
      <c r="CO424" s="7">
        <v>1.2298</v>
      </c>
      <c r="CP424" s="7">
        <v>1.2162999999999999</v>
      </c>
      <c r="CQ424" s="7">
        <v>1.2030000000000001</v>
      </c>
      <c r="CR424" s="7">
        <v>1.1899</v>
      </c>
      <c r="CS424" s="7">
        <v>1.1771</v>
      </c>
      <c r="CT424" s="7">
        <v>1.1644000000000001</v>
      </c>
      <c r="CU424" s="7">
        <v>1.1519999999999999</v>
      </c>
      <c r="CV424" s="7">
        <v>1.1396999999999999</v>
      </c>
      <c r="CW424" s="7">
        <v>1.1276999999999999</v>
      </c>
      <c r="CX424" s="7">
        <v>1.1157999999999999</v>
      </c>
      <c r="CY424" s="7">
        <v>1.1041000000000001</v>
      </c>
      <c r="CZ424" s="7">
        <v>1.0925</v>
      </c>
      <c r="DA424" s="7">
        <v>1.0810999999999999</v>
      </c>
      <c r="DB424" s="7">
        <v>1.0699000000000001</v>
      </c>
      <c r="DC424" s="7">
        <v>1.0587</v>
      </c>
      <c r="DD424" s="7">
        <v>1.0477000000000001</v>
      </c>
      <c r="DE424" s="7">
        <v>1.0368999999999999</v>
      </c>
      <c r="DF424" s="7">
        <v>1.0261</v>
      </c>
      <c r="DG424" s="7">
        <v>1.0155000000000001</v>
      </c>
      <c r="DH424" s="7">
        <v>1.0049999999999999</v>
      </c>
      <c r="DI424" s="7">
        <v>1</v>
      </c>
      <c r="DJ424" s="7">
        <v>1</v>
      </c>
      <c r="DK424" s="7">
        <v>1</v>
      </c>
      <c r="DL424" s="7">
        <v>1</v>
      </c>
      <c r="DM424" s="7">
        <v>1</v>
      </c>
      <c r="DN424" s="7">
        <v>1</v>
      </c>
      <c r="DO424" s="7">
        <v>1</v>
      </c>
      <c r="DP424" s="7">
        <v>1</v>
      </c>
      <c r="DQ424" s="7">
        <v>1</v>
      </c>
      <c r="DR424" s="7">
        <v>1</v>
      </c>
      <c r="DS424" s="7">
        <v>1</v>
      </c>
      <c r="DT424" s="7">
        <v>1</v>
      </c>
      <c r="DU424" s="7">
        <v>1</v>
      </c>
      <c r="DV424" s="7">
        <v>1</v>
      </c>
      <c r="DW424" s="7">
        <v>1</v>
      </c>
      <c r="DX424" s="7">
        <v>1</v>
      </c>
      <c r="DY424" s="7">
        <v>1</v>
      </c>
      <c r="DZ424" s="7">
        <v>1</v>
      </c>
      <c r="EA424" s="7">
        <v>1</v>
      </c>
      <c r="EB424" s="7">
        <v>1</v>
      </c>
      <c r="EC424" s="7">
        <v>1</v>
      </c>
      <c r="ED424" s="7">
        <v>1</v>
      </c>
      <c r="EE424" s="7">
        <v>1</v>
      </c>
      <c r="EF424" s="7">
        <v>1</v>
      </c>
      <c r="EG424" s="7">
        <v>1</v>
      </c>
      <c r="EH424" s="7">
        <v>1</v>
      </c>
      <c r="EI424" s="7">
        <v>1</v>
      </c>
      <c r="EJ424" s="7">
        <v>1</v>
      </c>
      <c r="EK424" s="7">
        <v>1</v>
      </c>
      <c r="EL424" s="7">
        <v>1</v>
      </c>
      <c r="EM424" s="7">
        <v>1</v>
      </c>
      <c r="EN424" s="7">
        <v>1</v>
      </c>
      <c r="EO424" s="7">
        <v>1</v>
      </c>
      <c r="EP424" s="7">
        <v>1</v>
      </c>
      <c r="EQ424" s="7">
        <v>1</v>
      </c>
      <c r="ER424" s="7">
        <v>1</v>
      </c>
      <c r="ES424" s="7">
        <v>1</v>
      </c>
      <c r="ET424" s="7">
        <v>1</v>
      </c>
      <c r="EU424" s="7">
        <v>1</v>
      </c>
      <c r="EV424" s="7">
        <v>1</v>
      </c>
      <c r="EW424" s="7">
        <v>1</v>
      </c>
      <c r="EX424" s="7">
        <v>1</v>
      </c>
      <c r="EY424" s="7">
        <v>1</v>
      </c>
      <c r="EZ424" s="7">
        <v>1</v>
      </c>
      <c r="FA424" s="7">
        <v>1</v>
      </c>
      <c r="FB424" s="7">
        <v>1</v>
      </c>
      <c r="FC424" s="7">
        <v>1</v>
      </c>
      <c r="FE424" s="50">
        <f t="shared" ca="1" si="48"/>
        <v>1</v>
      </c>
      <c r="FF424" s="50">
        <f t="shared" ca="1" si="49"/>
        <v>1</v>
      </c>
      <c r="FG424" s="50">
        <f t="shared" ca="1" si="50"/>
        <v>1</v>
      </c>
      <c r="FH424" s="50">
        <f t="shared" ca="1" si="51"/>
        <v>1</v>
      </c>
      <c r="FK424" s="50">
        <f t="shared" ca="1" si="47"/>
        <v>1</v>
      </c>
      <c r="FL424" s="50"/>
      <c r="FM424" s="50"/>
      <c r="FN424" s="50"/>
    </row>
    <row r="425" spans="48:170" hidden="1">
      <c r="AW425" s="433">
        <v>0.123</v>
      </c>
      <c r="AX425" s="7">
        <v>2.0087999999999999</v>
      </c>
      <c r="AY425" s="7">
        <v>1.9851000000000001</v>
      </c>
      <c r="AZ425" s="7">
        <v>1.9624999999999999</v>
      </c>
      <c r="BA425" s="7">
        <v>1.9410000000000001</v>
      </c>
      <c r="BB425" s="7">
        <v>1.9205000000000001</v>
      </c>
      <c r="BC425" s="7">
        <v>1.9009</v>
      </c>
      <c r="BD425" s="7">
        <v>1.8822000000000001</v>
      </c>
      <c r="BE425" s="7">
        <v>1.8643000000000001</v>
      </c>
      <c r="BF425" s="7">
        <v>1.8472</v>
      </c>
      <c r="BG425" s="7">
        <v>1.8308</v>
      </c>
      <c r="BH425" s="7">
        <v>1.8150999999999999</v>
      </c>
      <c r="BI425" s="7">
        <v>1.8</v>
      </c>
      <c r="BJ425" s="7">
        <v>1.7856000000000001</v>
      </c>
      <c r="BK425" s="7">
        <v>1.7717000000000001</v>
      </c>
      <c r="BL425" s="7">
        <v>1.7584</v>
      </c>
      <c r="BM425" s="7">
        <v>1.7455000000000001</v>
      </c>
      <c r="BN425" s="7">
        <v>1.7332000000000001</v>
      </c>
      <c r="BO425" s="7">
        <v>1.7185999999999999</v>
      </c>
      <c r="BP425" s="7">
        <v>1.6940999999999999</v>
      </c>
      <c r="BQ425" s="7">
        <v>1.6701999999999999</v>
      </c>
      <c r="BR425" s="7">
        <v>1.647</v>
      </c>
      <c r="BS425" s="7">
        <v>1.6245000000000001</v>
      </c>
      <c r="BT425" s="7">
        <v>1.6025</v>
      </c>
      <c r="BU425" s="7">
        <v>1.5810999999999999</v>
      </c>
      <c r="BV425" s="7">
        <v>1.5603</v>
      </c>
      <c r="BW425" s="7">
        <v>1.54</v>
      </c>
      <c r="BX425" s="7">
        <v>1.5202</v>
      </c>
      <c r="BY425" s="7">
        <v>1.5008999999999999</v>
      </c>
      <c r="BZ425" s="7">
        <v>1.482</v>
      </c>
      <c r="CA425" s="7">
        <v>1.4636</v>
      </c>
      <c r="CB425" s="7">
        <v>1.4456</v>
      </c>
      <c r="CC425" s="7">
        <v>1.4279999999999999</v>
      </c>
      <c r="CD425" s="7">
        <v>1.4108000000000001</v>
      </c>
      <c r="CE425" s="7">
        <v>1.3939999999999999</v>
      </c>
      <c r="CF425" s="7">
        <v>1.3775999999999999</v>
      </c>
      <c r="CG425" s="7">
        <v>1.3614999999999999</v>
      </c>
      <c r="CH425" s="7">
        <v>1.3456999999999999</v>
      </c>
      <c r="CI425" s="7">
        <v>1.3302</v>
      </c>
      <c r="CJ425" s="7">
        <v>1.3150999999999999</v>
      </c>
      <c r="CK425" s="7">
        <v>1.3002</v>
      </c>
      <c r="CL425" s="7">
        <v>1.2857000000000001</v>
      </c>
      <c r="CM425" s="7">
        <v>1.2714000000000001</v>
      </c>
      <c r="CN425" s="7">
        <v>1.2573000000000001</v>
      </c>
      <c r="CO425" s="7">
        <v>1.2436</v>
      </c>
      <c r="CP425" s="7">
        <v>1.23</v>
      </c>
      <c r="CQ425" s="7">
        <v>1.2166999999999999</v>
      </c>
      <c r="CR425" s="7">
        <v>1.2037</v>
      </c>
      <c r="CS425" s="7">
        <v>1.1908000000000001</v>
      </c>
      <c r="CT425" s="7">
        <v>1.1781999999999999</v>
      </c>
      <c r="CU425" s="7">
        <v>1.1657</v>
      </c>
      <c r="CV425" s="7">
        <v>1.1535</v>
      </c>
      <c r="CW425" s="7">
        <v>1.1414</v>
      </c>
      <c r="CX425" s="7">
        <v>1.1294999999999999</v>
      </c>
      <c r="CY425" s="7">
        <v>1.1177999999999999</v>
      </c>
      <c r="CZ425" s="7">
        <v>1.1063000000000001</v>
      </c>
      <c r="DA425" s="7">
        <v>1.0949</v>
      </c>
      <c r="DB425" s="7">
        <v>1.0835999999999999</v>
      </c>
      <c r="DC425" s="7">
        <v>1.0725</v>
      </c>
      <c r="DD425" s="7">
        <v>1.0615000000000001</v>
      </c>
      <c r="DE425" s="7">
        <v>1.0507</v>
      </c>
      <c r="DF425" s="7">
        <v>1.0399</v>
      </c>
      <c r="DG425" s="7">
        <v>1.0293000000000001</v>
      </c>
      <c r="DH425" s="7">
        <v>1.0187999999999999</v>
      </c>
      <c r="DI425" s="7">
        <v>1.0084</v>
      </c>
      <c r="DJ425" s="7">
        <v>1</v>
      </c>
      <c r="DK425" s="7">
        <v>1</v>
      </c>
      <c r="DL425" s="7">
        <v>1</v>
      </c>
      <c r="DM425" s="7">
        <v>1</v>
      </c>
      <c r="DN425" s="7">
        <v>1</v>
      </c>
      <c r="DO425" s="7">
        <v>1</v>
      </c>
      <c r="DP425" s="7">
        <v>1</v>
      </c>
      <c r="DQ425" s="7">
        <v>1</v>
      </c>
      <c r="DR425" s="7">
        <v>1</v>
      </c>
      <c r="DS425" s="7">
        <v>1</v>
      </c>
      <c r="DT425" s="7">
        <v>1</v>
      </c>
      <c r="DU425" s="7">
        <v>1</v>
      </c>
      <c r="DV425" s="7">
        <v>1</v>
      </c>
      <c r="DW425" s="7">
        <v>1</v>
      </c>
      <c r="DX425" s="7">
        <v>1</v>
      </c>
      <c r="DY425" s="7">
        <v>1</v>
      </c>
      <c r="DZ425" s="7">
        <v>1</v>
      </c>
      <c r="EA425" s="7">
        <v>1</v>
      </c>
      <c r="EB425" s="7">
        <v>1</v>
      </c>
      <c r="EC425" s="7">
        <v>1</v>
      </c>
      <c r="ED425" s="7">
        <v>1</v>
      </c>
      <c r="EE425" s="7">
        <v>1</v>
      </c>
      <c r="EF425" s="7">
        <v>1</v>
      </c>
      <c r="EG425" s="7">
        <v>1</v>
      </c>
      <c r="EH425" s="7">
        <v>1</v>
      </c>
      <c r="EI425" s="7">
        <v>1</v>
      </c>
      <c r="EJ425" s="7">
        <v>1</v>
      </c>
      <c r="EK425" s="7">
        <v>1</v>
      </c>
      <c r="EL425" s="7">
        <v>1</v>
      </c>
      <c r="EM425" s="7">
        <v>1</v>
      </c>
      <c r="EN425" s="7">
        <v>1</v>
      </c>
      <c r="EO425" s="7">
        <v>1</v>
      </c>
      <c r="EP425" s="7">
        <v>1</v>
      </c>
      <c r="EQ425" s="7">
        <v>1</v>
      </c>
      <c r="ER425" s="7">
        <v>1</v>
      </c>
      <c r="ES425" s="7">
        <v>1</v>
      </c>
      <c r="ET425" s="7">
        <v>1</v>
      </c>
      <c r="EU425" s="7">
        <v>1</v>
      </c>
      <c r="EV425" s="7">
        <v>1</v>
      </c>
      <c r="EW425" s="7">
        <v>1</v>
      </c>
      <c r="EX425" s="7">
        <v>1</v>
      </c>
      <c r="EY425" s="7">
        <v>1</v>
      </c>
      <c r="EZ425" s="7">
        <v>1</v>
      </c>
      <c r="FA425" s="7">
        <v>1</v>
      </c>
      <c r="FB425" s="7">
        <v>1</v>
      </c>
      <c r="FC425" s="7">
        <v>1</v>
      </c>
      <c r="FE425" s="50">
        <f t="shared" ca="1" si="48"/>
        <v>1</v>
      </c>
      <c r="FF425" s="50">
        <f t="shared" ca="1" si="49"/>
        <v>1</v>
      </c>
      <c r="FG425" s="50">
        <f t="shared" ca="1" si="50"/>
        <v>1</v>
      </c>
      <c r="FH425" s="50">
        <f t="shared" ca="1" si="51"/>
        <v>1</v>
      </c>
      <c r="FK425" s="50">
        <f t="shared" ca="1" si="47"/>
        <v>1</v>
      </c>
      <c r="FL425" s="50"/>
      <c r="FM425" s="50"/>
      <c r="FN425" s="50"/>
    </row>
    <row r="426" spans="48:170" hidden="1">
      <c r="AW426" s="433">
        <v>0.13200000000000001</v>
      </c>
      <c r="AX426" s="7">
        <v>2.0087999999999999</v>
      </c>
      <c r="AY426" s="7">
        <v>1.9851000000000001</v>
      </c>
      <c r="AZ426" s="7">
        <v>1.9624999999999999</v>
      </c>
      <c r="BA426" s="7">
        <v>1.9410000000000001</v>
      </c>
      <c r="BB426" s="7">
        <v>1.9205000000000001</v>
      </c>
      <c r="BC426" s="7">
        <v>1.9009</v>
      </c>
      <c r="BD426" s="7">
        <v>1.8822000000000001</v>
      </c>
      <c r="BE426" s="7">
        <v>1.8643000000000001</v>
      </c>
      <c r="BF426" s="7">
        <v>1.8472</v>
      </c>
      <c r="BG426" s="7">
        <v>1.8308</v>
      </c>
      <c r="BH426" s="7">
        <v>1.8150999999999999</v>
      </c>
      <c r="BI426" s="7">
        <v>1.8</v>
      </c>
      <c r="BJ426" s="7">
        <v>1.7856000000000001</v>
      </c>
      <c r="BK426" s="7">
        <v>1.7717000000000001</v>
      </c>
      <c r="BL426" s="7">
        <v>1.7584</v>
      </c>
      <c r="BM426" s="7">
        <v>1.7455000000000001</v>
      </c>
      <c r="BN426" s="7">
        <v>1.7332000000000001</v>
      </c>
      <c r="BO426" s="7">
        <v>1.7214</v>
      </c>
      <c r="BP426" s="7">
        <v>1.7084999999999999</v>
      </c>
      <c r="BQ426" s="7">
        <v>1.6846000000000001</v>
      </c>
      <c r="BR426" s="7">
        <v>1.6614</v>
      </c>
      <c r="BS426" s="7">
        <v>1.6388</v>
      </c>
      <c r="BT426" s="7">
        <v>1.6168</v>
      </c>
      <c r="BU426" s="7">
        <v>1.5952999999999999</v>
      </c>
      <c r="BV426" s="7">
        <v>1.5745</v>
      </c>
      <c r="BW426" s="7">
        <v>1.5541</v>
      </c>
      <c r="BX426" s="7">
        <v>1.5343</v>
      </c>
      <c r="BY426" s="7">
        <v>1.5148999999999999</v>
      </c>
      <c r="BZ426" s="7">
        <v>1.496</v>
      </c>
      <c r="CA426" s="7">
        <v>1.4776</v>
      </c>
      <c r="CB426" s="7">
        <v>1.4595</v>
      </c>
      <c r="CC426" s="7">
        <v>1.4419</v>
      </c>
      <c r="CD426" s="7">
        <v>1.4247000000000001</v>
      </c>
      <c r="CE426" s="7">
        <v>1.4078999999999999</v>
      </c>
      <c r="CF426" s="7">
        <v>1.3914</v>
      </c>
      <c r="CG426" s="7">
        <v>1.3752</v>
      </c>
      <c r="CH426" s="7">
        <v>1.3593999999999999</v>
      </c>
      <c r="CI426" s="7">
        <v>1.3440000000000001</v>
      </c>
      <c r="CJ426" s="7">
        <v>1.3288</v>
      </c>
      <c r="CK426" s="7">
        <v>1.3139000000000001</v>
      </c>
      <c r="CL426" s="7">
        <v>1.2992999999999999</v>
      </c>
      <c r="CM426" s="7">
        <v>1.2849999999999999</v>
      </c>
      <c r="CN426" s="7">
        <v>1.2709999999999999</v>
      </c>
      <c r="CO426" s="7">
        <v>1.2572000000000001</v>
      </c>
      <c r="CP426" s="7">
        <v>1.2436</v>
      </c>
      <c r="CQ426" s="7">
        <v>1.2302999999999999</v>
      </c>
      <c r="CR426" s="7">
        <v>1.2173</v>
      </c>
      <c r="CS426" s="7">
        <v>1.2043999999999999</v>
      </c>
      <c r="CT426" s="7">
        <v>1.1918</v>
      </c>
      <c r="CU426" s="7">
        <v>1.1793</v>
      </c>
      <c r="CV426" s="7">
        <v>1.1671</v>
      </c>
      <c r="CW426" s="7">
        <v>1.155</v>
      </c>
      <c r="CX426" s="7">
        <v>1.1431</v>
      </c>
      <c r="CY426" s="7">
        <v>1.1314</v>
      </c>
      <c r="CZ426" s="7">
        <v>1.1197999999999999</v>
      </c>
      <c r="DA426" s="7">
        <v>1.1085</v>
      </c>
      <c r="DB426" s="7">
        <v>1.0972</v>
      </c>
      <c r="DC426" s="7">
        <v>1.0861000000000001</v>
      </c>
      <c r="DD426" s="7">
        <v>1.0750999999999999</v>
      </c>
      <c r="DE426" s="7">
        <v>1.0643</v>
      </c>
      <c r="DF426" s="7">
        <v>1.0536000000000001</v>
      </c>
      <c r="DG426" s="7">
        <v>1.0429999999999999</v>
      </c>
      <c r="DH426" s="7">
        <v>1.0325</v>
      </c>
      <c r="DI426" s="7">
        <v>1.0221</v>
      </c>
      <c r="DJ426" s="7">
        <v>1.0118</v>
      </c>
      <c r="DK426" s="7">
        <v>1.0016</v>
      </c>
      <c r="DL426" s="7">
        <v>1</v>
      </c>
      <c r="DM426" s="7">
        <v>1</v>
      </c>
      <c r="DN426" s="7">
        <v>1</v>
      </c>
      <c r="DO426" s="7">
        <v>1</v>
      </c>
      <c r="DP426" s="7">
        <v>1</v>
      </c>
      <c r="DQ426" s="7">
        <v>1</v>
      </c>
      <c r="DR426" s="7">
        <v>1</v>
      </c>
      <c r="DS426" s="7">
        <v>1</v>
      </c>
      <c r="DT426" s="7">
        <v>1</v>
      </c>
      <c r="DU426" s="7">
        <v>1</v>
      </c>
      <c r="DV426" s="7">
        <v>1</v>
      </c>
      <c r="DW426" s="7">
        <v>1</v>
      </c>
      <c r="DX426" s="7">
        <v>1</v>
      </c>
      <c r="DY426" s="7">
        <v>1</v>
      </c>
      <c r="DZ426" s="7">
        <v>1</v>
      </c>
      <c r="EA426" s="7">
        <v>1</v>
      </c>
      <c r="EB426" s="7">
        <v>1</v>
      </c>
      <c r="EC426" s="7">
        <v>1</v>
      </c>
      <c r="ED426" s="7">
        <v>1</v>
      </c>
      <c r="EE426" s="7">
        <v>1</v>
      </c>
      <c r="EF426" s="7">
        <v>1</v>
      </c>
      <c r="EG426" s="7">
        <v>1</v>
      </c>
      <c r="EH426" s="7">
        <v>1</v>
      </c>
      <c r="EI426" s="7">
        <v>1</v>
      </c>
      <c r="EJ426" s="7">
        <v>1</v>
      </c>
      <c r="EK426" s="7">
        <v>1</v>
      </c>
      <c r="EL426" s="7">
        <v>1</v>
      </c>
      <c r="EM426" s="7">
        <v>1</v>
      </c>
      <c r="EN426" s="7">
        <v>1</v>
      </c>
      <c r="EO426" s="7">
        <v>1</v>
      </c>
      <c r="EP426" s="7">
        <v>1</v>
      </c>
      <c r="EQ426" s="7">
        <v>1</v>
      </c>
      <c r="ER426" s="7">
        <v>1</v>
      </c>
      <c r="ES426" s="7">
        <v>1</v>
      </c>
      <c r="ET426" s="7">
        <v>1</v>
      </c>
      <c r="EU426" s="7">
        <v>1</v>
      </c>
      <c r="EV426" s="7">
        <v>1</v>
      </c>
      <c r="EW426" s="7">
        <v>1</v>
      </c>
      <c r="EX426" s="7">
        <v>1</v>
      </c>
      <c r="EY426" s="7">
        <v>1</v>
      </c>
      <c r="EZ426" s="7">
        <v>1</v>
      </c>
      <c r="FA426" s="7">
        <v>1</v>
      </c>
      <c r="FB426" s="7">
        <v>1</v>
      </c>
      <c r="FC426" s="7">
        <v>1</v>
      </c>
      <c r="FE426" s="50">
        <f t="shared" ca="1" si="48"/>
        <v>1</v>
      </c>
      <c r="FF426" s="50">
        <f t="shared" ca="1" si="49"/>
        <v>1</v>
      </c>
      <c r="FG426" s="50">
        <f t="shared" ca="1" si="50"/>
        <v>1</v>
      </c>
      <c r="FH426" s="50">
        <f t="shared" ca="1" si="51"/>
        <v>1</v>
      </c>
      <c r="FK426" s="50">
        <f t="shared" ca="1" si="47"/>
        <v>1</v>
      </c>
      <c r="FL426" s="50"/>
      <c r="FM426" s="50"/>
      <c r="FN426" s="50"/>
    </row>
    <row r="427" spans="48:170" hidden="1">
      <c r="AW427" s="433">
        <v>0.14099999999999999</v>
      </c>
      <c r="AX427" s="7">
        <v>2.0087999999999999</v>
      </c>
      <c r="AY427" s="7">
        <v>1.9851000000000001</v>
      </c>
      <c r="AZ427" s="7">
        <v>1.9624999999999999</v>
      </c>
      <c r="BA427" s="7">
        <v>1.9410000000000001</v>
      </c>
      <c r="BB427" s="7">
        <v>1.9205000000000001</v>
      </c>
      <c r="BC427" s="7">
        <v>1.9009</v>
      </c>
      <c r="BD427" s="7">
        <v>1.8822000000000001</v>
      </c>
      <c r="BE427" s="7">
        <v>1.8643000000000001</v>
      </c>
      <c r="BF427" s="7">
        <v>1.8472</v>
      </c>
      <c r="BG427" s="7">
        <v>1.8308</v>
      </c>
      <c r="BH427" s="7">
        <v>1.8150999999999999</v>
      </c>
      <c r="BI427" s="7">
        <v>1.8</v>
      </c>
      <c r="BJ427" s="7">
        <v>1.7856000000000001</v>
      </c>
      <c r="BK427" s="7">
        <v>1.7717000000000001</v>
      </c>
      <c r="BL427" s="7">
        <v>1.7584</v>
      </c>
      <c r="BM427" s="7">
        <v>1.7455000000000001</v>
      </c>
      <c r="BN427" s="7">
        <v>1.7332000000000001</v>
      </c>
      <c r="BO427" s="7">
        <v>1.7214</v>
      </c>
      <c r="BP427" s="7">
        <v>1.71</v>
      </c>
      <c r="BQ427" s="7">
        <v>1.6989000000000001</v>
      </c>
      <c r="BR427" s="7">
        <v>1.6756</v>
      </c>
      <c r="BS427" s="7">
        <v>1.6529</v>
      </c>
      <c r="BT427" s="7">
        <v>1.6308</v>
      </c>
      <c r="BU427" s="7">
        <v>1.6093999999999999</v>
      </c>
      <c r="BV427" s="7">
        <v>1.5884</v>
      </c>
      <c r="BW427" s="7">
        <v>1.5681</v>
      </c>
      <c r="BX427" s="7">
        <v>1.5482</v>
      </c>
      <c r="BY427" s="7">
        <v>1.5287999999999999</v>
      </c>
      <c r="BZ427" s="7">
        <v>1.5098</v>
      </c>
      <c r="CA427" s="7">
        <v>1.4914000000000001</v>
      </c>
      <c r="CB427" s="7">
        <v>1.4733000000000001</v>
      </c>
      <c r="CC427" s="7">
        <v>1.4557</v>
      </c>
      <c r="CD427" s="7">
        <v>1.4383999999999999</v>
      </c>
      <c r="CE427" s="7">
        <v>1.4215</v>
      </c>
      <c r="CF427" s="7">
        <v>1.405</v>
      </c>
      <c r="CG427" s="7">
        <v>1.3889</v>
      </c>
      <c r="CH427" s="7">
        <v>1.373</v>
      </c>
      <c r="CI427" s="7">
        <v>1.3574999999999999</v>
      </c>
      <c r="CJ427" s="7">
        <v>1.3423</v>
      </c>
      <c r="CK427" s="7">
        <v>1.3274999999999999</v>
      </c>
      <c r="CL427" s="7">
        <v>1.3128</v>
      </c>
      <c r="CM427" s="7">
        <v>1.2985</v>
      </c>
      <c r="CN427" s="7">
        <v>1.2845</v>
      </c>
      <c r="CO427" s="7">
        <v>1.2706999999999999</v>
      </c>
      <c r="CP427" s="7">
        <v>1.2571000000000001</v>
      </c>
      <c r="CQ427" s="7">
        <v>1.2438</v>
      </c>
      <c r="CR427" s="7">
        <v>1.2306999999999999</v>
      </c>
      <c r="CS427" s="7">
        <v>1.2178</v>
      </c>
      <c r="CT427" s="7">
        <v>1.2052</v>
      </c>
      <c r="CU427" s="7">
        <v>1.1927000000000001</v>
      </c>
      <c r="CV427" s="7">
        <v>1.1805000000000001</v>
      </c>
      <c r="CW427" s="7">
        <v>1.1684000000000001</v>
      </c>
      <c r="CX427" s="7">
        <v>1.1565000000000001</v>
      </c>
      <c r="CY427" s="7">
        <v>1.1448</v>
      </c>
      <c r="CZ427" s="7">
        <v>1.1333</v>
      </c>
      <c r="DA427" s="7">
        <v>1.1218999999999999</v>
      </c>
      <c r="DB427" s="7">
        <v>1.1107</v>
      </c>
      <c r="DC427" s="7">
        <v>1.0995999999999999</v>
      </c>
      <c r="DD427" s="7">
        <v>1.0886</v>
      </c>
      <c r="DE427" s="7">
        <v>1.0778000000000001</v>
      </c>
      <c r="DF427" s="7">
        <v>1.0670999999999999</v>
      </c>
      <c r="DG427" s="7">
        <v>1.0565</v>
      </c>
      <c r="DH427" s="7">
        <v>1.046</v>
      </c>
      <c r="DI427" s="7">
        <v>1.0357000000000001</v>
      </c>
      <c r="DJ427" s="7">
        <v>1.0254000000000001</v>
      </c>
      <c r="DK427" s="7">
        <v>1.0152000000000001</v>
      </c>
      <c r="DL427" s="7">
        <v>1.0051000000000001</v>
      </c>
      <c r="DM427" s="7">
        <v>1</v>
      </c>
      <c r="DN427" s="7">
        <v>1</v>
      </c>
      <c r="DO427" s="7">
        <v>1</v>
      </c>
      <c r="DP427" s="7">
        <v>1</v>
      </c>
      <c r="DQ427" s="7">
        <v>1</v>
      </c>
      <c r="DR427" s="7">
        <v>1</v>
      </c>
      <c r="DS427" s="7">
        <v>1</v>
      </c>
      <c r="DT427" s="7">
        <v>1</v>
      </c>
      <c r="DU427" s="7">
        <v>1</v>
      </c>
      <c r="DV427" s="7">
        <v>1</v>
      </c>
      <c r="DW427" s="7">
        <v>1</v>
      </c>
      <c r="DX427" s="7">
        <v>1</v>
      </c>
      <c r="DY427" s="7">
        <v>1</v>
      </c>
      <c r="DZ427" s="7">
        <v>1</v>
      </c>
      <c r="EA427" s="7">
        <v>1</v>
      </c>
      <c r="EB427" s="7">
        <v>1</v>
      </c>
      <c r="EC427" s="7">
        <v>1</v>
      </c>
      <c r="ED427" s="7">
        <v>1</v>
      </c>
      <c r="EE427" s="7">
        <v>1</v>
      </c>
      <c r="EF427" s="7">
        <v>1</v>
      </c>
      <c r="EG427" s="7">
        <v>1</v>
      </c>
      <c r="EH427" s="7">
        <v>1</v>
      </c>
      <c r="EI427" s="7">
        <v>1</v>
      </c>
      <c r="EJ427" s="7">
        <v>1</v>
      </c>
      <c r="EK427" s="7">
        <v>1</v>
      </c>
      <c r="EL427" s="7">
        <v>1</v>
      </c>
      <c r="EM427" s="7">
        <v>1</v>
      </c>
      <c r="EN427" s="7">
        <v>1</v>
      </c>
      <c r="EO427" s="7">
        <v>1</v>
      </c>
      <c r="EP427" s="7">
        <v>1</v>
      </c>
      <c r="EQ427" s="7">
        <v>1</v>
      </c>
      <c r="ER427" s="7">
        <v>1</v>
      </c>
      <c r="ES427" s="7">
        <v>1</v>
      </c>
      <c r="ET427" s="7">
        <v>1</v>
      </c>
      <c r="EU427" s="7">
        <v>1</v>
      </c>
      <c r="EV427" s="7">
        <v>1</v>
      </c>
      <c r="EW427" s="7">
        <v>1</v>
      </c>
      <c r="EX427" s="7">
        <v>1</v>
      </c>
      <c r="EY427" s="7">
        <v>1</v>
      </c>
      <c r="EZ427" s="7">
        <v>1</v>
      </c>
      <c r="FA427" s="7">
        <v>1</v>
      </c>
      <c r="FB427" s="7">
        <v>1</v>
      </c>
      <c r="FC427" s="7">
        <v>1</v>
      </c>
      <c r="FE427" s="50">
        <f t="shared" ca="1" si="48"/>
        <v>1</v>
      </c>
      <c r="FF427" s="50">
        <f t="shared" ca="1" si="49"/>
        <v>1</v>
      </c>
      <c r="FG427" s="50">
        <f t="shared" ca="1" si="50"/>
        <v>1</v>
      </c>
      <c r="FH427" s="50">
        <f t="shared" ca="1" si="51"/>
        <v>1</v>
      </c>
      <c r="FK427" s="50">
        <f t="shared" ca="1" si="47"/>
        <v>1</v>
      </c>
      <c r="FL427" s="50"/>
      <c r="FM427" s="50"/>
      <c r="FN427" s="50"/>
    </row>
    <row r="428" spans="48:170" hidden="1">
      <c r="AW428" s="433">
        <v>0.151</v>
      </c>
      <c r="AX428" s="7">
        <v>2.0087999999999999</v>
      </c>
      <c r="AY428" s="7">
        <v>1.9851000000000001</v>
      </c>
      <c r="AZ428" s="7">
        <v>1.9624999999999999</v>
      </c>
      <c r="BA428" s="7">
        <v>1.9410000000000001</v>
      </c>
      <c r="BB428" s="7">
        <v>1.9205000000000001</v>
      </c>
      <c r="BC428" s="7">
        <v>1.9009</v>
      </c>
      <c r="BD428" s="7">
        <v>1.8822000000000001</v>
      </c>
      <c r="BE428" s="7">
        <v>1.8643000000000001</v>
      </c>
      <c r="BF428" s="7">
        <v>1.8472</v>
      </c>
      <c r="BG428" s="7">
        <v>1.8308</v>
      </c>
      <c r="BH428" s="7">
        <v>1.8150999999999999</v>
      </c>
      <c r="BI428" s="7">
        <v>1.8</v>
      </c>
      <c r="BJ428" s="7">
        <v>1.7856000000000001</v>
      </c>
      <c r="BK428" s="7">
        <v>1.7717000000000001</v>
      </c>
      <c r="BL428" s="7">
        <v>1.7584</v>
      </c>
      <c r="BM428" s="7">
        <v>1.7455000000000001</v>
      </c>
      <c r="BN428" s="7">
        <v>1.7332000000000001</v>
      </c>
      <c r="BO428" s="7">
        <v>1.7214</v>
      </c>
      <c r="BP428" s="7">
        <v>1.71</v>
      </c>
      <c r="BQ428" s="7">
        <v>1.6990000000000001</v>
      </c>
      <c r="BR428" s="7">
        <v>1.6883999999999999</v>
      </c>
      <c r="BS428" s="7">
        <v>1.6669</v>
      </c>
      <c r="BT428" s="7">
        <v>1.6448</v>
      </c>
      <c r="BU428" s="7">
        <v>1.6233</v>
      </c>
      <c r="BV428" s="7">
        <v>1.6023000000000001</v>
      </c>
      <c r="BW428" s="7">
        <v>1.5819000000000001</v>
      </c>
      <c r="BX428" s="7">
        <v>1.5619000000000001</v>
      </c>
      <c r="BY428" s="7">
        <v>1.5425</v>
      </c>
      <c r="BZ428" s="7">
        <v>1.5235000000000001</v>
      </c>
      <c r="CA428" s="7">
        <v>1.5049999999999999</v>
      </c>
      <c r="CB428" s="7">
        <v>1.4869000000000001</v>
      </c>
      <c r="CC428" s="7">
        <v>1.4692000000000001</v>
      </c>
      <c r="CD428" s="7">
        <v>1.452</v>
      </c>
      <c r="CE428" s="7">
        <v>1.4351</v>
      </c>
      <c r="CF428" s="7">
        <v>1.4185000000000001</v>
      </c>
      <c r="CG428" s="7">
        <v>1.4023000000000001</v>
      </c>
      <c r="CH428" s="7">
        <v>1.3865000000000001</v>
      </c>
      <c r="CI428" s="7">
        <v>1.371</v>
      </c>
      <c r="CJ428" s="7">
        <v>1.3557999999999999</v>
      </c>
      <c r="CK428" s="7">
        <v>1.3408</v>
      </c>
      <c r="CL428" s="7">
        <v>1.3262</v>
      </c>
      <c r="CM428" s="7">
        <v>1.3119000000000001</v>
      </c>
      <c r="CN428" s="7">
        <v>1.2978000000000001</v>
      </c>
      <c r="CO428" s="7">
        <v>1.284</v>
      </c>
      <c r="CP428" s="7">
        <v>1.2704</v>
      </c>
      <c r="CQ428" s="7">
        <v>1.2571000000000001</v>
      </c>
      <c r="CR428" s="7">
        <v>1.244</v>
      </c>
      <c r="CS428" s="7">
        <v>1.2311000000000001</v>
      </c>
      <c r="CT428" s="7">
        <v>1.2184999999999999</v>
      </c>
      <c r="CU428" s="7">
        <v>1.206</v>
      </c>
      <c r="CV428" s="7">
        <v>1.1938</v>
      </c>
      <c r="CW428" s="7">
        <v>1.1817</v>
      </c>
      <c r="CX428" s="7">
        <v>1.1698</v>
      </c>
      <c r="CY428" s="7">
        <v>1.1580999999999999</v>
      </c>
      <c r="CZ428" s="7">
        <v>1.1466000000000001</v>
      </c>
      <c r="DA428" s="7">
        <v>1.1352</v>
      </c>
      <c r="DB428" s="7">
        <v>1.1240000000000001</v>
      </c>
      <c r="DC428" s="7">
        <v>1.1129</v>
      </c>
      <c r="DD428" s="7">
        <v>1.1019000000000001</v>
      </c>
      <c r="DE428" s="7">
        <v>1.0911</v>
      </c>
      <c r="DF428" s="7">
        <v>1.0804</v>
      </c>
      <c r="DG428" s="7">
        <v>1.0699000000000001</v>
      </c>
      <c r="DH428" s="7">
        <v>1.0593999999999999</v>
      </c>
      <c r="DI428" s="7">
        <v>1.0490999999999999</v>
      </c>
      <c r="DJ428" s="7">
        <v>1.0387999999999999</v>
      </c>
      <c r="DK428" s="7">
        <v>1.0286</v>
      </c>
      <c r="DL428" s="7">
        <v>1.0185999999999999</v>
      </c>
      <c r="DM428" s="7">
        <v>1.0085999999999999</v>
      </c>
      <c r="DN428" s="7">
        <v>1</v>
      </c>
      <c r="DO428" s="7">
        <v>1</v>
      </c>
      <c r="DP428" s="7">
        <v>1</v>
      </c>
      <c r="DQ428" s="7">
        <v>1</v>
      </c>
      <c r="DR428" s="7">
        <v>1</v>
      </c>
      <c r="DS428" s="7">
        <v>1</v>
      </c>
      <c r="DT428" s="7">
        <v>1</v>
      </c>
      <c r="DU428" s="7">
        <v>1</v>
      </c>
      <c r="DV428" s="7">
        <v>1</v>
      </c>
      <c r="DW428" s="7">
        <v>1</v>
      </c>
      <c r="DX428" s="7">
        <v>1</v>
      </c>
      <c r="DY428" s="7">
        <v>1</v>
      </c>
      <c r="DZ428" s="7">
        <v>1</v>
      </c>
      <c r="EA428" s="7">
        <v>1</v>
      </c>
      <c r="EB428" s="7">
        <v>1</v>
      </c>
      <c r="EC428" s="7">
        <v>1</v>
      </c>
      <c r="ED428" s="7">
        <v>1</v>
      </c>
      <c r="EE428" s="7">
        <v>1</v>
      </c>
      <c r="EF428" s="7">
        <v>1</v>
      </c>
      <c r="EG428" s="7">
        <v>1</v>
      </c>
      <c r="EH428" s="7">
        <v>1</v>
      </c>
      <c r="EI428" s="7">
        <v>1</v>
      </c>
      <c r="EJ428" s="7">
        <v>1</v>
      </c>
      <c r="EK428" s="7">
        <v>1</v>
      </c>
      <c r="EL428" s="7">
        <v>1</v>
      </c>
      <c r="EM428" s="7">
        <v>1</v>
      </c>
      <c r="EN428" s="7">
        <v>1</v>
      </c>
      <c r="EO428" s="7">
        <v>1</v>
      </c>
      <c r="EP428" s="7">
        <v>1</v>
      </c>
      <c r="EQ428" s="7">
        <v>1</v>
      </c>
      <c r="ER428" s="7">
        <v>1</v>
      </c>
      <c r="ES428" s="7">
        <v>1</v>
      </c>
      <c r="ET428" s="7">
        <v>1</v>
      </c>
      <c r="EU428" s="7">
        <v>1</v>
      </c>
      <c r="EV428" s="7">
        <v>1</v>
      </c>
      <c r="EW428" s="7">
        <v>1</v>
      </c>
      <c r="EX428" s="7">
        <v>1</v>
      </c>
      <c r="EY428" s="7">
        <v>1</v>
      </c>
      <c r="EZ428" s="7">
        <v>1</v>
      </c>
      <c r="FA428" s="7">
        <v>1</v>
      </c>
      <c r="FB428" s="7">
        <v>1</v>
      </c>
      <c r="FC428" s="7">
        <v>1</v>
      </c>
      <c r="FE428" s="50">
        <f t="shared" ca="1" si="48"/>
        <v>1</v>
      </c>
      <c r="FF428" s="50">
        <f t="shared" ca="1" si="49"/>
        <v>1</v>
      </c>
      <c r="FG428" s="50">
        <f t="shared" ca="1" si="50"/>
        <v>1</v>
      </c>
      <c r="FH428" s="50">
        <f t="shared" ca="1" si="51"/>
        <v>1</v>
      </c>
      <c r="FK428" s="50">
        <f t="shared" ca="1" si="47"/>
        <v>1</v>
      </c>
      <c r="FL428" s="50"/>
      <c r="FM428" s="50"/>
      <c r="FN428" s="50"/>
    </row>
    <row r="429" spans="48:170" hidden="1">
      <c r="AW429" s="433">
        <v>0.16200000000000001</v>
      </c>
      <c r="AX429" s="7">
        <v>2.0087999999999999</v>
      </c>
      <c r="AY429" s="7">
        <v>1.9851000000000001</v>
      </c>
      <c r="AZ429" s="7">
        <v>1.9624999999999999</v>
      </c>
      <c r="BA429" s="7">
        <v>1.9410000000000001</v>
      </c>
      <c r="BB429" s="7">
        <v>1.9205000000000001</v>
      </c>
      <c r="BC429" s="7">
        <v>1.9009</v>
      </c>
      <c r="BD429" s="7">
        <v>1.8822000000000001</v>
      </c>
      <c r="BE429" s="7">
        <v>1.8643000000000001</v>
      </c>
      <c r="BF429" s="7">
        <v>1.8472</v>
      </c>
      <c r="BG429" s="7">
        <v>1.8308</v>
      </c>
      <c r="BH429" s="7">
        <v>1.8150999999999999</v>
      </c>
      <c r="BI429" s="7">
        <v>1.8</v>
      </c>
      <c r="BJ429" s="7">
        <v>1.7856000000000001</v>
      </c>
      <c r="BK429" s="7">
        <v>1.7717000000000001</v>
      </c>
      <c r="BL429" s="7">
        <v>1.7584</v>
      </c>
      <c r="BM429" s="7">
        <v>1.7455000000000001</v>
      </c>
      <c r="BN429" s="7">
        <v>1.7332000000000001</v>
      </c>
      <c r="BO429" s="7">
        <v>1.7214</v>
      </c>
      <c r="BP429" s="7">
        <v>1.71</v>
      </c>
      <c r="BQ429" s="7">
        <v>1.6990000000000001</v>
      </c>
      <c r="BR429" s="7">
        <v>1.6883999999999999</v>
      </c>
      <c r="BS429" s="7">
        <v>1.6781999999999999</v>
      </c>
      <c r="BT429" s="7">
        <v>1.6586000000000001</v>
      </c>
      <c r="BU429" s="7">
        <v>1.637</v>
      </c>
      <c r="BV429" s="7">
        <v>1.6160000000000001</v>
      </c>
      <c r="BW429" s="7">
        <v>1.5954999999999999</v>
      </c>
      <c r="BX429" s="7">
        <v>1.5754999999999999</v>
      </c>
      <c r="BY429" s="7">
        <v>1.5561</v>
      </c>
      <c r="BZ429" s="7">
        <v>1.5370999999999999</v>
      </c>
      <c r="CA429" s="7">
        <v>1.5185</v>
      </c>
      <c r="CB429" s="7">
        <v>1.5004</v>
      </c>
      <c r="CC429" s="7">
        <v>1.4826999999999999</v>
      </c>
      <c r="CD429" s="7">
        <v>1.4654</v>
      </c>
      <c r="CE429" s="7">
        <v>1.4483999999999999</v>
      </c>
      <c r="CF429" s="7">
        <v>1.4319</v>
      </c>
      <c r="CG429" s="7">
        <v>1.4157</v>
      </c>
      <c r="CH429" s="7">
        <v>1.3997999999999999</v>
      </c>
      <c r="CI429" s="7">
        <v>1.3842000000000001</v>
      </c>
      <c r="CJ429" s="7">
        <v>1.369</v>
      </c>
      <c r="CK429" s="7">
        <v>1.3541000000000001</v>
      </c>
      <c r="CL429" s="7">
        <v>1.3394999999999999</v>
      </c>
      <c r="CM429" s="7">
        <v>1.3250999999999999</v>
      </c>
      <c r="CN429" s="7">
        <v>1.3109999999999999</v>
      </c>
      <c r="CO429" s="7">
        <v>1.2971999999999999</v>
      </c>
      <c r="CP429" s="7">
        <v>1.2836000000000001</v>
      </c>
      <c r="CQ429" s="7">
        <v>1.2703</v>
      </c>
      <c r="CR429" s="7">
        <v>1.2572000000000001</v>
      </c>
      <c r="CS429" s="7">
        <v>1.2443</v>
      </c>
      <c r="CT429" s="7">
        <v>1.2316</v>
      </c>
      <c r="CU429" s="7">
        <v>1.2192000000000001</v>
      </c>
      <c r="CV429" s="7">
        <v>1.2069000000000001</v>
      </c>
      <c r="CW429" s="7">
        <v>1.1949000000000001</v>
      </c>
      <c r="CX429" s="7">
        <v>1.1830000000000001</v>
      </c>
      <c r="CY429" s="7">
        <v>1.1713</v>
      </c>
      <c r="CZ429" s="7">
        <v>1.1597</v>
      </c>
      <c r="DA429" s="7">
        <v>1.1484000000000001</v>
      </c>
      <c r="DB429" s="7">
        <v>1.1371</v>
      </c>
      <c r="DC429" s="7">
        <v>1.1261000000000001</v>
      </c>
      <c r="DD429" s="7">
        <v>1.1151</v>
      </c>
      <c r="DE429" s="7">
        <v>1.1043000000000001</v>
      </c>
      <c r="DF429" s="7">
        <v>1.0936999999999999</v>
      </c>
      <c r="DG429" s="7">
        <v>1.0831</v>
      </c>
      <c r="DH429" s="7">
        <v>1.0727</v>
      </c>
      <c r="DI429" s="7">
        <v>1.0623</v>
      </c>
      <c r="DJ429" s="7">
        <v>1.0521</v>
      </c>
      <c r="DK429" s="7">
        <v>1.042</v>
      </c>
      <c r="DL429" s="7">
        <v>1.0319</v>
      </c>
      <c r="DM429" s="7">
        <v>1.0219</v>
      </c>
      <c r="DN429" s="7">
        <v>1.012</v>
      </c>
      <c r="DO429" s="7">
        <v>1.0022</v>
      </c>
      <c r="DP429" s="7">
        <v>1</v>
      </c>
      <c r="DQ429" s="7">
        <v>1</v>
      </c>
      <c r="DR429" s="7">
        <v>1</v>
      </c>
      <c r="DS429" s="7">
        <v>1</v>
      </c>
      <c r="DT429" s="7">
        <v>1</v>
      </c>
      <c r="DU429" s="7">
        <v>1</v>
      </c>
      <c r="DV429" s="7">
        <v>1</v>
      </c>
      <c r="DW429" s="7">
        <v>1</v>
      </c>
      <c r="DX429" s="7">
        <v>1</v>
      </c>
      <c r="DY429" s="7">
        <v>1</v>
      </c>
      <c r="DZ429" s="7">
        <v>1</v>
      </c>
      <c r="EA429" s="7">
        <v>1</v>
      </c>
      <c r="EB429" s="7">
        <v>1</v>
      </c>
      <c r="EC429" s="7">
        <v>1</v>
      </c>
      <c r="ED429" s="7">
        <v>1</v>
      </c>
      <c r="EE429" s="7">
        <v>1</v>
      </c>
      <c r="EF429" s="7">
        <v>1</v>
      </c>
      <c r="EG429" s="7">
        <v>1</v>
      </c>
      <c r="EH429" s="7">
        <v>1</v>
      </c>
      <c r="EI429" s="7">
        <v>1</v>
      </c>
      <c r="EJ429" s="7">
        <v>1</v>
      </c>
      <c r="EK429" s="7">
        <v>1</v>
      </c>
      <c r="EL429" s="7">
        <v>1</v>
      </c>
      <c r="EM429" s="7">
        <v>1</v>
      </c>
      <c r="EN429" s="7">
        <v>1</v>
      </c>
      <c r="EO429" s="7">
        <v>1</v>
      </c>
      <c r="EP429" s="7">
        <v>1</v>
      </c>
      <c r="EQ429" s="7">
        <v>1</v>
      </c>
      <c r="ER429" s="7">
        <v>1</v>
      </c>
      <c r="ES429" s="7">
        <v>1</v>
      </c>
      <c r="ET429" s="7">
        <v>1</v>
      </c>
      <c r="EU429" s="7">
        <v>1</v>
      </c>
      <c r="EV429" s="7">
        <v>1</v>
      </c>
      <c r="EW429" s="7">
        <v>1</v>
      </c>
      <c r="EX429" s="7">
        <v>1</v>
      </c>
      <c r="EY429" s="7">
        <v>1</v>
      </c>
      <c r="EZ429" s="7">
        <v>1</v>
      </c>
      <c r="FA429" s="7">
        <v>1</v>
      </c>
      <c r="FB429" s="7">
        <v>1</v>
      </c>
      <c r="FC429" s="7">
        <v>1</v>
      </c>
      <c r="FE429" s="50">
        <f t="shared" ca="1" si="48"/>
        <v>1</v>
      </c>
      <c r="FF429" s="50">
        <f t="shared" ca="1" si="49"/>
        <v>1</v>
      </c>
      <c r="FG429" s="50">
        <f t="shared" ca="1" si="50"/>
        <v>1</v>
      </c>
      <c r="FH429" s="50">
        <f t="shared" ca="1" si="51"/>
        <v>1</v>
      </c>
      <c r="FK429" s="50">
        <f t="shared" ca="1" si="47"/>
        <v>1</v>
      </c>
      <c r="FL429" s="50"/>
      <c r="FM429" s="50"/>
      <c r="FN429" s="50"/>
    </row>
    <row r="430" spans="48:170" hidden="1">
      <c r="AW430" s="433">
        <v>0.17399999999999999</v>
      </c>
      <c r="AX430" s="7">
        <v>2.0087999999999999</v>
      </c>
      <c r="AY430" s="7">
        <v>1.9851000000000001</v>
      </c>
      <c r="AZ430" s="7">
        <v>1.9624999999999999</v>
      </c>
      <c r="BA430" s="7">
        <v>1.9410000000000001</v>
      </c>
      <c r="BB430" s="7">
        <v>1.9205000000000001</v>
      </c>
      <c r="BC430" s="7">
        <v>1.9009</v>
      </c>
      <c r="BD430" s="7">
        <v>1.8822000000000001</v>
      </c>
      <c r="BE430" s="7">
        <v>1.8643000000000001</v>
      </c>
      <c r="BF430" s="7">
        <v>1.8472</v>
      </c>
      <c r="BG430" s="7">
        <v>1.8308</v>
      </c>
      <c r="BH430" s="7">
        <v>1.8150999999999999</v>
      </c>
      <c r="BI430" s="7">
        <v>1.8</v>
      </c>
      <c r="BJ430" s="7">
        <v>1.7856000000000001</v>
      </c>
      <c r="BK430" s="7">
        <v>1.7717000000000001</v>
      </c>
      <c r="BL430" s="7">
        <v>1.7584</v>
      </c>
      <c r="BM430" s="7">
        <v>1.7455000000000001</v>
      </c>
      <c r="BN430" s="7">
        <v>1.7332000000000001</v>
      </c>
      <c r="BO430" s="7">
        <v>1.7214</v>
      </c>
      <c r="BP430" s="7">
        <v>1.71</v>
      </c>
      <c r="BQ430" s="7">
        <v>1.6990000000000001</v>
      </c>
      <c r="BR430" s="7">
        <v>1.6883999999999999</v>
      </c>
      <c r="BS430" s="7">
        <v>1.6781999999999999</v>
      </c>
      <c r="BT430" s="7">
        <v>1.6684000000000001</v>
      </c>
      <c r="BU430" s="7">
        <v>1.6506000000000001</v>
      </c>
      <c r="BV430" s="7">
        <v>1.6294999999999999</v>
      </c>
      <c r="BW430" s="7">
        <v>1.609</v>
      </c>
      <c r="BX430" s="7">
        <v>1.589</v>
      </c>
      <c r="BY430" s="7">
        <v>1.5694999999999999</v>
      </c>
      <c r="BZ430" s="7">
        <v>1.5504</v>
      </c>
      <c r="CA430" s="7">
        <v>1.5319</v>
      </c>
      <c r="CB430" s="7">
        <v>1.5137</v>
      </c>
      <c r="CC430" s="7">
        <v>1.496</v>
      </c>
      <c r="CD430" s="7">
        <v>1.4785999999999999</v>
      </c>
      <c r="CE430" s="7">
        <v>1.4617</v>
      </c>
      <c r="CF430" s="7">
        <v>1.4451000000000001</v>
      </c>
      <c r="CG430" s="7">
        <v>1.4288000000000001</v>
      </c>
      <c r="CH430" s="7">
        <v>1.4129</v>
      </c>
      <c r="CI430" s="7">
        <v>1.3974</v>
      </c>
      <c r="CJ430" s="7">
        <v>1.3821000000000001</v>
      </c>
      <c r="CK430" s="7">
        <v>1.3672</v>
      </c>
      <c r="CL430" s="7">
        <v>1.3525</v>
      </c>
      <c r="CM430" s="7">
        <v>1.3382000000000001</v>
      </c>
      <c r="CN430" s="7">
        <v>1.3241000000000001</v>
      </c>
      <c r="CO430" s="7">
        <v>1.3102</v>
      </c>
      <c r="CP430" s="7">
        <v>1.2966</v>
      </c>
      <c r="CQ430" s="7">
        <v>1.2833000000000001</v>
      </c>
      <c r="CR430" s="7">
        <v>1.2702</v>
      </c>
      <c r="CS430" s="7">
        <v>1.2573000000000001</v>
      </c>
      <c r="CT430" s="7">
        <v>1.2445999999999999</v>
      </c>
      <c r="CU430" s="7">
        <v>1.2322</v>
      </c>
      <c r="CV430" s="7">
        <v>1.2199</v>
      </c>
      <c r="CW430" s="7">
        <v>1.2078</v>
      </c>
      <c r="CX430" s="7">
        <v>1.196</v>
      </c>
      <c r="CY430" s="7">
        <v>1.1842999999999999</v>
      </c>
      <c r="CZ430" s="7">
        <v>1.1727000000000001</v>
      </c>
      <c r="DA430" s="7">
        <v>1.1614</v>
      </c>
      <c r="DB430" s="7">
        <v>1.1500999999999999</v>
      </c>
      <c r="DC430" s="7">
        <v>1.1391</v>
      </c>
      <c r="DD430" s="7">
        <v>1.1282000000000001</v>
      </c>
      <c r="DE430" s="7">
        <v>1.1173999999999999</v>
      </c>
      <c r="DF430" s="7">
        <v>1.1067</v>
      </c>
      <c r="DG430" s="7">
        <v>1.0962000000000001</v>
      </c>
      <c r="DH430" s="7">
        <v>1.0858000000000001</v>
      </c>
      <c r="DI430" s="7">
        <v>1.0754999999999999</v>
      </c>
      <c r="DJ430" s="7">
        <v>1.0651999999999999</v>
      </c>
      <c r="DK430" s="7">
        <v>1.0550999999999999</v>
      </c>
      <c r="DL430" s="7">
        <v>1.0450999999999999</v>
      </c>
      <c r="DM430" s="7">
        <v>1.0351999999999999</v>
      </c>
      <c r="DN430" s="7">
        <v>1.0253000000000001</v>
      </c>
      <c r="DO430" s="7">
        <v>1.0155000000000001</v>
      </c>
      <c r="DP430" s="7">
        <v>1.0057</v>
      </c>
      <c r="DQ430" s="7">
        <v>1</v>
      </c>
      <c r="DR430" s="7">
        <v>1</v>
      </c>
      <c r="DS430" s="7">
        <v>1</v>
      </c>
      <c r="DT430" s="7">
        <v>1</v>
      </c>
      <c r="DU430" s="7">
        <v>1</v>
      </c>
      <c r="DV430" s="7">
        <v>1</v>
      </c>
      <c r="DW430" s="7">
        <v>1</v>
      </c>
      <c r="DX430" s="7">
        <v>1</v>
      </c>
      <c r="DY430" s="7">
        <v>1</v>
      </c>
      <c r="DZ430" s="7">
        <v>1</v>
      </c>
      <c r="EA430" s="7">
        <v>1</v>
      </c>
      <c r="EB430" s="7">
        <v>1</v>
      </c>
      <c r="EC430" s="7">
        <v>1</v>
      </c>
      <c r="ED430" s="7">
        <v>1</v>
      </c>
      <c r="EE430" s="7">
        <v>1</v>
      </c>
      <c r="EF430" s="7">
        <v>1</v>
      </c>
      <c r="EG430" s="7">
        <v>1</v>
      </c>
      <c r="EH430" s="7">
        <v>1</v>
      </c>
      <c r="EI430" s="7">
        <v>1</v>
      </c>
      <c r="EJ430" s="7">
        <v>1</v>
      </c>
      <c r="EK430" s="7">
        <v>1</v>
      </c>
      <c r="EL430" s="7">
        <v>1</v>
      </c>
      <c r="EM430" s="7">
        <v>1</v>
      </c>
      <c r="EN430" s="7">
        <v>1</v>
      </c>
      <c r="EO430" s="7">
        <v>1</v>
      </c>
      <c r="EP430" s="7">
        <v>1</v>
      </c>
      <c r="EQ430" s="7">
        <v>1</v>
      </c>
      <c r="ER430" s="7">
        <v>1</v>
      </c>
      <c r="ES430" s="7">
        <v>1</v>
      </c>
      <c r="ET430" s="7">
        <v>1</v>
      </c>
      <c r="EU430" s="7">
        <v>1</v>
      </c>
      <c r="EV430" s="7">
        <v>1</v>
      </c>
      <c r="EW430" s="7">
        <v>1</v>
      </c>
      <c r="EX430" s="7">
        <v>1</v>
      </c>
      <c r="EY430" s="7">
        <v>1</v>
      </c>
      <c r="EZ430" s="7">
        <v>1</v>
      </c>
      <c r="FA430" s="7">
        <v>1</v>
      </c>
      <c r="FB430" s="7">
        <v>1</v>
      </c>
      <c r="FC430" s="7">
        <v>1</v>
      </c>
      <c r="FE430" s="50">
        <f t="shared" ca="1" si="48"/>
        <v>1</v>
      </c>
      <c r="FF430" s="50">
        <f t="shared" ca="1" si="49"/>
        <v>1</v>
      </c>
      <c r="FG430" s="50">
        <f t="shared" ca="1" si="50"/>
        <v>1</v>
      </c>
      <c r="FH430" s="50">
        <f t="shared" ca="1" si="51"/>
        <v>1</v>
      </c>
      <c r="FK430" s="50">
        <f t="shared" ca="1" si="47"/>
        <v>1</v>
      </c>
      <c r="FL430" s="50"/>
      <c r="FM430" s="50"/>
      <c r="FN430" s="50"/>
    </row>
    <row r="431" spans="48:170" hidden="1">
      <c r="AW431" s="433">
        <v>0.186</v>
      </c>
      <c r="AX431" s="7">
        <v>2.0087999999999999</v>
      </c>
      <c r="AY431" s="7">
        <v>1.9851000000000001</v>
      </c>
      <c r="AZ431" s="7">
        <v>1.9624999999999999</v>
      </c>
      <c r="BA431" s="7">
        <v>1.9410000000000001</v>
      </c>
      <c r="BB431" s="7">
        <v>1.9205000000000001</v>
      </c>
      <c r="BC431" s="7">
        <v>1.9009</v>
      </c>
      <c r="BD431" s="7">
        <v>1.8822000000000001</v>
      </c>
      <c r="BE431" s="7">
        <v>1.8643000000000001</v>
      </c>
      <c r="BF431" s="7">
        <v>1.8472</v>
      </c>
      <c r="BG431" s="7">
        <v>1.8308</v>
      </c>
      <c r="BH431" s="7">
        <v>1.8150999999999999</v>
      </c>
      <c r="BI431" s="7">
        <v>1.8</v>
      </c>
      <c r="BJ431" s="7">
        <v>1.7856000000000001</v>
      </c>
      <c r="BK431" s="7">
        <v>1.7717000000000001</v>
      </c>
      <c r="BL431" s="7">
        <v>1.7584</v>
      </c>
      <c r="BM431" s="7">
        <v>1.7455000000000001</v>
      </c>
      <c r="BN431" s="7">
        <v>1.7332000000000001</v>
      </c>
      <c r="BO431" s="7">
        <v>1.7214</v>
      </c>
      <c r="BP431" s="7">
        <v>1.71</v>
      </c>
      <c r="BQ431" s="7">
        <v>1.6990000000000001</v>
      </c>
      <c r="BR431" s="7">
        <v>1.6883999999999999</v>
      </c>
      <c r="BS431" s="7">
        <v>1.6781999999999999</v>
      </c>
      <c r="BT431" s="7">
        <v>1.6684000000000001</v>
      </c>
      <c r="BU431" s="7">
        <v>1.659</v>
      </c>
      <c r="BV431" s="7">
        <v>1.6429</v>
      </c>
      <c r="BW431" s="7">
        <v>1.6223000000000001</v>
      </c>
      <c r="BX431" s="7">
        <v>1.6023000000000001</v>
      </c>
      <c r="BY431" s="7">
        <v>1.5828</v>
      </c>
      <c r="BZ431" s="7">
        <v>1.5637000000000001</v>
      </c>
      <c r="CA431" s="7">
        <v>1.5450999999999999</v>
      </c>
      <c r="CB431" s="7">
        <v>1.5268999999999999</v>
      </c>
      <c r="CC431" s="7">
        <v>1.5091000000000001</v>
      </c>
      <c r="CD431" s="7">
        <v>1.4917</v>
      </c>
      <c r="CE431" s="7">
        <v>1.4746999999999999</v>
      </c>
      <c r="CF431" s="7">
        <v>1.4581</v>
      </c>
      <c r="CG431" s="7">
        <v>1.4419</v>
      </c>
      <c r="CH431" s="7">
        <v>1.4259999999999999</v>
      </c>
      <c r="CI431" s="7">
        <v>1.4104000000000001</v>
      </c>
      <c r="CJ431" s="7">
        <v>1.3951</v>
      </c>
      <c r="CK431" s="7">
        <v>1.3801000000000001</v>
      </c>
      <c r="CL431" s="7">
        <v>1.3654999999999999</v>
      </c>
      <c r="CM431" s="7">
        <v>1.3511</v>
      </c>
      <c r="CN431" s="7">
        <v>1.337</v>
      </c>
      <c r="CO431" s="7">
        <v>1.3230999999999999</v>
      </c>
      <c r="CP431" s="7">
        <v>1.3095000000000001</v>
      </c>
      <c r="CQ431" s="7">
        <v>1.2962</v>
      </c>
      <c r="CR431" s="7">
        <v>1.2830999999999999</v>
      </c>
      <c r="CS431" s="7">
        <v>1.2702</v>
      </c>
      <c r="CT431" s="7">
        <v>1.2575000000000001</v>
      </c>
      <c r="CU431" s="7">
        <v>1.2450000000000001</v>
      </c>
      <c r="CV431" s="7">
        <v>1.2327999999999999</v>
      </c>
      <c r="CW431" s="7">
        <v>1.2206999999999999</v>
      </c>
      <c r="CX431" s="7">
        <v>1.2088000000000001</v>
      </c>
      <c r="CY431" s="7">
        <v>1.1971000000000001</v>
      </c>
      <c r="CZ431" s="7">
        <v>1.1856</v>
      </c>
      <c r="DA431" s="7">
        <v>1.1741999999999999</v>
      </c>
      <c r="DB431" s="7">
        <v>1.163</v>
      </c>
      <c r="DC431" s="7">
        <v>1.1519999999999999</v>
      </c>
      <c r="DD431" s="7">
        <v>1.141</v>
      </c>
      <c r="DE431" s="7">
        <v>1.1303000000000001</v>
      </c>
      <c r="DF431" s="7">
        <v>1.1195999999999999</v>
      </c>
      <c r="DG431" s="7">
        <v>1.1091</v>
      </c>
      <c r="DH431" s="7">
        <v>1.0987</v>
      </c>
      <c r="DI431" s="7">
        <v>1.0884</v>
      </c>
      <c r="DJ431" s="7">
        <v>1.0782</v>
      </c>
      <c r="DK431" s="7">
        <v>1.0681</v>
      </c>
      <c r="DL431" s="7">
        <v>1.0581</v>
      </c>
      <c r="DM431" s="7">
        <v>1.0482</v>
      </c>
      <c r="DN431" s="7">
        <v>1.0384</v>
      </c>
      <c r="DO431" s="7">
        <v>1.0286</v>
      </c>
      <c r="DP431" s="7">
        <v>1.0188999999999999</v>
      </c>
      <c r="DQ431" s="7">
        <v>1.0093000000000001</v>
      </c>
      <c r="DR431" s="7">
        <v>1</v>
      </c>
      <c r="DS431" s="7">
        <v>1</v>
      </c>
      <c r="DT431" s="7">
        <v>1</v>
      </c>
      <c r="DU431" s="7">
        <v>1</v>
      </c>
      <c r="DV431" s="7">
        <v>1</v>
      </c>
      <c r="DW431" s="7">
        <v>1</v>
      </c>
      <c r="DX431" s="7">
        <v>1</v>
      </c>
      <c r="DY431" s="7">
        <v>1</v>
      </c>
      <c r="DZ431" s="7">
        <v>1</v>
      </c>
      <c r="EA431" s="7">
        <v>1</v>
      </c>
      <c r="EB431" s="7">
        <v>1</v>
      </c>
      <c r="EC431" s="7">
        <v>1</v>
      </c>
      <c r="ED431" s="7">
        <v>1</v>
      </c>
      <c r="EE431" s="7">
        <v>1</v>
      </c>
      <c r="EF431" s="7">
        <v>1</v>
      </c>
      <c r="EG431" s="7">
        <v>1</v>
      </c>
      <c r="EH431" s="7">
        <v>1</v>
      </c>
      <c r="EI431" s="7">
        <v>1</v>
      </c>
      <c r="EJ431" s="7">
        <v>1</v>
      </c>
      <c r="EK431" s="7">
        <v>1</v>
      </c>
      <c r="EL431" s="7">
        <v>1</v>
      </c>
      <c r="EM431" s="7">
        <v>1</v>
      </c>
      <c r="EN431" s="7">
        <v>1</v>
      </c>
      <c r="EO431" s="7">
        <v>1</v>
      </c>
      <c r="EP431" s="7">
        <v>1</v>
      </c>
      <c r="EQ431" s="7">
        <v>1</v>
      </c>
      <c r="ER431" s="7">
        <v>1</v>
      </c>
      <c r="ES431" s="7">
        <v>1</v>
      </c>
      <c r="ET431" s="7">
        <v>1</v>
      </c>
      <c r="EU431" s="7">
        <v>1</v>
      </c>
      <c r="EV431" s="7">
        <v>1</v>
      </c>
      <c r="EW431" s="7">
        <v>1</v>
      </c>
      <c r="EX431" s="7">
        <v>1</v>
      </c>
      <c r="EY431" s="7">
        <v>1</v>
      </c>
      <c r="EZ431" s="7">
        <v>1</v>
      </c>
      <c r="FA431" s="7">
        <v>1</v>
      </c>
      <c r="FB431" s="7">
        <v>1</v>
      </c>
      <c r="FC431" s="7">
        <v>1</v>
      </c>
      <c r="FE431" s="50">
        <f t="shared" ca="1" si="48"/>
        <v>1</v>
      </c>
      <c r="FF431" s="50">
        <f t="shared" ca="1" si="49"/>
        <v>1</v>
      </c>
      <c r="FG431" s="50">
        <f t="shared" ca="1" si="50"/>
        <v>1</v>
      </c>
      <c r="FH431" s="50">
        <f t="shared" ca="1" si="51"/>
        <v>1</v>
      </c>
      <c r="FK431" s="50">
        <f t="shared" ca="1" si="47"/>
        <v>1</v>
      </c>
      <c r="FL431" s="50"/>
      <c r="FM431" s="50"/>
      <c r="FN431" s="50"/>
    </row>
    <row r="432" spans="48:170" hidden="1">
      <c r="AW432" s="433">
        <v>0.2</v>
      </c>
      <c r="AX432" s="7">
        <v>2.0087999999999999</v>
      </c>
      <c r="AY432" s="7">
        <v>1.9851000000000001</v>
      </c>
      <c r="AZ432" s="7">
        <v>1.9624999999999999</v>
      </c>
      <c r="BA432" s="7">
        <v>1.9410000000000001</v>
      </c>
      <c r="BB432" s="7">
        <v>1.9205000000000001</v>
      </c>
      <c r="BC432" s="7">
        <v>1.9009</v>
      </c>
      <c r="BD432" s="7">
        <v>1.8822000000000001</v>
      </c>
      <c r="BE432" s="7">
        <v>1.8643000000000001</v>
      </c>
      <c r="BF432" s="7">
        <v>1.8472</v>
      </c>
      <c r="BG432" s="7">
        <v>1.8308</v>
      </c>
      <c r="BH432" s="7">
        <v>1.8150999999999999</v>
      </c>
      <c r="BI432" s="7">
        <v>1.8</v>
      </c>
      <c r="BJ432" s="7">
        <v>1.7856000000000001</v>
      </c>
      <c r="BK432" s="7">
        <v>1.7717000000000001</v>
      </c>
      <c r="BL432" s="7">
        <v>1.7584</v>
      </c>
      <c r="BM432" s="7">
        <v>1.7455000000000001</v>
      </c>
      <c r="BN432" s="7">
        <v>1.7332000000000001</v>
      </c>
      <c r="BO432" s="7">
        <v>1.7214</v>
      </c>
      <c r="BP432" s="7">
        <v>1.71</v>
      </c>
      <c r="BQ432" s="7">
        <v>1.6990000000000001</v>
      </c>
      <c r="BR432" s="7">
        <v>1.6883999999999999</v>
      </c>
      <c r="BS432" s="7">
        <v>1.6781999999999999</v>
      </c>
      <c r="BT432" s="7">
        <v>1.6684000000000001</v>
      </c>
      <c r="BU432" s="7">
        <v>1.659</v>
      </c>
      <c r="BV432" s="7">
        <v>1.6498999999999999</v>
      </c>
      <c r="BW432" s="7">
        <v>1.6355</v>
      </c>
      <c r="BX432" s="7">
        <v>1.6154999999999999</v>
      </c>
      <c r="BY432" s="7">
        <v>1.5959000000000001</v>
      </c>
      <c r="BZ432" s="7">
        <v>1.5768</v>
      </c>
      <c r="CA432" s="7">
        <v>1.5581</v>
      </c>
      <c r="CB432" s="7">
        <v>1.5399</v>
      </c>
      <c r="CC432" s="7">
        <v>1.5221</v>
      </c>
      <c r="CD432" s="7">
        <v>1.5046999999999999</v>
      </c>
      <c r="CE432" s="7">
        <v>1.4877</v>
      </c>
      <c r="CF432" s="7">
        <v>1.4710000000000001</v>
      </c>
      <c r="CG432" s="7">
        <v>1.4548000000000001</v>
      </c>
      <c r="CH432" s="7">
        <v>1.4388000000000001</v>
      </c>
      <c r="CI432" s="7">
        <v>1.4232</v>
      </c>
      <c r="CJ432" s="7">
        <v>1.4078999999999999</v>
      </c>
      <c r="CK432" s="7">
        <v>1.3929</v>
      </c>
      <c r="CL432" s="7">
        <v>1.3783000000000001</v>
      </c>
      <c r="CM432" s="7">
        <v>1.3638999999999999</v>
      </c>
      <c r="CN432" s="7">
        <v>1.3496999999999999</v>
      </c>
      <c r="CO432" s="7">
        <v>1.3359000000000001</v>
      </c>
      <c r="CP432" s="7">
        <v>1.3223</v>
      </c>
      <c r="CQ432" s="7">
        <v>1.3089</v>
      </c>
      <c r="CR432" s="7">
        <v>1.2958000000000001</v>
      </c>
      <c r="CS432" s="7">
        <v>1.2828999999999999</v>
      </c>
      <c r="CT432" s="7">
        <v>1.2702</v>
      </c>
      <c r="CU432" s="7">
        <v>1.2577</v>
      </c>
      <c r="CV432" s="7">
        <v>1.2455000000000001</v>
      </c>
      <c r="CW432" s="7">
        <v>1.2334000000000001</v>
      </c>
      <c r="CX432" s="7">
        <v>1.2215</v>
      </c>
      <c r="CY432" s="7">
        <v>1.2098</v>
      </c>
      <c r="CZ432" s="7">
        <v>1.1982999999999999</v>
      </c>
      <c r="DA432" s="7">
        <v>1.1869000000000001</v>
      </c>
      <c r="DB432" s="7">
        <v>1.1757</v>
      </c>
      <c r="DC432" s="7">
        <v>1.1647000000000001</v>
      </c>
      <c r="DD432" s="7">
        <v>1.1537999999999999</v>
      </c>
      <c r="DE432" s="7">
        <v>1.143</v>
      </c>
      <c r="DF432" s="7">
        <v>1.1324000000000001</v>
      </c>
      <c r="DG432" s="7">
        <v>1.1218999999999999</v>
      </c>
      <c r="DH432" s="7">
        <v>1.1114999999999999</v>
      </c>
      <c r="DI432" s="7">
        <v>1.1012</v>
      </c>
      <c r="DJ432" s="7">
        <v>1.0911</v>
      </c>
      <c r="DK432" s="7">
        <v>1.081</v>
      </c>
      <c r="DL432" s="7">
        <v>1.0710999999999999</v>
      </c>
      <c r="DM432" s="7">
        <v>1.0611999999999999</v>
      </c>
      <c r="DN432" s="7">
        <v>1.0513999999999999</v>
      </c>
      <c r="DO432" s="7">
        <v>1.0416000000000001</v>
      </c>
      <c r="DP432" s="7">
        <v>1.032</v>
      </c>
      <c r="DQ432" s="7">
        <v>1.0223</v>
      </c>
      <c r="DR432" s="7">
        <v>1.0127999999999999</v>
      </c>
      <c r="DS432" s="7">
        <v>1.0033000000000001</v>
      </c>
      <c r="DT432" s="7">
        <v>1</v>
      </c>
      <c r="DU432" s="7">
        <v>1</v>
      </c>
      <c r="DV432" s="7">
        <v>1</v>
      </c>
      <c r="DW432" s="7">
        <v>1</v>
      </c>
      <c r="DX432" s="7">
        <v>1</v>
      </c>
      <c r="DY432" s="7">
        <v>1</v>
      </c>
      <c r="DZ432" s="7">
        <v>1</v>
      </c>
      <c r="EA432" s="7">
        <v>1</v>
      </c>
      <c r="EB432" s="7">
        <v>1</v>
      </c>
      <c r="EC432" s="7">
        <v>1</v>
      </c>
      <c r="ED432" s="7">
        <v>1</v>
      </c>
      <c r="EE432" s="7">
        <v>1</v>
      </c>
      <c r="EF432" s="7">
        <v>1</v>
      </c>
      <c r="EG432" s="7">
        <v>1</v>
      </c>
      <c r="EH432" s="7">
        <v>1</v>
      </c>
      <c r="EI432" s="7">
        <v>1</v>
      </c>
      <c r="EJ432" s="7">
        <v>1</v>
      </c>
      <c r="EK432" s="7">
        <v>1</v>
      </c>
      <c r="EL432" s="7">
        <v>1</v>
      </c>
      <c r="EM432" s="7">
        <v>1</v>
      </c>
      <c r="EN432" s="7">
        <v>1</v>
      </c>
      <c r="EO432" s="7">
        <v>1</v>
      </c>
      <c r="EP432" s="7">
        <v>1</v>
      </c>
      <c r="EQ432" s="7">
        <v>1</v>
      </c>
      <c r="ER432" s="7">
        <v>1</v>
      </c>
      <c r="ES432" s="7">
        <v>1</v>
      </c>
      <c r="ET432" s="7">
        <v>1</v>
      </c>
      <c r="EU432" s="7">
        <v>1</v>
      </c>
      <c r="EV432" s="7">
        <v>1</v>
      </c>
      <c r="EW432" s="7">
        <v>1</v>
      </c>
      <c r="EX432" s="7">
        <v>1</v>
      </c>
      <c r="EY432" s="7">
        <v>1</v>
      </c>
      <c r="EZ432" s="7">
        <v>1</v>
      </c>
      <c r="FA432" s="7">
        <v>1</v>
      </c>
      <c r="FB432" s="7">
        <v>1</v>
      </c>
      <c r="FC432" s="7">
        <v>1</v>
      </c>
      <c r="FE432" s="50">
        <f t="shared" ca="1" si="48"/>
        <v>1</v>
      </c>
      <c r="FF432" s="50">
        <f t="shared" ca="1" si="49"/>
        <v>1</v>
      </c>
      <c r="FG432" s="50">
        <f t="shared" ca="1" si="50"/>
        <v>1</v>
      </c>
      <c r="FH432" s="50">
        <f t="shared" ca="1" si="51"/>
        <v>1</v>
      </c>
      <c r="FK432" s="50">
        <f t="shared" ca="1" si="47"/>
        <v>1</v>
      </c>
      <c r="FL432" s="50"/>
      <c r="FM432" s="50"/>
      <c r="FN432" s="50"/>
    </row>
    <row r="433" spans="49:170" hidden="1">
      <c r="AW433" s="433">
        <v>0.214</v>
      </c>
      <c r="AX433" s="7">
        <v>2.0087999999999999</v>
      </c>
      <c r="AY433" s="7">
        <v>1.9851000000000001</v>
      </c>
      <c r="AZ433" s="7">
        <v>1.9624999999999999</v>
      </c>
      <c r="BA433" s="7">
        <v>1.9410000000000001</v>
      </c>
      <c r="BB433" s="7">
        <v>1.9205000000000001</v>
      </c>
      <c r="BC433" s="7">
        <v>1.9009</v>
      </c>
      <c r="BD433" s="7">
        <v>1.8822000000000001</v>
      </c>
      <c r="BE433" s="7">
        <v>1.8643000000000001</v>
      </c>
      <c r="BF433" s="7">
        <v>1.8472</v>
      </c>
      <c r="BG433" s="7">
        <v>1.8308</v>
      </c>
      <c r="BH433" s="7">
        <v>1.8150999999999999</v>
      </c>
      <c r="BI433" s="7">
        <v>1.8</v>
      </c>
      <c r="BJ433" s="7">
        <v>1.7856000000000001</v>
      </c>
      <c r="BK433" s="7">
        <v>1.7717000000000001</v>
      </c>
      <c r="BL433" s="7">
        <v>1.7584</v>
      </c>
      <c r="BM433" s="7">
        <v>1.7455000000000001</v>
      </c>
      <c r="BN433" s="7">
        <v>1.7332000000000001</v>
      </c>
      <c r="BO433" s="7">
        <v>1.7214</v>
      </c>
      <c r="BP433" s="7">
        <v>1.71</v>
      </c>
      <c r="BQ433" s="7">
        <v>1.6990000000000001</v>
      </c>
      <c r="BR433" s="7">
        <v>1.6883999999999999</v>
      </c>
      <c r="BS433" s="7">
        <v>1.6781999999999999</v>
      </c>
      <c r="BT433" s="7">
        <v>1.6684000000000001</v>
      </c>
      <c r="BU433" s="7">
        <v>1.659</v>
      </c>
      <c r="BV433" s="7">
        <v>1.6498999999999999</v>
      </c>
      <c r="BW433" s="7">
        <v>1.6411</v>
      </c>
      <c r="BX433" s="7">
        <v>1.6285000000000001</v>
      </c>
      <c r="BY433" s="7">
        <v>1.6088</v>
      </c>
      <c r="BZ433" s="7">
        <v>1.5896999999999999</v>
      </c>
      <c r="CA433" s="7">
        <v>1.571</v>
      </c>
      <c r="CB433" s="7">
        <v>1.5528</v>
      </c>
      <c r="CC433" s="7">
        <v>1.5348999999999999</v>
      </c>
      <c r="CD433" s="7">
        <v>1.5175000000000001</v>
      </c>
      <c r="CE433" s="7">
        <v>1.5004999999999999</v>
      </c>
      <c r="CF433" s="7">
        <v>1.4838</v>
      </c>
      <c r="CG433" s="7">
        <v>1.4675</v>
      </c>
      <c r="CH433" s="7">
        <v>1.4515</v>
      </c>
      <c r="CI433" s="7">
        <v>1.4359</v>
      </c>
      <c r="CJ433" s="7">
        <v>1.4206000000000001</v>
      </c>
      <c r="CK433" s="7">
        <v>1.4056</v>
      </c>
      <c r="CL433" s="7">
        <v>1.3909</v>
      </c>
      <c r="CM433" s="7">
        <v>1.3765000000000001</v>
      </c>
      <c r="CN433" s="7">
        <v>1.3624000000000001</v>
      </c>
      <c r="CO433" s="7">
        <v>1.3485</v>
      </c>
      <c r="CP433" s="7">
        <v>1.3349</v>
      </c>
      <c r="CQ433" s="7">
        <v>1.3214999999999999</v>
      </c>
      <c r="CR433" s="7">
        <v>1.3084</v>
      </c>
      <c r="CS433" s="7">
        <v>1.2955000000000001</v>
      </c>
      <c r="CT433" s="7">
        <v>1.2827999999999999</v>
      </c>
      <c r="CU433" s="7">
        <v>1.2703</v>
      </c>
      <c r="CV433" s="7">
        <v>1.258</v>
      </c>
      <c r="CW433" s="7">
        <v>1.246</v>
      </c>
      <c r="CX433" s="7">
        <v>1.2341</v>
      </c>
      <c r="CY433" s="7">
        <v>1.2223999999999999</v>
      </c>
      <c r="CZ433" s="7">
        <v>1.2109000000000001</v>
      </c>
      <c r="DA433" s="7">
        <v>1.1995</v>
      </c>
      <c r="DB433" s="7">
        <v>1.1882999999999999</v>
      </c>
      <c r="DC433" s="7">
        <v>1.1773</v>
      </c>
      <c r="DD433" s="7">
        <v>1.1664000000000001</v>
      </c>
      <c r="DE433" s="7">
        <v>1.1556</v>
      </c>
      <c r="DF433" s="7">
        <v>1.145</v>
      </c>
      <c r="DG433" s="7">
        <v>1.1345000000000001</v>
      </c>
      <c r="DH433" s="7">
        <v>1.1242000000000001</v>
      </c>
      <c r="DI433" s="7">
        <v>1.1138999999999999</v>
      </c>
      <c r="DJ433" s="7">
        <v>1.1037999999999999</v>
      </c>
      <c r="DK433" s="7">
        <v>1.0938000000000001</v>
      </c>
      <c r="DL433" s="7">
        <v>1.0838000000000001</v>
      </c>
      <c r="DM433" s="7">
        <v>1.0739000000000001</v>
      </c>
      <c r="DN433" s="7">
        <v>1.0642</v>
      </c>
      <c r="DO433" s="7">
        <v>1.0545</v>
      </c>
      <c r="DP433" s="7">
        <v>1.0448</v>
      </c>
      <c r="DQ433" s="7">
        <v>1.0353000000000001</v>
      </c>
      <c r="DR433" s="7">
        <v>1.0257000000000001</v>
      </c>
      <c r="DS433" s="7">
        <v>1.0163</v>
      </c>
      <c r="DT433" s="7">
        <v>1.0067999999999999</v>
      </c>
      <c r="DU433" s="7">
        <v>1</v>
      </c>
      <c r="DV433" s="7">
        <v>1</v>
      </c>
      <c r="DW433" s="7">
        <v>1</v>
      </c>
      <c r="DX433" s="7">
        <v>1</v>
      </c>
      <c r="DY433" s="7">
        <v>1</v>
      </c>
      <c r="DZ433" s="7">
        <v>1</v>
      </c>
      <c r="EA433" s="7">
        <v>1</v>
      </c>
      <c r="EB433" s="7">
        <v>1</v>
      </c>
      <c r="EC433" s="7">
        <v>1</v>
      </c>
      <c r="ED433" s="7">
        <v>1</v>
      </c>
      <c r="EE433" s="7">
        <v>1</v>
      </c>
      <c r="EF433" s="7">
        <v>1</v>
      </c>
      <c r="EG433" s="7">
        <v>1</v>
      </c>
      <c r="EH433" s="7">
        <v>1</v>
      </c>
      <c r="EI433" s="7">
        <v>1</v>
      </c>
      <c r="EJ433" s="7">
        <v>1</v>
      </c>
      <c r="EK433" s="7">
        <v>1</v>
      </c>
      <c r="EL433" s="7">
        <v>1</v>
      </c>
      <c r="EM433" s="7">
        <v>1</v>
      </c>
      <c r="EN433" s="7">
        <v>1</v>
      </c>
      <c r="EO433" s="7">
        <v>1</v>
      </c>
      <c r="EP433" s="7">
        <v>1</v>
      </c>
      <c r="EQ433" s="7">
        <v>1</v>
      </c>
      <c r="ER433" s="7">
        <v>1</v>
      </c>
      <c r="ES433" s="7">
        <v>1</v>
      </c>
      <c r="ET433" s="7">
        <v>1</v>
      </c>
      <c r="EU433" s="7">
        <v>1</v>
      </c>
      <c r="EV433" s="7">
        <v>1</v>
      </c>
      <c r="EW433" s="7">
        <v>1</v>
      </c>
      <c r="EX433" s="7">
        <v>1</v>
      </c>
      <c r="EY433" s="7">
        <v>1</v>
      </c>
      <c r="EZ433" s="7">
        <v>1</v>
      </c>
      <c r="FA433" s="7">
        <v>1</v>
      </c>
      <c r="FB433" s="7">
        <v>1</v>
      </c>
      <c r="FC433" s="7">
        <v>1</v>
      </c>
      <c r="FE433" s="50">
        <f t="shared" ca="1" si="48"/>
        <v>1</v>
      </c>
      <c r="FF433" s="50">
        <f t="shared" ca="1" si="49"/>
        <v>1</v>
      </c>
      <c r="FG433" s="50">
        <f t="shared" ca="1" si="50"/>
        <v>1</v>
      </c>
      <c r="FH433" s="50">
        <f t="shared" ca="1" si="51"/>
        <v>1</v>
      </c>
      <c r="FK433" s="50">
        <f t="shared" ca="1" si="47"/>
        <v>1</v>
      </c>
      <c r="FL433" s="50"/>
      <c r="FM433" s="50"/>
      <c r="FN433" s="50"/>
    </row>
    <row r="434" spans="49:170" hidden="1">
      <c r="AW434" s="433">
        <v>0.22900000000000001</v>
      </c>
      <c r="AX434" s="7">
        <v>2.0087999999999999</v>
      </c>
      <c r="AY434" s="7">
        <v>1.9851000000000001</v>
      </c>
      <c r="AZ434" s="7">
        <v>1.9624999999999999</v>
      </c>
      <c r="BA434" s="7">
        <v>1.9410000000000001</v>
      </c>
      <c r="BB434" s="7">
        <v>1.9205000000000001</v>
      </c>
      <c r="BC434" s="7">
        <v>1.9009</v>
      </c>
      <c r="BD434" s="7">
        <v>1.8822000000000001</v>
      </c>
      <c r="BE434" s="7">
        <v>1.8643000000000001</v>
      </c>
      <c r="BF434" s="7">
        <v>1.8472</v>
      </c>
      <c r="BG434" s="7">
        <v>1.8308</v>
      </c>
      <c r="BH434" s="7">
        <v>1.8150999999999999</v>
      </c>
      <c r="BI434" s="7">
        <v>1.8</v>
      </c>
      <c r="BJ434" s="7">
        <v>1.7856000000000001</v>
      </c>
      <c r="BK434" s="7">
        <v>1.7717000000000001</v>
      </c>
      <c r="BL434" s="7">
        <v>1.7584</v>
      </c>
      <c r="BM434" s="7">
        <v>1.7455000000000001</v>
      </c>
      <c r="BN434" s="7">
        <v>1.7332000000000001</v>
      </c>
      <c r="BO434" s="7">
        <v>1.7214</v>
      </c>
      <c r="BP434" s="7">
        <v>1.71</v>
      </c>
      <c r="BQ434" s="7">
        <v>1.6990000000000001</v>
      </c>
      <c r="BR434" s="7">
        <v>1.6883999999999999</v>
      </c>
      <c r="BS434" s="7">
        <v>1.6781999999999999</v>
      </c>
      <c r="BT434" s="7">
        <v>1.6684000000000001</v>
      </c>
      <c r="BU434" s="7">
        <v>1.659</v>
      </c>
      <c r="BV434" s="7">
        <v>1.6498999999999999</v>
      </c>
      <c r="BW434" s="7">
        <v>1.6411</v>
      </c>
      <c r="BX434" s="7">
        <v>1.6326000000000001</v>
      </c>
      <c r="BY434" s="7">
        <v>1.6216999999999999</v>
      </c>
      <c r="BZ434" s="7">
        <v>1.6025</v>
      </c>
      <c r="CA434" s="7">
        <v>1.5838000000000001</v>
      </c>
      <c r="CB434" s="7">
        <v>1.5654999999999999</v>
      </c>
      <c r="CC434" s="7">
        <v>1.5476000000000001</v>
      </c>
      <c r="CD434" s="7">
        <v>1.5302</v>
      </c>
      <c r="CE434" s="7">
        <v>1.5130999999999999</v>
      </c>
      <c r="CF434" s="7">
        <v>1.4964</v>
      </c>
      <c r="CG434" s="7">
        <v>1.4801</v>
      </c>
      <c r="CH434" s="7">
        <v>1.4641</v>
      </c>
      <c r="CI434" s="7">
        <v>1.4484999999999999</v>
      </c>
      <c r="CJ434" s="7">
        <v>1.4332</v>
      </c>
      <c r="CK434" s="7">
        <v>1.4180999999999999</v>
      </c>
      <c r="CL434" s="7">
        <v>1.4034</v>
      </c>
      <c r="CM434" s="7">
        <v>1.389</v>
      </c>
      <c r="CN434" s="7">
        <v>1.3748</v>
      </c>
      <c r="CO434" s="7">
        <v>1.3609</v>
      </c>
      <c r="CP434" s="7">
        <v>1.3472999999999999</v>
      </c>
      <c r="CQ434" s="7">
        <v>1.3339000000000001</v>
      </c>
      <c r="CR434" s="7">
        <v>1.3208</v>
      </c>
      <c r="CS434" s="7">
        <v>1.3079000000000001</v>
      </c>
      <c r="CT434" s="7">
        <v>1.2951999999999999</v>
      </c>
      <c r="CU434" s="7">
        <v>1.2827</v>
      </c>
      <c r="CV434" s="7">
        <v>1.2705</v>
      </c>
      <c r="CW434" s="7">
        <v>1.2584</v>
      </c>
      <c r="CX434" s="7">
        <v>1.2464999999999999</v>
      </c>
      <c r="CY434" s="7">
        <v>1.2347999999999999</v>
      </c>
      <c r="CZ434" s="7">
        <v>1.2233000000000001</v>
      </c>
      <c r="DA434" s="7">
        <v>1.2119</v>
      </c>
      <c r="DB434" s="7">
        <v>1.2008000000000001</v>
      </c>
      <c r="DC434" s="7">
        <v>1.1897</v>
      </c>
      <c r="DD434" s="7">
        <v>1.1789000000000001</v>
      </c>
      <c r="DE434" s="7">
        <v>1.1680999999999999</v>
      </c>
      <c r="DF434" s="7">
        <v>1.1575</v>
      </c>
      <c r="DG434" s="7">
        <v>1.147</v>
      </c>
      <c r="DH434" s="7">
        <v>1.1367</v>
      </c>
      <c r="DI434" s="7">
        <v>1.1265000000000001</v>
      </c>
      <c r="DJ434" s="7">
        <v>1.1164000000000001</v>
      </c>
      <c r="DK434" s="7">
        <v>1.1063000000000001</v>
      </c>
      <c r="DL434" s="7">
        <v>1.0964</v>
      </c>
      <c r="DM434" s="7">
        <v>1.0866</v>
      </c>
      <c r="DN434" s="7">
        <v>1.0768</v>
      </c>
      <c r="DO434" s="7">
        <v>1.0671999999999999</v>
      </c>
      <c r="DP434" s="7">
        <v>1.0576000000000001</v>
      </c>
      <c r="DQ434" s="7">
        <v>1.048</v>
      </c>
      <c r="DR434" s="7">
        <v>1.0386</v>
      </c>
      <c r="DS434" s="7">
        <v>1.0290999999999999</v>
      </c>
      <c r="DT434" s="7">
        <v>1.0197000000000001</v>
      </c>
      <c r="DU434" s="7">
        <v>1.0104</v>
      </c>
      <c r="DV434" s="7">
        <v>1.0011000000000001</v>
      </c>
      <c r="DW434" s="7">
        <v>1</v>
      </c>
      <c r="DX434" s="7">
        <v>1</v>
      </c>
      <c r="DY434" s="7">
        <v>1</v>
      </c>
      <c r="DZ434" s="7">
        <v>1</v>
      </c>
      <c r="EA434" s="7">
        <v>1</v>
      </c>
      <c r="EB434" s="7">
        <v>1</v>
      </c>
      <c r="EC434" s="7">
        <v>1</v>
      </c>
      <c r="ED434" s="7">
        <v>1</v>
      </c>
      <c r="EE434" s="7">
        <v>1</v>
      </c>
      <c r="EF434" s="7">
        <v>1</v>
      </c>
      <c r="EG434" s="7">
        <v>1</v>
      </c>
      <c r="EH434" s="7">
        <v>1</v>
      </c>
      <c r="EI434" s="7">
        <v>1</v>
      </c>
      <c r="EJ434" s="7">
        <v>1</v>
      </c>
      <c r="EK434" s="7">
        <v>1</v>
      </c>
      <c r="EL434" s="7">
        <v>1</v>
      </c>
      <c r="EM434" s="7">
        <v>1</v>
      </c>
      <c r="EN434" s="7">
        <v>1</v>
      </c>
      <c r="EO434" s="7">
        <v>1</v>
      </c>
      <c r="EP434" s="7">
        <v>1</v>
      </c>
      <c r="EQ434" s="7">
        <v>1</v>
      </c>
      <c r="ER434" s="7">
        <v>1</v>
      </c>
      <c r="ES434" s="7">
        <v>1</v>
      </c>
      <c r="ET434" s="7">
        <v>1</v>
      </c>
      <c r="EU434" s="7">
        <v>1</v>
      </c>
      <c r="EV434" s="7">
        <v>1</v>
      </c>
      <c r="EW434" s="7">
        <v>1</v>
      </c>
      <c r="EX434" s="7">
        <v>1</v>
      </c>
      <c r="EY434" s="7">
        <v>1</v>
      </c>
      <c r="EZ434" s="7">
        <v>1</v>
      </c>
      <c r="FA434" s="7">
        <v>1</v>
      </c>
      <c r="FB434" s="7">
        <v>1</v>
      </c>
      <c r="FC434" s="7">
        <v>1</v>
      </c>
      <c r="FE434" s="50">
        <f t="shared" ca="1" si="48"/>
        <v>1</v>
      </c>
      <c r="FF434" s="50">
        <f t="shared" ca="1" si="49"/>
        <v>1.0004747516821533</v>
      </c>
      <c r="FG434" s="50">
        <f t="shared" ca="1" si="50"/>
        <v>1.0018053020134228</v>
      </c>
      <c r="FH434" s="50">
        <f t="shared" ca="1" si="51"/>
        <v>1.0080469127516776</v>
      </c>
      <c r="FK434" s="50">
        <f t="shared" ca="1" si="47"/>
        <v>1.0004747516821533</v>
      </c>
      <c r="FL434" s="50"/>
      <c r="FM434" s="50"/>
      <c r="FN434" s="50"/>
    </row>
    <row r="435" spans="49:170" hidden="1">
      <c r="AW435" s="433">
        <v>0.245</v>
      </c>
      <c r="AX435" s="7">
        <v>2.0087999999999999</v>
      </c>
      <c r="AY435" s="7">
        <v>1.9851000000000001</v>
      </c>
      <c r="AZ435" s="7">
        <v>1.9624999999999999</v>
      </c>
      <c r="BA435" s="7">
        <v>1.9410000000000001</v>
      </c>
      <c r="BB435" s="7">
        <v>1.9205000000000001</v>
      </c>
      <c r="BC435" s="7">
        <v>1.9009</v>
      </c>
      <c r="BD435" s="7">
        <v>1.8822000000000001</v>
      </c>
      <c r="BE435" s="7">
        <v>1.8643000000000001</v>
      </c>
      <c r="BF435" s="7">
        <v>1.8472</v>
      </c>
      <c r="BG435" s="7">
        <v>1.8308</v>
      </c>
      <c r="BH435" s="7">
        <v>1.8150999999999999</v>
      </c>
      <c r="BI435" s="7">
        <v>1.8</v>
      </c>
      <c r="BJ435" s="7">
        <v>1.7856000000000001</v>
      </c>
      <c r="BK435" s="7">
        <v>1.7717000000000001</v>
      </c>
      <c r="BL435" s="7">
        <v>1.7584</v>
      </c>
      <c r="BM435" s="7">
        <v>1.7455000000000001</v>
      </c>
      <c r="BN435" s="7">
        <v>1.7332000000000001</v>
      </c>
      <c r="BO435" s="7">
        <v>1.7214</v>
      </c>
      <c r="BP435" s="7">
        <v>1.71</v>
      </c>
      <c r="BQ435" s="7">
        <v>1.6990000000000001</v>
      </c>
      <c r="BR435" s="7">
        <v>1.6883999999999999</v>
      </c>
      <c r="BS435" s="7">
        <v>1.6781999999999999</v>
      </c>
      <c r="BT435" s="7">
        <v>1.6684000000000001</v>
      </c>
      <c r="BU435" s="7">
        <v>1.659</v>
      </c>
      <c r="BV435" s="7">
        <v>1.6498999999999999</v>
      </c>
      <c r="BW435" s="7">
        <v>1.6411</v>
      </c>
      <c r="BX435" s="7">
        <v>1.6326000000000001</v>
      </c>
      <c r="BY435" s="7">
        <v>1.6244000000000001</v>
      </c>
      <c r="BZ435" s="7">
        <v>1.6151</v>
      </c>
      <c r="CA435" s="7">
        <v>1.5964</v>
      </c>
      <c r="CB435" s="7">
        <v>1.5781000000000001</v>
      </c>
      <c r="CC435" s="7">
        <v>1.5602</v>
      </c>
      <c r="CD435" s="7">
        <v>1.5427</v>
      </c>
      <c r="CE435" s="7">
        <v>1.5256000000000001</v>
      </c>
      <c r="CF435" s="7">
        <v>1.5088999999999999</v>
      </c>
      <c r="CG435" s="7">
        <v>1.4925999999999999</v>
      </c>
      <c r="CH435" s="7">
        <v>1.4765999999999999</v>
      </c>
      <c r="CI435" s="7">
        <v>1.4609000000000001</v>
      </c>
      <c r="CJ435" s="7">
        <v>1.4455</v>
      </c>
      <c r="CK435" s="7">
        <v>1.4305000000000001</v>
      </c>
      <c r="CL435" s="7">
        <v>1.4157999999999999</v>
      </c>
      <c r="CM435" s="7">
        <v>1.4013</v>
      </c>
      <c r="CN435" s="7">
        <v>1.3872</v>
      </c>
      <c r="CO435" s="7">
        <v>1.3733</v>
      </c>
      <c r="CP435" s="7">
        <v>1.3595999999999999</v>
      </c>
      <c r="CQ435" s="7">
        <v>1.3462000000000001</v>
      </c>
      <c r="CR435" s="7">
        <v>1.3331</v>
      </c>
      <c r="CS435" s="7">
        <v>1.3202</v>
      </c>
      <c r="CT435" s="7">
        <v>1.3075000000000001</v>
      </c>
      <c r="CU435" s="7">
        <v>1.2949999999999999</v>
      </c>
      <c r="CV435" s="7">
        <v>1.2827</v>
      </c>
      <c r="CW435" s="7">
        <v>1.2706999999999999</v>
      </c>
      <c r="CX435" s="7">
        <v>1.2587999999999999</v>
      </c>
      <c r="CY435" s="7">
        <v>1.2471000000000001</v>
      </c>
      <c r="CZ435" s="7">
        <v>1.2356</v>
      </c>
      <c r="DA435" s="7">
        <v>1.2242</v>
      </c>
      <c r="DB435" s="7">
        <v>1.2131000000000001</v>
      </c>
      <c r="DC435" s="7">
        <v>1.202</v>
      </c>
      <c r="DD435" s="7">
        <v>1.1912</v>
      </c>
      <c r="DE435" s="7">
        <v>1.1805000000000001</v>
      </c>
      <c r="DF435" s="7">
        <v>1.1698999999999999</v>
      </c>
      <c r="DG435" s="7">
        <v>1.1594</v>
      </c>
      <c r="DH435" s="7">
        <v>1.1491</v>
      </c>
      <c r="DI435" s="7">
        <v>1.1389</v>
      </c>
      <c r="DJ435" s="7">
        <v>1.1288</v>
      </c>
      <c r="DK435" s="7">
        <v>1.1188</v>
      </c>
      <c r="DL435" s="7">
        <v>1.1089</v>
      </c>
      <c r="DM435" s="7">
        <v>1.0991</v>
      </c>
      <c r="DN435" s="7">
        <v>1.0893999999999999</v>
      </c>
      <c r="DO435" s="7">
        <v>1.0797000000000001</v>
      </c>
      <c r="DP435" s="7">
        <v>1.0702</v>
      </c>
      <c r="DQ435" s="7">
        <v>1.0607</v>
      </c>
      <c r="DR435" s="7">
        <v>1.0511999999999999</v>
      </c>
      <c r="DS435" s="7">
        <v>1.0419</v>
      </c>
      <c r="DT435" s="7">
        <v>1.0325</v>
      </c>
      <c r="DU435" s="7">
        <v>1.0232000000000001</v>
      </c>
      <c r="DV435" s="7">
        <v>1.0139</v>
      </c>
      <c r="DW435" s="7">
        <v>1.0046999999999999</v>
      </c>
      <c r="DX435" s="7">
        <v>1</v>
      </c>
      <c r="DY435" s="7">
        <v>1</v>
      </c>
      <c r="DZ435" s="7">
        <v>1</v>
      </c>
      <c r="EA435" s="7">
        <v>1</v>
      </c>
      <c r="EB435" s="7">
        <v>1</v>
      </c>
      <c r="EC435" s="7">
        <v>1</v>
      </c>
      <c r="ED435" s="7">
        <v>1</v>
      </c>
      <c r="EE435" s="7">
        <v>1</v>
      </c>
      <c r="EF435" s="7">
        <v>1</v>
      </c>
      <c r="EG435" s="7">
        <v>1</v>
      </c>
      <c r="EH435" s="7">
        <v>1</v>
      </c>
      <c r="EI435" s="7">
        <v>1</v>
      </c>
      <c r="EJ435" s="7">
        <v>1</v>
      </c>
      <c r="EK435" s="7">
        <v>1</v>
      </c>
      <c r="EL435" s="7">
        <v>1</v>
      </c>
      <c r="EM435" s="7">
        <v>1</v>
      </c>
      <c r="EN435" s="7">
        <v>1</v>
      </c>
      <c r="EO435" s="7">
        <v>1</v>
      </c>
      <c r="EP435" s="7">
        <v>1</v>
      </c>
      <c r="EQ435" s="7">
        <v>1</v>
      </c>
      <c r="ER435" s="7">
        <v>1</v>
      </c>
      <c r="ES435" s="7">
        <v>1</v>
      </c>
      <c r="ET435" s="7">
        <v>1</v>
      </c>
      <c r="EU435" s="7">
        <v>1</v>
      </c>
      <c r="EV435" s="7">
        <v>1</v>
      </c>
      <c r="EW435" s="7">
        <v>1</v>
      </c>
      <c r="EX435" s="7">
        <v>1</v>
      </c>
      <c r="EY435" s="7">
        <v>1</v>
      </c>
      <c r="EZ435" s="7">
        <v>1</v>
      </c>
      <c r="FA435" s="7">
        <v>1</v>
      </c>
      <c r="FB435" s="7">
        <v>1</v>
      </c>
      <c r="FC435" s="7">
        <v>1</v>
      </c>
      <c r="FE435" s="50">
        <f t="shared" ca="1" si="48"/>
        <v>1.0037611501988373</v>
      </c>
      <c r="FF435" s="50">
        <f t="shared" ca="1" si="49"/>
        <v>1.0086706504325536</v>
      </c>
      <c r="FG435" s="50">
        <f t="shared" ca="1" si="50"/>
        <v>1.0146053020134227</v>
      </c>
      <c r="FH435" s="50">
        <f t="shared" ca="1" si="51"/>
        <v>1.0208469127516779</v>
      </c>
      <c r="FK435" s="50">
        <f t="shared" ca="1" si="47"/>
        <v>1.0086706504325536</v>
      </c>
      <c r="FL435" s="50"/>
      <c r="FM435" s="50"/>
      <c r="FN435" s="50"/>
    </row>
    <row r="436" spans="49:170" hidden="1">
      <c r="AW436" s="433">
        <v>0.26300000000000001</v>
      </c>
      <c r="AX436" s="7">
        <v>2.0087999999999999</v>
      </c>
      <c r="AY436" s="7">
        <v>1.9851000000000001</v>
      </c>
      <c r="AZ436" s="7">
        <v>1.9624999999999999</v>
      </c>
      <c r="BA436" s="7">
        <v>1.9410000000000001</v>
      </c>
      <c r="BB436" s="7">
        <v>1.9205000000000001</v>
      </c>
      <c r="BC436" s="7">
        <v>1.9009</v>
      </c>
      <c r="BD436" s="7">
        <v>1.8822000000000001</v>
      </c>
      <c r="BE436" s="7">
        <v>1.8643000000000001</v>
      </c>
      <c r="BF436" s="7">
        <v>1.8472</v>
      </c>
      <c r="BG436" s="7">
        <v>1.8308</v>
      </c>
      <c r="BH436" s="7">
        <v>1.8150999999999999</v>
      </c>
      <c r="BI436" s="7">
        <v>1.8</v>
      </c>
      <c r="BJ436" s="7">
        <v>1.7856000000000001</v>
      </c>
      <c r="BK436" s="7">
        <v>1.7717000000000001</v>
      </c>
      <c r="BL436" s="7">
        <v>1.7584</v>
      </c>
      <c r="BM436" s="7">
        <v>1.7455000000000001</v>
      </c>
      <c r="BN436" s="7">
        <v>1.7332000000000001</v>
      </c>
      <c r="BO436" s="7">
        <v>1.7214</v>
      </c>
      <c r="BP436" s="7">
        <v>1.71</v>
      </c>
      <c r="BQ436" s="7">
        <v>1.6990000000000001</v>
      </c>
      <c r="BR436" s="7">
        <v>1.6883999999999999</v>
      </c>
      <c r="BS436" s="7">
        <v>1.6781999999999999</v>
      </c>
      <c r="BT436" s="7">
        <v>1.6684000000000001</v>
      </c>
      <c r="BU436" s="7">
        <v>1.659</v>
      </c>
      <c r="BV436" s="7">
        <v>1.6498999999999999</v>
      </c>
      <c r="BW436" s="7">
        <v>1.6411</v>
      </c>
      <c r="BX436" s="7">
        <v>1.6326000000000001</v>
      </c>
      <c r="BY436" s="7">
        <v>1.6244000000000001</v>
      </c>
      <c r="BZ436" s="7">
        <v>1.6166</v>
      </c>
      <c r="CA436" s="7">
        <v>1.6089</v>
      </c>
      <c r="CB436" s="7">
        <v>1.5905</v>
      </c>
      <c r="CC436" s="7">
        <v>1.5726</v>
      </c>
      <c r="CD436" s="7">
        <v>1.5550999999999999</v>
      </c>
      <c r="CE436" s="7">
        <v>1.538</v>
      </c>
      <c r="CF436" s="7">
        <v>1.5212000000000001</v>
      </c>
      <c r="CG436" s="7">
        <v>1.5048999999999999</v>
      </c>
      <c r="CH436" s="7">
        <v>1.4888999999999999</v>
      </c>
      <c r="CI436" s="7">
        <v>1.4732000000000001</v>
      </c>
      <c r="CJ436" s="7">
        <v>1.4578</v>
      </c>
      <c r="CK436" s="7">
        <v>1.4428000000000001</v>
      </c>
      <c r="CL436" s="7">
        <v>1.4279999999999999</v>
      </c>
      <c r="CM436" s="7">
        <v>1.4135</v>
      </c>
      <c r="CN436" s="7">
        <v>1.3994</v>
      </c>
      <c r="CO436" s="7">
        <v>1.3855</v>
      </c>
      <c r="CP436" s="7">
        <v>1.3717999999999999</v>
      </c>
      <c r="CQ436" s="7">
        <v>1.3584000000000001</v>
      </c>
      <c r="CR436" s="7">
        <v>1.3452999999999999</v>
      </c>
      <c r="CS436" s="7">
        <v>1.3323</v>
      </c>
      <c r="CT436" s="7">
        <v>1.3196000000000001</v>
      </c>
      <c r="CU436" s="7">
        <v>1.3071999999999999</v>
      </c>
      <c r="CV436" s="7">
        <v>1.2948999999999999</v>
      </c>
      <c r="CW436" s="7">
        <v>1.2827999999999999</v>
      </c>
      <c r="CX436" s="7">
        <v>1.2708999999999999</v>
      </c>
      <c r="CY436" s="7">
        <v>1.2592000000000001</v>
      </c>
      <c r="CZ436" s="7">
        <v>1.2477</v>
      </c>
      <c r="DA436" s="7">
        <v>1.2363999999999999</v>
      </c>
      <c r="DB436" s="7">
        <v>1.2252000000000001</v>
      </c>
      <c r="DC436" s="7">
        <v>1.2141999999999999</v>
      </c>
      <c r="DD436" s="7">
        <v>1.2034</v>
      </c>
      <c r="DE436" s="7">
        <v>1.1926000000000001</v>
      </c>
      <c r="DF436" s="7">
        <v>1.1820999999999999</v>
      </c>
      <c r="DG436" s="7">
        <v>1.1716</v>
      </c>
      <c r="DH436" s="7">
        <v>1.1613</v>
      </c>
      <c r="DI436" s="7">
        <v>1.1511</v>
      </c>
      <c r="DJ436" s="7">
        <v>1.1411</v>
      </c>
      <c r="DK436" s="7">
        <v>1.1311</v>
      </c>
      <c r="DL436" s="7">
        <v>1.1212</v>
      </c>
      <c r="DM436" s="7">
        <v>1.1113999999999999</v>
      </c>
      <c r="DN436" s="7">
        <v>1.1017999999999999</v>
      </c>
      <c r="DO436" s="7">
        <v>1.0922000000000001</v>
      </c>
      <c r="DP436" s="7">
        <v>1.0826</v>
      </c>
      <c r="DQ436" s="7">
        <v>1.0731999999999999</v>
      </c>
      <c r="DR436" s="7">
        <v>1.0638000000000001</v>
      </c>
      <c r="DS436" s="7">
        <v>1.0544</v>
      </c>
      <c r="DT436" s="7">
        <v>1.0450999999999999</v>
      </c>
      <c r="DU436" s="7">
        <v>1.0359</v>
      </c>
      <c r="DV436" s="7">
        <v>1.0266999999999999</v>
      </c>
      <c r="DW436" s="7">
        <v>1.0174000000000001</v>
      </c>
      <c r="DX436" s="7">
        <v>1.0083</v>
      </c>
      <c r="DY436" s="7">
        <v>1</v>
      </c>
      <c r="DZ436" s="7">
        <v>1</v>
      </c>
      <c r="EA436" s="7">
        <v>1</v>
      </c>
      <c r="EB436" s="7">
        <v>1</v>
      </c>
      <c r="EC436" s="7">
        <v>1</v>
      </c>
      <c r="ED436" s="7">
        <v>1</v>
      </c>
      <c r="EE436" s="7">
        <v>1</v>
      </c>
      <c r="EF436" s="7">
        <v>1</v>
      </c>
      <c r="EG436" s="7">
        <v>1</v>
      </c>
      <c r="EH436" s="7">
        <v>1</v>
      </c>
      <c r="EI436" s="7">
        <v>1</v>
      </c>
      <c r="EJ436" s="7">
        <v>1</v>
      </c>
      <c r="EK436" s="7">
        <v>1</v>
      </c>
      <c r="EL436" s="7">
        <v>1</v>
      </c>
      <c r="EM436" s="7">
        <v>1</v>
      </c>
      <c r="EN436" s="7">
        <v>1</v>
      </c>
      <c r="EO436" s="7">
        <v>1</v>
      </c>
      <c r="EP436" s="7">
        <v>1</v>
      </c>
      <c r="EQ436" s="7">
        <v>1</v>
      </c>
      <c r="ER436" s="7">
        <v>1</v>
      </c>
      <c r="ES436" s="7">
        <v>1</v>
      </c>
      <c r="ET436" s="7">
        <v>1</v>
      </c>
      <c r="EU436" s="7">
        <v>1</v>
      </c>
      <c r="EV436" s="7">
        <v>1</v>
      </c>
      <c r="EW436" s="7">
        <v>1</v>
      </c>
      <c r="EX436" s="7">
        <v>1</v>
      </c>
      <c r="EY436" s="7">
        <v>1</v>
      </c>
      <c r="EZ436" s="7">
        <v>1</v>
      </c>
      <c r="FA436" s="7">
        <v>1</v>
      </c>
      <c r="FB436" s="7">
        <v>1</v>
      </c>
      <c r="FC436" s="7">
        <v>1</v>
      </c>
      <c r="FE436" s="50">
        <f t="shared" ca="1" si="48"/>
        <v>1.0155822269807282</v>
      </c>
      <c r="FF436" s="50">
        <f t="shared" ca="1" si="49"/>
        <v>1.0214138096763861</v>
      </c>
      <c r="FG436" s="50">
        <f t="shared" ca="1" si="50"/>
        <v>1.0273977181208052</v>
      </c>
      <c r="FH436" s="50">
        <f t="shared" ca="1" si="51"/>
        <v>1.0335722147651005</v>
      </c>
      <c r="FK436" s="50">
        <f t="shared" ca="1" si="47"/>
        <v>1.0214138096763861</v>
      </c>
      <c r="FL436" s="50"/>
      <c r="FM436" s="50"/>
      <c r="FN436" s="50"/>
    </row>
    <row r="437" spans="49:170" hidden="1">
      <c r="AW437" s="433">
        <v>0.28199999999999997</v>
      </c>
      <c r="AX437" s="7">
        <v>2.0087999999999999</v>
      </c>
      <c r="AY437" s="7">
        <v>1.9851000000000001</v>
      </c>
      <c r="AZ437" s="7">
        <v>1.9624999999999999</v>
      </c>
      <c r="BA437" s="7">
        <v>1.9410000000000001</v>
      </c>
      <c r="BB437" s="7">
        <v>1.9205000000000001</v>
      </c>
      <c r="BC437" s="7">
        <v>1.9009</v>
      </c>
      <c r="BD437" s="7">
        <v>1.8822000000000001</v>
      </c>
      <c r="BE437" s="7">
        <v>1.8643000000000001</v>
      </c>
      <c r="BF437" s="7">
        <v>1.8472</v>
      </c>
      <c r="BG437" s="7">
        <v>1.8308</v>
      </c>
      <c r="BH437" s="7">
        <v>1.8150999999999999</v>
      </c>
      <c r="BI437" s="7">
        <v>1.8</v>
      </c>
      <c r="BJ437" s="7">
        <v>1.7856000000000001</v>
      </c>
      <c r="BK437" s="7">
        <v>1.7717000000000001</v>
      </c>
      <c r="BL437" s="7">
        <v>1.7584</v>
      </c>
      <c r="BM437" s="7">
        <v>1.7455000000000001</v>
      </c>
      <c r="BN437" s="7">
        <v>1.7332000000000001</v>
      </c>
      <c r="BO437" s="7">
        <v>1.7214</v>
      </c>
      <c r="BP437" s="7">
        <v>1.71</v>
      </c>
      <c r="BQ437" s="7">
        <v>1.6990000000000001</v>
      </c>
      <c r="BR437" s="7">
        <v>1.6883999999999999</v>
      </c>
      <c r="BS437" s="7">
        <v>1.6781999999999999</v>
      </c>
      <c r="BT437" s="7">
        <v>1.6684000000000001</v>
      </c>
      <c r="BU437" s="7">
        <v>1.659</v>
      </c>
      <c r="BV437" s="7">
        <v>1.6498999999999999</v>
      </c>
      <c r="BW437" s="7">
        <v>1.6411</v>
      </c>
      <c r="BX437" s="7">
        <v>1.6326000000000001</v>
      </c>
      <c r="BY437" s="7">
        <v>1.6244000000000001</v>
      </c>
      <c r="BZ437" s="7">
        <v>1.6166</v>
      </c>
      <c r="CA437" s="7">
        <v>1.609</v>
      </c>
      <c r="CB437" s="7">
        <v>1.6015999999999999</v>
      </c>
      <c r="CC437" s="7">
        <v>1.5849</v>
      </c>
      <c r="CD437" s="7">
        <v>1.5672999999999999</v>
      </c>
      <c r="CE437" s="7">
        <v>1.5502</v>
      </c>
      <c r="CF437" s="7">
        <v>1.5334000000000001</v>
      </c>
      <c r="CG437" s="7">
        <v>1.5170999999999999</v>
      </c>
      <c r="CH437" s="7">
        <v>1.5009999999999999</v>
      </c>
      <c r="CI437" s="7">
        <v>1.4853000000000001</v>
      </c>
      <c r="CJ437" s="7">
        <v>1.4699</v>
      </c>
      <c r="CK437" s="7">
        <v>1.4549000000000001</v>
      </c>
      <c r="CL437" s="7">
        <v>1.4400999999999999</v>
      </c>
      <c r="CM437" s="7">
        <v>1.4256</v>
      </c>
      <c r="CN437" s="7">
        <v>1.4114</v>
      </c>
      <c r="CO437" s="7">
        <v>1.3975</v>
      </c>
      <c r="CP437" s="7">
        <v>1.3837999999999999</v>
      </c>
      <c r="CQ437" s="7">
        <v>1.3704000000000001</v>
      </c>
      <c r="CR437" s="7">
        <v>1.3573</v>
      </c>
      <c r="CS437" s="7">
        <v>1.3443000000000001</v>
      </c>
      <c r="CT437" s="7">
        <v>1.3315999999999999</v>
      </c>
      <c r="CU437" s="7">
        <v>1.3191999999999999</v>
      </c>
      <c r="CV437" s="7">
        <v>1.3069</v>
      </c>
      <c r="CW437" s="7">
        <v>1.2948</v>
      </c>
      <c r="CX437" s="7">
        <v>1.2828999999999999</v>
      </c>
      <c r="CY437" s="7">
        <v>1.2713000000000001</v>
      </c>
      <c r="CZ437" s="7">
        <v>1.2597</v>
      </c>
      <c r="DA437" s="7">
        <v>1.2484</v>
      </c>
      <c r="DB437" s="7">
        <v>1.2372000000000001</v>
      </c>
      <c r="DC437" s="7">
        <v>1.2262</v>
      </c>
      <c r="DD437" s="7">
        <v>1.2154</v>
      </c>
      <c r="DE437" s="7">
        <v>1.2047000000000001</v>
      </c>
      <c r="DF437" s="7">
        <v>1.1940999999999999</v>
      </c>
      <c r="DG437" s="7">
        <v>1.1837</v>
      </c>
      <c r="DH437" s="7">
        <v>1.1734</v>
      </c>
      <c r="DI437" s="7">
        <v>1.1632</v>
      </c>
      <c r="DJ437" s="7">
        <v>1.1532</v>
      </c>
      <c r="DK437" s="7">
        <v>1.1432</v>
      </c>
      <c r="DL437" s="7">
        <v>1.1334</v>
      </c>
      <c r="DM437" s="7">
        <v>1.1236999999999999</v>
      </c>
      <c r="DN437" s="7">
        <v>1.1140000000000001</v>
      </c>
      <c r="DO437" s="7">
        <v>1.1044</v>
      </c>
      <c r="DP437" s="7">
        <v>1.0949</v>
      </c>
      <c r="DQ437" s="7">
        <v>1.0854999999999999</v>
      </c>
      <c r="DR437" s="7">
        <v>1.0762</v>
      </c>
      <c r="DS437" s="7">
        <v>1.0669</v>
      </c>
      <c r="DT437" s="7">
        <v>1.0576000000000001</v>
      </c>
      <c r="DU437" s="7">
        <v>1.0484</v>
      </c>
      <c r="DV437" s="7">
        <v>1.0391999999999999</v>
      </c>
      <c r="DW437" s="7">
        <v>1.0301</v>
      </c>
      <c r="DX437" s="7">
        <v>1.0209999999999999</v>
      </c>
      <c r="DY437" s="7">
        <v>1.0118</v>
      </c>
      <c r="DZ437" s="7">
        <v>1.0026999999999999</v>
      </c>
      <c r="EA437" s="7">
        <v>1</v>
      </c>
      <c r="EB437" s="7">
        <v>1</v>
      </c>
      <c r="EC437" s="7">
        <v>1</v>
      </c>
      <c r="ED437" s="7">
        <v>1</v>
      </c>
      <c r="EE437" s="7">
        <v>1</v>
      </c>
      <c r="EF437" s="7">
        <v>1</v>
      </c>
      <c r="EG437" s="7">
        <v>1</v>
      </c>
      <c r="EH437" s="7">
        <v>1</v>
      </c>
      <c r="EI437" s="7">
        <v>1</v>
      </c>
      <c r="EJ437" s="7">
        <v>1</v>
      </c>
      <c r="EK437" s="7">
        <v>1</v>
      </c>
      <c r="EL437" s="7">
        <v>1</v>
      </c>
      <c r="EM437" s="7">
        <v>1</v>
      </c>
      <c r="EN437" s="7">
        <v>1</v>
      </c>
      <c r="EO437" s="7">
        <v>1</v>
      </c>
      <c r="EP437" s="7">
        <v>1</v>
      </c>
      <c r="EQ437" s="7">
        <v>1</v>
      </c>
      <c r="ER437" s="7">
        <v>1</v>
      </c>
      <c r="ES437" s="7">
        <v>1</v>
      </c>
      <c r="ET437" s="7">
        <v>1</v>
      </c>
      <c r="EU437" s="7">
        <v>1</v>
      </c>
      <c r="EV437" s="7">
        <v>1</v>
      </c>
      <c r="EW437" s="7">
        <v>1</v>
      </c>
      <c r="EX437" s="7">
        <v>1</v>
      </c>
      <c r="EY437" s="7">
        <v>1</v>
      </c>
      <c r="EZ437" s="7">
        <v>1</v>
      </c>
      <c r="FA437" s="7">
        <v>1</v>
      </c>
      <c r="FB437" s="7">
        <v>1</v>
      </c>
      <c r="FC437" s="7">
        <v>1</v>
      </c>
      <c r="FE437" s="50">
        <f t="shared" ca="1" si="48"/>
        <v>1.0282822269807281</v>
      </c>
      <c r="FF437" s="50">
        <f t="shared" ca="1" si="49"/>
        <v>1.0340274911887217</v>
      </c>
      <c r="FG437" s="50">
        <f t="shared" ca="1" si="50"/>
        <v>1.0398977181208053</v>
      </c>
      <c r="FH437" s="50">
        <f t="shared" ca="1" si="51"/>
        <v>1.0460722147651007</v>
      </c>
      <c r="FK437" s="50">
        <f t="shared" ca="1" si="47"/>
        <v>1.0340274911887217</v>
      </c>
      <c r="FL437" s="50"/>
      <c r="FM437" s="50"/>
      <c r="FN437" s="50"/>
    </row>
    <row r="438" spans="49:170" hidden="1">
      <c r="AW438" s="433">
        <v>0.30199999999999999</v>
      </c>
      <c r="AX438" s="7">
        <v>2.0087999999999999</v>
      </c>
      <c r="AY438" s="7">
        <v>1.9851000000000001</v>
      </c>
      <c r="AZ438" s="7">
        <v>1.9624999999999999</v>
      </c>
      <c r="BA438" s="7">
        <v>1.9410000000000001</v>
      </c>
      <c r="BB438" s="7">
        <v>1.9205000000000001</v>
      </c>
      <c r="BC438" s="7">
        <v>1.9009</v>
      </c>
      <c r="BD438" s="7">
        <v>1.8822000000000001</v>
      </c>
      <c r="BE438" s="7">
        <v>1.8643000000000001</v>
      </c>
      <c r="BF438" s="7">
        <v>1.8472</v>
      </c>
      <c r="BG438" s="7">
        <v>1.8308</v>
      </c>
      <c r="BH438" s="7">
        <v>1.8150999999999999</v>
      </c>
      <c r="BI438" s="7">
        <v>1.8</v>
      </c>
      <c r="BJ438" s="7">
        <v>1.7856000000000001</v>
      </c>
      <c r="BK438" s="7">
        <v>1.7717000000000001</v>
      </c>
      <c r="BL438" s="7">
        <v>1.7584</v>
      </c>
      <c r="BM438" s="7">
        <v>1.7455000000000001</v>
      </c>
      <c r="BN438" s="7">
        <v>1.7332000000000001</v>
      </c>
      <c r="BO438" s="7">
        <v>1.7214</v>
      </c>
      <c r="BP438" s="7">
        <v>1.71</v>
      </c>
      <c r="BQ438" s="7">
        <v>1.6990000000000001</v>
      </c>
      <c r="BR438" s="7">
        <v>1.6883999999999999</v>
      </c>
      <c r="BS438" s="7">
        <v>1.6781999999999999</v>
      </c>
      <c r="BT438" s="7">
        <v>1.6684000000000001</v>
      </c>
      <c r="BU438" s="7">
        <v>1.659</v>
      </c>
      <c r="BV438" s="7">
        <v>1.6498999999999999</v>
      </c>
      <c r="BW438" s="7">
        <v>1.6411</v>
      </c>
      <c r="BX438" s="7">
        <v>1.6326000000000001</v>
      </c>
      <c r="BY438" s="7">
        <v>1.6244000000000001</v>
      </c>
      <c r="BZ438" s="7">
        <v>1.6166</v>
      </c>
      <c r="CA438" s="7">
        <v>1.609</v>
      </c>
      <c r="CB438" s="7">
        <v>1.6015999999999999</v>
      </c>
      <c r="CC438" s="7">
        <v>1.5946</v>
      </c>
      <c r="CD438" s="7">
        <v>1.5794999999999999</v>
      </c>
      <c r="CE438" s="7">
        <v>1.5623</v>
      </c>
      <c r="CF438" s="7">
        <v>1.5455000000000001</v>
      </c>
      <c r="CG438" s="7">
        <v>1.5290999999999999</v>
      </c>
      <c r="CH438" s="7">
        <v>1.5129999999999999</v>
      </c>
      <c r="CI438" s="7">
        <v>1.4973000000000001</v>
      </c>
      <c r="CJ438" s="7">
        <v>1.4819</v>
      </c>
      <c r="CK438" s="7">
        <v>1.4668000000000001</v>
      </c>
      <c r="CL438" s="7">
        <v>1.452</v>
      </c>
      <c r="CM438" s="7">
        <v>1.4376</v>
      </c>
      <c r="CN438" s="7">
        <v>1.4233</v>
      </c>
      <c r="CO438" s="7">
        <v>1.4094</v>
      </c>
      <c r="CP438" s="7">
        <v>1.3956999999999999</v>
      </c>
      <c r="CQ438" s="7">
        <v>1.3823000000000001</v>
      </c>
      <c r="CR438" s="7">
        <v>1.3692</v>
      </c>
      <c r="CS438" s="7">
        <v>1.3562000000000001</v>
      </c>
      <c r="CT438" s="7">
        <v>1.3434999999999999</v>
      </c>
      <c r="CU438" s="7">
        <v>1.331</v>
      </c>
      <c r="CV438" s="7">
        <v>1.3188</v>
      </c>
      <c r="CW438" s="7">
        <v>1.3067</v>
      </c>
      <c r="CX438" s="7">
        <v>1.2948</v>
      </c>
      <c r="CY438" s="7">
        <v>1.2830999999999999</v>
      </c>
      <c r="CZ438" s="7">
        <v>1.2716000000000001</v>
      </c>
      <c r="DA438" s="7">
        <v>1.2603</v>
      </c>
      <c r="DB438" s="7">
        <v>1.2491000000000001</v>
      </c>
      <c r="DC438" s="7">
        <v>1.2381</v>
      </c>
      <c r="DD438" s="7">
        <v>1.2273000000000001</v>
      </c>
      <c r="DE438" s="7">
        <v>1.2165999999999999</v>
      </c>
      <c r="DF438" s="7">
        <v>1.2060999999999999</v>
      </c>
      <c r="DG438" s="7">
        <v>1.1957</v>
      </c>
      <c r="DH438" s="7">
        <v>1.1854</v>
      </c>
      <c r="DI438" s="7">
        <v>1.1752</v>
      </c>
      <c r="DJ438" s="7">
        <v>1.1652</v>
      </c>
      <c r="DK438" s="7">
        <v>1.1553</v>
      </c>
      <c r="DL438" s="7">
        <v>1.1455</v>
      </c>
      <c r="DM438" s="7">
        <v>1.1356999999999999</v>
      </c>
      <c r="DN438" s="7">
        <v>1.1261000000000001</v>
      </c>
      <c r="DO438" s="7">
        <v>1.1166</v>
      </c>
      <c r="DP438" s="7">
        <v>1.1071</v>
      </c>
      <c r="DQ438" s="7">
        <v>1.0976999999999999</v>
      </c>
      <c r="DR438" s="7">
        <v>1.0884</v>
      </c>
      <c r="DS438" s="7">
        <v>1.0791999999999999</v>
      </c>
      <c r="DT438" s="7">
        <v>1.0699000000000001</v>
      </c>
      <c r="DU438" s="7">
        <v>1.0608</v>
      </c>
      <c r="DV438" s="7">
        <v>1.0517000000000001</v>
      </c>
      <c r="DW438" s="7">
        <v>1.0426</v>
      </c>
      <c r="DX438" s="7">
        <v>1.0335000000000001</v>
      </c>
      <c r="DY438" s="7">
        <v>1.0244</v>
      </c>
      <c r="DZ438" s="7">
        <v>1.0154000000000001</v>
      </c>
      <c r="EA438" s="7">
        <v>1.0063</v>
      </c>
      <c r="EB438" s="7">
        <v>1</v>
      </c>
      <c r="EC438" s="7">
        <v>1</v>
      </c>
      <c r="ED438" s="7">
        <v>1</v>
      </c>
      <c r="EE438" s="7">
        <v>1</v>
      </c>
      <c r="EF438" s="7">
        <v>1</v>
      </c>
      <c r="EG438" s="7">
        <v>1</v>
      </c>
      <c r="EH438" s="7">
        <v>1</v>
      </c>
      <c r="EI438" s="7">
        <v>1</v>
      </c>
      <c r="EJ438" s="7">
        <v>1</v>
      </c>
      <c r="EK438" s="7">
        <v>1</v>
      </c>
      <c r="EL438" s="7">
        <v>1</v>
      </c>
      <c r="EM438" s="7">
        <v>1</v>
      </c>
      <c r="EN438" s="7">
        <v>1</v>
      </c>
      <c r="EO438" s="7">
        <v>1</v>
      </c>
      <c r="EP438" s="7">
        <v>1</v>
      </c>
      <c r="EQ438" s="7">
        <v>1</v>
      </c>
      <c r="ER438" s="7">
        <v>1</v>
      </c>
      <c r="ES438" s="7">
        <v>1</v>
      </c>
      <c r="ET438" s="7">
        <v>1</v>
      </c>
      <c r="EU438" s="7">
        <v>1</v>
      </c>
      <c r="EV438" s="7">
        <v>1</v>
      </c>
      <c r="EW438" s="7">
        <v>1</v>
      </c>
      <c r="EX438" s="7">
        <v>1</v>
      </c>
      <c r="EY438" s="7">
        <v>1</v>
      </c>
      <c r="EZ438" s="7">
        <v>1</v>
      </c>
      <c r="FA438" s="7">
        <v>1</v>
      </c>
      <c r="FB438" s="7">
        <v>1</v>
      </c>
      <c r="FC438" s="7">
        <v>1</v>
      </c>
      <c r="FE438" s="50">
        <f t="shared" ca="1" si="48"/>
        <v>1.0407822269807281</v>
      </c>
      <c r="FF438" s="50">
        <f t="shared" ca="1" si="49"/>
        <v>1.0465274911887215</v>
      </c>
      <c r="FG438" s="50">
        <f t="shared" ca="1" si="50"/>
        <v>1.0523901342281878</v>
      </c>
      <c r="FH438" s="50">
        <f t="shared" ca="1" si="51"/>
        <v>1.0584975167785233</v>
      </c>
      <c r="FK438" s="50">
        <f t="shared" ca="1" si="47"/>
        <v>1.0465274911887215</v>
      </c>
      <c r="FL438" s="50"/>
      <c r="FM438" s="50"/>
      <c r="FN438" s="50"/>
    </row>
    <row r="439" spans="49:170" hidden="1">
      <c r="AW439" s="433">
        <v>0.32400000000000001</v>
      </c>
      <c r="AX439" s="7">
        <v>2.0087999999999999</v>
      </c>
      <c r="AY439" s="7">
        <v>1.9851000000000001</v>
      </c>
      <c r="AZ439" s="7">
        <v>1.9624999999999999</v>
      </c>
      <c r="BA439" s="7">
        <v>1.9410000000000001</v>
      </c>
      <c r="BB439" s="7">
        <v>1.9205000000000001</v>
      </c>
      <c r="BC439" s="7">
        <v>1.9009</v>
      </c>
      <c r="BD439" s="7">
        <v>1.8822000000000001</v>
      </c>
      <c r="BE439" s="7">
        <v>1.8643000000000001</v>
      </c>
      <c r="BF439" s="7">
        <v>1.8472</v>
      </c>
      <c r="BG439" s="7">
        <v>1.8308</v>
      </c>
      <c r="BH439" s="7">
        <v>1.8150999999999999</v>
      </c>
      <c r="BI439" s="7">
        <v>1.8</v>
      </c>
      <c r="BJ439" s="7">
        <v>1.7856000000000001</v>
      </c>
      <c r="BK439" s="7">
        <v>1.7717000000000001</v>
      </c>
      <c r="BL439" s="7">
        <v>1.7584</v>
      </c>
      <c r="BM439" s="7">
        <v>1.7455000000000001</v>
      </c>
      <c r="BN439" s="7">
        <v>1.7332000000000001</v>
      </c>
      <c r="BO439" s="7">
        <v>1.7214</v>
      </c>
      <c r="BP439" s="7">
        <v>1.71</v>
      </c>
      <c r="BQ439" s="7">
        <v>1.6990000000000001</v>
      </c>
      <c r="BR439" s="7">
        <v>1.6883999999999999</v>
      </c>
      <c r="BS439" s="7">
        <v>1.6781999999999999</v>
      </c>
      <c r="BT439" s="7">
        <v>1.6684000000000001</v>
      </c>
      <c r="BU439" s="7">
        <v>1.659</v>
      </c>
      <c r="BV439" s="7">
        <v>1.6498999999999999</v>
      </c>
      <c r="BW439" s="7">
        <v>1.6411</v>
      </c>
      <c r="BX439" s="7">
        <v>1.6326000000000001</v>
      </c>
      <c r="BY439" s="7">
        <v>1.6244000000000001</v>
      </c>
      <c r="BZ439" s="7">
        <v>1.6166</v>
      </c>
      <c r="CA439" s="7">
        <v>1.609</v>
      </c>
      <c r="CB439" s="7">
        <v>1.6015999999999999</v>
      </c>
      <c r="CC439" s="7">
        <v>1.5946</v>
      </c>
      <c r="CD439" s="7">
        <v>1.5878000000000001</v>
      </c>
      <c r="CE439" s="7">
        <v>1.5742</v>
      </c>
      <c r="CF439" s="7">
        <v>1.5573999999999999</v>
      </c>
      <c r="CG439" s="7">
        <v>1.5409999999999999</v>
      </c>
      <c r="CH439" s="7">
        <v>1.5248999999999999</v>
      </c>
      <c r="CI439" s="7">
        <v>1.5092000000000001</v>
      </c>
      <c r="CJ439" s="7">
        <v>1.4937</v>
      </c>
      <c r="CK439" s="7">
        <v>1.4785999999999999</v>
      </c>
      <c r="CL439" s="7">
        <v>1.4639</v>
      </c>
      <c r="CM439" s="7">
        <v>1.4494</v>
      </c>
      <c r="CN439" s="7">
        <v>1.4351</v>
      </c>
      <c r="CO439" s="7">
        <v>1.4212</v>
      </c>
      <c r="CP439" s="7">
        <v>1.4075</v>
      </c>
      <c r="CQ439" s="7">
        <v>1.3940999999999999</v>
      </c>
      <c r="CR439" s="7">
        <v>1.3809</v>
      </c>
      <c r="CS439" s="7">
        <v>1.3680000000000001</v>
      </c>
      <c r="CT439" s="7">
        <v>1.3552999999999999</v>
      </c>
      <c r="CU439" s="7">
        <v>1.3428</v>
      </c>
      <c r="CV439" s="7">
        <v>1.3305</v>
      </c>
      <c r="CW439" s="7">
        <v>1.3184</v>
      </c>
      <c r="CX439" s="7">
        <v>1.3065</v>
      </c>
      <c r="CY439" s="7">
        <v>1.2948999999999999</v>
      </c>
      <c r="CZ439" s="7">
        <v>1.2834000000000001</v>
      </c>
      <c r="DA439" s="7">
        <v>1.272</v>
      </c>
      <c r="DB439" s="7">
        <v>1.2608999999999999</v>
      </c>
      <c r="DC439" s="7">
        <v>1.2499</v>
      </c>
      <c r="DD439" s="7">
        <v>1.2391000000000001</v>
      </c>
      <c r="DE439" s="7">
        <v>1.2283999999999999</v>
      </c>
      <c r="DF439" s="7">
        <v>1.2179</v>
      </c>
      <c r="DG439" s="7">
        <v>1.2075</v>
      </c>
      <c r="DH439" s="7">
        <v>1.1972</v>
      </c>
      <c r="DI439" s="7">
        <v>1.1871</v>
      </c>
      <c r="DJ439" s="7">
        <v>1.1771</v>
      </c>
      <c r="DK439" s="7">
        <v>1.1672</v>
      </c>
      <c r="DL439" s="7">
        <v>1.1574</v>
      </c>
      <c r="DM439" s="7">
        <v>1.1476999999999999</v>
      </c>
      <c r="DN439" s="7">
        <v>1.1380999999999999</v>
      </c>
      <c r="DO439" s="7">
        <v>1.1286</v>
      </c>
      <c r="DP439" s="7">
        <v>1.1191</v>
      </c>
      <c r="DQ439" s="7">
        <v>1.1097999999999999</v>
      </c>
      <c r="DR439" s="7">
        <v>1.1005</v>
      </c>
      <c r="DS439" s="7">
        <v>1.0912999999999999</v>
      </c>
      <c r="DT439" s="7">
        <v>1.0821000000000001</v>
      </c>
      <c r="DU439" s="7">
        <v>1.073</v>
      </c>
      <c r="DV439" s="7">
        <v>1.0640000000000001</v>
      </c>
      <c r="DW439" s="7">
        <v>1.0548999999999999</v>
      </c>
      <c r="DX439" s="7">
        <v>1.0459000000000001</v>
      </c>
      <c r="DY439" s="7">
        <v>1.0368999999999999</v>
      </c>
      <c r="DZ439" s="7">
        <v>1.0279</v>
      </c>
      <c r="EA439" s="7">
        <v>1.0188999999999999</v>
      </c>
      <c r="EB439" s="7">
        <v>1.01</v>
      </c>
      <c r="EC439" s="7">
        <v>1.0008999999999999</v>
      </c>
      <c r="ED439" s="7">
        <v>1</v>
      </c>
      <c r="EE439" s="7">
        <v>1</v>
      </c>
      <c r="EF439" s="7">
        <v>1</v>
      </c>
      <c r="EG439" s="7">
        <v>1</v>
      </c>
      <c r="EH439" s="7">
        <v>1</v>
      </c>
      <c r="EI439" s="7">
        <v>1</v>
      </c>
      <c r="EJ439" s="7">
        <v>1</v>
      </c>
      <c r="EK439" s="7">
        <v>1</v>
      </c>
      <c r="EL439" s="7">
        <v>1</v>
      </c>
      <c r="EM439" s="7">
        <v>1</v>
      </c>
      <c r="EN439" s="7">
        <v>1</v>
      </c>
      <c r="EO439" s="7">
        <v>1</v>
      </c>
      <c r="EP439" s="7">
        <v>1</v>
      </c>
      <c r="EQ439" s="7">
        <v>1</v>
      </c>
      <c r="ER439" s="7">
        <v>1</v>
      </c>
      <c r="ES439" s="7">
        <v>1</v>
      </c>
      <c r="ET439" s="7">
        <v>1</v>
      </c>
      <c r="EU439" s="7">
        <v>1</v>
      </c>
      <c r="EV439" s="7">
        <v>1</v>
      </c>
      <c r="EW439" s="7">
        <v>1</v>
      </c>
      <c r="EX439" s="7">
        <v>1</v>
      </c>
      <c r="EY439" s="7">
        <v>1</v>
      </c>
      <c r="EZ439" s="7">
        <v>1</v>
      </c>
      <c r="FA439" s="7">
        <v>1</v>
      </c>
      <c r="FB439" s="7">
        <v>1</v>
      </c>
      <c r="FC439" s="7">
        <v>1</v>
      </c>
      <c r="FE439" s="50">
        <f t="shared" ca="1" si="48"/>
        <v>1.0531022025084122</v>
      </c>
      <c r="FF439" s="50">
        <f t="shared" ca="1" si="49"/>
        <v>1.0588274911887217</v>
      </c>
      <c r="FG439" s="50">
        <f t="shared" ca="1" si="50"/>
        <v>1.0646825503355706</v>
      </c>
      <c r="FH439" s="50">
        <f t="shared" ca="1" si="51"/>
        <v>1.0707228187919462</v>
      </c>
      <c r="FK439" s="50">
        <f t="shared" ca="1" si="47"/>
        <v>1.0588274911887217</v>
      </c>
      <c r="FL439" s="50"/>
      <c r="FM439" s="50"/>
      <c r="FN439" s="50"/>
    </row>
    <row r="440" spans="49:170" hidden="1">
      <c r="AW440" s="433">
        <v>0.34699999999999998</v>
      </c>
      <c r="AX440" s="7">
        <v>2.0087999999999999</v>
      </c>
      <c r="AY440" s="7">
        <v>1.9851000000000001</v>
      </c>
      <c r="AZ440" s="7">
        <v>1.9624999999999999</v>
      </c>
      <c r="BA440" s="7">
        <v>1.9410000000000001</v>
      </c>
      <c r="BB440" s="7">
        <v>1.9205000000000001</v>
      </c>
      <c r="BC440" s="7">
        <v>1.9009</v>
      </c>
      <c r="BD440" s="7">
        <v>1.8822000000000001</v>
      </c>
      <c r="BE440" s="7">
        <v>1.8643000000000001</v>
      </c>
      <c r="BF440" s="7">
        <v>1.8472</v>
      </c>
      <c r="BG440" s="7">
        <v>1.8308</v>
      </c>
      <c r="BH440" s="7">
        <v>1.8150999999999999</v>
      </c>
      <c r="BI440" s="7">
        <v>1.8</v>
      </c>
      <c r="BJ440" s="7">
        <v>1.7856000000000001</v>
      </c>
      <c r="BK440" s="7">
        <v>1.7717000000000001</v>
      </c>
      <c r="BL440" s="7">
        <v>1.7584</v>
      </c>
      <c r="BM440" s="7">
        <v>1.7455000000000001</v>
      </c>
      <c r="BN440" s="7">
        <v>1.7332000000000001</v>
      </c>
      <c r="BO440" s="7">
        <v>1.7214</v>
      </c>
      <c r="BP440" s="7">
        <v>1.71</v>
      </c>
      <c r="BQ440" s="7">
        <v>1.6990000000000001</v>
      </c>
      <c r="BR440" s="7">
        <v>1.6883999999999999</v>
      </c>
      <c r="BS440" s="7">
        <v>1.6781999999999999</v>
      </c>
      <c r="BT440" s="7">
        <v>1.6684000000000001</v>
      </c>
      <c r="BU440" s="7">
        <v>1.659</v>
      </c>
      <c r="BV440" s="7">
        <v>1.6498999999999999</v>
      </c>
      <c r="BW440" s="7">
        <v>1.6411</v>
      </c>
      <c r="BX440" s="7">
        <v>1.6326000000000001</v>
      </c>
      <c r="BY440" s="7">
        <v>1.6244000000000001</v>
      </c>
      <c r="BZ440" s="7">
        <v>1.6166</v>
      </c>
      <c r="CA440" s="7">
        <v>1.609</v>
      </c>
      <c r="CB440" s="7">
        <v>1.6015999999999999</v>
      </c>
      <c r="CC440" s="7">
        <v>1.5946</v>
      </c>
      <c r="CD440" s="7">
        <v>1.5878000000000001</v>
      </c>
      <c r="CE440" s="7">
        <v>1.5811999999999999</v>
      </c>
      <c r="CF440" s="7">
        <v>1.5691999999999999</v>
      </c>
      <c r="CG440" s="7">
        <v>1.5528</v>
      </c>
      <c r="CH440" s="7">
        <v>1.5366</v>
      </c>
      <c r="CI440" s="7">
        <v>1.5208999999999999</v>
      </c>
      <c r="CJ440" s="7">
        <v>1.5055000000000001</v>
      </c>
      <c r="CK440" s="7">
        <v>1.4903</v>
      </c>
      <c r="CL440" s="7">
        <v>1.4755</v>
      </c>
      <c r="CM440" s="7">
        <v>1.4610000000000001</v>
      </c>
      <c r="CN440" s="7">
        <v>1.4468000000000001</v>
      </c>
      <c r="CO440" s="7">
        <v>1.4328000000000001</v>
      </c>
      <c r="CP440" s="7">
        <v>1.4191</v>
      </c>
      <c r="CQ440" s="7">
        <v>1.4056999999999999</v>
      </c>
      <c r="CR440" s="7">
        <v>1.3925000000000001</v>
      </c>
      <c r="CS440" s="7">
        <v>1.3795999999999999</v>
      </c>
      <c r="CT440" s="7">
        <v>1.3669</v>
      </c>
      <c r="CU440" s="7">
        <v>1.3544</v>
      </c>
      <c r="CV440" s="7">
        <v>1.3421000000000001</v>
      </c>
      <c r="CW440" s="7">
        <v>1.33</v>
      </c>
      <c r="CX440" s="7">
        <v>1.3181</v>
      </c>
      <c r="CY440" s="7">
        <v>1.3065</v>
      </c>
      <c r="CZ440" s="7">
        <v>1.2949999999999999</v>
      </c>
      <c r="DA440" s="7">
        <v>1.2836000000000001</v>
      </c>
      <c r="DB440" s="7">
        <v>1.2725</v>
      </c>
      <c r="DC440" s="7">
        <v>1.2615000000000001</v>
      </c>
      <c r="DD440" s="7">
        <v>1.2506999999999999</v>
      </c>
      <c r="DE440" s="7">
        <v>1.24</v>
      </c>
      <c r="DF440" s="7">
        <v>1.2295</v>
      </c>
      <c r="DG440" s="7">
        <v>1.2191000000000001</v>
      </c>
      <c r="DH440" s="7">
        <v>1.2089000000000001</v>
      </c>
      <c r="DI440" s="7">
        <v>1.1988000000000001</v>
      </c>
      <c r="DJ440" s="7">
        <v>1.1888000000000001</v>
      </c>
      <c r="DK440" s="7">
        <v>1.1789000000000001</v>
      </c>
      <c r="DL440" s="7">
        <v>1.1691</v>
      </c>
      <c r="DM440" s="7">
        <v>1.1595</v>
      </c>
      <c r="DN440" s="7">
        <v>1.1498999999999999</v>
      </c>
      <c r="DO440" s="7">
        <v>1.1404000000000001</v>
      </c>
      <c r="DP440" s="7">
        <v>1.131</v>
      </c>
      <c r="DQ440" s="7">
        <v>1.1216999999999999</v>
      </c>
      <c r="DR440" s="7">
        <v>1.1125</v>
      </c>
      <c r="DS440" s="7">
        <v>1.1032999999999999</v>
      </c>
      <c r="DT440" s="7">
        <v>1.0942000000000001</v>
      </c>
      <c r="DU440" s="7">
        <v>1.0851</v>
      </c>
      <c r="DV440" s="7">
        <v>1.0761000000000001</v>
      </c>
      <c r="DW440" s="7">
        <v>1.0670999999999999</v>
      </c>
      <c r="DX440" s="7">
        <v>1.0582</v>
      </c>
      <c r="DY440" s="7">
        <v>1.0491999999999999</v>
      </c>
      <c r="DZ440" s="7">
        <v>1.0403</v>
      </c>
      <c r="EA440" s="7">
        <v>1.0314000000000001</v>
      </c>
      <c r="EB440" s="7">
        <v>1.0225</v>
      </c>
      <c r="EC440" s="7">
        <v>1.0135000000000001</v>
      </c>
      <c r="ED440" s="7">
        <v>1.0045999999999999</v>
      </c>
      <c r="EE440" s="7">
        <v>1</v>
      </c>
      <c r="EF440" s="7">
        <v>1</v>
      </c>
      <c r="EG440" s="7">
        <v>1</v>
      </c>
      <c r="EH440" s="7">
        <v>1</v>
      </c>
      <c r="EI440" s="7">
        <v>1</v>
      </c>
      <c r="EJ440" s="7">
        <v>1</v>
      </c>
      <c r="EK440" s="7">
        <v>1</v>
      </c>
      <c r="EL440" s="7">
        <v>1</v>
      </c>
      <c r="EM440" s="7">
        <v>1</v>
      </c>
      <c r="EN440" s="7">
        <v>1</v>
      </c>
      <c r="EO440" s="7">
        <v>1</v>
      </c>
      <c r="EP440" s="7">
        <v>1</v>
      </c>
      <c r="EQ440" s="7">
        <v>1</v>
      </c>
      <c r="ER440" s="7">
        <v>1</v>
      </c>
      <c r="ES440" s="7">
        <v>1</v>
      </c>
      <c r="ET440" s="7">
        <v>1</v>
      </c>
      <c r="EU440" s="7">
        <v>1</v>
      </c>
      <c r="EV440" s="7">
        <v>1</v>
      </c>
      <c r="EW440" s="7">
        <v>1</v>
      </c>
      <c r="EX440" s="7">
        <v>1</v>
      </c>
      <c r="EY440" s="7">
        <v>1</v>
      </c>
      <c r="EZ440" s="7">
        <v>1</v>
      </c>
      <c r="FA440" s="7">
        <v>1</v>
      </c>
      <c r="FB440" s="7">
        <v>1</v>
      </c>
      <c r="FC440" s="7">
        <v>1</v>
      </c>
      <c r="FE440" s="50">
        <f t="shared" ca="1" si="48"/>
        <v>1.0653221780360969</v>
      </c>
      <c r="FF440" s="50">
        <f t="shared" ca="1" si="49"/>
        <v>1.0709843319448895</v>
      </c>
      <c r="FG440" s="50">
        <f t="shared" ca="1" si="50"/>
        <v>1.0767825503355706</v>
      </c>
      <c r="FH440" s="50">
        <f t="shared" ca="1" si="51"/>
        <v>1.0828228187919462</v>
      </c>
      <c r="FK440" s="50">
        <f t="shared" ca="1" si="47"/>
        <v>1.0709843319448895</v>
      </c>
      <c r="FL440" s="50"/>
      <c r="FM440" s="50"/>
      <c r="FN440" s="50"/>
    </row>
    <row r="441" spans="49:170" hidden="1">
      <c r="AW441" s="433">
        <v>0.372</v>
      </c>
      <c r="AX441" s="7">
        <v>2.0087999999999999</v>
      </c>
      <c r="AY441" s="7">
        <v>1.9851000000000001</v>
      </c>
      <c r="AZ441" s="7">
        <v>1.9624999999999999</v>
      </c>
      <c r="BA441" s="7">
        <v>1.9410000000000001</v>
      </c>
      <c r="BB441" s="7">
        <v>1.9205000000000001</v>
      </c>
      <c r="BC441" s="7">
        <v>1.9009</v>
      </c>
      <c r="BD441" s="7">
        <v>1.8822000000000001</v>
      </c>
      <c r="BE441" s="7">
        <v>1.8643000000000001</v>
      </c>
      <c r="BF441" s="7">
        <v>1.8472</v>
      </c>
      <c r="BG441" s="7">
        <v>1.8308</v>
      </c>
      <c r="BH441" s="7">
        <v>1.8150999999999999</v>
      </c>
      <c r="BI441" s="7">
        <v>1.8</v>
      </c>
      <c r="BJ441" s="7">
        <v>1.7856000000000001</v>
      </c>
      <c r="BK441" s="7">
        <v>1.7717000000000001</v>
      </c>
      <c r="BL441" s="7">
        <v>1.7584</v>
      </c>
      <c r="BM441" s="7">
        <v>1.7455000000000001</v>
      </c>
      <c r="BN441" s="7">
        <v>1.7332000000000001</v>
      </c>
      <c r="BO441" s="7">
        <v>1.7214</v>
      </c>
      <c r="BP441" s="7">
        <v>1.71</v>
      </c>
      <c r="BQ441" s="7">
        <v>1.6990000000000001</v>
      </c>
      <c r="BR441" s="7">
        <v>1.6883999999999999</v>
      </c>
      <c r="BS441" s="7">
        <v>1.6781999999999999</v>
      </c>
      <c r="BT441" s="7">
        <v>1.6684000000000001</v>
      </c>
      <c r="BU441" s="7">
        <v>1.659</v>
      </c>
      <c r="BV441" s="7">
        <v>1.6498999999999999</v>
      </c>
      <c r="BW441" s="7">
        <v>1.6411</v>
      </c>
      <c r="BX441" s="7">
        <v>1.6326000000000001</v>
      </c>
      <c r="BY441" s="7">
        <v>1.6244000000000001</v>
      </c>
      <c r="BZ441" s="7">
        <v>1.6166</v>
      </c>
      <c r="CA441" s="7">
        <v>1.609</v>
      </c>
      <c r="CB441" s="7">
        <v>1.6015999999999999</v>
      </c>
      <c r="CC441" s="7">
        <v>1.5946</v>
      </c>
      <c r="CD441" s="7">
        <v>1.5878000000000001</v>
      </c>
      <c r="CE441" s="7">
        <v>1.5811999999999999</v>
      </c>
      <c r="CF441" s="7">
        <v>1.5749</v>
      </c>
      <c r="CG441" s="7">
        <v>1.5644</v>
      </c>
      <c r="CH441" s="7">
        <v>1.5483</v>
      </c>
      <c r="CI441" s="7">
        <v>1.5325</v>
      </c>
      <c r="CJ441" s="7">
        <v>1.5169999999999999</v>
      </c>
      <c r="CK441" s="7">
        <v>1.5019</v>
      </c>
      <c r="CL441" s="7">
        <v>1.4871000000000001</v>
      </c>
      <c r="CM441" s="7">
        <v>1.4724999999999999</v>
      </c>
      <c r="CN441" s="7">
        <v>1.4582999999999999</v>
      </c>
      <c r="CO441" s="7">
        <v>1.4442999999999999</v>
      </c>
      <c r="CP441" s="7">
        <v>1.4306000000000001</v>
      </c>
      <c r="CQ441" s="7">
        <v>1.4172</v>
      </c>
      <c r="CR441" s="7">
        <v>1.4039999999999999</v>
      </c>
      <c r="CS441" s="7">
        <v>1.3911</v>
      </c>
      <c r="CT441" s="7">
        <v>1.3783000000000001</v>
      </c>
      <c r="CU441" s="7">
        <v>1.3657999999999999</v>
      </c>
      <c r="CV441" s="7">
        <v>1.3535999999999999</v>
      </c>
      <c r="CW441" s="7">
        <v>1.3414999999999999</v>
      </c>
      <c r="CX441" s="7">
        <v>1.3295999999999999</v>
      </c>
      <c r="CY441" s="7">
        <v>1.3179000000000001</v>
      </c>
      <c r="CZ441" s="7">
        <v>1.3064</v>
      </c>
      <c r="DA441" s="7">
        <v>1.2950999999999999</v>
      </c>
      <c r="DB441" s="7">
        <v>1.284</v>
      </c>
      <c r="DC441" s="7">
        <v>1.2729999999999999</v>
      </c>
      <c r="DD441" s="7">
        <v>1.2622</v>
      </c>
      <c r="DE441" s="7">
        <v>1.2516</v>
      </c>
      <c r="DF441" s="7">
        <v>1.2410000000000001</v>
      </c>
      <c r="DG441" s="7">
        <v>1.2306999999999999</v>
      </c>
      <c r="DH441" s="7">
        <v>1.2204999999999999</v>
      </c>
      <c r="DI441" s="7">
        <v>1.2103999999999999</v>
      </c>
      <c r="DJ441" s="7">
        <v>1.2003999999999999</v>
      </c>
      <c r="DK441" s="7">
        <v>1.1904999999999999</v>
      </c>
      <c r="DL441" s="7">
        <v>1.1808000000000001</v>
      </c>
      <c r="DM441" s="7">
        <v>1.1711</v>
      </c>
      <c r="DN441" s="7">
        <v>1.1616</v>
      </c>
      <c r="DO441" s="7">
        <v>1.1521999999999999</v>
      </c>
      <c r="DP441" s="7">
        <v>1.1428</v>
      </c>
      <c r="DQ441" s="7">
        <v>1.1335</v>
      </c>
      <c r="DR441" s="7">
        <v>1.1243000000000001</v>
      </c>
      <c r="DS441" s="7">
        <v>1.1152</v>
      </c>
      <c r="DT441" s="7">
        <v>1.1061000000000001</v>
      </c>
      <c r="DU441" s="7">
        <v>1.0971</v>
      </c>
      <c r="DV441" s="7">
        <v>1.0881000000000001</v>
      </c>
      <c r="DW441" s="7">
        <v>1.0791999999999999</v>
      </c>
      <c r="DX441" s="7">
        <v>1.0703</v>
      </c>
      <c r="DY441" s="7">
        <v>1.0613999999999999</v>
      </c>
      <c r="DZ441" s="7">
        <v>1.0526</v>
      </c>
      <c r="EA441" s="7">
        <v>1.0437000000000001</v>
      </c>
      <c r="EB441" s="7">
        <v>1.0348999999999999</v>
      </c>
      <c r="EC441" s="7">
        <v>1.026</v>
      </c>
      <c r="ED441" s="7">
        <v>1.0170999999999999</v>
      </c>
      <c r="EE441" s="7">
        <v>1.0082</v>
      </c>
      <c r="EF441" s="7">
        <v>1</v>
      </c>
      <c r="EG441" s="7">
        <v>1</v>
      </c>
      <c r="EH441" s="7">
        <v>1</v>
      </c>
      <c r="EI441" s="7">
        <v>1</v>
      </c>
      <c r="EJ441" s="7">
        <v>1</v>
      </c>
      <c r="EK441" s="7">
        <v>1</v>
      </c>
      <c r="EL441" s="7">
        <v>1</v>
      </c>
      <c r="EM441" s="7">
        <v>1</v>
      </c>
      <c r="EN441" s="7">
        <v>1</v>
      </c>
      <c r="EO441" s="7">
        <v>1</v>
      </c>
      <c r="EP441" s="7">
        <v>1</v>
      </c>
      <c r="EQ441" s="7">
        <v>1</v>
      </c>
      <c r="ER441" s="7">
        <v>1</v>
      </c>
      <c r="ES441" s="7">
        <v>1</v>
      </c>
      <c r="ET441" s="7">
        <v>1</v>
      </c>
      <c r="EU441" s="7">
        <v>1</v>
      </c>
      <c r="EV441" s="7">
        <v>1</v>
      </c>
      <c r="EW441" s="7">
        <v>1</v>
      </c>
      <c r="EX441" s="7">
        <v>1</v>
      </c>
      <c r="EY441" s="7">
        <v>1</v>
      </c>
      <c r="EZ441" s="7">
        <v>1</v>
      </c>
      <c r="FA441" s="7">
        <v>1</v>
      </c>
      <c r="FB441" s="7">
        <v>1</v>
      </c>
      <c r="FC441" s="7">
        <v>1</v>
      </c>
      <c r="FE441" s="50">
        <f t="shared" ca="1" si="48"/>
        <v>1.0774221780360966</v>
      </c>
      <c r="FF441" s="50">
        <f t="shared" ca="1" si="49"/>
        <v>1.0830411727010574</v>
      </c>
      <c r="FG441" s="50">
        <f t="shared" ca="1" si="50"/>
        <v>1.0887825503355706</v>
      </c>
      <c r="FH441" s="50">
        <f t="shared" ca="1" si="51"/>
        <v>1.0948228187919462</v>
      </c>
      <c r="FK441" s="50">
        <f t="shared" ca="1" si="47"/>
        <v>1.0830411727010574</v>
      </c>
      <c r="FL441" s="50"/>
      <c r="FM441" s="50"/>
      <c r="FN441" s="50"/>
    </row>
    <row r="442" spans="49:170" hidden="1">
      <c r="AW442" s="433">
        <v>0.39800000000000002</v>
      </c>
      <c r="AX442" s="7">
        <v>2.0087999999999999</v>
      </c>
      <c r="AY442" s="7">
        <v>1.9851000000000001</v>
      </c>
      <c r="AZ442" s="7">
        <v>1.9624999999999999</v>
      </c>
      <c r="BA442" s="7">
        <v>1.9410000000000001</v>
      </c>
      <c r="BB442" s="7">
        <v>1.9205000000000001</v>
      </c>
      <c r="BC442" s="7">
        <v>1.9009</v>
      </c>
      <c r="BD442" s="7">
        <v>1.8822000000000001</v>
      </c>
      <c r="BE442" s="7">
        <v>1.8643000000000001</v>
      </c>
      <c r="BF442" s="7">
        <v>1.8472</v>
      </c>
      <c r="BG442" s="7">
        <v>1.8308</v>
      </c>
      <c r="BH442" s="7">
        <v>1.8150999999999999</v>
      </c>
      <c r="BI442" s="7">
        <v>1.8</v>
      </c>
      <c r="BJ442" s="7">
        <v>1.7856000000000001</v>
      </c>
      <c r="BK442" s="7">
        <v>1.7717000000000001</v>
      </c>
      <c r="BL442" s="7">
        <v>1.7584</v>
      </c>
      <c r="BM442" s="7">
        <v>1.7455000000000001</v>
      </c>
      <c r="BN442" s="7">
        <v>1.7332000000000001</v>
      </c>
      <c r="BO442" s="7">
        <v>1.7214</v>
      </c>
      <c r="BP442" s="7">
        <v>1.71</v>
      </c>
      <c r="BQ442" s="7">
        <v>1.6990000000000001</v>
      </c>
      <c r="BR442" s="7">
        <v>1.6883999999999999</v>
      </c>
      <c r="BS442" s="7">
        <v>1.6781999999999999</v>
      </c>
      <c r="BT442" s="7">
        <v>1.6684000000000001</v>
      </c>
      <c r="BU442" s="7">
        <v>1.659</v>
      </c>
      <c r="BV442" s="7">
        <v>1.6498999999999999</v>
      </c>
      <c r="BW442" s="7">
        <v>1.6411</v>
      </c>
      <c r="BX442" s="7">
        <v>1.6326000000000001</v>
      </c>
      <c r="BY442" s="7">
        <v>1.6244000000000001</v>
      </c>
      <c r="BZ442" s="7">
        <v>1.6166</v>
      </c>
      <c r="CA442" s="7">
        <v>1.609</v>
      </c>
      <c r="CB442" s="7">
        <v>1.6015999999999999</v>
      </c>
      <c r="CC442" s="7">
        <v>1.5946</v>
      </c>
      <c r="CD442" s="7">
        <v>1.5878000000000001</v>
      </c>
      <c r="CE442" s="7">
        <v>1.5811999999999999</v>
      </c>
      <c r="CF442" s="7">
        <v>1.5749</v>
      </c>
      <c r="CG442" s="7">
        <v>1.5688</v>
      </c>
      <c r="CH442" s="7">
        <v>1.5597000000000001</v>
      </c>
      <c r="CI442" s="7">
        <v>1.5439000000000001</v>
      </c>
      <c r="CJ442" s="7">
        <v>1.5285</v>
      </c>
      <c r="CK442" s="7">
        <v>1.5133000000000001</v>
      </c>
      <c r="CL442" s="7">
        <v>1.4984999999999999</v>
      </c>
      <c r="CM442" s="7">
        <v>1.4839</v>
      </c>
      <c r="CN442" s="7">
        <v>1.4697</v>
      </c>
      <c r="CO442" s="7">
        <v>1.4557</v>
      </c>
      <c r="CP442" s="7">
        <v>1.4419999999999999</v>
      </c>
      <c r="CQ442" s="7">
        <v>1.4286000000000001</v>
      </c>
      <c r="CR442" s="7">
        <v>1.4154</v>
      </c>
      <c r="CS442" s="7">
        <v>1.4024000000000001</v>
      </c>
      <c r="CT442" s="7">
        <v>1.3896999999999999</v>
      </c>
      <c r="CU442" s="7">
        <v>1.3772</v>
      </c>
      <c r="CV442" s="7">
        <v>1.3649</v>
      </c>
      <c r="CW442" s="7">
        <v>1.3528</v>
      </c>
      <c r="CX442" s="7">
        <v>1.3409</v>
      </c>
      <c r="CY442" s="7">
        <v>1.3292999999999999</v>
      </c>
      <c r="CZ442" s="7">
        <v>1.3178000000000001</v>
      </c>
      <c r="DA442" s="7">
        <v>1.3065</v>
      </c>
      <c r="DB442" s="7">
        <v>1.2952999999999999</v>
      </c>
      <c r="DC442" s="7">
        <v>1.2844</v>
      </c>
      <c r="DD442" s="7">
        <v>1.2736000000000001</v>
      </c>
      <c r="DE442" s="7">
        <v>1.2628999999999999</v>
      </c>
      <c r="DF442" s="7">
        <v>1.2524</v>
      </c>
      <c r="DG442" s="7">
        <v>1.2421</v>
      </c>
      <c r="DH442" s="7">
        <v>1.2319</v>
      </c>
      <c r="DI442" s="7">
        <v>1.2218</v>
      </c>
      <c r="DJ442" s="7">
        <v>1.2118</v>
      </c>
      <c r="DK442" s="7">
        <v>1.202</v>
      </c>
      <c r="DL442" s="7">
        <v>1.1922999999999999</v>
      </c>
      <c r="DM442" s="7">
        <v>1.1827000000000001</v>
      </c>
      <c r="DN442" s="7">
        <v>1.1732</v>
      </c>
      <c r="DO442" s="7">
        <v>1.1637</v>
      </c>
      <c r="DP442" s="7">
        <v>1.1544000000000001</v>
      </c>
      <c r="DQ442" s="7">
        <v>1.1452</v>
      </c>
      <c r="DR442" s="7">
        <v>1.1359999999999999</v>
      </c>
      <c r="DS442" s="7">
        <v>1.1269</v>
      </c>
      <c r="DT442" s="7">
        <v>1.1178999999999999</v>
      </c>
      <c r="DU442" s="7">
        <v>1.1089</v>
      </c>
      <c r="DV442" s="7">
        <v>1.1000000000000001</v>
      </c>
      <c r="DW442" s="7">
        <v>1.0911</v>
      </c>
      <c r="DX442" s="7">
        <v>1.0823</v>
      </c>
      <c r="DY442" s="7">
        <v>1.0734999999999999</v>
      </c>
      <c r="DZ442" s="7">
        <v>1.0647</v>
      </c>
      <c r="EA442" s="7">
        <v>1.0559000000000001</v>
      </c>
      <c r="EB442" s="7">
        <v>1.0470999999999999</v>
      </c>
      <c r="EC442" s="7">
        <v>1.0383</v>
      </c>
      <c r="ED442" s="7">
        <v>1.0295000000000001</v>
      </c>
      <c r="EE442" s="7">
        <v>1.0206999999999999</v>
      </c>
      <c r="EF442" s="7">
        <v>1.0118</v>
      </c>
      <c r="EG442" s="7">
        <v>1.0029999999999999</v>
      </c>
      <c r="EH442" s="7">
        <v>1</v>
      </c>
      <c r="EI442" s="7">
        <v>1</v>
      </c>
      <c r="EJ442" s="7">
        <v>1</v>
      </c>
      <c r="EK442" s="7">
        <v>1</v>
      </c>
      <c r="EL442" s="7">
        <v>1</v>
      </c>
      <c r="EM442" s="7">
        <v>1</v>
      </c>
      <c r="EN442" s="7">
        <v>1</v>
      </c>
      <c r="EO442" s="7">
        <v>1</v>
      </c>
      <c r="EP442" s="7">
        <v>1</v>
      </c>
      <c r="EQ442" s="7">
        <v>1</v>
      </c>
      <c r="ER442" s="7">
        <v>1</v>
      </c>
      <c r="ES442" s="7">
        <v>1</v>
      </c>
      <c r="ET442" s="7">
        <v>1</v>
      </c>
      <c r="EU442" s="7">
        <v>1</v>
      </c>
      <c r="EV442" s="7">
        <v>1</v>
      </c>
      <c r="EW442" s="7">
        <v>1</v>
      </c>
      <c r="EX442" s="7">
        <v>1</v>
      </c>
      <c r="EY442" s="7">
        <v>1</v>
      </c>
      <c r="EZ442" s="7">
        <v>1</v>
      </c>
      <c r="FA442" s="7">
        <v>1</v>
      </c>
      <c r="FB442" s="7">
        <v>1</v>
      </c>
      <c r="FC442" s="7">
        <v>1</v>
      </c>
      <c r="FE442" s="50">
        <f t="shared" ca="1" si="48"/>
        <v>1.0893421535637811</v>
      </c>
      <c r="FF442" s="50">
        <f t="shared" ca="1" si="49"/>
        <v>1.0949411727010574</v>
      </c>
      <c r="FG442" s="50">
        <f t="shared" ca="1" si="50"/>
        <v>1.1006749664429529</v>
      </c>
      <c r="FH442" s="50">
        <f t="shared" ca="1" si="51"/>
        <v>1.1066481208053691</v>
      </c>
      <c r="FK442" s="50">
        <f t="shared" ca="1" si="47"/>
        <v>1.0949411727010574</v>
      </c>
      <c r="FL442" s="50"/>
      <c r="FM442" s="50"/>
      <c r="FN442" s="50"/>
    </row>
    <row r="443" spans="49:170" hidden="1">
      <c r="AW443" s="433">
        <v>0.42699999999999999</v>
      </c>
      <c r="AX443" s="7">
        <v>2.0087999999999999</v>
      </c>
      <c r="AY443" s="7">
        <v>1.9851000000000001</v>
      </c>
      <c r="AZ443" s="7">
        <v>1.9624999999999999</v>
      </c>
      <c r="BA443" s="7">
        <v>1.9410000000000001</v>
      </c>
      <c r="BB443" s="7">
        <v>1.9205000000000001</v>
      </c>
      <c r="BC443" s="7">
        <v>1.9009</v>
      </c>
      <c r="BD443" s="7">
        <v>1.8822000000000001</v>
      </c>
      <c r="BE443" s="7">
        <v>1.8643000000000001</v>
      </c>
      <c r="BF443" s="7">
        <v>1.8472</v>
      </c>
      <c r="BG443" s="7">
        <v>1.8308</v>
      </c>
      <c r="BH443" s="7">
        <v>1.8150999999999999</v>
      </c>
      <c r="BI443" s="7">
        <v>1.8</v>
      </c>
      <c r="BJ443" s="7">
        <v>1.7856000000000001</v>
      </c>
      <c r="BK443" s="7">
        <v>1.7717000000000001</v>
      </c>
      <c r="BL443" s="7">
        <v>1.7584</v>
      </c>
      <c r="BM443" s="7">
        <v>1.7455000000000001</v>
      </c>
      <c r="BN443" s="7">
        <v>1.7332000000000001</v>
      </c>
      <c r="BO443" s="7">
        <v>1.7214</v>
      </c>
      <c r="BP443" s="7">
        <v>1.71</v>
      </c>
      <c r="BQ443" s="7">
        <v>1.6990000000000001</v>
      </c>
      <c r="BR443" s="7">
        <v>1.6883999999999999</v>
      </c>
      <c r="BS443" s="7">
        <v>1.6781999999999999</v>
      </c>
      <c r="BT443" s="7">
        <v>1.6684000000000001</v>
      </c>
      <c r="BU443" s="7">
        <v>1.659</v>
      </c>
      <c r="BV443" s="7">
        <v>1.6498999999999999</v>
      </c>
      <c r="BW443" s="7">
        <v>1.6411</v>
      </c>
      <c r="BX443" s="7">
        <v>1.6326000000000001</v>
      </c>
      <c r="BY443" s="7">
        <v>1.6244000000000001</v>
      </c>
      <c r="BZ443" s="7">
        <v>1.6166</v>
      </c>
      <c r="CA443" s="7">
        <v>1.609</v>
      </c>
      <c r="CB443" s="7">
        <v>1.6015999999999999</v>
      </c>
      <c r="CC443" s="7">
        <v>1.5946</v>
      </c>
      <c r="CD443" s="7">
        <v>1.5878000000000001</v>
      </c>
      <c r="CE443" s="7">
        <v>1.5811999999999999</v>
      </c>
      <c r="CF443" s="7">
        <v>1.5749</v>
      </c>
      <c r="CG443" s="7">
        <v>1.5688</v>
      </c>
      <c r="CH443" s="7">
        <v>1.5629</v>
      </c>
      <c r="CI443" s="7">
        <v>1.5552999999999999</v>
      </c>
      <c r="CJ443" s="7">
        <v>1.5398000000000001</v>
      </c>
      <c r="CK443" s="7">
        <v>1.5246</v>
      </c>
      <c r="CL443" s="7">
        <v>1.5098</v>
      </c>
      <c r="CM443" s="7">
        <v>1.4952000000000001</v>
      </c>
      <c r="CN443" s="7">
        <v>1.4809000000000001</v>
      </c>
      <c r="CO443" s="7">
        <v>1.4670000000000001</v>
      </c>
      <c r="CP443" s="7">
        <v>1.4532</v>
      </c>
      <c r="CQ443" s="7">
        <v>1.4398</v>
      </c>
      <c r="CR443" s="7">
        <v>1.4266000000000001</v>
      </c>
      <c r="CS443" s="7">
        <v>1.4136</v>
      </c>
      <c r="CT443" s="7">
        <v>1.4009</v>
      </c>
      <c r="CU443" s="7">
        <v>1.3884000000000001</v>
      </c>
      <c r="CV443" s="7">
        <v>1.3761000000000001</v>
      </c>
      <c r="CW443" s="7">
        <v>1.3640000000000001</v>
      </c>
      <c r="CX443" s="7">
        <v>1.3521000000000001</v>
      </c>
      <c r="CY443" s="7">
        <v>1.3405</v>
      </c>
      <c r="CZ443" s="7">
        <v>1.329</v>
      </c>
      <c r="DA443" s="7">
        <v>1.3177000000000001</v>
      </c>
      <c r="DB443" s="7">
        <v>1.3066</v>
      </c>
      <c r="DC443" s="7">
        <v>1.2956000000000001</v>
      </c>
      <c r="DD443" s="7">
        <v>1.2847999999999999</v>
      </c>
      <c r="DE443" s="7">
        <v>1.2742</v>
      </c>
      <c r="DF443" s="7">
        <v>1.2637</v>
      </c>
      <c r="DG443" s="7">
        <v>1.2534000000000001</v>
      </c>
      <c r="DH443" s="7">
        <v>1.2432000000000001</v>
      </c>
      <c r="DI443" s="7">
        <v>1.2331000000000001</v>
      </c>
      <c r="DJ443" s="7">
        <v>1.2232000000000001</v>
      </c>
      <c r="DK443" s="7">
        <v>1.2134</v>
      </c>
      <c r="DL443" s="7">
        <v>1.2037</v>
      </c>
      <c r="DM443" s="7">
        <v>1.1940999999999999</v>
      </c>
      <c r="DN443" s="7">
        <v>1.1846000000000001</v>
      </c>
      <c r="DO443" s="7">
        <v>1.1752</v>
      </c>
      <c r="DP443" s="7">
        <v>1.1658999999999999</v>
      </c>
      <c r="DQ443" s="7">
        <v>1.1567000000000001</v>
      </c>
      <c r="DR443" s="7">
        <v>1.1476</v>
      </c>
      <c r="DS443" s="7">
        <v>1.1385000000000001</v>
      </c>
      <c r="DT443" s="7">
        <v>1.1294999999999999</v>
      </c>
      <c r="DU443" s="7">
        <v>1.1206</v>
      </c>
      <c r="DV443" s="7">
        <v>1.1116999999999999</v>
      </c>
      <c r="DW443" s="7">
        <v>1.1029</v>
      </c>
      <c r="DX443" s="7">
        <v>1.0941000000000001</v>
      </c>
      <c r="DY443" s="7">
        <v>1.0853999999999999</v>
      </c>
      <c r="DZ443" s="7">
        <v>1.0766</v>
      </c>
      <c r="EA443" s="7">
        <v>1.0679000000000001</v>
      </c>
      <c r="EB443" s="7">
        <v>1.0591999999999999</v>
      </c>
      <c r="EC443" s="7">
        <v>1.0505</v>
      </c>
      <c r="ED443" s="7">
        <v>1.0418000000000001</v>
      </c>
      <c r="EE443" s="7">
        <v>1.0329999999999999</v>
      </c>
      <c r="EF443" s="7">
        <v>1.0243</v>
      </c>
      <c r="EG443" s="7">
        <v>1.0155000000000001</v>
      </c>
      <c r="EH443" s="7">
        <v>1.0065999999999999</v>
      </c>
      <c r="EI443" s="7">
        <v>1</v>
      </c>
      <c r="EJ443" s="7">
        <v>1</v>
      </c>
      <c r="EK443" s="7">
        <v>1</v>
      </c>
      <c r="EL443" s="7">
        <v>1</v>
      </c>
      <c r="EM443" s="7">
        <v>1</v>
      </c>
      <c r="EN443" s="7">
        <v>1</v>
      </c>
      <c r="EO443" s="7">
        <v>1</v>
      </c>
      <c r="EP443" s="7">
        <v>1</v>
      </c>
      <c r="EQ443" s="7">
        <v>1</v>
      </c>
      <c r="ER443" s="7">
        <v>1</v>
      </c>
      <c r="ES443" s="7">
        <v>1</v>
      </c>
      <c r="ET443" s="7">
        <v>1</v>
      </c>
      <c r="EU443" s="7">
        <v>1</v>
      </c>
      <c r="EV443" s="7">
        <v>1</v>
      </c>
      <c r="EW443" s="7">
        <v>1</v>
      </c>
      <c r="EX443" s="7">
        <v>1</v>
      </c>
      <c r="EY443" s="7">
        <v>1</v>
      </c>
      <c r="EZ443" s="7">
        <v>1</v>
      </c>
      <c r="FA443" s="7">
        <v>1</v>
      </c>
      <c r="FB443" s="7">
        <v>1</v>
      </c>
      <c r="FC443" s="7">
        <v>1</v>
      </c>
      <c r="FE443" s="50">
        <f t="shared" ca="1" si="48"/>
        <v>1.1011421535637811</v>
      </c>
      <c r="FF443" s="50">
        <f t="shared" ca="1" si="49"/>
        <v>1.1066980134572253</v>
      </c>
      <c r="FG443" s="50">
        <f t="shared" ca="1" si="50"/>
        <v>1.112374966442953</v>
      </c>
      <c r="FH443" s="50">
        <f t="shared" ca="1" si="51"/>
        <v>1.1183481208053692</v>
      </c>
      <c r="FK443" s="50">
        <f t="shared" ca="1" si="47"/>
        <v>1.1066980134572253</v>
      </c>
      <c r="FL443" s="50"/>
      <c r="FM443" s="50"/>
      <c r="FN443" s="50"/>
    </row>
    <row r="444" spans="49:170" hidden="1">
      <c r="AW444" s="433">
        <v>0.45700000000000002</v>
      </c>
      <c r="AX444" s="7">
        <v>2.0087999999999999</v>
      </c>
      <c r="AY444" s="7">
        <v>1.9851000000000001</v>
      </c>
      <c r="AZ444" s="7">
        <v>1.9624999999999999</v>
      </c>
      <c r="BA444" s="7">
        <v>1.9410000000000001</v>
      </c>
      <c r="BB444" s="7">
        <v>1.9205000000000001</v>
      </c>
      <c r="BC444" s="7">
        <v>1.9009</v>
      </c>
      <c r="BD444" s="7">
        <v>1.8822000000000001</v>
      </c>
      <c r="BE444" s="7">
        <v>1.8643000000000001</v>
      </c>
      <c r="BF444" s="7">
        <v>1.8472</v>
      </c>
      <c r="BG444" s="7">
        <v>1.8308</v>
      </c>
      <c r="BH444" s="7">
        <v>1.8150999999999999</v>
      </c>
      <c r="BI444" s="7">
        <v>1.8</v>
      </c>
      <c r="BJ444" s="7">
        <v>1.7856000000000001</v>
      </c>
      <c r="BK444" s="7">
        <v>1.7717000000000001</v>
      </c>
      <c r="BL444" s="7">
        <v>1.7584</v>
      </c>
      <c r="BM444" s="7">
        <v>1.7455000000000001</v>
      </c>
      <c r="BN444" s="7">
        <v>1.7332000000000001</v>
      </c>
      <c r="BO444" s="7">
        <v>1.7214</v>
      </c>
      <c r="BP444" s="7">
        <v>1.71</v>
      </c>
      <c r="BQ444" s="7">
        <v>1.6990000000000001</v>
      </c>
      <c r="BR444" s="7">
        <v>1.6883999999999999</v>
      </c>
      <c r="BS444" s="7">
        <v>1.6781999999999999</v>
      </c>
      <c r="BT444" s="7">
        <v>1.6684000000000001</v>
      </c>
      <c r="BU444" s="7">
        <v>1.659</v>
      </c>
      <c r="BV444" s="7">
        <v>1.6498999999999999</v>
      </c>
      <c r="BW444" s="7">
        <v>1.6411</v>
      </c>
      <c r="BX444" s="7">
        <v>1.6326000000000001</v>
      </c>
      <c r="BY444" s="7">
        <v>1.6244000000000001</v>
      </c>
      <c r="BZ444" s="7">
        <v>1.6166</v>
      </c>
      <c r="CA444" s="7">
        <v>1.609</v>
      </c>
      <c r="CB444" s="7">
        <v>1.6015999999999999</v>
      </c>
      <c r="CC444" s="7">
        <v>1.5946</v>
      </c>
      <c r="CD444" s="7">
        <v>1.5878000000000001</v>
      </c>
      <c r="CE444" s="7">
        <v>1.5811999999999999</v>
      </c>
      <c r="CF444" s="7">
        <v>1.5749</v>
      </c>
      <c r="CG444" s="7">
        <v>1.5688</v>
      </c>
      <c r="CH444" s="7">
        <v>1.5629</v>
      </c>
      <c r="CI444" s="7">
        <v>1.5572999999999999</v>
      </c>
      <c r="CJ444" s="7">
        <v>1.5509999999999999</v>
      </c>
      <c r="CK444" s="7">
        <v>1.5358000000000001</v>
      </c>
      <c r="CL444" s="7">
        <v>1.5208999999999999</v>
      </c>
      <c r="CM444" s="7">
        <v>1.5063</v>
      </c>
      <c r="CN444" s="7">
        <v>1.4921</v>
      </c>
      <c r="CO444" s="7">
        <v>1.4781</v>
      </c>
      <c r="CP444" s="7">
        <v>1.4642999999999999</v>
      </c>
      <c r="CQ444" s="7">
        <v>1.4509000000000001</v>
      </c>
      <c r="CR444" s="7">
        <v>1.4377</v>
      </c>
      <c r="CS444" s="7">
        <v>1.4247000000000001</v>
      </c>
      <c r="CT444" s="7">
        <v>1.4119999999999999</v>
      </c>
      <c r="CU444" s="7">
        <v>1.3995</v>
      </c>
      <c r="CV444" s="7">
        <v>1.3872</v>
      </c>
      <c r="CW444" s="7">
        <v>1.3751</v>
      </c>
      <c r="CX444" s="7">
        <v>1.3632</v>
      </c>
      <c r="CY444" s="7">
        <v>1.3514999999999999</v>
      </c>
      <c r="CZ444" s="7">
        <v>1.3401000000000001</v>
      </c>
      <c r="DA444" s="7">
        <v>1.3288</v>
      </c>
      <c r="DB444" s="7">
        <v>1.3177000000000001</v>
      </c>
      <c r="DC444" s="7">
        <v>1.3067</v>
      </c>
      <c r="DD444" s="7">
        <v>1.2959000000000001</v>
      </c>
      <c r="DE444" s="7">
        <v>1.2853000000000001</v>
      </c>
      <c r="DF444" s="7">
        <v>1.2747999999999999</v>
      </c>
      <c r="DG444" s="7">
        <v>1.2645</v>
      </c>
      <c r="DH444" s="7">
        <v>1.2543</v>
      </c>
      <c r="DI444" s="7">
        <v>1.2443</v>
      </c>
      <c r="DJ444" s="7">
        <v>1.2343999999999999</v>
      </c>
      <c r="DK444" s="7">
        <v>1.2245999999999999</v>
      </c>
      <c r="DL444" s="7">
        <v>1.2149000000000001</v>
      </c>
      <c r="DM444" s="7">
        <v>1.2053</v>
      </c>
      <c r="DN444" s="7">
        <v>1.1959</v>
      </c>
      <c r="DO444" s="7">
        <v>1.1865000000000001</v>
      </c>
      <c r="DP444" s="7">
        <v>1.1773</v>
      </c>
      <c r="DQ444" s="7">
        <v>1.1680999999999999</v>
      </c>
      <c r="DR444" s="7">
        <v>1.159</v>
      </c>
      <c r="DS444" s="7">
        <v>1.1499999999999999</v>
      </c>
      <c r="DT444" s="7">
        <v>1.141</v>
      </c>
      <c r="DU444" s="7">
        <v>1.1322000000000001</v>
      </c>
      <c r="DV444" s="7">
        <v>1.1233</v>
      </c>
      <c r="DW444" s="7">
        <v>1.1146</v>
      </c>
      <c r="DX444" s="7">
        <v>1.1057999999999999</v>
      </c>
      <c r="DY444" s="7">
        <v>1.0971</v>
      </c>
      <c r="DZ444" s="7">
        <v>1.0884</v>
      </c>
      <c r="EA444" s="7">
        <v>1.0798000000000001</v>
      </c>
      <c r="EB444" s="7">
        <v>1.0710999999999999</v>
      </c>
      <c r="EC444" s="7">
        <v>1.0625</v>
      </c>
      <c r="ED444" s="7">
        <v>1.0539000000000001</v>
      </c>
      <c r="EE444" s="7">
        <v>1.0451999999999999</v>
      </c>
      <c r="EF444" s="7">
        <v>1.0365</v>
      </c>
      <c r="EG444" s="7">
        <v>1.0278</v>
      </c>
      <c r="EH444" s="7">
        <v>1.0190999999999999</v>
      </c>
      <c r="EI444" s="7">
        <v>1.0102</v>
      </c>
      <c r="EJ444" s="7">
        <v>1.0014000000000001</v>
      </c>
      <c r="EK444" s="7">
        <v>1</v>
      </c>
      <c r="EL444" s="7">
        <v>1</v>
      </c>
      <c r="EM444" s="7">
        <v>1</v>
      </c>
      <c r="EN444" s="7">
        <v>1</v>
      </c>
      <c r="EO444" s="7">
        <v>1</v>
      </c>
      <c r="EP444" s="7">
        <v>1</v>
      </c>
      <c r="EQ444" s="7">
        <v>1</v>
      </c>
      <c r="ER444" s="7">
        <v>1</v>
      </c>
      <c r="ES444" s="7">
        <v>1</v>
      </c>
      <c r="ET444" s="7">
        <v>1</v>
      </c>
      <c r="EU444" s="7">
        <v>1</v>
      </c>
      <c r="EV444" s="7">
        <v>1</v>
      </c>
      <c r="EW444" s="7">
        <v>1</v>
      </c>
      <c r="EX444" s="7">
        <v>1</v>
      </c>
      <c r="EY444" s="7">
        <v>1</v>
      </c>
      <c r="EZ444" s="7">
        <v>1</v>
      </c>
      <c r="FA444" s="7">
        <v>1</v>
      </c>
      <c r="FB444" s="7">
        <v>1</v>
      </c>
      <c r="FC444" s="7">
        <v>1</v>
      </c>
      <c r="FE444" s="50">
        <f t="shared" ca="1" si="48"/>
        <v>1.1128421535637809</v>
      </c>
      <c r="FF444" s="50">
        <f t="shared" ca="1" si="49"/>
        <v>1.118354854213393</v>
      </c>
      <c r="FG444" s="50">
        <f t="shared" ca="1" si="50"/>
        <v>1.123974966442953</v>
      </c>
      <c r="FH444" s="50">
        <f t="shared" ca="1" si="51"/>
        <v>1.1299481208053692</v>
      </c>
      <c r="FK444" s="50">
        <f t="shared" ca="1" si="47"/>
        <v>1.118354854213393</v>
      </c>
      <c r="FL444" s="50"/>
      <c r="FM444" s="50"/>
      <c r="FN444" s="50"/>
    </row>
    <row r="445" spans="49:170" hidden="1">
      <c r="AW445" s="433">
        <v>0.49</v>
      </c>
      <c r="AX445" s="7">
        <v>2.0087999999999999</v>
      </c>
      <c r="AY445" s="7">
        <v>1.9851000000000001</v>
      </c>
      <c r="AZ445" s="7">
        <v>1.9624999999999999</v>
      </c>
      <c r="BA445" s="7">
        <v>1.9410000000000001</v>
      </c>
      <c r="BB445" s="7">
        <v>1.9205000000000001</v>
      </c>
      <c r="BC445" s="7">
        <v>1.9009</v>
      </c>
      <c r="BD445" s="7">
        <v>1.8822000000000001</v>
      </c>
      <c r="BE445" s="7">
        <v>1.8643000000000001</v>
      </c>
      <c r="BF445" s="7">
        <v>1.8472</v>
      </c>
      <c r="BG445" s="7">
        <v>1.8308</v>
      </c>
      <c r="BH445" s="7">
        <v>1.8150999999999999</v>
      </c>
      <c r="BI445" s="7">
        <v>1.8</v>
      </c>
      <c r="BJ445" s="7">
        <v>1.7856000000000001</v>
      </c>
      <c r="BK445" s="7">
        <v>1.7717000000000001</v>
      </c>
      <c r="BL445" s="7">
        <v>1.7584</v>
      </c>
      <c r="BM445" s="7">
        <v>1.7455000000000001</v>
      </c>
      <c r="BN445" s="7">
        <v>1.7332000000000001</v>
      </c>
      <c r="BO445" s="7">
        <v>1.7214</v>
      </c>
      <c r="BP445" s="7">
        <v>1.71</v>
      </c>
      <c r="BQ445" s="7">
        <v>1.6990000000000001</v>
      </c>
      <c r="BR445" s="7">
        <v>1.6883999999999999</v>
      </c>
      <c r="BS445" s="7">
        <v>1.6781999999999999</v>
      </c>
      <c r="BT445" s="7">
        <v>1.6684000000000001</v>
      </c>
      <c r="BU445" s="7">
        <v>1.659</v>
      </c>
      <c r="BV445" s="7">
        <v>1.6498999999999999</v>
      </c>
      <c r="BW445" s="7">
        <v>1.6411</v>
      </c>
      <c r="BX445" s="7">
        <v>1.6326000000000001</v>
      </c>
      <c r="BY445" s="7">
        <v>1.6244000000000001</v>
      </c>
      <c r="BZ445" s="7">
        <v>1.6166</v>
      </c>
      <c r="CA445" s="7">
        <v>1.609</v>
      </c>
      <c r="CB445" s="7">
        <v>1.6015999999999999</v>
      </c>
      <c r="CC445" s="7">
        <v>1.5946</v>
      </c>
      <c r="CD445" s="7">
        <v>1.5878000000000001</v>
      </c>
      <c r="CE445" s="7">
        <v>1.5811999999999999</v>
      </c>
      <c r="CF445" s="7">
        <v>1.5749</v>
      </c>
      <c r="CG445" s="7">
        <v>1.5688</v>
      </c>
      <c r="CH445" s="7">
        <v>1.5629</v>
      </c>
      <c r="CI445" s="7">
        <v>1.5572999999999999</v>
      </c>
      <c r="CJ445" s="7">
        <v>1.5518000000000001</v>
      </c>
      <c r="CK445" s="7">
        <v>1.5466</v>
      </c>
      <c r="CL445" s="7">
        <v>1.5319</v>
      </c>
      <c r="CM445" s="7">
        <v>1.5174000000000001</v>
      </c>
      <c r="CN445" s="7">
        <v>1.5031000000000001</v>
      </c>
      <c r="CO445" s="7">
        <v>1.4891000000000001</v>
      </c>
      <c r="CP445" s="7">
        <v>1.4753000000000001</v>
      </c>
      <c r="CQ445" s="7">
        <v>1.4619</v>
      </c>
      <c r="CR445" s="7">
        <v>1.4486000000000001</v>
      </c>
      <c r="CS445" s="7">
        <v>1.4357</v>
      </c>
      <c r="CT445" s="7">
        <v>1.4229000000000001</v>
      </c>
      <c r="CU445" s="7">
        <v>1.4104000000000001</v>
      </c>
      <c r="CV445" s="7">
        <v>1.3980999999999999</v>
      </c>
      <c r="CW445" s="7">
        <v>1.3859999999999999</v>
      </c>
      <c r="CX445" s="7">
        <v>1.3742000000000001</v>
      </c>
      <c r="CY445" s="7">
        <v>1.3625</v>
      </c>
      <c r="CZ445" s="7">
        <v>1.351</v>
      </c>
      <c r="DA445" s="7">
        <v>1.3396999999999999</v>
      </c>
      <c r="DB445" s="7">
        <v>1.3286</v>
      </c>
      <c r="DC445" s="7">
        <v>1.3177000000000001</v>
      </c>
      <c r="DD445" s="7">
        <v>1.3069</v>
      </c>
      <c r="DE445" s="7">
        <v>1.2963</v>
      </c>
      <c r="DF445" s="7">
        <v>1.2858000000000001</v>
      </c>
      <c r="DG445" s="7">
        <v>1.2755000000000001</v>
      </c>
      <c r="DH445" s="7">
        <v>1.2654000000000001</v>
      </c>
      <c r="DI445" s="7">
        <v>1.2553000000000001</v>
      </c>
      <c r="DJ445" s="7">
        <v>1.2454000000000001</v>
      </c>
      <c r="DK445" s="7">
        <v>1.2357</v>
      </c>
      <c r="DL445" s="7">
        <v>1.226</v>
      </c>
      <c r="DM445" s="7">
        <v>1.2164999999999999</v>
      </c>
      <c r="DN445" s="7">
        <v>1.2071000000000001</v>
      </c>
      <c r="DO445" s="7">
        <v>1.1977</v>
      </c>
      <c r="DP445" s="7">
        <v>1.1884999999999999</v>
      </c>
      <c r="DQ445" s="7">
        <v>1.1794</v>
      </c>
      <c r="DR445" s="7">
        <v>1.1702999999999999</v>
      </c>
      <c r="DS445" s="7">
        <v>1.1613</v>
      </c>
      <c r="DT445" s="7">
        <v>1.1524000000000001</v>
      </c>
      <c r="DU445" s="7">
        <v>1.1435999999999999</v>
      </c>
      <c r="DV445" s="7">
        <v>1.1348</v>
      </c>
      <c r="DW445" s="7">
        <v>1.1261000000000001</v>
      </c>
      <c r="DX445" s="7">
        <v>1.1173999999999999</v>
      </c>
      <c r="DY445" s="7">
        <v>1.1088</v>
      </c>
      <c r="DZ445" s="7">
        <v>1.1001000000000001</v>
      </c>
      <c r="EA445" s="7">
        <v>1.0914999999999999</v>
      </c>
      <c r="EB445" s="7">
        <v>1.083</v>
      </c>
      <c r="EC445" s="7">
        <v>1.0744</v>
      </c>
      <c r="ED445" s="7">
        <v>1.0658000000000001</v>
      </c>
      <c r="EE445" s="7">
        <v>1.0571999999999999</v>
      </c>
      <c r="EF445" s="7">
        <v>1.0487</v>
      </c>
      <c r="EG445" s="7">
        <v>1.04</v>
      </c>
      <c r="EH445" s="7">
        <v>1.0314000000000001</v>
      </c>
      <c r="EI445" s="7">
        <v>1.0226</v>
      </c>
      <c r="EJ445" s="7">
        <v>1.0139</v>
      </c>
      <c r="EK445" s="7">
        <v>1.0049999999999999</v>
      </c>
      <c r="EL445" s="7">
        <v>1</v>
      </c>
      <c r="EM445" s="7">
        <v>1</v>
      </c>
      <c r="EN445" s="7">
        <v>1</v>
      </c>
      <c r="EO445" s="7">
        <v>1</v>
      </c>
      <c r="EP445" s="7">
        <v>1</v>
      </c>
      <c r="EQ445" s="7">
        <v>1</v>
      </c>
      <c r="ER445" s="7">
        <v>1</v>
      </c>
      <c r="ES445" s="7">
        <v>1</v>
      </c>
      <c r="ET445" s="7">
        <v>1</v>
      </c>
      <c r="EU445" s="7">
        <v>1</v>
      </c>
      <c r="EV445" s="7">
        <v>1</v>
      </c>
      <c r="EW445" s="7">
        <v>1</v>
      </c>
      <c r="EX445" s="7">
        <v>1</v>
      </c>
      <c r="EY445" s="7">
        <v>1</v>
      </c>
      <c r="EZ445" s="7">
        <v>1</v>
      </c>
      <c r="FA445" s="7">
        <v>1</v>
      </c>
      <c r="FB445" s="7">
        <v>1</v>
      </c>
      <c r="FC445" s="7">
        <v>1</v>
      </c>
      <c r="FE445" s="50">
        <f t="shared" ca="1" si="48"/>
        <v>1.1243621290914654</v>
      </c>
      <c r="FF445" s="50">
        <f t="shared" ca="1" si="49"/>
        <v>1.1298548542133933</v>
      </c>
      <c r="FG445" s="50">
        <f t="shared" ca="1" si="50"/>
        <v>1.1354673825503356</v>
      </c>
      <c r="FH445" s="50">
        <f t="shared" ca="1" si="51"/>
        <v>1.1413734228187919</v>
      </c>
      <c r="FK445" s="50">
        <f t="shared" ca="1" si="47"/>
        <v>1.1298548542133933</v>
      </c>
      <c r="FL445" s="50"/>
      <c r="FM445" s="50"/>
      <c r="FN445" s="50"/>
    </row>
    <row r="446" spans="49:170" hidden="1">
      <c r="AW446" s="433">
        <v>0.52500000000000002</v>
      </c>
      <c r="AX446" s="7">
        <v>2.0087999999999999</v>
      </c>
      <c r="AY446" s="7">
        <v>1.9851000000000001</v>
      </c>
      <c r="AZ446" s="7">
        <v>1.9624999999999999</v>
      </c>
      <c r="BA446" s="7">
        <v>1.9410000000000001</v>
      </c>
      <c r="BB446" s="7">
        <v>1.9205000000000001</v>
      </c>
      <c r="BC446" s="7">
        <v>1.9009</v>
      </c>
      <c r="BD446" s="7">
        <v>1.8822000000000001</v>
      </c>
      <c r="BE446" s="7">
        <v>1.8643000000000001</v>
      </c>
      <c r="BF446" s="7">
        <v>1.8472</v>
      </c>
      <c r="BG446" s="7">
        <v>1.8308</v>
      </c>
      <c r="BH446" s="7">
        <v>1.8150999999999999</v>
      </c>
      <c r="BI446" s="7">
        <v>1.8</v>
      </c>
      <c r="BJ446" s="7">
        <v>1.7856000000000001</v>
      </c>
      <c r="BK446" s="7">
        <v>1.7717000000000001</v>
      </c>
      <c r="BL446" s="7">
        <v>1.7584</v>
      </c>
      <c r="BM446" s="7">
        <v>1.7455000000000001</v>
      </c>
      <c r="BN446" s="7">
        <v>1.7332000000000001</v>
      </c>
      <c r="BO446" s="7">
        <v>1.7214</v>
      </c>
      <c r="BP446" s="7">
        <v>1.71</v>
      </c>
      <c r="BQ446" s="7">
        <v>1.6990000000000001</v>
      </c>
      <c r="BR446" s="7">
        <v>1.6883999999999999</v>
      </c>
      <c r="BS446" s="7">
        <v>1.6781999999999999</v>
      </c>
      <c r="BT446" s="7">
        <v>1.6684000000000001</v>
      </c>
      <c r="BU446" s="7">
        <v>1.659</v>
      </c>
      <c r="BV446" s="7">
        <v>1.6498999999999999</v>
      </c>
      <c r="BW446" s="7">
        <v>1.6411</v>
      </c>
      <c r="BX446" s="7">
        <v>1.6326000000000001</v>
      </c>
      <c r="BY446" s="7">
        <v>1.6244000000000001</v>
      </c>
      <c r="BZ446" s="7">
        <v>1.6166</v>
      </c>
      <c r="CA446" s="7">
        <v>1.609</v>
      </c>
      <c r="CB446" s="7">
        <v>1.6015999999999999</v>
      </c>
      <c r="CC446" s="7">
        <v>1.5946</v>
      </c>
      <c r="CD446" s="7">
        <v>1.5878000000000001</v>
      </c>
      <c r="CE446" s="7">
        <v>1.5811999999999999</v>
      </c>
      <c r="CF446" s="7">
        <v>1.5749</v>
      </c>
      <c r="CG446" s="7">
        <v>1.5688</v>
      </c>
      <c r="CH446" s="7">
        <v>1.5629</v>
      </c>
      <c r="CI446" s="7">
        <v>1.5572999999999999</v>
      </c>
      <c r="CJ446" s="7">
        <v>1.5518000000000001</v>
      </c>
      <c r="CK446" s="7">
        <v>1.5466</v>
      </c>
      <c r="CL446" s="7">
        <v>1.5416000000000001</v>
      </c>
      <c r="CM446" s="7">
        <v>1.5282</v>
      </c>
      <c r="CN446" s="7">
        <v>1.5139</v>
      </c>
      <c r="CO446" s="7">
        <v>1.4999</v>
      </c>
      <c r="CP446" s="7">
        <v>1.4862</v>
      </c>
      <c r="CQ446" s="7">
        <v>1.4726999999999999</v>
      </c>
      <c r="CR446" s="7">
        <v>1.4595</v>
      </c>
      <c r="CS446" s="7">
        <v>1.4464999999999999</v>
      </c>
      <c r="CT446" s="7">
        <v>1.4337</v>
      </c>
      <c r="CU446" s="7">
        <v>1.4212</v>
      </c>
      <c r="CV446" s="7">
        <v>1.4089</v>
      </c>
      <c r="CW446" s="7">
        <v>1.3969</v>
      </c>
      <c r="CX446" s="7">
        <v>1.385</v>
      </c>
      <c r="CY446" s="7">
        <v>1.3733</v>
      </c>
      <c r="CZ446" s="7">
        <v>1.3619000000000001</v>
      </c>
      <c r="DA446" s="7">
        <v>1.3506</v>
      </c>
      <c r="DB446" s="7">
        <v>1.3394999999999999</v>
      </c>
      <c r="DC446" s="7">
        <v>1.3285</v>
      </c>
      <c r="DD446" s="7">
        <v>1.3178000000000001</v>
      </c>
      <c r="DE446" s="7">
        <v>1.3071999999999999</v>
      </c>
      <c r="DF446" s="7">
        <v>1.2967</v>
      </c>
      <c r="DG446" s="7">
        <v>1.2864</v>
      </c>
      <c r="DH446" s="7">
        <v>1.2763</v>
      </c>
      <c r="DI446" s="7">
        <v>1.2663</v>
      </c>
      <c r="DJ446" s="7">
        <v>1.2564</v>
      </c>
      <c r="DK446" s="7">
        <v>1.2465999999999999</v>
      </c>
      <c r="DL446" s="7">
        <v>1.2370000000000001</v>
      </c>
      <c r="DM446" s="7">
        <v>1.2275</v>
      </c>
      <c r="DN446" s="7">
        <v>1.2181</v>
      </c>
      <c r="DO446" s="7">
        <v>1.2088000000000001</v>
      </c>
      <c r="DP446" s="7">
        <v>1.1996</v>
      </c>
      <c r="DQ446" s="7">
        <v>1.1904999999999999</v>
      </c>
      <c r="DR446" s="7">
        <v>1.1815</v>
      </c>
      <c r="DS446" s="7">
        <v>1.1725000000000001</v>
      </c>
      <c r="DT446" s="7">
        <v>1.1637</v>
      </c>
      <c r="DU446" s="7">
        <v>1.1549</v>
      </c>
      <c r="DV446" s="7">
        <v>1.1460999999999999</v>
      </c>
      <c r="DW446" s="7">
        <v>1.1375</v>
      </c>
      <c r="DX446" s="7">
        <v>1.1288</v>
      </c>
      <c r="DY446" s="7">
        <v>1.1202000000000001</v>
      </c>
      <c r="DZ446" s="7">
        <v>1.1116999999999999</v>
      </c>
      <c r="EA446" s="7">
        <v>1.1032</v>
      </c>
      <c r="EB446" s="7">
        <v>1.0947</v>
      </c>
      <c r="EC446" s="7">
        <v>1.0862000000000001</v>
      </c>
      <c r="ED446" s="7">
        <v>1.0777000000000001</v>
      </c>
      <c r="EE446" s="7">
        <v>1.0691999999999999</v>
      </c>
      <c r="EF446" s="7">
        <v>1.0606</v>
      </c>
      <c r="EG446" s="7">
        <v>1.0521</v>
      </c>
      <c r="EH446" s="7">
        <v>1.0435000000000001</v>
      </c>
      <c r="EI446" s="7">
        <v>1.0348999999999999</v>
      </c>
      <c r="EJ446" s="7">
        <v>1.0262</v>
      </c>
      <c r="EK446" s="7">
        <v>1.0175000000000001</v>
      </c>
      <c r="EL446" s="7">
        <v>1.0086999999999999</v>
      </c>
      <c r="EM446" s="7">
        <v>1</v>
      </c>
      <c r="EN446" s="7">
        <v>1</v>
      </c>
      <c r="EO446" s="7">
        <v>1</v>
      </c>
      <c r="EP446" s="7">
        <v>1</v>
      </c>
      <c r="EQ446" s="7">
        <v>1</v>
      </c>
      <c r="ER446" s="7">
        <v>1</v>
      </c>
      <c r="ES446" s="7">
        <v>1</v>
      </c>
      <c r="ET446" s="7">
        <v>1</v>
      </c>
      <c r="EU446" s="7">
        <v>1</v>
      </c>
      <c r="EV446" s="7">
        <v>1</v>
      </c>
      <c r="EW446" s="7">
        <v>1</v>
      </c>
      <c r="EX446" s="7">
        <v>1</v>
      </c>
      <c r="EY446" s="7">
        <v>1</v>
      </c>
      <c r="EZ446" s="7">
        <v>1</v>
      </c>
      <c r="FA446" s="7">
        <v>1</v>
      </c>
      <c r="FB446" s="7">
        <v>1</v>
      </c>
      <c r="FC446" s="7">
        <v>1</v>
      </c>
      <c r="FE446" s="50">
        <f t="shared" ca="1" si="48"/>
        <v>1.1357621290914652</v>
      </c>
      <c r="FF446" s="50">
        <f t="shared" ca="1" si="49"/>
        <v>1.1412116949695608</v>
      </c>
      <c r="FG446" s="50">
        <f t="shared" ca="1" si="50"/>
        <v>1.1467673825503357</v>
      </c>
      <c r="FH446" s="50">
        <f t="shared" ca="1" si="51"/>
        <v>1.152673422818792</v>
      </c>
      <c r="FK446" s="50">
        <f t="shared" ca="1" si="47"/>
        <v>1.1412116949695608</v>
      </c>
      <c r="FL446" s="50"/>
      <c r="FM446" s="50"/>
      <c r="FN446" s="50"/>
    </row>
    <row r="447" spans="49:170" hidden="1">
      <c r="AW447" s="433">
        <v>0.56200000000000006</v>
      </c>
      <c r="AX447" s="7">
        <v>2.0087999999999999</v>
      </c>
      <c r="AY447" s="7">
        <v>1.9851000000000001</v>
      </c>
      <c r="AZ447" s="7">
        <v>1.9624999999999999</v>
      </c>
      <c r="BA447" s="7">
        <v>1.9410000000000001</v>
      </c>
      <c r="BB447" s="7">
        <v>1.9205000000000001</v>
      </c>
      <c r="BC447" s="7">
        <v>1.9009</v>
      </c>
      <c r="BD447" s="7">
        <v>1.8822000000000001</v>
      </c>
      <c r="BE447" s="7">
        <v>1.8643000000000001</v>
      </c>
      <c r="BF447" s="7">
        <v>1.8472</v>
      </c>
      <c r="BG447" s="7">
        <v>1.8308</v>
      </c>
      <c r="BH447" s="7">
        <v>1.8150999999999999</v>
      </c>
      <c r="BI447" s="7">
        <v>1.8</v>
      </c>
      <c r="BJ447" s="7">
        <v>1.7856000000000001</v>
      </c>
      <c r="BK447" s="7">
        <v>1.7717000000000001</v>
      </c>
      <c r="BL447" s="7">
        <v>1.7584</v>
      </c>
      <c r="BM447" s="7">
        <v>1.7455000000000001</v>
      </c>
      <c r="BN447" s="7">
        <v>1.7332000000000001</v>
      </c>
      <c r="BO447" s="7">
        <v>1.7214</v>
      </c>
      <c r="BP447" s="7">
        <v>1.71</v>
      </c>
      <c r="BQ447" s="7">
        <v>1.6990000000000001</v>
      </c>
      <c r="BR447" s="7">
        <v>1.6883999999999999</v>
      </c>
      <c r="BS447" s="7">
        <v>1.6781999999999999</v>
      </c>
      <c r="BT447" s="7">
        <v>1.6684000000000001</v>
      </c>
      <c r="BU447" s="7">
        <v>1.659</v>
      </c>
      <c r="BV447" s="7">
        <v>1.6498999999999999</v>
      </c>
      <c r="BW447" s="7">
        <v>1.6411</v>
      </c>
      <c r="BX447" s="7">
        <v>1.6326000000000001</v>
      </c>
      <c r="BY447" s="7">
        <v>1.6244000000000001</v>
      </c>
      <c r="BZ447" s="7">
        <v>1.6166</v>
      </c>
      <c r="CA447" s="7">
        <v>1.609</v>
      </c>
      <c r="CB447" s="7">
        <v>1.6015999999999999</v>
      </c>
      <c r="CC447" s="7">
        <v>1.5946</v>
      </c>
      <c r="CD447" s="7">
        <v>1.5878000000000001</v>
      </c>
      <c r="CE447" s="7">
        <v>1.5811999999999999</v>
      </c>
      <c r="CF447" s="7">
        <v>1.5749</v>
      </c>
      <c r="CG447" s="7">
        <v>1.5688</v>
      </c>
      <c r="CH447" s="7">
        <v>1.5629</v>
      </c>
      <c r="CI447" s="7">
        <v>1.5572999999999999</v>
      </c>
      <c r="CJ447" s="7">
        <v>1.5518000000000001</v>
      </c>
      <c r="CK447" s="7">
        <v>1.5466</v>
      </c>
      <c r="CL447" s="7">
        <v>1.5416000000000001</v>
      </c>
      <c r="CM447" s="7">
        <v>1.5367999999999999</v>
      </c>
      <c r="CN447" s="7">
        <v>1.5246999999999999</v>
      </c>
      <c r="CO447" s="7">
        <v>1.5106999999999999</v>
      </c>
      <c r="CP447" s="7">
        <v>1.4968999999999999</v>
      </c>
      <c r="CQ447" s="7">
        <v>1.4834000000000001</v>
      </c>
      <c r="CR447" s="7">
        <v>1.4702</v>
      </c>
      <c r="CS447" s="7">
        <v>1.4572000000000001</v>
      </c>
      <c r="CT447" s="7">
        <v>1.4443999999999999</v>
      </c>
      <c r="CU447" s="7">
        <v>1.4319</v>
      </c>
      <c r="CV447" s="7">
        <v>1.4196</v>
      </c>
      <c r="CW447" s="7">
        <v>1.4076</v>
      </c>
      <c r="CX447" s="7">
        <v>1.3956999999999999</v>
      </c>
      <c r="CY447" s="7">
        <v>1.3839999999999999</v>
      </c>
      <c r="CZ447" s="7">
        <v>1.3726</v>
      </c>
      <c r="DA447" s="7">
        <v>1.3613</v>
      </c>
      <c r="DB447" s="7">
        <v>1.3502000000000001</v>
      </c>
      <c r="DC447" s="7">
        <v>1.3391999999999999</v>
      </c>
      <c r="DD447" s="7">
        <v>1.3285</v>
      </c>
      <c r="DE447" s="7">
        <v>1.3179000000000001</v>
      </c>
      <c r="DF447" s="7">
        <v>1.3075000000000001</v>
      </c>
      <c r="DG447" s="7">
        <v>1.2971999999999999</v>
      </c>
      <c r="DH447" s="7">
        <v>1.2870999999999999</v>
      </c>
      <c r="DI447" s="7">
        <v>1.2770999999999999</v>
      </c>
      <c r="DJ447" s="7">
        <v>1.2672000000000001</v>
      </c>
      <c r="DK447" s="7">
        <v>1.2575000000000001</v>
      </c>
      <c r="DL447" s="7">
        <v>1.2479</v>
      </c>
      <c r="DM447" s="7">
        <v>1.2383999999999999</v>
      </c>
      <c r="DN447" s="7">
        <v>1.2290000000000001</v>
      </c>
      <c r="DO447" s="7">
        <v>1.2197</v>
      </c>
      <c r="DP447" s="7">
        <v>1.2105999999999999</v>
      </c>
      <c r="DQ447" s="7">
        <v>1.2015</v>
      </c>
      <c r="DR447" s="7">
        <v>1.1924999999999999</v>
      </c>
      <c r="DS447" s="7">
        <v>1.1836</v>
      </c>
      <c r="DT447" s="7">
        <v>1.1748000000000001</v>
      </c>
      <c r="DU447" s="7">
        <v>1.1659999999999999</v>
      </c>
      <c r="DV447" s="7">
        <v>1.1574</v>
      </c>
      <c r="DW447" s="7">
        <v>1.1487000000000001</v>
      </c>
      <c r="DX447" s="7">
        <v>1.1400999999999999</v>
      </c>
      <c r="DY447" s="7">
        <v>1.1315999999999999</v>
      </c>
      <c r="DZ447" s="7">
        <v>1.1231</v>
      </c>
      <c r="EA447" s="7">
        <v>1.1146</v>
      </c>
      <c r="EB447" s="7">
        <v>1.1062000000000001</v>
      </c>
      <c r="EC447" s="7">
        <v>1.0978000000000001</v>
      </c>
      <c r="ED447" s="7">
        <v>1.0893999999999999</v>
      </c>
      <c r="EE447" s="7">
        <v>1.0809</v>
      </c>
      <c r="EF447" s="7">
        <v>1.0725</v>
      </c>
      <c r="EG447" s="7">
        <v>1.0640000000000001</v>
      </c>
      <c r="EH447" s="7">
        <v>1.0556000000000001</v>
      </c>
      <c r="EI447" s="7">
        <v>1.0469999999999999</v>
      </c>
      <c r="EJ447" s="7">
        <v>1.0385</v>
      </c>
      <c r="EK447" s="7">
        <v>1.0298</v>
      </c>
      <c r="EL447" s="7">
        <v>1.0210999999999999</v>
      </c>
      <c r="EM447" s="7">
        <v>1.0124</v>
      </c>
      <c r="EN447" s="7">
        <v>1.0035000000000001</v>
      </c>
      <c r="EO447" s="7">
        <v>1</v>
      </c>
      <c r="EP447" s="7">
        <v>1</v>
      </c>
      <c r="EQ447" s="7">
        <v>1</v>
      </c>
      <c r="ER447" s="7">
        <v>1</v>
      </c>
      <c r="ES447" s="7">
        <v>1</v>
      </c>
      <c r="ET447" s="7">
        <v>1</v>
      </c>
      <c r="EU447" s="7">
        <v>1</v>
      </c>
      <c r="EV447" s="7">
        <v>1</v>
      </c>
      <c r="EW447" s="7">
        <v>1</v>
      </c>
      <c r="EX447" s="7">
        <v>1</v>
      </c>
      <c r="EY447" s="7">
        <v>1</v>
      </c>
      <c r="EZ447" s="7">
        <v>1</v>
      </c>
      <c r="FA447" s="7">
        <v>1</v>
      </c>
      <c r="FB447" s="7">
        <v>1</v>
      </c>
      <c r="FC447" s="7">
        <v>1</v>
      </c>
      <c r="FE447" s="50">
        <f t="shared" ca="1" si="48"/>
        <v>1.1469821046191497</v>
      </c>
      <c r="FF447" s="50">
        <f t="shared" ca="1" si="49"/>
        <v>1.152454854213393</v>
      </c>
      <c r="FG447" s="50">
        <f t="shared" ca="1" si="50"/>
        <v>1.1580522147651007</v>
      </c>
      <c r="FH447" s="50">
        <f t="shared" ca="1" si="51"/>
        <v>1.1638240268456377</v>
      </c>
      <c r="FK447" s="50">
        <f t="shared" ca="1" si="47"/>
        <v>1.152454854213393</v>
      </c>
      <c r="FL447" s="50"/>
      <c r="FM447" s="50"/>
      <c r="FN447" s="50"/>
    </row>
    <row r="448" spans="49:170" hidden="1">
      <c r="AW448" s="433">
        <v>0.60299999999999998</v>
      </c>
      <c r="AX448" s="7">
        <v>2.0087999999999999</v>
      </c>
      <c r="AY448" s="7">
        <v>1.9851000000000001</v>
      </c>
      <c r="AZ448" s="7">
        <v>1.9624999999999999</v>
      </c>
      <c r="BA448" s="7">
        <v>1.9410000000000001</v>
      </c>
      <c r="BB448" s="7">
        <v>1.9205000000000001</v>
      </c>
      <c r="BC448" s="7">
        <v>1.9009</v>
      </c>
      <c r="BD448" s="7">
        <v>1.8822000000000001</v>
      </c>
      <c r="BE448" s="7">
        <v>1.8643000000000001</v>
      </c>
      <c r="BF448" s="7">
        <v>1.8472</v>
      </c>
      <c r="BG448" s="7">
        <v>1.8308</v>
      </c>
      <c r="BH448" s="7">
        <v>1.8150999999999999</v>
      </c>
      <c r="BI448" s="7">
        <v>1.8</v>
      </c>
      <c r="BJ448" s="7">
        <v>1.7856000000000001</v>
      </c>
      <c r="BK448" s="7">
        <v>1.7717000000000001</v>
      </c>
      <c r="BL448" s="7">
        <v>1.7584</v>
      </c>
      <c r="BM448" s="7">
        <v>1.7455000000000001</v>
      </c>
      <c r="BN448" s="7">
        <v>1.7332000000000001</v>
      </c>
      <c r="BO448" s="7">
        <v>1.7214</v>
      </c>
      <c r="BP448" s="7">
        <v>1.71</v>
      </c>
      <c r="BQ448" s="7">
        <v>1.6990000000000001</v>
      </c>
      <c r="BR448" s="7">
        <v>1.6883999999999999</v>
      </c>
      <c r="BS448" s="7">
        <v>1.6781999999999999</v>
      </c>
      <c r="BT448" s="7">
        <v>1.6684000000000001</v>
      </c>
      <c r="BU448" s="7">
        <v>1.659</v>
      </c>
      <c r="BV448" s="7">
        <v>1.6498999999999999</v>
      </c>
      <c r="BW448" s="7">
        <v>1.6411</v>
      </c>
      <c r="BX448" s="7">
        <v>1.6326000000000001</v>
      </c>
      <c r="BY448" s="7">
        <v>1.6244000000000001</v>
      </c>
      <c r="BZ448" s="7">
        <v>1.6166</v>
      </c>
      <c r="CA448" s="7">
        <v>1.609</v>
      </c>
      <c r="CB448" s="7">
        <v>1.6015999999999999</v>
      </c>
      <c r="CC448" s="7">
        <v>1.5946</v>
      </c>
      <c r="CD448" s="7">
        <v>1.5878000000000001</v>
      </c>
      <c r="CE448" s="7">
        <v>1.5811999999999999</v>
      </c>
      <c r="CF448" s="7">
        <v>1.5749</v>
      </c>
      <c r="CG448" s="7">
        <v>1.5688</v>
      </c>
      <c r="CH448" s="7">
        <v>1.5629</v>
      </c>
      <c r="CI448" s="7">
        <v>1.5572999999999999</v>
      </c>
      <c r="CJ448" s="7">
        <v>1.5518000000000001</v>
      </c>
      <c r="CK448" s="7">
        <v>1.5466</v>
      </c>
      <c r="CL448" s="7">
        <v>1.5416000000000001</v>
      </c>
      <c r="CM448" s="7">
        <v>1.5367999999999999</v>
      </c>
      <c r="CN448" s="7">
        <v>1.5322</v>
      </c>
      <c r="CO448" s="7">
        <v>1.5213000000000001</v>
      </c>
      <c r="CP448" s="7">
        <v>1.5075000000000001</v>
      </c>
      <c r="CQ448" s="7">
        <v>1.494</v>
      </c>
      <c r="CR448" s="7">
        <v>1.4807999999999999</v>
      </c>
      <c r="CS448" s="7">
        <v>1.4678</v>
      </c>
      <c r="CT448" s="7">
        <v>1.4550000000000001</v>
      </c>
      <c r="CU448" s="7">
        <v>1.4424999999999999</v>
      </c>
      <c r="CV448" s="7">
        <v>1.4301999999999999</v>
      </c>
      <c r="CW448" s="7">
        <v>1.4180999999999999</v>
      </c>
      <c r="CX448" s="7">
        <v>1.4063000000000001</v>
      </c>
      <c r="CY448" s="7">
        <v>1.3946000000000001</v>
      </c>
      <c r="CZ448" s="7">
        <v>1.3831</v>
      </c>
      <c r="DA448" s="7">
        <v>1.3718999999999999</v>
      </c>
      <c r="DB448" s="7">
        <v>1.3608</v>
      </c>
      <c r="DC448" s="7">
        <v>1.3498000000000001</v>
      </c>
      <c r="DD448" s="7">
        <v>1.3391</v>
      </c>
      <c r="DE448" s="7">
        <v>1.3285</v>
      </c>
      <c r="DF448" s="7">
        <v>1.3181</v>
      </c>
      <c r="DG448" s="7">
        <v>1.3078000000000001</v>
      </c>
      <c r="DH448" s="7">
        <v>1.2977000000000001</v>
      </c>
      <c r="DI448" s="7">
        <v>1.2877000000000001</v>
      </c>
      <c r="DJ448" s="7">
        <v>1.2779</v>
      </c>
      <c r="DK448" s="7">
        <v>1.2682</v>
      </c>
      <c r="DL448" s="7">
        <v>1.2585999999999999</v>
      </c>
      <c r="DM448" s="7">
        <v>1.2491000000000001</v>
      </c>
      <c r="DN448" s="7">
        <v>1.2398</v>
      </c>
      <c r="DO448" s="7">
        <v>1.2305999999999999</v>
      </c>
      <c r="DP448" s="7">
        <v>1.2214</v>
      </c>
      <c r="DQ448" s="7">
        <v>1.2123999999999999</v>
      </c>
      <c r="DR448" s="7">
        <v>1.2034</v>
      </c>
      <c r="DS448" s="7">
        <v>1.1946000000000001</v>
      </c>
      <c r="DT448" s="7">
        <v>1.1858</v>
      </c>
      <c r="DU448" s="7">
        <v>1.1771</v>
      </c>
      <c r="DV448" s="7">
        <v>1.1684000000000001</v>
      </c>
      <c r="DW448" s="7">
        <v>1.1598999999999999</v>
      </c>
      <c r="DX448" s="7">
        <v>1.1513</v>
      </c>
      <c r="DY448" s="7">
        <v>1.1429</v>
      </c>
      <c r="DZ448" s="7">
        <v>1.1344000000000001</v>
      </c>
      <c r="EA448" s="7">
        <v>1.1259999999999999</v>
      </c>
      <c r="EB448" s="7">
        <v>1.1175999999999999</v>
      </c>
      <c r="EC448" s="7">
        <v>1.1093</v>
      </c>
      <c r="ED448" s="7">
        <v>1.1009</v>
      </c>
      <c r="EE448" s="7">
        <v>1.0926</v>
      </c>
      <c r="EF448" s="7">
        <v>1.0842000000000001</v>
      </c>
      <c r="EG448" s="7">
        <v>1.0758000000000001</v>
      </c>
      <c r="EH448" s="7">
        <v>1.0673999999999999</v>
      </c>
      <c r="EI448" s="7">
        <v>1.0589999999999999</v>
      </c>
      <c r="EJ448" s="7">
        <v>1.0505</v>
      </c>
      <c r="EK448" s="7">
        <v>1.042</v>
      </c>
      <c r="EL448" s="7">
        <v>1.0334000000000001</v>
      </c>
      <c r="EM448" s="7">
        <v>1.0247999999999999</v>
      </c>
      <c r="EN448" s="7">
        <v>1.016</v>
      </c>
      <c r="EO448" s="7">
        <v>1.0072000000000001</v>
      </c>
      <c r="EP448" s="7">
        <v>1</v>
      </c>
      <c r="EQ448" s="7">
        <v>1</v>
      </c>
      <c r="ER448" s="7">
        <v>1</v>
      </c>
      <c r="ES448" s="7">
        <v>1</v>
      </c>
      <c r="ET448" s="7">
        <v>1</v>
      </c>
      <c r="EU448" s="7">
        <v>1</v>
      </c>
      <c r="EV448" s="7">
        <v>1</v>
      </c>
      <c r="EW448" s="7">
        <v>1</v>
      </c>
      <c r="EX448" s="7">
        <v>1</v>
      </c>
      <c r="EY448" s="7">
        <v>1</v>
      </c>
      <c r="EZ448" s="7">
        <v>1</v>
      </c>
      <c r="FA448" s="7">
        <v>1</v>
      </c>
      <c r="FB448" s="7">
        <v>1</v>
      </c>
      <c r="FC448" s="7">
        <v>1</v>
      </c>
      <c r="FE448" s="50">
        <f t="shared" ca="1" si="48"/>
        <v>1.1581821046191494</v>
      </c>
      <c r="FF448" s="50">
        <f t="shared" ca="1" si="49"/>
        <v>1.1635685357257288</v>
      </c>
      <c r="FG448" s="50">
        <f t="shared" ca="1" si="50"/>
        <v>1.1690597986577185</v>
      </c>
      <c r="FH448" s="50">
        <f t="shared" ca="1" si="51"/>
        <v>1.1748987248322149</v>
      </c>
      <c r="FK448" s="50">
        <f t="shared" ca="1" si="47"/>
        <v>1.1635685357257288</v>
      </c>
      <c r="FL448" s="50"/>
      <c r="FM448" s="50"/>
      <c r="FN448" s="50"/>
    </row>
    <row r="449" spans="49:170" hidden="1">
      <c r="AW449" s="433">
        <v>0.64600000000000002</v>
      </c>
      <c r="AX449" s="7">
        <v>2.0087999999999999</v>
      </c>
      <c r="AY449" s="7">
        <v>1.9851000000000001</v>
      </c>
      <c r="AZ449" s="7">
        <v>1.9624999999999999</v>
      </c>
      <c r="BA449" s="7">
        <v>1.9410000000000001</v>
      </c>
      <c r="BB449" s="7">
        <v>1.9205000000000001</v>
      </c>
      <c r="BC449" s="7">
        <v>1.9009</v>
      </c>
      <c r="BD449" s="7">
        <v>1.8822000000000001</v>
      </c>
      <c r="BE449" s="7">
        <v>1.8643000000000001</v>
      </c>
      <c r="BF449" s="7">
        <v>1.8472</v>
      </c>
      <c r="BG449" s="7">
        <v>1.8308</v>
      </c>
      <c r="BH449" s="7">
        <v>1.8150999999999999</v>
      </c>
      <c r="BI449" s="7">
        <v>1.8</v>
      </c>
      <c r="BJ449" s="7">
        <v>1.7856000000000001</v>
      </c>
      <c r="BK449" s="7">
        <v>1.7717000000000001</v>
      </c>
      <c r="BL449" s="7">
        <v>1.7584</v>
      </c>
      <c r="BM449" s="7">
        <v>1.7455000000000001</v>
      </c>
      <c r="BN449" s="7">
        <v>1.7332000000000001</v>
      </c>
      <c r="BO449" s="7">
        <v>1.7214</v>
      </c>
      <c r="BP449" s="7">
        <v>1.71</v>
      </c>
      <c r="BQ449" s="7">
        <v>1.6990000000000001</v>
      </c>
      <c r="BR449" s="7">
        <v>1.6883999999999999</v>
      </c>
      <c r="BS449" s="7">
        <v>1.6781999999999999</v>
      </c>
      <c r="BT449" s="7">
        <v>1.6684000000000001</v>
      </c>
      <c r="BU449" s="7">
        <v>1.659</v>
      </c>
      <c r="BV449" s="7">
        <v>1.6498999999999999</v>
      </c>
      <c r="BW449" s="7">
        <v>1.6411</v>
      </c>
      <c r="BX449" s="7">
        <v>1.6326000000000001</v>
      </c>
      <c r="BY449" s="7">
        <v>1.6244000000000001</v>
      </c>
      <c r="BZ449" s="7">
        <v>1.6166</v>
      </c>
      <c r="CA449" s="7">
        <v>1.609</v>
      </c>
      <c r="CB449" s="7">
        <v>1.6015999999999999</v>
      </c>
      <c r="CC449" s="7">
        <v>1.5946</v>
      </c>
      <c r="CD449" s="7">
        <v>1.5878000000000001</v>
      </c>
      <c r="CE449" s="7">
        <v>1.5811999999999999</v>
      </c>
      <c r="CF449" s="7">
        <v>1.5749</v>
      </c>
      <c r="CG449" s="7">
        <v>1.5688</v>
      </c>
      <c r="CH449" s="7">
        <v>1.5629</v>
      </c>
      <c r="CI449" s="7">
        <v>1.5572999999999999</v>
      </c>
      <c r="CJ449" s="7">
        <v>1.5518000000000001</v>
      </c>
      <c r="CK449" s="7">
        <v>1.5466</v>
      </c>
      <c r="CL449" s="7">
        <v>1.5416000000000001</v>
      </c>
      <c r="CM449" s="7">
        <v>1.5367999999999999</v>
      </c>
      <c r="CN449" s="7">
        <v>1.5322</v>
      </c>
      <c r="CO449" s="7">
        <v>1.5277000000000001</v>
      </c>
      <c r="CP449" s="7">
        <v>1.518</v>
      </c>
      <c r="CQ449" s="7">
        <v>1.5044999999999999</v>
      </c>
      <c r="CR449" s="7">
        <v>1.4912000000000001</v>
      </c>
      <c r="CS449" s="7">
        <v>1.4782</v>
      </c>
      <c r="CT449" s="7">
        <v>1.4655</v>
      </c>
      <c r="CU449" s="7">
        <v>1.4530000000000001</v>
      </c>
      <c r="CV449" s="7">
        <v>1.4407000000000001</v>
      </c>
      <c r="CW449" s="7">
        <v>1.4286000000000001</v>
      </c>
      <c r="CX449" s="7">
        <v>1.4167000000000001</v>
      </c>
      <c r="CY449" s="7">
        <v>1.4051</v>
      </c>
      <c r="CZ449" s="7">
        <v>1.3935999999999999</v>
      </c>
      <c r="DA449" s="7">
        <v>1.3823000000000001</v>
      </c>
      <c r="DB449" s="7">
        <v>1.3712</v>
      </c>
      <c r="DC449" s="7">
        <v>1.3603000000000001</v>
      </c>
      <c r="DD449" s="7">
        <v>1.3495999999999999</v>
      </c>
      <c r="DE449" s="7">
        <v>1.339</v>
      </c>
      <c r="DF449" s="7">
        <v>1.3286</v>
      </c>
      <c r="DG449" s="7">
        <v>1.3184</v>
      </c>
      <c r="DH449" s="7">
        <v>1.3083</v>
      </c>
      <c r="DI449" s="7">
        <v>1.2983</v>
      </c>
      <c r="DJ449" s="7">
        <v>1.2885</v>
      </c>
      <c r="DK449" s="7">
        <v>1.2787999999999999</v>
      </c>
      <c r="DL449" s="7">
        <v>1.2692000000000001</v>
      </c>
      <c r="DM449" s="7">
        <v>1.2598</v>
      </c>
      <c r="DN449" s="7">
        <v>1.2504999999999999</v>
      </c>
      <c r="DO449" s="7">
        <v>1.2413000000000001</v>
      </c>
      <c r="DP449" s="7">
        <v>1.2321</v>
      </c>
      <c r="DQ449" s="7">
        <v>1.2231000000000001</v>
      </c>
      <c r="DR449" s="7">
        <v>1.2141999999999999</v>
      </c>
      <c r="DS449" s="7">
        <v>1.2054</v>
      </c>
      <c r="DT449" s="7">
        <v>1.1967000000000001</v>
      </c>
      <c r="DU449" s="7">
        <v>1.1879999999999999</v>
      </c>
      <c r="DV449" s="7">
        <v>1.1794</v>
      </c>
      <c r="DW449" s="7">
        <v>1.1709000000000001</v>
      </c>
      <c r="DX449" s="7">
        <v>1.1624000000000001</v>
      </c>
      <c r="DY449" s="7">
        <v>1.1539999999999999</v>
      </c>
      <c r="DZ449" s="7">
        <v>1.1456</v>
      </c>
      <c r="EA449" s="7">
        <v>1.1372</v>
      </c>
      <c r="EB449" s="7">
        <v>1.1289</v>
      </c>
      <c r="EC449" s="7">
        <v>1.1206</v>
      </c>
      <c r="ED449" s="7">
        <v>1.1123000000000001</v>
      </c>
      <c r="EE449" s="7">
        <v>1.1041000000000001</v>
      </c>
      <c r="EF449" s="7">
        <v>1.0958000000000001</v>
      </c>
      <c r="EG449" s="7">
        <v>1.0874999999999999</v>
      </c>
      <c r="EH449" s="7">
        <v>1.0791999999999999</v>
      </c>
      <c r="EI449" s="7">
        <v>1.0709</v>
      </c>
      <c r="EJ449" s="7">
        <v>1.0625</v>
      </c>
      <c r="EK449" s="7">
        <v>1.0541</v>
      </c>
      <c r="EL449" s="7">
        <v>1.0456000000000001</v>
      </c>
      <c r="EM449" s="7">
        <v>1.0369999999999999</v>
      </c>
      <c r="EN449" s="7">
        <v>1.0284</v>
      </c>
      <c r="EO449" s="7">
        <v>1.0197000000000001</v>
      </c>
      <c r="EP449" s="7">
        <v>1.0107999999999999</v>
      </c>
      <c r="EQ449" s="7">
        <v>1.0019</v>
      </c>
      <c r="ER449" s="7">
        <v>1</v>
      </c>
      <c r="ES449" s="7">
        <v>1</v>
      </c>
      <c r="ET449" s="7">
        <v>1</v>
      </c>
      <c r="EU449" s="7">
        <v>1</v>
      </c>
      <c r="EV449" s="7">
        <v>1</v>
      </c>
      <c r="EW449" s="7">
        <v>1</v>
      </c>
      <c r="EX449" s="7">
        <v>1</v>
      </c>
      <c r="EY449" s="7">
        <v>1</v>
      </c>
      <c r="EZ449" s="7">
        <v>1</v>
      </c>
      <c r="FA449" s="7">
        <v>1</v>
      </c>
      <c r="FB449" s="7">
        <v>1</v>
      </c>
      <c r="FC449" s="7">
        <v>1</v>
      </c>
      <c r="FE449" s="50">
        <f t="shared" ca="1" si="48"/>
        <v>1.1692020801468339</v>
      </c>
      <c r="FF449" s="50">
        <f t="shared" ca="1" si="49"/>
        <v>1.1745685357257289</v>
      </c>
      <c r="FG449" s="50">
        <f t="shared" ca="1" si="50"/>
        <v>1.1800522147651007</v>
      </c>
      <c r="FH449" s="50">
        <f t="shared" ca="1" si="51"/>
        <v>1.1858240268456377</v>
      </c>
      <c r="FK449" s="50">
        <f t="shared" ca="1" si="47"/>
        <v>1.1745685357257289</v>
      </c>
      <c r="FL449" s="50"/>
      <c r="FM449" s="50"/>
      <c r="FN449" s="50"/>
    </row>
    <row r="450" spans="49:170" hidden="1">
      <c r="AW450" s="433">
        <v>0.69199999999999995</v>
      </c>
      <c r="AX450" s="7">
        <v>2.0087999999999999</v>
      </c>
      <c r="AY450" s="7">
        <v>1.9851000000000001</v>
      </c>
      <c r="AZ450" s="7">
        <v>1.9624999999999999</v>
      </c>
      <c r="BA450" s="7">
        <v>1.9410000000000001</v>
      </c>
      <c r="BB450" s="7">
        <v>1.9205000000000001</v>
      </c>
      <c r="BC450" s="7">
        <v>1.9009</v>
      </c>
      <c r="BD450" s="7">
        <v>1.8822000000000001</v>
      </c>
      <c r="BE450" s="7">
        <v>1.8643000000000001</v>
      </c>
      <c r="BF450" s="7">
        <v>1.8472</v>
      </c>
      <c r="BG450" s="7">
        <v>1.8308</v>
      </c>
      <c r="BH450" s="7">
        <v>1.8150999999999999</v>
      </c>
      <c r="BI450" s="7">
        <v>1.8</v>
      </c>
      <c r="BJ450" s="7">
        <v>1.7856000000000001</v>
      </c>
      <c r="BK450" s="7">
        <v>1.7717000000000001</v>
      </c>
      <c r="BL450" s="7">
        <v>1.7584</v>
      </c>
      <c r="BM450" s="7">
        <v>1.7455000000000001</v>
      </c>
      <c r="BN450" s="7">
        <v>1.7332000000000001</v>
      </c>
      <c r="BO450" s="7">
        <v>1.7214</v>
      </c>
      <c r="BP450" s="7">
        <v>1.71</v>
      </c>
      <c r="BQ450" s="7">
        <v>1.6990000000000001</v>
      </c>
      <c r="BR450" s="7">
        <v>1.6883999999999999</v>
      </c>
      <c r="BS450" s="7">
        <v>1.6781999999999999</v>
      </c>
      <c r="BT450" s="7">
        <v>1.6684000000000001</v>
      </c>
      <c r="BU450" s="7">
        <v>1.659</v>
      </c>
      <c r="BV450" s="7">
        <v>1.6498999999999999</v>
      </c>
      <c r="BW450" s="7">
        <v>1.6411</v>
      </c>
      <c r="BX450" s="7">
        <v>1.6326000000000001</v>
      </c>
      <c r="BY450" s="7">
        <v>1.6244000000000001</v>
      </c>
      <c r="BZ450" s="7">
        <v>1.6166</v>
      </c>
      <c r="CA450" s="7">
        <v>1.609</v>
      </c>
      <c r="CB450" s="7">
        <v>1.6015999999999999</v>
      </c>
      <c r="CC450" s="7">
        <v>1.5946</v>
      </c>
      <c r="CD450" s="7">
        <v>1.5878000000000001</v>
      </c>
      <c r="CE450" s="7">
        <v>1.5811999999999999</v>
      </c>
      <c r="CF450" s="7">
        <v>1.5749</v>
      </c>
      <c r="CG450" s="7">
        <v>1.5688</v>
      </c>
      <c r="CH450" s="7">
        <v>1.5629</v>
      </c>
      <c r="CI450" s="7">
        <v>1.5572999999999999</v>
      </c>
      <c r="CJ450" s="7">
        <v>1.5518000000000001</v>
      </c>
      <c r="CK450" s="7">
        <v>1.5466</v>
      </c>
      <c r="CL450" s="7">
        <v>1.5416000000000001</v>
      </c>
      <c r="CM450" s="7">
        <v>1.5367999999999999</v>
      </c>
      <c r="CN450" s="7">
        <v>1.5322</v>
      </c>
      <c r="CO450" s="7">
        <v>1.5277000000000001</v>
      </c>
      <c r="CP450" s="7">
        <v>1.5235000000000001</v>
      </c>
      <c r="CQ450" s="7">
        <v>1.5147999999999999</v>
      </c>
      <c r="CR450" s="7">
        <v>1.5016</v>
      </c>
      <c r="CS450" s="7">
        <v>1.4885999999999999</v>
      </c>
      <c r="CT450" s="7">
        <v>1.4758</v>
      </c>
      <c r="CU450" s="7">
        <v>1.4633</v>
      </c>
      <c r="CV450" s="7">
        <v>1.4510000000000001</v>
      </c>
      <c r="CW450" s="7">
        <v>1.4389000000000001</v>
      </c>
      <c r="CX450" s="7">
        <v>1.4271</v>
      </c>
      <c r="CY450" s="7">
        <v>1.4154</v>
      </c>
      <c r="CZ450" s="7">
        <v>1.4038999999999999</v>
      </c>
      <c r="DA450" s="7">
        <v>1.3927</v>
      </c>
      <c r="DB450" s="7">
        <v>1.3815999999999999</v>
      </c>
      <c r="DC450" s="7">
        <v>1.3707</v>
      </c>
      <c r="DD450" s="7">
        <v>1.36</v>
      </c>
      <c r="DE450" s="7">
        <v>1.3493999999999999</v>
      </c>
      <c r="DF450" s="7">
        <v>1.339</v>
      </c>
      <c r="DG450" s="7">
        <v>1.3288</v>
      </c>
      <c r="DH450" s="7">
        <v>1.3187</v>
      </c>
      <c r="DI450" s="7">
        <v>1.3087</v>
      </c>
      <c r="DJ450" s="7">
        <v>1.2988999999999999</v>
      </c>
      <c r="DK450" s="7">
        <v>1.2892999999999999</v>
      </c>
      <c r="DL450" s="7">
        <v>1.2797000000000001</v>
      </c>
      <c r="DM450" s="7">
        <v>1.2703</v>
      </c>
      <c r="DN450" s="7">
        <v>1.2609999999999999</v>
      </c>
      <c r="DO450" s="7">
        <v>1.2518</v>
      </c>
      <c r="DP450" s="7">
        <v>1.2426999999999999</v>
      </c>
      <c r="DQ450" s="7">
        <v>1.2338</v>
      </c>
      <c r="DR450" s="7">
        <v>1.2249000000000001</v>
      </c>
      <c r="DS450" s="7">
        <v>1.2161</v>
      </c>
      <c r="DT450" s="7">
        <v>1.2074</v>
      </c>
      <c r="DU450" s="7">
        <v>1.1988000000000001</v>
      </c>
      <c r="DV450" s="7">
        <v>1.1901999999999999</v>
      </c>
      <c r="DW450" s="7">
        <v>1.1817</v>
      </c>
      <c r="DX450" s="7">
        <v>1.1733</v>
      </c>
      <c r="DY450" s="7">
        <v>1.1649</v>
      </c>
      <c r="DZ450" s="7">
        <v>1.1566000000000001</v>
      </c>
      <c r="EA450" s="7">
        <v>1.1483000000000001</v>
      </c>
      <c r="EB450" s="7">
        <v>1.1400999999999999</v>
      </c>
      <c r="EC450" s="7">
        <v>1.1317999999999999</v>
      </c>
      <c r="ED450" s="7">
        <v>1.1235999999999999</v>
      </c>
      <c r="EE450" s="7">
        <v>1.1153999999999999</v>
      </c>
      <c r="EF450" s="7">
        <v>1.1072</v>
      </c>
      <c r="EG450" s="7">
        <v>1.099</v>
      </c>
      <c r="EH450" s="7">
        <v>1.0908</v>
      </c>
      <c r="EI450" s="7">
        <v>1.0826</v>
      </c>
      <c r="EJ450" s="7">
        <v>1.0743</v>
      </c>
      <c r="EK450" s="7">
        <v>1.0660000000000001</v>
      </c>
      <c r="EL450" s="7">
        <v>1.0576000000000001</v>
      </c>
      <c r="EM450" s="7">
        <v>1.0490999999999999</v>
      </c>
      <c r="EN450" s="7">
        <v>1.0406</v>
      </c>
      <c r="EO450" s="7">
        <v>1.032</v>
      </c>
      <c r="EP450" s="7">
        <v>1.0233000000000001</v>
      </c>
      <c r="EQ450" s="7">
        <v>1.0145</v>
      </c>
      <c r="ER450" s="7">
        <v>1.0056</v>
      </c>
      <c r="ES450" s="7">
        <v>1</v>
      </c>
      <c r="ET450" s="7">
        <v>1</v>
      </c>
      <c r="EU450" s="7">
        <v>1</v>
      </c>
      <c r="EV450" s="7">
        <v>1</v>
      </c>
      <c r="EW450" s="7">
        <v>1</v>
      </c>
      <c r="EX450" s="7">
        <v>1</v>
      </c>
      <c r="EY450" s="7">
        <v>1</v>
      </c>
      <c r="EZ450" s="7">
        <v>1</v>
      </c>
      <c r="FA450" s="7">
        <v>1</v>
      </c>
      <c r="FB450" s="7">
        <v>1</v>
      </c>
      <c r="FC450" s="7">
        <v>1</v>
      </c>
      <c r="FE450" s="50">
        <f t="shared" ca="1" si="48"/>
        <v>1.1800220556745182</v>
      </c>
      <c r="FF450" s="50">
        <f t="shared" ca="1" si="49"/>
        <v>1.1853685357257291</v>
      </c>
      <c r="FG450" s="50">
        <f t="shared" ca="1" si="50"/>
        <v>1.1908522147651008</v>
      </c>
      <c r="FH450" s="50">
        <f t="shared" ca="1" si="51"/>
        <v>1.1966240268456378</v>
      </c>
      <c r="FK450" s="50">
        <f t="shared" ca="1" si="47"/>
        <v>1.1853685357257291</v>
      </c>
      <c r="FL450" s="50"/>
      <c r="FM450" s="50"/>
      <c r="FN450" s="50"/>
    </row>
    <row r="451" spans="49:170" hidden="1">
      <c r="AW451" s="433">
        <v>0.74099999999999999</v>
      </c>
      <c r="AX451" s="7">
        <v>2.0087999999999999</v>
      </c>
      <c r="AY451" s="7">
        <v>1.9851000000000001</v>
      </c>
      <c r="AZ451" s="7">
        <v>1.9624999999999999</v>
      </c>
      <c r="BA451" s="7">
        <v>1.9410000000000001</v>
      </c>
      <c r="BB451" s="7">
        <v>1.9205000000000001</v>
      </c>
      <c r="BC451" s="7">
        <v>1.9009</v>
      </c>
      <c r="BD451" s="7">
        <v>1.8822000000000001</v>
      </c>
      <c r="BE451" s="7">
        <v>1.8643000000000001</v>
      </c>
      <c r="BF451" s="7">
        <v>1.8472</v>
      </c>
      <c r="BG451" s="7">
        <v>1.8308</v>
      </c>
      <c r="BH451" s="7">
        <v>1.8150999999999999</v>
      </c>
      <c r="BI451" s="7">
        <v>1.8</v>
      </c>
      <c r="BJ451" s="7">
        <v>1.7856000000000001</v>
      </c>
      <c r="BK451" s="7">
        <v>1.7717000000000001</v>
      </c>
      <c r="BL451" s="7">
        <v>1.7584</v>
      </c>
      <c r="BM451" s="7">
        <v>1.7455000000000001</v>
      </c>
      <c r="BN451" s="7">
        <v>1.7332000000000001</v>
      </c>
      <c r="BO451" s="7">
        <v>1.7214</v>
      </c>
      <c r="BP451" s="7">
        <v>1.71</v>
      </c>
      <c r="BQ451" s="7">
        <v>1.6990000000000001</v>
      </c>
      <c r="BR451" s="7">
        <v>1.6883999999999999</v>
      </c>
      <c r="BS451" s="7">
        <v>1.6781999999999999</v>
      </c>
      <c r="BT451" s="7">
        <v>1.6684000000000001</v>
      </c>
      <c r="BU451" s="7">
        <v>1.659</v>
      </c>
      <c r="BV451" s="7">
        <v>1.6498999999999999</v>
      </c>
      <c r="BW451" s="7">
        <v>1.6411</v>
      </c>
      <c r="BX451" s="7">
        <v>1.6326000000000001</v>
      </c>
      <c r="BY451" s="7">
        <v>1.6244000000000001</v>
      </c>
      <c r="BZ451" s="7">
        <v>1.6166</v>
      </c>
      <c r="CA451" s="7">
        <v>1.609</v>
      </c>
      <c r="CB451" s="7">
        <v>1.6015999999999999</v>
      </c>
      <c r="CC451" s="7">
        <v>1.5946</v>
      </c>
      <c r="CD451" s="7">
        <v>1.5878000000000001</v>
      </c>
      <c r="CE451" s="7">
        <v>1.5811999999999999</v>
      </c>
      <c r="CF451" s="7">
        <v>1.5749</v>
      </c>
      <c r="CG451" s="7">
        <v>1.5688</v>
      </c>
      <c r="CH451" s="7">
        <v>1.5629</v>
      </c>
      <c r="CI451" s="7">
        <v>1.5572999999999999</v>
      </c>
      <c r="CJ451" s="7">
        <v>1.5518000000000001</v>
      </c>
      <c r="CK451" s="7">
        <v>1.5466</v>
      </c>
      <c r="CL451" s="7">
        <v>1.5416000000000001</v>
      </c>
      <c r="CM451" s="7">
        <v>1.5367999999999999</v>
      </c>
      <c r="CN451" s="7">
        <v>1.5322</v>
      </c>
      <c r="CO451" s="7">
        <v>1.5277000000000001</v>
      </c>
      <c r="CP451" s="7">
        <v>1.5235000000000001</v>
      </c>
      <c r="CQ451" s="7">
        <v>1.5194000000000001</v>
      </c>
      <c r="CR451" s="7">
        <v>1.5118</v>
      </c>
      <c r="CS451" s="7">
        <v>1.4987999999999999</v>
      </c>
      <c r="CT451" s="7">
        <v>1.486</v>
      </c>
      <c r="CU451" s="7">
        <v>1.4735</v>
      </c>
      <c r="CV451" s="7">
        <v>1.4612000000000001</v>
      </c>
      <c r="CW451" s="7">
        <v>1.4491000000000001</v>
      </c>
      <c r="CX451" s="7">
        <v>1.4373</v>
      </c>
      <c r="CY451" s="7">
        <v>1.4256</v>
      </c>
      <c r="CZ451" s="7">
        <v>1.4141999999999999</v>
      </c>
      <c r="DA451" s="7">
        <v>1.4029</v>
      </c>
      <c r="DB451" s="7">
        <v>1.3917999999999999</v>
      </c>
      <c r="DC451" s="7">
        <v>1.3809</v>
      </c>
      <c r="DD451" s="7">
        <v>1.3702000000000001</v>
      </c>
      <c r="DE451" s="7">
        <v>1.3596999999999999</v>
      </c>
      <c r="DF451" s="7">
        <v>1.3492999999999999</v>
      </c>
      <c r="DG451" s="7">
        <v>1.339</v>
      </c>
      <c r="DH451" s="7">
        <v>1.329</v>
      </c>
      <c r="DI451" s="7">
        <v>1.319</v>
      </c>
      <c r="DJ451" s="7">
        <v>1.3092999999999999</v>
      </c>
      <c r="DK451" s="7">
        <v>1.2996000000000001</v>
      </c>
      <c r="DL451" s="7">
        <v>1.2901</v>
      </c>
      <c r="DM451" s="7">
        <v>1.2806999999999999</v>
      </c>
      <c r="DN451" s="7">
        <v>1.2714000000000001</v>
      </c>
      <c r="DO451" s="7">
        <v>1.2623</v>
      </c>
      <c r="DP451" s="7">
        <v>1.2532000000000001</v>
      </c>
      <c r="DQ451" s="7">
        <v>1.2443</v>
      </c>
      <c r="DR451" s="7">
        <v>1.2354000000000001</v>
      </c>
      <c r="DS451" s="7">
        <v>1.2266999999999999</v>
      </c>
      <c r="DT451" s="7">
        <v>1.218</v>
      </c>
      <c r="DU451" s="7">
        <v>1.2094</v>
      </c>
      <c r="DV451" s="7">
        <v>1.2009000000000001</v>
      </c>
      <c r="DW451" s="7">
        <v>1.1924999999999999</v>
      </c>
      <c r="DX451" s="7">
        <v>1.1840999999999999</v>
      </c>
      <c r="DY451" s="7">
        <v>1.1758</v>
      </c>
      <c r="DZ451" s="7">
        <v>1.1675</v>
      </c>
      <c r="EA451" s="7">
        <v>1.1593</v>
      </c>
      <c r="EB451" s="7">
        <v>1.1511</v>
      </c>
      <c r="EC451" s="7">
        <v>1.1429</v>
      </c>
      <c r="ED451" s="7">
        <v>1.1348</v>
      </c>
      <c r="EE451" s="7">
        <v>1.1267</v>
      </c>
      <c r="EF451" s="7">
        <v>1.1185</v>
      </c>
      <c r="EG451" s="7">
        <v>1.1104000000000001</v>
      </c>
      <c r="EH451" s="7">
        <v>1.1023000000000001</v>
      </c>
      <c r="EI451" s="7">
        <v>1.0941000000000001</v>
      </c>
      <c r="EJ451" s="7">
        <v>1.0860000000000001</v>
      </c>
      <c r="EK451" s="7">
        <v>1.0777000000000001</v>
      </c>
      <c r="EL451" s="7">
        <v>1.0694999999999999</v>
      </c>
      <c r="EM451" s="7">
        <v>1.0610999999999999</v>
      </c>
      <c r="EN451" s="7">
        <v>1.0527</v>
      </c>
      <c r="EO451" s="7">
        <v>1.0443</v>
      </c>
      <c r="EP451" s="7">
        <v>1.0357000000000001</v>
      </c>
      <c r="EQ451" s="7">
        <v>1.0269999999999999</v>
      </c>
      <c r="ER451" s="7">
        <v>1.0182</v>
      </c>
      <c r="ES451" s="7">
        <v>1.0093000000000001</v>
      </c>
      <c r="ET451" s="7">
        <v>1.0002</v>
      </c>
      <c r="EU451" s="7">
        <v>1</v>
      </c>
      <c r="EV451" s="7">
        <v>1</v>
      </c>
      <c r="EW451" s="7">
        <v>1</v>
      </c>
      <c r="EX451" s="7">
        <v>1</v>
      </c>
      <c r="EY451" s="7">
        <v>1</v>
      </c>
      <c r="EZ451" s="7">
        <v>1</v>
      </c>
      <c r="FA451" s="7">
        <v>1</v>
      </c>
      <c r="FB451" s="7">
        <v>1</v>
      </c>
      <c r="FC451" s="7">
        <v>1</v>
      </c>
      <c r="FE451" s="50">
        <f t="shared" ca="1" si="48"/>
        <v>1.1908220556745182</v>
      </c>
      <c r="FF451" s="50">
        <f t="shared" ca="1" si="49"/>
        <v>1.1961253764818967</v>
      </c>
      <c r="FG451" s="50">
        <f t="shared" ca="1" si="50"/>
        <v>1.2015446308724835</v>
      </c>
      <c r="FH451" s="50">
        <f t="shared" ca="1" si="51"/>
        <v>1.2072493288590607</v>
      </c>
      <c r="FK451" s="50">
        <f t="shared" ca="1" si="47"/>
        <v>1.1961253764818967</v>
      </c>
      <c r="FL451" s="50"/>
      <c r="FM451" s="50"/>
      <c r="FN451" s="50"/>
    </row>
    <row r="452" spans="49:170" hidden="1">
      <c r="AW452" s="433">
        <v>0.79400000000000004</v>
      </c>
      <c r="AX452" s="7">
        <v>2.0087999999999999</v>
      </c>
      <c r="AY452" s="7">
        <v>1.9851000000000001</v>
      </c>
      <c r="AZ452" s="7">
        <v>1.9624999999999999</v>
      </c>
      <c r="BA452" s="7">
        <v>1.9410000000000001</v>
      </c>
      <c r="BB452" s="7">
        <v>1.9205000000000001</v>
      </c>
      <c r="BC452" s="7">
        <v>1.9009</v>
      </c>
      <c r="BD452" s="7">
        <v>1.8822000000000001</v>
      </c>
      <c r="BE452" s="7">
        <v>1.8643000000000001</v>
      </c>
      <c r="BF452" s="7">
        <v>1.8472</v>
      </c>
      <c r="BG452" s="7">
        <v>1.8308</v>
      </c>
      <c r="BH452" s="7">
        <v>1.8150999999999999</v>
      </c>
      <c r="BI452" s="7">
        <v>1.8</v>
      </c>
      <c r="BJ452" s="7">
        <v>1.7856000000000001</v>
      </c>
      <c r="BK452" s="7">
        <v>1.7717000000000001</v>
      </c>
      <c r="BL452" s="7">
        <v>1.7584</v>
      </c>
      <c r="BM452" s="7">
        <v>1.7455000000000001</v>
      </c>
      <c r="BN452" s="7">
        <v>1.7332000000000001</v>
      </c>
      <c r="BO452" s="7">
        <v>1.7214</v>
      </c>
      <c r="BP452" s="7">
        <v>1.71</v>
      </c>
      <c r="BQ452" s="7">
        <v>1.6990000000000001</v>
      </c>
      <c r="BR452" s="7">
        <v>1.6883999999999999</v>
      </c>
      <c r="BS452" s="7">
        <v>1.6781999999999999</v>
      </c>
      <c r="BT452" s="7">
        <v>1.6684000000000001</v>
      </c>
      <c r="BU452" s="7">
        <v>1.659</v>
      </c>
      <c r="BV452" s="7">
        <v>1.6498999999999999</v>
      </c>
      <c r="BW452" s="7">
        <v>1.6411</v>
      </c>
      <c r="BX452" s="7">
        <v>1.6326000000000001</v>
      </c>
      <c r="BY452" s="7">
        <v>1.6244000000000001</v>
      </c>
      <c r="BZ452" s="7">
        <v>1.6166</v>
      </c>
      <c r="CA452" s="7">
        <v>1.609</v>
      </c>
      <c r="CB452" s="7">
        <v>1.6015999999999999</v>
      </c>
      <c r="CC452" s="7">
        <v>1.5946</v>
      </c>
      <c r="CD452" s="7">
        <v>1.5878000000000001</v>
      </c>
      <c r="CE452" s="7">
        <v>1.5811999999999999</v>
      </c>
      <c r="CF452" s="7">
        <v>1.5749</v>
      </c>
      <c r="CG452" s="7">
        <v>1.5688</v>
      </c>
      <c r="CH452" s="7">
        <v>1.5629</v>
      </c>
      <c r="CI452" s="7">
        <v>1.5572999999999999</v>
      </c>
      <c r="CJ452" s="7">
        <v>1.5518000000000001</v>
      </c>
      <c r="CK452" s="7">
        <v>1.5466</v>
      </c>
      <c r="CL452" s="7">
        <v>1.5416000000000001</v>
      </c>
      <c r="CM452" s="7">
        <v>1.5367999999999999</v>
      </c>
      <c r="CN452" s="7">
        <v>1.5322</v>
      </c>
      <c r="CO452" s="7">
        <v>1.5277000000000001</v>
      </c>
      <c r="CP452" s="7">
        <v>1.5235000000000001</v>
      </c>
      <c r="CQ452" s="7">
        <v>1.5194000000000001</v>
      </c>
      <c r="CR452" s="7">
        <v>1.5156000000000001</v>
      </c>
      <c r="CS452" s="7">
        <v>1.5088999999999999</v>
      </c>
      <c r="CT452" s="7">
        <v>1.4962</v>
      </c>
      <c r="CU452" s="7">
        <v>1.4836</v>
      </c>
      <c r="CV452" s="7">
        <v>1.4713000000000001</v>
      </c>
      <c r="CW452" s="7">
        <v>1.4592000000000001</v>
      </c>
      <c r="CX452" s="7">
        <v>1.4474</v>
      </c>
      <c r="CY452" s="7">
        <v>1.4357</v>
      </c>
      <c r="CZ452" s="7">
        <v>1.4242999999999999</v>
      </c>
      <c r="DA452" s="7">
        <v>1.413</v>
      </c>
      <c r="DB452" s="7">
        <v>1.4018999999999999</v>
      </c>
      <c r="DC452" s="7">
        <v>1.391</v>
      </c>
      <c r="DD452" s="7">
        <v>1.3803000000000001</v>
      </c>
      <c r="DE452" s="7">
        <v>1.3697999999999999</v>
      </c>
      <c r="DF452" s="7">
        <v>1.3593999999999999</v>
      </c>
      <c r="DG452" s="7">
        <v>1.3492</v>
      </c>
      <c r="DH452" s="7">
        <v>1.3391</v>
      </c>
      <c r="DI452" s="7">
        <v>1.3291999999999999</v>
      </c>
      <c r="DJ452" s="7">
        <v>1.3194999999999999</v>
      </c>
      <c r="DK452" s="7">
        <v>1.3098000000000001</v>
      </c>
      <c r="DL452" s="7">
        <v>1.3003</v>
      </c>
      <c r="DM452" s="7">
        <v>1.2909999999999999</v>
      </c>
      <c r="DN452" s="7">
        <v>1.2817000000000001</v>
      </c>
      <c r="DO452" s="7">
        <v>1.2726</v>
      </c>
      <c r="DP452" s="7">
        <v>1.2636000000000001</v>
      </c>
      <c r="DQ452" s="7">
        <v>1.2546999999999999</v>
      </c>
      <c r="DR452" s="7">
        <v>1.2459</v>
      </c>
      <c r="DS452" s="7">
        <v>1.2371000000000001</v>
      </c>
      <c r="DT452" s="7">
        <v>1.2284999999999999</v>
      </c>
      <c r="DU452" s="7">
        <v>1.22</v>
      </c>
      <c r="DV452" s="7">
        <v>1.2115</v>
      </c>
      <c r="DW452" s="7">
        <v>1.2031000000000001</v>
      </c>
      <c r="DX452" s="7">
        <v>1.1948000000000001</v>
      </c>
      <c r="DY452" s="7">
        <v>1.1865000000000001</v>
      </c>
      <c r="DZ452" s="7">
        <v>1.1782999999999999</v>
      </c>
      <c r="EA452" s="7">
        <v>1.1700999999999999</v>
      </c>
      <c r="EB452" s="7">
        <v>1.1619999999999999</v>
      </c>
      <c r="EC452" s="7">
        <v>1.1538999999999999</v>
      </c>
      <c r="ED452" s="7">
        <v>1.1457999999999999</v>
      </c>
      <c r="EE452" s="7">
        <v>1.1377999999999999</v>
      </c>
      <c r="EF452" s="7">
        <v>1.1296999999999999</v>
      </c>
      <c r="EG452" s="7">
        <v>1.1216999999999999</v>
      </c>
      <c r="EH452" s="7">
        <v>1.1135999999999999</v>
      </c>
      <c r="EI452" s="7">
        <v>1.1055999999999999</v>
      </c>
      <c r="EJ452" s="7">
        <v>1.0974999999999999</v>
      </c>
      <c r="EK452" s="7">
        <v>1.0893999999999999</v>
      </c>
      <c r="EL452" s="7">
        <v>1.0811999999999999</v>
      </c>
      <c r="EM452" s="7">
        <v>1.073</v>
      </c>
      <c r="EN452" s="7">
        <v>1.0647</v>
      </c>
      <c r="EO452" s="7">
        <v>1.0563</v>
      </c>
      <c r="EP452" s="7">
        <v>1.0479000000000001</v>
      </c>
      <c r="EQ452" s="7">
        <v>1.0392999999999999</v>
      </c>
      <c r="ER452" s="7">
        <v>1.0306999999999999</v>
      </c>
      <c r="ES452" s="7">
        <v>1.0219</v>
      </c>
      <c r="ET452" s="7">
        <v>1.0129999999999999</v>
      </c>
      <c r="EU452" s="7">
        <v>1.0039</v>
      </c>
      <c r="EV452" s="7">
        <v>1</v>
      </c>
      <c r="EW452" s="7">
        <v>1</v>
      </c>
      <c r="EX452" s="7">
        <v>1</v>
      </c>
      <c r="EY452" s="7">
        <v>1</v>
      </c>
      <c r="EZ452" s="7">
        <v>1</v>
      </c>
      <c r="FA452" s="7">
        <v>1</v>
      </c>
      <c r="FB452" s="7">
        <v>1</v>
      </c>
      <c r="FC452" s="7">
        <v>1</v>
      </c>
      <c r="FE452" s="50">
        <f t="shared" ca="1" si="48"/>
        <v>1.2014420312022025</v>
      </c>
      <c r="FF452" s="50">
        <f t="shared" ca="1" si="49"/>
        <v>1.2067253764818968</v>
      </c>
      <c r="FG452" s="50">
        <f t="shared" ca="1" si="50"/>
        <v>1.2121446308724833</v>
      </c>
      <c r="FH452" s="50">
        <f t="shared" ca="1" si="51"/>
        <v>1.2178493288590604</v>
      </c>
      <c r="FK452" s="50">
        <f t="shared" ca="1" si="47"/>
        <v>1.2067253764818968</v>
      </c>
      <c r="FL452" s="50"/>
      <c r="FM452" s="50"/>
      <c r="FN452" s="50"/>
    </row>
    <row r="453" spans="49:170" hidden="1">
      <c r="AW453" s="433">
        <v>0.85099999999999998</v>
      </c>
      <c r="AX453" s="7">
        <v>2.0087999999999999</v>
      </c>
      <c r="AY453" s="7">
        <v>1.9851000000000001</v>
      </c>
      <c r="AZ453" s="7">
        <v>1.9624999999999999</v>
      </c>
      <c r="BA453" s="7">
        <v>1.9410000000000001</v>
      </c>
      <c r="BB453" s="7">
        <v>1.9205000000000001</v>
      </c>
      <c r="BC453" s="7">
        <v>1.9009</v>
      </c>
      <c r="BD453" s="7">
        <v>1.8822000000000001</v>
      </c>
      <c r="BE453" s="7">
        <v>1.8643000000000001</v>
      </c>
      <c r="BF453" s="7">
        <v>1.8472</v>
      </c>
      <c r="BG453" s="7">
        <v>1.8308</v>
      </c>
      <c r="BH453" s="7">
        <v>1.8150999999999999</v>
      </c>
      <c r="BI453" s="7">
        <v>1.8</v>
      </c>
      <c r="BJ453" s="7">
        <v>1.7856000000000001</v>
      </c>
      <c r="BK453" s="7">
        <v>1.7717000000000001</v>
      </c>
      <c r="BL453" s="7">
        <v>1.7584</v>
      </c>
      <c r="BM453" s="7">
        <v>1.7455000000000001</v>
      </c>
      <c r="BN453" s="7">
        <v>1.7332000000000001</v>
      </c>
      <c r="BO453" s="7">
        <v>1.7214</v>
      </c>
      <c r="BP453" s="7">
        <v>1.71</v>
      </c>
      <c r="BQ453" s="7">
        <v>1.6990000000000001</v>
      </c>
      <c r="BR453" s="7">
        <v>1.6883999999999999</v>
      </c>
      <c r="BS453" s="7">
        <v>1.6781999999999999</v>
      </c>
      <c r="BT453" s="7">
        <v>1.6684000000000001</v>
      </c>
      <c r="BU453" s="7">
        <v>1.659</v>
      </c>
      <c r="BV453" s="7">
        <v>1.6498999999999999</v>
      </c>
      <c r="BW453" s="7">
        <v>1.6411</v>
      </c>
      <c r="BX453" s="7">
        <v>1.6326000000000001</v>
      </c>
      <c r="BY453" s="7">
        <v>1.6244000000000001</v>
      </c>
      <c r="BZ453" s="7">
        <v>1.6166</v>
      </c>
      <c r="CA453" s="7">
        <v>1.609</v>
      </c>
      <c r="CB453" s="7">
        <v>1.6015999999999999</v>
      </c>
      <c r="CC453" s="7">
        <v>1.5946</v>
      </c>
      <c r="CD453" s="7">
        <v>1.5878000000000001</v>
      </c>
      <c r="CE453" s="7">
        <v>1.5811999999999999</v>
      </c>
      <c r="CF453" s="7">
        <v>1.5749</v>
      </c>
      <c r="CG453" s="7">
        <v>1.5688</v>
      </c>
      <c r="CH453" s="7">
        <v>1.5629</v>
      </c>
      <c r="CI453" s="7">
        <v>1.5572999999999999</v>
      </c>
      <c r="CJ453" s="7">
        <v>1.5518000000000001</v>
      </c>
      <c r="CK453" s="7">
        <v>1.5466</v>
      </c>
      <c r="CL453" s="7">
        <v>1.5416000000000001</v>
      </c>
      <c r="CM453" s="7">
        <v>1.5367999999999999</v>
      </c>
      <c r="CN453" s="7">
        <v>1.5322</v>
      </c>
      <c r="CO453" s="7">
        <v>1.5277000000000001</v>
      </c>
      <c r="CP453" s="7">
        <v>1.5235000000000001</v>
      </c>
      <c r="CQ453" s="7">
        <v>1.5194000000000001</v>
      </c>
      <c r="CR453" s="7">
        <v>1.5156000000000001</v>
      </c>
      <c r="CS453" s="7">
        <v>1.5119</v>
      </c>
      <c r="CT453" s="7">
        <v>1.5061</v>
      </c>
      <c r="CU453" s="7">
        <v>1.4936</v>
      </c>
      <c r="CV453" s="7">
        <v>1.4813000000000001</v>
      </c>
      <c r="CW453" s="7">
        <v>1.4692000000000001</v>
      </c>
      <c r="CX453" s="7">
        <v>1.4574</v>
      </c>
      <c r="CY453" s="7">
        <v>1.4457</v>
      </c>
      <c r="CZ453" s="7">
        <v>1.4342999999999999</v>
      </c>
      <c r="DA453" s="7">
        <v>1.423</v>
      </c>
      <c r="DB453" s="7">
        <v>1.4118999999999999</v>
      </c>
      <c r="DC453" s="7">
        <v>1.4011</v>
      </c>
      <c r="DD453" s="7">
        <v>1.3903000000000001</v>
      </c>
      <c r="DE453" s="7">
        <v>1.3797999999999999</v>
      </c>
      <c r="DF453" s="7">
        <v>1.3694999999999999</v>
      </c>
      <c r="DG453" s="7">
        <v>1.3593</v>
      </c>
      <c r="DH453" s="7">
        <v>1.3492</v>
      </c>
      <c r="DI453" s="7">
        <v>1.3392999999999999</v>
      </c>
      <c r="DJ453" s="7">
        <v>1.3295999999999999</v>
      </c>
      <c r="DK453" s="7">
        <v>1.32</v>
      </c>
      <c r="DL453" s="7">
        <v>1.3105</v>
      </c>
      <c r="DM453" s="7">
        <v>1.3010999999999999</v>
      </c>
      <c r="DN453" s="7">
        <v>1.2919</v>
      </c>
      <c r="DO453" s="7">
        <v>1.2827999999999999</v>
      </c>
      <c r="DP453" s="7">
        <v>1.2738</v>
      </c>
      <c r="DQ453" s="7">
        <v>1.2648999999999999</v>
      </c>
      <c r="DR453" s="7">
        <v>1.2562</v>
      </c>
      <c r="DS453" s="7">
        <v>1.2475000000000001</v>
      </c>
      <c r="DT453" s="7">
        <v>1.2388999999999999</v>
      </c>
      <c r="DU453" s="7">
        <v>1.2303999999999999</v>
      </c>
      <c r="DV453" s="7">
        <v>1.222</v>
      </c>
      <c r="DW453" s="7">
        <v>1.2136</v>
      </c>
      <c r="DX453" s="7">
        <v>1.2053</v>
      </c>
      <c r="DY453" s="7">
        <v>1.1971000000000001</v>
      </c>
      <c r="DZ453" s="7">
        <v>1.1890000000000001</v>
      </c>
      <c r="EA453" s="7">
        <v>1.1808000000000001</v>
      </c>
      <c r="EB453" s="7">
        <v>1.1728000000000001</v>
      </c>
      <c r="EC453" s="7">
        <v>1.1647000000000001</v>
      </c>
      <c r="ED453" s="7">
        <v>1.1567000000000001</v>
      </c>
      <c r="EE453" s="7">
        <v>1.1488</v>
      </c>
      <c r="EF453" s="7">
        <v>1.1408</v>
      </c>
      <c r="EG453" s="7">
        <v>1.1328</v>
      </c>
      <c r="EH453" s="7">
        <v>1.1249</v>
      </c>
      <c r="EI453" s="7">
        <v>1.1169</v>
      </c>
      <c r="EJ453" s="7">
        <v>1.1089</v>
      </c>
      <c r="EK453" s="7">
        <v>1.1009</v>
      </c>
      <c r="EL453" s="7">
        <v>1.0928</v>
      </c>
      <c r="EM453" s="7">
        <v>1.0847</v>
      </c>
      <c r="EN453" s="7">
        <v>1.0765</v>
      </c>
      <c r="EO453" s="7">
        <v>1.0683</v>
      </c>
      <c r="EP453" s="7">
        <v>1.0599000000000001</v>
      </c>
      <c r="EQ453" s="7">
        <v>1.0515000000000001</v>
      </c>
      <c r="ER453" s="7">
        <v>1.0429999999999999</v>
      </c>
      <c r="ES453" s="7">
        <v>1.0344</v>
      </c>
      <c r="ET453" s="7">
        <v>1.0256000000000001</v>
      </c>
      <c r="EU453" s="7">
        <v>1.0166999999999999</v>
      </c>
      <c r="EV453" s="7">
        <v>1.0076000000000001</v>
      </c>
      <c r="EW453" s="7">
        <v>1</v>
      </c>
      <c r="EX453" s="7">
        <v>1</v>
      </c>
      <c r="EY453" s="7">
        <v>1</v>
      </c>
      <c r="EZ453" s="7">
        <v>1</v>
      </c>
      <c r="FA453" s="7">
        <v>1</v>
      </c>
      <c r="FB453" s="7">
        <v>1</v>
      </c>
      <c r="FC453" s="7">
        <v>1</v>
      </c>
      <c r="FE453" s="50">
        <f t="shared" ca="1" si="48"/>
        <v>1.2119420312022025</v>
      </c>
      <c r="FF453" s="50">
        <f t="shared" ca="1" si="49"/>
        <v>1.2172253764818968</v>
      </c>
      <c r="FG453" s="50">
        <f t="shared" ca="1" si="50"/>
        <v>1.222637046979866</v>
      </c>
      <c r="FH453" s="50">
        <f t="shared" ca="1" si="51"/>
        <v>1.2282746308724832</v>
      </c>
      <c r="FK453" s="50">
        <f t="shared" ca="1" si="47"/>
        <v>1.2172253764818968</v>
      </c>
      <c r="FL453" s="50"/>
      <c r="FM453" s="50"/>
      <c r="FN453" s="50"/>
    </row>
    <row r="454" spans="49:170" hidden="1">
      <c r="AW454" s="433">
        <v>0.91200000000000003</v>
      </c>
      <c r="AX454" s="7">
        <v>2.0087999999999999</v>
      </c>
      <c r="AY454" s="7">
        <v>1.9851000000000001</v>
      </c>
      <c r="AZ454" s="7">
        <v>1.9624999999999999</v>
      </c>
      <c r="BA454" s="7">
        <v>1.9410000000000001</v>
      </c>
      <c r="BB454" s="7">
        <v>1.9205000000000001</v>
      </c>
      <c r="BC454" s="7">
        <v>1.9009</v>
      </c>
      <c r="BD454" s="7">
        <v>1.8822000000000001</v>
      </c>
      <c r="BE454" s="7">
        <v>1.8643000000000001</v>
      </c>
      <c r="BF454" s="7">
        <v>1.8472</v>
      </c>
      <c r="BG454" s="7">
        <v>1.8308</v>
      </c>
      <c r="BH454" s="7">
        <v>1.8150999999999999</v>
      </c>
      <c r="BI454" s="7">
        <v>1.8</v>
      </c>
      <c r="BJ454" s="7">
        <v>1.7856000000000001</v>
      </c>
      <c r="BK454" s="7">
        <v>1.7717000000000001</v>
      </c>
      <c r="BL454" s="7">
        <v>1.7584</v>
      </c>
      <c r="BM454" s="7">
        <v>1.7455000000000001</v>
      </c>
      <c r="BN454" s="7">
        <v>1.7332000000000001</v>
      </c>
      <c r="BO454" s="7">
        <v>1.7214</v>
      </c>
      <c r="BP454" s="7">
        <v>1.71</v>
      </c>
      <c r="BQ454" s="7">
        <v>1.6990000000000001</v>
      </c>
      <c r="BR454" s="7">
        <v>1.6883999999999999</v>
      </c>
      <c r="BS454" s="7">
        <v>1.6781999999999999</v>
      </c>
      <c r="BT454" s="7">
        <v>1.6684000000000001</v>
      </c>
      <c r="BU454" s="7">
        <v>1.659</v>
      </c>
      <c r="BV454" s="7">
        <v>1.6498999999999999</v>
      </c>
      <c r="BW454" s="7">
        <v>1.6411</v>
      </c>
      <c r="BX454" s="7">
        <v>1.6326000000000001</v>
      </c>
      <c r="BY454" s="7">
        <v>1.6244000000000001</v>
      </c>
      <c r="BZ454" s="7">
        <v>1.6166</v>
      </c>
      <c r="CA454" s="7">
        <v>1.609</v>
      </c>
      <c r="CB454" s="7">
        <v>1.6015999999999999</v>
      </c>
      <c r="CC454" s="7">
        <v>1.5946</v>
      </c>
      <c r="CD454" s="7">
        <v>1.5878000000000001</v>
      </c>
      <c r="CE454" s="7">
        <v>1.5811999999999999</v>
      </c>
      <c r="CF454" s="7">
        <v>1.5749</v>
      </c>
      <c r="CG454" s="7">
        <v>1.5688</v>
      </c>
      <c r="CH454" s="7">
        <v>1.5629</v>
      </c>
      <c r="CI454" s="7">
        <v>1.5572999999999999</v>
      </c>
      <c r="CJ454" s="7">
        <v>1.5518000000000001</v>
      </c>
      <c r="CK454" s="7">
        <v>1.5466</v>
      </c>
      <c r="CL454" s="7">
        <v>1.5416000000000001</v>
      </c>
      <c r="CM454" s="7">
        <v>1.5367999999999999</v>
      </c>
      <c r="CN454" s="7">
        <v>1.5322</v>
      </c>
      <c r="CO454" s="7">
        <v>1.5277000000000001</v>
      </c>
      <c r="CP454" s="7">
        <v>1.5235000000000001</v>
      </c>
      <c r="CQ454" s="7">
        <v>1.5194000000000001</v>
      </c>
      <c r="CR454" s="7">
        <v>1.5156000000000001</v>
      </c>
      <c r="CS454" s="7">
        <v>1.5119</v>
      </c>
      <c r="CT454" s="7">
        <v>1.5084</v>
      </c>
      <c r="CU454" s="7">
        <v>1.5035000000000001</v>
      </c>
      <c r="CV454" s="7">
        <v>1.4912000000000001</v>
      </c>
      <c r="CW454" s="7">
        <v>1.4791000000000001</v>
      </c>
      <c r="CX454" s="7">
        <v>1.4672000000000001</v>
      </c>
      <c r="CY454" s="7">
        <v>1.4556</v>
      </c>
      <c r="CZ454" s="7">
        <v>1.4440999999999999</v>
      </c>
      <c r="DA454" s="7">
        <v>1.4329000000000001</v>
      </c>
      <c r="DB454" s="7">
        <v>1.4218</v>
      </c>
      <c r="DC454" s="7">
        <v>1.4109</v>
      </c>
      <c r="DD454" s="7">
        <v>1.4001999999999999</v>
      </c>
      <c r="DE454" s="7">
        <v>1.3896999999999999</v>
      </c>
      <c r="DF454" s="7">
        <v>1.3794</v>
      </c>
      <c r="DG454" s="7">
        <v>1.3692</v>
      </c>
      <c r="DH454" s="7">
        <v>1.3592</v>
      </c>
      <c r="DI454" s="7">
        <v>1.3492999999999999</v>
      </c>
      <c r="DJ454" s="7">
        <v>1.3394999999999999</v>
      </c>
      <c r="DK454" s="7">
        <v>1.33</v>
      </c>
      <c r="DL454" s="7">
        <v>1.3205</v>
      </c>
      <c r="DM454" s="7">
        <v>1.3111999999999999</v>
      </c>
      <c r="DN454" s="7">
        <v>1.302</v>
      </c>
      <c r="DO454" s="7">
        <v>1.2928999999999999</v>
      </c>
      <c r="DP454" s="7">
        <v>1.2839</v>
      </c>
      <c r="DQ454" s="7">
        <v>1.2750999999999999</v>
      </c>
      <c r="DR454" s="7">
        <v>1.2663</v>
      </c>
      <c r="DS454" s="7">
        <v>1.2577</v>
      </c>
      <c r="DT454" s="7">
        <v>1.2491000000000001</v>
      </c>
      <c r="DU454" s="7">
        <v>1.2406999999999999</v>
      </c>
      <c r="DV454" s="7">
        <v>1.2323</v>
      </c>
      <c r="DW454" s="7">
        <v>1.224</v>
      </c>
      <c r="DX454" s="7">
        <v>1.2158</v>
      </c>
      <c r="DY454" s="7">
        <v>1.2076</v>
      </c>
      <c r="DZ454" s="7">
        <v>1.1995</v>
      </c>
      <c r="EA454" s="7">
        <v>1.1914</v>
      </c>
      <c r="EB454" s="7">
        <v>1.1834</v>
      </c>
      <c r="EC454" s="7">
        <v>1.1755</v>
      </c>
      <c r="ED454" s="7">
        <v>1.1675</v>
      </c>
      <c r="EE454" s="7">
        <v>1.1596</v>
      </c>
      <c r="EF454" s="7">
        <v>1.1516999999999999</v>
      </c>
      <c r="EG454" s="7">
        <v>1.1437999999999999</v>
      </c>
      <c r="EH454" s="7">
        <v>1.1359999999999999</v>
      </c>
      <c r="EI454" s="7">
        <v>1.1281000000000001</v>
      </c>
      <c r="EJ454" s="7">
        <v>1.1202000000000001</v>
      </c>
      <c r="EK454" s="7">
        <v>1.1122000000000001</v>
      </c>
      <c r="EL454" s="7">
        <v>1.1043000000000001</v>
      </c>
      <c r="EM454" s="7">
        <v>1.0963000000000001</v>
      </c>
      <c r="EN454" s="7">
        <v>1.0882000000000001</v>
      </c>
      <c r="EO454" s="7">
        <v>1.0801000000000001</v>
      </c>
      <c r="EP454" s="7">
        <v>1.0719000000000001</v>
      </c>
      <c r="EQ454" s="7">
        <v>1.0636000000000001</v>
      </c>
      <c r="ER454" s="7">
        <v>1.0551999999999999</v>
      </c>
      <c r="ES454" s="7">
        <v>1.0467</v>
      </c>
      <c r="ET454" s="7">
        <v>1.0381</v>
      </c>
      <c r="EU454" s="7">
        <v>1.0293000000000001</v>
      </c>
      <c r="EV454" s="7">
        <v>1.0204</v>
      </c>
      <c r="EW454" s="7">
        <v>1.0113000000000001</v>
      </c>
      <c r="EX454" s="7">
        <v>1.0021</v>
      </c>
      <c r="EY454" s="7">
        <v>1</v>
      </c>
      <c r="EZ454" s="7">
        <v>1</v>
      </c>
      <c r="FA454" s="7">
        <v>1</v>
      </c>
      <c r="FB454" s="7">
        <v>1</v>
      </c>
      <c r="FC454" s="7">
        <v>1</v>
      </c>
      <c r="FE454" s="50">
        <f t="shared" ca="1" si="48"/>
        <v>1.2223620067298868</v>
      </c>
      <c r="FF454" s="50">
        <f t="shared" ca="1" si="49"/>
        <v>1.2275822172380644</v>
      </c>
      <c r="FG454" s="50">
        <f t="shared" ca="1" si="50"/>
        <v>1.2329370469798659</v>
      </c>
      <c r="FH454" s="50">
        <f t="shared" ca="1" si="51"/>
        <v>1.2385746308724832</v>
      </c>
      <c r="FK454" s="50">
        <f t="shared" ref="FK454:FK485" ca="1" si="52">FORECAST(AN$22,OFFSET($AX454,0,MATCH(AN$22,$AX$421:$FC$421,1)-1,1,2),OFFSET($AX$421,0,MATCH(AN$22,$AX$421:$FC$421,1)-1,1,2))</f>
        <v>1.2275822172380644</v>
      </c>
      <c r="FL454" s="50"/>
      <c r="FM454" s="50"/>
      <c r="FN454" s="50"/>
    </row>
    <row r="455" spans="49:170" hidden="1">
      <c r="AW455" s="433">
        <v>0.97699999999999998</v>
      </c>
      <c r="AX455" s="7">
        <v>2.0087999999999999</v>
      </c>
      <c r="AY455" s="7">
        <v>1.9851000000000001</v>
      </c>
      <c r="AZ455" s="7">
        <v>1.9624999999999999</v>
      </c>
      <c r="BA455" s="7">
        <v>1.9410000000000001</v>
      </c>
      <c r="BB455" s="7">
        <v>1.9205000000000001</v>
      </c>
      <c r="BC455" s="7">
        <v>1.9009</v>
      </c>
      <c r="BD455" s="7">
        <v>1.8822000000000001</v>
      </c>
      <c r="BE455" s="7">
        <v>1.8643000000000001</v>
      </c>
      <c r="BF455" s="7">
        <v>1.8472</v>
      </c>
      <c r="BG455" s="7">
        <v>1.8308</v>
      </c>
      <c r="BH455" s="7">
        <v>1.8150999999999999</v>
      </c>
      <c r="BI455" s="7">
        <v>1.8</v>
      </c>
      <c r="BJ455" s="7">
        <v>1.7856000000000001</v>
      </c>
      <c r="BK455" s="7">
        <v>1.7717000000000001</v>
      </c>
      <c r="BL455" s="7">
        <v>1.7584</v>
      </c>
      <c r="BM455" s="7">
        <v>1.7455000000000001</v>
      </c>
      <c r="BN455" s="7">
        <v>1.7332000000000001</v>
      </c>
      <c r="BO455" s="7">
        <v>1.7214</v>
      </c>
      <c r="BP455" s="7">
        <v>1.71</v>
      </c>
      <c r="BQ455" s="7">
        <v>1.6990000000000001</v>
      </c>
      <c r="BR455" s="7">
        <v>1.6883999999999999</v>
      </c>
      <c r="BS455" s="7">
        <v>1.6781999999999999</v>
      </c>
      <c r="BT455" s="7">
        <v>1.6684000000000001</v>
      </c>
      <c r="BU455" s="7">
        <v>1.659</v>
      </c>
      <c r="BV455" s="7">
        <v>1.6498999999999999</v>
      </c>
      <c r="BW455" s="7">
        <v>1.6411</v>
      </c>
      <c r="BX455" s="7">
        <v>1.6326000000000001</v>
      </c>
      <c r="BY455" s="7">
        <v>1.6244000000000001</v>
      </c>
      <c r="BZ455" s="7">
        <v>1.6166</v>
      </c>
      <c r="CA455" s="7">
        <v>1.609</v>
      </c>
      <c r="CB455" s="7">
        <v>1.6015999999999999</v>
      </c>
      <c r="CC455" s="7">
        <v>1.5946</v>
      </c>
      <c r="CD455" s="7">
        <v>1.5878000000000001</v>
      </c>
      <c r="CE455" s="7">
        <v>1.5811999999999999</v>
      </c>
      <c r="CF455" s="7">
        <v>1.5749</v>
      </c>
      <c r="CG455" s="7">
        <v>1.5688</v>
      </c>
      <c r="CH455" s="7">
        <v>1.5629</v>
      </c>
      <c r="CI455" s="7">
        <v>1.5572999999999999</v>
      </c>
      <c r="CJ455" s="7">
        <v>1.5518000000000001</v>
      </c>
      <c r="CK455" s="7">
        <v>1.5466</v>
      </c>
      <c r="CL455" s="7">
        <v>1.5416000000000001</v>
      </c>
      <c r="CM455" s="7">
        <v>1.5367999999999999</v>
      </c>
      <c r="CN455" s="7">
        <v>1.5322</v>
      </c>
      <c r="CO455" s="7">
        <v>1.5277000000000001</v>
      </c>
      <c r="CP455" s="7">
        <v>1.5235000000000001</v>
      </c>
      <c r="CQ455" s="7">
        <v>1.5194000000000001</v>
      </c>
      <c r="CR455" s="7">
        <v>1.5156000000000001</v>
      </c>
      <c r="CS455" s="7">
        <v>1.5119</v>
      </c>
      <c r="CT455" s="7">
        <v>1.5084</v>
      </c>
      <c r="CU455" s="7">
        <v>1.5049999999999999</v>
      </c>
      <c r="CV455" s="7">
        <v>1.5008999999999999</v>
      </c>
      <c r="CW455" s="7">
        <v>1.4887999999999999</v>
      </c>
      <c r="CX455" s="7">
        <v>1.4770000000000001</v>
      </c>
      <c r="CY455" s="7">
        <v>1.4653</v>
      </c>
      <c r="CZ455" s="7">
        <v>1.4539</v>
      </c>
      <c r="DA455" s="7">
        <v>1.4426000000000001</v>
      </c>
      <c r="DB455" s="7">
        <v>1.4316</v>
      </c>
      <c r="DC455" s="7">
        <v>1.4207000000000001</v>
      </c>
      <c r="DD455" s="7">
        <v>1.41</v>
      </c>
      <c r="DE455" s="7">
        <v>1.3995</v>
      </c>
      <c r="DF455" s="7">
        <v>1.3892</v>
      </c>
      <c r="DG455" s="7">
        <v>1.379</v>
      </c>
      <c r="DH455" s="7">
        <v>1.369</v>
      </c>
      <c r="DI455" s="7">
        <v>1.3591</v>
      </c>
      <c r="DJ455" s="7">
        <v>1.3493999999999999</v>
      </c>
      <c r="DK455" s="7">
        <v>1.3398000000000001</v>
      </c>
      <c r="DL455" s="7">
        <v>1.3304</v>
      </c>
      <c r="DM455" s="7">
        <v>1.3210999999999999</v>
      </c>
      <c r="DN455" s="7">
        <v>1.3119000000000001</v>
      </c>
      <c r="DO455" s="7">
        <v>1.3028999999999999</v>
      </c>
      <c r="DP455" s="7">
        <v>1.2939000000000001</v>
      </c>
      <c r="DQ455" s="7">
        <v>1.2850999999999999</v>
      </c>
      <c r="DR455" s="7">
        <v>1.2764</v>
      </c>
      <c r="DS455" s="7">
        <v>1.2678</v>
      </c>
      <c r="DT455" s="7">
        <v>1.2593000000000001</v>
      </c>
      <c r="DU455" s="7">
        <v>1.2508999999999999</v>
      </c>
      <c r="DV455" s="7">
        <v>1.2424999999999999</v>
      </c>
      <c r="DW455" s="7">
        <v>1.2343</v>
      </c>
      <c r="DX455" s="7">
        <v>1.2261</v>
      </c>
      <c r="DY455" s="7">
        <v>1.218</v>
      </c>
      <c r="DZ455" s="7">
        <v>1.2099</v>
      </c>
      <c r="EA455" s="7">
        <v>1.2019</v>
      </c>
      <c r="EB455" s="7">
        <v>1.194</v>
      </c>
      <c r="EC455" s="7">
        <v>1.1860999999999999</v>
      </c>
      <c r="ED455" s="7">
        <v>1.1781999999999999</v>
      </c>
      <c r="EE455" s="7">
        <v>1.1704000000000001</v>
      </c>
      <c r="EF455" s="7">
        <v>1.1625000000000001</v>
      </c>
      <c r="EG455" s="7">
        <v>1.1547000000000001</v>
      </c>
      <c r="EH455" s="7">
        <v>1.1469</v>
      </c>
      <c r="EI455" s="7">
        <v>1.1391</v>
      </c>
      <c r="EJ455" s="7">
        <v>1.1313</v>
      </c>
      <c r="EK455" s="7">
        <v>1.1234999999999999</v>
      </c>
      <c r="EL455" s="7">
        <v>1.1155999999999999</v>
      </c>
      <c r="EM455" s="7">
        <v>1.1076999999999999</v>
      </c>
      <c r="EN455" s="7">
        <v>1.0996999999999999</v>
      </c>
      <c r="EO455" s="7">
        <v>1.0916999999999999</v>
      </c>
      <c r="EP455" s="7">
        <v>1.0837000000000001</v>
      </c>
      <c r="EQ455" s="7">
        <v>1.0754999999999999</v>
      </c>
      <c r="ER455" s="7">
        <v>1.0671999999999999</v>
      </c>
      <c r="ES455" s="7">
        <v>1.0589</v>
      </c>
      <c r="ET455" s="7">
        <v>1.0504</v>
      </c>
      <c r="EU455" s="7">
        <v>1.0418000000000001</v>
      </c>
      <c r="EV455" s="7">
        <v>1.0329999999999999</v>
      </c>
      <c r="EW455" s="7">
        <v>1.0241</v>
      </c>
      <c r="EX455" s="7">
        <v>1.0149999999999999</v>
      </c>
      <c r="EY455" s="7">
        <v>1.0058</v>
      </c>
      <c r="EZ455" s="7">
        <v>1</v>
      </c>
      <c r="FA455" s="7">
        <v>1</v>
      </c>
      <c r="FB455" s="7">
        <v>1</v>
      </c>
      <c r="FC455" s="7">
        <v>1</v>
      </c>
      <c r="FE455" s="50">
        <f t="shared" ca="1" si="48"/>
        <v>1.2326620067298868</v>
      </c>
      <c r="FF455" s="50">
        <f t="shared" ca="1" si="49"/>
        <v>1.2378390579942327</v>
      </c>
      <c r="FG455" s="50">
        <f t="shared" ca="1" si="50"/>
        <v>1.2431370469798657</v>
      </c>
      <c r="FH455" s="50">
        <f t="shared" ca="1" si="51"/>
        <v>1.248774630872483</v>
      </c>
      <c r="FK455" s="50">
        <f t="shared" ca="1" si="52"/>
        <v>1.2378390579942327</v>
      </c>
      <c r="FL455" s="50"/>
      <c r="FM455" s="50"/>
      <c r="FN455" s="50"/>
    </row>
    <row r="456" spans="49:170" hidden="1">
      <c r="AW456" s="433">
        <v>1.0469999999999999</v>
      </c>
      <c r="AX456" s="7">
        <v>2.0087999999999999</v>
      </c>
      <c r="AY456" s="7">
        <v>1.9851000000000001</v>
      </c>
      <c r="AZ456" s="7">
        <v>1.9624999999999999</v>
      </c>
      <c r="BA456" s="7">
        <v>1.9410000000000001</v>
      </c>
      <c r="BB456" s="7">
        <v>1.9205000000000001</v>
      </c>
      <c r="BC456" s="7">
        <v>1.9009</v>
      </c>
      <c r="BD456" s="7">
        <v>1.8822000000000001</v>
      </c>
      <c r="BE456" s="7">
        <v>1.8643000000000001</v>
      </c>
      <c r="BF456" s="7">
        <v>1.8472</v>
      </c>
      <c r="BG456" s="7">
        <v>1.8308</v>
      </c>
      <c r="BH456" s="7">
        <v>1.8150999999999999</v>
      </c>
      <c r="BI456" s="7">
        <v>1.8</v>
      </c>
      <c r="BJ456" s="7">
        <v>1.7856000000000001</v>
      </c>
      <c r="BK456" s="7">
        <v>1.7717000000000001</v>
      </c>
      <c r="BL456" s="7">
        <v>1.7584</v>
      </c>
      <c r="BM456" s="7">
        <v>1.7455000000000001</v>
      </c>
      <c r="BN456" s="7">
        <v>1.7332000000000001</v>
      </c>
      <c r="BO456" s="7">
        <v>1.7214</v>
      </c>
      <c r="BP456" s="7">
        <v>1.71</v>
      </c>
      <c r="BQ456" s="7">
        <v>1.6990000000000001</v>
      </c>
      <c r="BR456" s="7">
        <v>1.6883999999999999</v>
      </c>
      <c r="BS456" s="7">
        <v>1.6781999999999999</v>
      </c>
      <c r="BT456" s="7">
        <v>1.6684000000000001</v>
      </c>
      <c r="BU456" s="7">
        <v>1.659</v>
      </c>
      <c r="BV456" s="7">
        <v>1.6498999999999999</v>
      </c>
      <c r="BW456" s="7">
        <v>1.6411</v>
      </c>
      <c r="BX456" s="7">
        <v>1.6326000000000001</v>
      </c>
      <c r="BY456" s="7">
        <v>1.6244000000000001</v>
      </c>
      <c r="BZ456" s="7">
        <v>1.6166</v>
      </c>
      <c r="CA456" s="7">
        <v>1.609</v>
      </c>
      <c r="CB456" s="7">
        <v>1.6015999999999999</v>
      </c>
      <c r="CC456" s="7">
        <v>1.5946</v>
      </c>
      <c r="CD456" s="7">
        <v>1.5878000000000001</v>
      </c>
      <c r="CE456" s="7">
        <v>1.5811999999999999</v>
      </c>
      <c r="CF456" s="7">
        <v>1.5749</v>
      </c>
      <c r="CG456" s="7">
        <v>1.5688</v>
      </c>
      <c r="CH456" s="7">
        <v>1.5629</v>
      </c>
      <c r="CI456" s="7">
        <v>1.5572999999999999</v>
      </c>
      <c r="CJ456" s="7">
        <v>1.5518000000000001</v>
      </c>
      <c r="CK456" s="7">
        <v>1.5466</v>
      </c>
      <c r="CL456" s="7">
        <v>1.5416000000000001</v>
      </c>
      <c r="CM456" s="7">
        <v>1.5367999999999999</v>
      </c>
      <c r="CN456" s="7">
        <v>1.5322</v>
      </c>
      <c r="CO456" s="7">
        <v>1.5277000000000001</v>
      </c>
      <c r="CP456" s="7">
        <v>1.5235000000000001</v>
      </c>
      <c r="CQ456" s="7">
        <v>1.5194000000000001</v>
      </c>
      <c r="CR456" s="7">
        <v>1.5156000000000001</v>
      </c>
      <c r="CS456" s="7">
        <v>1.5119</v>
      </c>
      <c r="CT456" s="7">
        <v>1.5084</v>
      </c>
      <c r="CU456" s="7">
        <v>1.5049999999999999</v>
      </c>
      <c r="CV456" s="7">
        <v>1.5019</v>
      </c>
      <c r="CW456" s="7">
        <v>1.4984999999999999</v>
      </c>
      <c r="CX456" s="7">
        <v>1.4865999999999999</v>
      </c>
      <c r="CY456" s="7">
        <v>1.4750000000000001</v>
      </c>
      <c r="CZ456" s="7">
        <v>1.4635</v>
      </c>
      <c r="DA456" s="7">
        <v>1.4522999999999999</v>
      </c>
      <c r="DB456" s="7">
        <v>1.4412</v>
      </c>
      <c r="DC456" s="7">
        <v>1.4303999999999999</v>
      </c>
      <c r="DD456" s="7">
        <v>1.4197</v>
      </c>
      <c r="DE456" s="7">
        <v>1.4092</v>
      </c>
      <c r="DF456" s="7">
        <v>1.3989</v>
      </c>
      <c r="DG456" s="7">
        <v>1.3887</v>
      </c>
      <c r="DH456" s="7">
        <v>1.3787</v>
      </c>
      <c r="DI456" s="7">
        <v>1.3689</v>
      </c>
      <c r="DJ456" s="7">
        <v>1.3592</v>
      </c>
      <c r="DK456" s="7">
        <v>1.3495999999999999</v>
      </c>
      <c r="DL456" s="7">
        <v>1.3402000000000001</v>
      </c>
      <c r="DM456" s="7">
        <v>1.3309</v>
      </c>
      <c r="DN456" s="7">
        <v>1.3218000000000001</v>
      </c>
      <c r="DO456" s="7">
        <v>1.3127</v>
      </c>
      <c r="DP456" s="7">
        <v>1.3038000000000001</v>
      </c>
      <c r="DQ456" s="7">
        <v>1.2949999999999999</v>
      </c>
      <c r="DR456" s="7">
        <v>1.2864</v>
      </c>
      <c r="DS456" s="7">
        <v>1.2778</v>
      </c>
      <c r="DT456" s="7">
        <v>1.2693000000000001</v>
      </c>
      <c r="DU456" s="7">
        <v>1.2608999999999999</v>
      </c>
      <c r="DV456" s="7">
        <v>1.2525999999999999</v>
      </c>
      <c r="DW456" s="7">
        <v>1.2444</v>
      </c>
      <c r="DX456" s="7">
        <v>1.2363</v>
      </c>
      <c r="DY456" s="7">
        <v>1.2282</v>
      </c>
      <c r="DZ456" s="7">
        <v>1.2202</v>
      </c>
      <c r="EA456" s="7">
        <v>1.2122999999999999</v>
      </c>
      <c r="EB456" s="7">
        <v>1.2043999999999999</v>
      </c>
      <c r="EC456" s="7">
        <v>1.1964999999999999</v>
      </c>
      <c r="ED456" s="7">
        <v>1.1887000000000001</v>
      </c>
      <c r="EE456" s="7">
        <v>1.181</v>
      </c>
      <c r="EF456" s="7">
        <v>1.1732</v>
      </c>
      <c r="EG456" s="7">
        <v>1.1655</v>
      </c>
      <c r="EH456" s="7">
        <v>1.1577999999999999</v>
      </c>
      <c r="EI456" s="7">
        <v>1.1499999999999999</v>
      </c>
      <c r="EJ456" s="7">
        <v>1.1423000000000001</v>
      </c>
      <c r="EK456" s="7">
        <v>1.1346000000000001</v>
      </c>
      <c r="EL456" s="7">
        <v>1.1268</v>
      </c>
      <c r="EM456" s="7">
        <v>1.119</v>
      </c>
      <c r="EN456" s="7">
        <v>1.1112</v>
      </c>
      <c r="EO456" s="7">
        <v>1.1032999999999999</v>
      </c>
      <c r="EP456" s="7">
        <v>1.0952999999999999</v>
      </c>
      <c r="EQ456" s="7">
        <v>1.0872999999999999</v>
      </c>
      <c r="ER456" s="7">
        <v>1.0790999999999999</v>
      </c>
      <c r="ES456" s="7">
        <v>1.0709</v>
      </c>
      <c r="ET456" s="7">
        <v>1.0626</v>
      </c>
      <c r="EU456" s="7">
        <v>1.0541</v>
      </c>
      <c r="EV456" s="7">
        <v>1.0455000000000001</v>
      </c>
      <c r="EW456" s="7">
        <v>1.0367999999999999</v>
      </c>
      <c r="EX456" s="7">
        <v>1.0278</v>
      </c>
      <c r="EY456" s="7">
        <v>1.0186999999999999</v>
      </c>
      <c r="EZ456" s="7">
        <v>1.0095000000000001</v>
      </c>
      <c r="FA456" s="7">
        <v>1</v>
      </c>
      <c r="FB456" s="7">
        <v>1</v>
      </c>
      <c r="FC456" s="7">
        <v>1</v>
      </c>
      <c r="FE456" s="50">
        <f t="shared" ca="1" si="48"/>
        <v>1.242781982257571</v>
      </c>
      <c r="FF456" s="50">
        <f t="shared" ca="1" si="49"/>
        <v>1.2479390579942327</v>
      </c>
      <c r="FG456" s="50">
        <f t="shared" ca="1" si="50"/>
        <v>1.253229463087248</v>
      </c>
      <c r="FH456" s="50">
        <f t="shared" ca="1" si="51"/>
        <v>1.2587999328859059</v>
      </c>
      <c r="FK456" s="50">
        <f t="shared" ca="1" si="52"/>
        <v>1.2479390579942327</v>
      </c>
      <c r="FL456" s="50"/>
      <c r="FM456" s="50"/>
      <c r="FN456" s="50"/>
    </row>
    <row r="457" spans="49:170" hidden="1">
      <c r="AW457" s="433">
        <v>1.1220000000000001</v>
      </c>
      <c r="AX457" s="7">
        <v>2.0087999999999999</v>
      </c>
      <c r="AY457" s="7">
        <v>1.9851000000000001</v>
      </c>
      <c r="AZ457" s="7">
        <v>1.9624999999999999</v>
      </c>
      <c r="BA457" s="7">
        <v>1.9410000000000001</v>
      </c>
      <c r="BB457" s="7">
        <v>1.9205000000000001</v>
      </c>
      <c r="BC457" s="7">
        <v>1.9009</v>
      </c>
      <c r="BD457" s="7">
        <v>1.8822000000000001</v>
      </c>
      <c r="BE457" s="7">
        <v>1.8643000000000001</v>
      </c>
      <c r="BF457" s="7">
        <v>1.8472</v>
      </c>
      <c r="BG457" s="7">
        <v>1.8308</v>
      </c>
      <c r="BH457" s="7">
        <v>1.8150999999999999</v>
      </c>
      <c r="BI457" s="7">
        <v>1.8</v>
      </c>
      <c r="BJ457" s="7">
        <v>1.7856000000000001</v>
      </c>
      <c r="BK457" s="7">
        <v>1.7717000000000001</v>
      </c>
      <c r="BL457" s="7">
        <v>1.7584</v>
      </c>
      <c r="BM457" s="7">
        <v>1.7455000000000001</v>
      </c>
      <c r="BN457" s="7">
        <v>1.7332000000000001</v>
      </c>
      <c r="BO457" s="7">
        <v>1.7214</v>
      </c>
      <c r="BP457" s="7">
        <v>1.71</v>
      </c>
      <c r="BQ457" s="7">
        <v>1.6990000000000001</v>
      </c>
      <c r="BR457" s="7">
        <v>1.6883999999999999</v>
      </c>
      <c r="BS457" s="7">
        <v>1.6781999999999999</v>
      </c>
      <c r="BT457" s="7">
        <v>1.6684000000000001</v>
      </c>
      <c r="BU457" s="7">
        <v>1.659</v>
      </c>
      <c r="BV457" s="7">
        <v>1.6498999999999999</v>
      </c>
      <c r="BW457" s="7">
        <v>1.6411</v>
      </c>
      <c r="BX457" s="7">
        <v>1.6326000000000001</v>
      </c>
      <c r="BY457" s="7">
        <v>1.6244000000000001</v>
      </c>
      <c r="BZ457" s="7">
        <v>1.6166</v>
      </c>
      <c r="CA457" s="7">
        <v>1.609</v>
      </c>
      <c r="CB457" s="7">
        <v>1.6015999999999999</v>
      </c>
      <c r="CC457" s="7">
        <v>1.5946</v>
      </c>
      <c r="CD457" s="7">
        <v>1.5878000000000001</v>
      </c>
      <c r="CE457" s="7">
        <v>1.5811999999999999</v>
      </c>
      <c r="CF457" s="7">
        <v>1.5749</v>
      </c>
      <c r="CG457" s="7">
        <v>1.5688</v>
      </c>
      <c r="CH457" s="7">
        <v>1.5629</v>
      </c>
      <c r="CI457" s="7">
        <v>1.5572999999999999</v>
      </c>
      <c r="CJ457" s="7">
        <v>1.5518000000000001</v>
      </c>
      <c r="CK457" s="7">
        <v>1.5466</v>
      </c>
      <c r="CL457" s="7">
        <v>1.5416000000000001</v>
      </c>
      <c r="CM457" s="7">
        <v>1.5367999999999999</v>
      </c>
      <c r="CN457" s="7">
        <v>1.5322</v>
      </c>
      <c r="CO457" s="7">
        <v>1.5277000000000001</v>
      </c>
      <c r="CP457" s="7">
        <v>1.5235000000000001</v>
      </c>
      <c r="CQ457" s="7">
        <v>1.5194000000000001</v>
      </c>
      <c r="CR457" s="7">
        <v>1.5156000000000001</v>
      </c>
      <c r="CS457" s="7">
        <v>1.5119</v>
      </c>
      <c r="CT457" s="7">
        <v>1.5084</v>
      </c>
      <c r="CU457" s="7">
        <v>1.5049999999999999</v>
      </c>
      <c r="CV457" s="7">
        <v>1.5019</v>
      </c>
      <c r="CW457" s="7">
        <v>1.4988999999999999</v>
      </c>
      <c r="CX457" s="7">
        <v>1.4961</v>
      </c>
      <c r="CY457" s="7">
        <v>1.4844999999999999</v>
      </c>
      <c r="CZ457" s="7">
        <v>1.4731000000000001</v>
      </c>
      <c r="DA457" s="7">
        <v>1.4618</v>
      </c>
      <c r="DB457" s="7">
        <v>1.4508000000000001</v>
      </c>
      <c r="DC457" s="7">
        <v>1.4399</v>
      </c>
      <c r="DD457" s="7">
        <v>1.4293</v>
      </c>
      <c r="DE457" s="7">
        <v>1.4188000000000001</v>
      </c>
      <c r="DF457" s="7">
        <v>1.4085000000000001</v>
      </c>
      <c r="DG457" s="7">
        <v>1.3983000000000001</v>
      </c>
      <c r="DH457" s="7">
        <v>1.3883000000000001</v>
      </c>
      <c r="DI457" s="7">
        <v>1.3785000000000001</v>
      </c>
      <c r="DJ457" s="7">
        <v>1.3688</v>
      </c>
      <c r="DK457" s="7">
        <v>1.3593</v>
      </c>
      <c r="DL457" s="7">
        <v>1.3499000000000001</v>
      </c>
      <c r="DM457" s="7">
        <v>1.3406</v>
      </c>
      <c r="DN457" s="7">
        <v>1.3314999999999999</v>
      </c>
      <c r="DO457" s="7">
        <v>1.3225</v>
      </c>
      <c r="DP457" s="7">
        <v>1.3136000000000001</v>
      </c>
      <c r="DQ457" s="7">
        <v>1.3048999999999999</v>
      </c>
      <c r="DR457" s="7">
        <v>1.2962</v>
      </c>
      <c r="DS457" s="7">
        <v>1.2877000000000001</v>
      </c>
      <c r="DT457" s="7">
        <v>1.2791999999999999</v>
      </c>
      <c r="DU457" s="7">
        <v>1.2708999999999999</v>
      </c>
      <c r="DV457" s="7">
        <v>1.2625999999999999</v>
      </c>
      <c r="DW457" s="7">
        <v>1.2544999999999999</v>
      </c>
      <c r="DX457" s="7">
        <v>1.2464</v>
      </c>
      <c r="DY457" s="7">
        <v>1.2383</v>
      </c>
      <c r="DZ457" s="7">
        <v>1.2303999999999999</v>
      </c>
      <c r="EA457" s="7">
        <v>1.2224999999999999</v>
      </c>
      <c r="EB457" s="7">
        <v>1.2146999999999999</v>
      </c>
      <c r="EC457" s="7">
        <v>1.2069000000000001</v>
      </c>
      <c r="ED457" s="7">
        <v>1.1992</v>
      </c>
      <c r="EE457" s="7">
        <v>1.1915</v>
      </c>
      <c r="EF457" s="7">
        <v>1.1838</v>
      </c>
      <c r="EG457" s="7">
        <v>1.1760999999999999</v>
      </c>
      <c r="EH457" s="7">
        <v>1.1685000000000001</v>
      </c>
      <c r="EI457" s="7">
        <v>1.1609</v>
      </c>
      <c r="EJ457" s="7">
        <v>1.1532</v>
      </c>
      <c r="EK457" s="7">
        <v>1.1456</v>
      </c>
      <c r="EL457" s="7">
        <v>1.1378999999999999</v>
      </c>
      <c r="EM457" s="7">
        <v>1.1302000000000001</v>
      </c>
      <c r="EN457" s="7">
        <v>1.1225000000000001</v>
      </c>
      <c r="EO457" s="7">
        <v>1.1147</v>
      </c>
      <c r="EP457" s="7">
        <v>1.1068</v>
      </c>
      <c r="EQ457" s="7">
        <v>1.0989</v>
      </c>
      <c r="ER457" s="7">
        <v>1.0909</v>
      </c>
      <c r="ES457" s="7">
        <v>1.0828</v>
      </c>
      <c r="ET457" s="7">
        <v>1.0746</v>
      </c>
      <c r="EU457" s="7">
        <v>1.0663</v>
      </c>
      <c r="EV457" s="7">
        <v>1.0579000000000001</v>
      </c>
      <c r="EW457" s="7">
        <v>1.0492999999999999</v>
      </c>
      <c r="EX457" s="7">
        <v>1.0405</v>
      </c>
      <c r="EY457" s="7">
        <v>1.0316000000000001</v>
      </c>
      <c r="EZ457" s="7">
        <v>1.0225</v>
      </c>
      <c r="FA457" s="7">
        <v>1.0132000000000001</v>
      </c>
      <c r="FB457" s="7">
        <v>1.0036</v>
      </c>
      <c r="FC457" s="7">
        <v>1</v>
      </c>
      <c r="FE457" s="50">
        <f t="shared" ca="1" si="48"/>
        <v>1.252881982257571</v>
      </c>
      <c r="FF457" s="50">
        <f t="shared" ca="1" si="49"/>
        <v>1.2579958987504005</v>
      </c>
      <c r="FG457" s="50">
        <f t="shared" ca="1" si="50"/>
        <v>1.2632294630872483</v>
      </c>
      <c r="FH457" s="50">
        <f t="shared" ca="1" si="51"/>
        <v>1.2687999328859061</v>
      </c>
      <c r="FK457" s="50">
        <f t="shared" ca="1" si="52"/>
        <v>1.2579958987504005</v>
      </c>
      <c r="FL457" s="50"/>
      <c r="FM457" s="50"/>
      <c r="FN457" s="50"/>
    </row>
    <row r="458" spans="49:170" hidden="1">
      <c r="AW458" s="433">
        <v>1.202</v>
      </c>
      <c r="AX458" s="7">
        <v>2.0087999999999999</v>
      </c>
      <c r="AY458" s="7">
        <v>1.9851000000000001</v>
      </c>
      <c r="AZ458" s="7">
        <v>1.9624999999999999</v>
      </c>
      <c r="BA458" s="7">
        <v>1.9410000000000001</v>
      </c>
      <c r="BB458" s="7">
        <v>1.9205000000000001</v>
      </c>
      <c r="BC458" s="7">
        <v>1.9009</v>
      </c>
      <c r="BD458" s="7">
        <v>1.8822000000000001</v>
      </c>
      <c r="BE458" s="7">
        <v>1.8643000000000001</v>
      </c>
      <c r="BF458" s="7">
        <v>1.8472</v>
      </c>
      <c r="BG458" s="7">
        <v>1.8308</v>
      </c>
      <c r="BH458" s="7">
        <v>1.8150999999999999</v>
      </c>
      <c r="BI458" s="7">
        <v>1.8</v>
      </c>
      <c r="BJ458" s="7">
        <v>1.7856000000000001</v>
      </c>
      <c r="BK458" s="7">
        <v>1.7717000000000001</v>
      </c>
      <c r="BL458" s="7">
        <v>1.7584</v>
      </c>
      <c r="BM458" s="7">
        <v>1.7455000000000001</v>
      </c>
      <c r="BN458" s="7">
        <v>1.7332000000000001</v>
      </c>
      <c r="BO458" s="7">
        <v>1.7214</v>
      </c>
      <c r="BP458" s="7">
        <v>1.71</v>
      </c>
      <c r="BQ458" s="7">
        <v>1.6990000000000001</v>
      </c>
      <c r="BR458" s="7">
        <v>1.6883999999999999</v>
      </c>
      <c r="BS458" s="7">
        <v>1.6781999999999999</v>
      </c>
      <c r="BT458" s="7">
        <v>1.6684000000000001</v>
      </c>
      <c r="BU458" s="7">
        <v>1.659</v>
      </c>
      <c r="BV458" s="7">
        <v>1.6498999999999999</v>
      </c>
      <c r="BW458" s="7">
        <v>1.6411</v>
      </c>
      <c r="BX458" s="7">
        <v>1.6326000000000001</v>
      </c>
      <c r="BY458" s="7">
        <v>1.6244000000000001</v>
      </c>
      <c r="BZ458" s="7">
        <v>1.6166</v>
      </c>
      <c r="CA458" s="7">
        <v>1.609</v>
      </c>
      <c r="CB458" s="7">
        <v>1.6015999999999999</v>
      </c>
      <c r="CC458" s="7">
        <v>1.5946</v>
      </c>
      <c r="CD458" s="7">
        <v>1.5878000000000001</v>
      </c>
      <c r="CE458" s="7">
        <v>1.5811999999999999</v>
      </c>
      <c r="CF458" s="7">
        <v>1.5749</v>
      </c>
      <c r="CG458" s="7">
        <v>1.5688</v>
      </c>
      <c r="CH458" s="7">
        <v>1.5629</v>
      </c>
      <c r="CI458" s="7">
        <v>1.5572999999999999</v>
      </c>
      <c r="CJ458" s="7">
        <v>1.5518000000000001</v>
      </c>
      <c r="CK458" s="7">
        <v>1.5466</v>
      </c>
      <c r="CL458" s="7">
        <v>1.5416000000000001</v>
      </c>
      <c r="CM458" s="7">
        <v>1.5367999999999999</v>
      </c>
      <c r="CN458" s="7">
        <v>1.5322</v>
      </c>
      <c r="CO458" s="7">
        <v>1.5277000000000001</v>
      </c>
      <c r="CP458" s="7">
        <v>1.5235000000000001</v>
      </c>
      <c r="CQ458" s="7">
        <v>1.5194000000000001</v>
      </c>
      <c r="CR458" s="7">
        <v>1.5156000000000001</v>
      </c>
      <c r="CS458" s="7">
        <v>1.5119</v>
      </c>
      <c r="CT458" s="7">
        <v>1.5084</v>
      </c>
      <c r="CU458" s="7">
        <v>1.5049999999999999</v>
      </c>
      <c r="CV458" s="7">
        <v>1.5019</v>
      </c>
      <c r="CW458" s="7">
        <v>1.4988999999999999</v>
      </c>
      <c r="CX458" s="7">
        <v>1.4961</v>
      </c>
      <c r="CY458" s="7">
        <v>1.4935</v>
      </c>
      <c r="CZ458" s="7">
        <v>1.4824999999999999</v>
      </c>
      <c r="DA458" s="7">
        <v>1.4713000000000001</v>
      </c>
      <c r="DB458" s="7">
        <v>1.4601999999999999</v>
      </c>
      <c r="DC458" s="7">
        <v>1.4494</v>
      </c>
      <c r="DD458" s="7">
        <v>1.4387000000000001</v>
      </c>
      <c r="DE458" s="7">
        <v>1.4281999999999999</v>
      </c>
      <c r="DF458" s="7">
        <v>1.4178999999999999</v>
      </c>
      <c r="DG458" s="7">
        <v>1.4077999999999999</v>
      </c>
      <c r="DH458" s="7">
        <v>1.3977999999999999</v>
      </c>
      <c r="DI458" s="7">
        <v>1.3879999999999999</v>
      </c>
      <c r="DJ458" s="7">
        <v>1.3783000000000001</v>
      </c>
      <c r="DK458" s="7">
        <v>1.3688</v>
      </c>
      <c r="DL458" s="7">
        <v>1.3593999999999999</v>
      </c>
      <c r="DM458" s="7">
        <v>1.3502000000000001</v>
      </c>
      <c r="DN458" s="7">
        <v>1.3411</v>
      </c>
      <c r="DO458" s="7">
        <v>1.3321000000000001</v>
      </c>
      <c r="DP458" s="7">
        <v>1.3232999999999999</v>
      </c>
      <c r="DQ458" s="7">
        <v>1.3146</v>
      </c>
      <c r="DR458" s="7">
        <v>1.3059000000000001</v>
      </c>
      <c r="DS458" s="7">
        <v>1.2974000000000001</v>
      </c>
      <c r="DT458" s="7">
        <v>1.2889999999999999</v>
      </c>
      <c r="DU458" s="7">
        <v>1.2806999999999999</v>
      </c>
      <c r="DV458" s="7">
        <v>1.2725</v>
      </c>
      <c r="DW458" s="7">
        <v>1.2644</v>
      </c>
      <c r="DX458" s="7">
        <v>1.2563</v>
      </c>
      <c r="DY458" s="7">
        <v>1.2484</v>
      </c>
      <c r="DZ458" s="7">
        <v>1.2404999999999999</v>
      </c>
      <c r="EA458" s="7">
        <v>1.2325999999999999</v>
      </c>
      <c r="EB458" s="7">
        <v>1.2249000000000001</v>
      </c>
      <c r="EC458" s="7">
        <v>1.2171000000000001</v>
      </c>
      <c r="ED458" s="7">
        <v>1.2095</v>
      </c>
      <c r="EE458" s="7">
        <v>1.2018</v>
      </c>
      <c r="EF458" s="7">
        <v>1.1941999999999999</v>
      </c>
      <c r="EG458" s="7">
        <v>1.1866000000000001</v>
      </c>
      <c r="EH458" s="7">
        <v>1.1791</v>
      </c>
      <c r="EI458" s="7">
        <v>1.1715</v>
      </c>
      <c r="EJ458" s="7">
        <v>1.1639999999999999</v>
      </c>
      <c r="EK458" s="7">
        <v>1.1564000000000001</v>
      </c>
      <c r="EL458" s="7">
        <v>1.1489</v>
      </c>
      <c r="EM458" s="7">
        <v>1.1413</v>
      </c>
      <c r="EN458" s="7">
        <v>1.1335999999999999</v>
      </c>
      <c r="EO458" s="7">
        <v>1.1258999999999999</v>
      </c>
      <c r="EP458" s="7">
        <v>1.1182000000000001</v>
      </c>
      <c r="EQ458" s="7">
        <v>1.1104000000000001</v>
      </c>
      <c r="ER458" s="7">
        <v>1.1026</v>
      </c>
      <c r="ES458" s="7">
        <v>1.0946</v>
      </c>
      <c r="ET458" s="7">
        <v>1.0865</v>
      </c>
      <c r="EU458" s="7">
        <v>1.0784</v>
      </c>
      <c r="EV458" s="7">
        <v>1.0701000000000001</v>
      </c>
      <c r="EW458" s="7">
        <v>1.0616000000000001</v>
      </c>
      <c r="EX458" s="7">
        <v>1.0530999999999999</v>
      </c>
      <c r="EY458" s="7">
        <v>1.0443</v>
      </c>
      <c r="EZ458" s="7">
        <v>1.0354000000000001</v>
      </c>
      <c r="FA458" s="7">
        <v>1.0262</v>
      </c>
      <c r="FB458" s="7">
        <v>1.0168999999999999</v>
      </c>
      <c r="FC458" s="7">
        <v>1.0073000000000001</v>
      </c>
      <c r="FE458" s="50">
        <f t="shared" ca="1" si="48"/>
        <v>1.262781982257571</v>
      </c>
      <c r="FF458" s="50">
        <f t="shared" ca="1" si="49"/>
        <v>1.2678958987504005</v>
      </c>
      <c r="FG458" s="50">
        <f t="shared" ca="1" si="50"/>
        <v>1.2731218791946308</v>
      </c>
      <c r="FH458" s="50">
        <f t="shared" ca="1" si="51"/>
        <v>1.2786252348993288</v>
      </c>
      <c r="FK458" s="50">
        <f t="shared" ca="1" si="52"/>
        <v>1.2678958987504005</v>
      </c>
      <c r="FL458" s="50"/>
      <c r="FM458" s="50"/>
      <c r="FN458" s="50"/>
    </row>
    <row r="459" spans="49:170" hidden="1">
      <c r="AW459" s="433">
        <v>1.288</v>
      </c>
      <c r="AX459" s="7">
        <v>2.0089000000000001</v>
      </c>
      <c r="AY459" s="7">
        <v>1.9851000000000001</v>
      </c>
      <c r="AZ459" s="7">
        <v>1.9624999999999999</v>
      </c>
      <c r="BA459" s="7">
        <v>1.9410000000000001</v>
      </c>
      <c r="BB459" s="7">
        <v>1.9205000000000001</v>
      </c>
      <c r="BC459" s="7">
        <v>1.9009</v>
      </c>
      <c r="BD459" s="7">
        <v>1.8822000000000001</v>
      </c>
      <c r="BE459" s="7">
        <v>1.8643000000000001</v>
      </c>
      <c r="BF459" s="7">
        <v>1.8472</v>
      </c>
      <c r="BG459" s="7">
        <v>1.8308</v>
      </c>
      <c r="BH459" s="7">
        <v>1.8150999999999999</v>
      </c>
      <c r="BI459" s="7">
        <v>1.8</v>
      </c>
      <c r="BJ459" s="7">
        <v>1.7856000000000001</v>
      </c>
      <c r="BK459" s="7">
        <v>1.7717000000000001</v>
      </c>
      <c r="BL459" s="7">
        <v>1.7584</v>
      </c>
      <c r="BM459" s="7">
        <v>1.7455000000000001</v>
      </c>
      <c r="BN459" s="7">
        <v>1.7332000000000001</v>
      </c>
      <c r="BO459" s="7">
        <v>1.7214</v>
      </c>
      <c r="BP459" s="7">
        <v>1.71</v>
      </c>
      <c r="BQ459" s="7">
        <v>1.6990000000000001</v>
      </c>
      <c r="BR459" s="7">
        <v>1.6883999999999999</v>
      </c>
      <c r="BS459" s="7">
        <v>1.6781999999999999</v>
      </c>
      <c r="BT459" s="7">
        <v>1.6684000000000001</v>
      </c>
      <c r="BU459" s="7">
        <v>1.659</v>
      </c>
      <c r="BV459" s="7">
        <v>1.6498999999999999</v>
      </c>
      <c r="BW459" s="7">
        <v>1.6411</v>
      </c>
      <c r="BX459" s="7">
        <v>1.6326000000000001</v>
      </c>
      <c r="BY459" s="7">
        <v>1.6244000000000001</v>
      </c>
      <c r="BZ459" s="7">
        <v>1.6166</v>
      </c>
      <c r="CA459" s="7">
        <v>1.609</v>
      </c>
      <c r="CB459" s="7">
        <v>1.6015999999999999</v>
      </c>
      <c r="CC459" s="7">
        <v>1.5946</v>
      </c>
      <c r="CD459" s="7">
        <v>1.5878000000000001</v>
      </c>
      <c r="CE459" s="7">
        <v>1.5811999999999999</v>
      </c>
      <c r="CF459" s="7">
        <v>1.5749</v>
      </c>
      <c r="CG459" s="7">
        <v>1.5688</v>
      </c>
      <c r="CH459" s="7">
        <v>1.5629</v>
      </c>
      <c r="CI459" s="7">
        <v>1.5572999999999999</v>
      </c>
      <c r="CJ459" s="7">
        <v>1.5518000000000001</v>
      </c>
      <c r="CK459" s="7">
        <v>1.5466</v>
      </c>
      <c r="CL459" s="7">
        <v>1.5416000000000001</v>
      </c>
      <c r="CM459" s="7">
        <v>1.5367999999999999</v>
      </c>
      <c r="CN459" s="7">
        <v>1.5322</v>
      </c>
      <c r="CO459" s="7">
        <v>1.5277000000000001</v>
      </c>
      <c r="CP459" s="7">
        <v>1.5235000000000001</v>
      </c>
      <c r="CQ459" s="7">
        <v>1.5194000000000001</v>
      </c>
      <c r="CR459" s="7">
        <v>1.5156000000000001</v>
      </c>
      <c r="CS459" s="7">
        <v>1.5119</v>
      </c>
      <c r="CT459" s="7">
        <v>1.5084</v>
      </c>
      <c r="CU459" s="7">
        <v>1.5049999999999999</v>
      </c>
      <c r="CV459" s="7">
        <v>1.5019</v>
      </c>
      <c r="CW459" s="7">
        <v>1.4988999999999999</v>
      </c>
      <c r="CX459" s="7">
        <v>1.4961</v>
      </c>
      <c r="CY459" s="7">
        <v>1.4935</v>
      </c>
      <c r="CZ459" s="7">
        <v>1.4910000000000001</v>
      </c>
      <c r="DA459" s="7">
        <v>1.4805999999999999</v>
      </c>
      <c r="DB459" s="7">
        <v>1.4696</v>
      </c>
      <c r="DC459" s="7">
        <v>1.4587000000000001</v>
      </c>
      <c r="DD459" s="7">
        <v>1.4480999999999999</v>
      </c>
      <c r="DE459" s="7">
        <v>1.4376</v>
      </c>
      <c r="DF459" s="7">
        <v>1.4273</v>
      </c>
      <c r="DG459" s="7">
        <v>1.4172</v>
      </c>
      <c r="DH459" s="7">
        <v>1.4072</v>
      </c>
      <c r="DI459" s="7">
        <v>1.3974</v>
      </c>
      <c r="DJ459" s="7">
        <v>1.3877999999999999</v>
      </c>
      <c r="DK459" s="7">
        <v>1.3783000000000001</v>
      </c>
      <c r="DL459" s="7">
        <v>1.3689</v>
      </c>
      <c r="DM459" s="7">
        <v>1.3596999999999999</v>
      </c>
      <c r="DN459" s="7">
        <v>1.3506</v>
      </c>
      <c r="DO459" s="7">
        <v>1.3416999999999999</v>
      </c>
      <c r="DP459" s="7">
        <v>1.3328</v>
      </c>
      <c r="DQ459" s="7">
        <v>1.3241000000000001</v>
      </c>
      <c r="DR459" s="7">
        <v>1.3156000000000001</v>
      </c>
      <c r="DS459" s="7">
        <v>1.3070999999999999</v>
      </c>
      <c r="DT459" s="7">
        <v>1.2987</v>
      </c>
      <c r="DU459" s="7">
        <v>1.2904</v>
      </c>
      <c r="DV459" s="7">
        <v>1.2823</v>
      </c>
      <c r="DW459" s="7">
        <v>1.2742</v>
      </c>
      <c r="DX459" s="7">
        <v>1.2662</v>
      </c>
      <c r="DY459" s="7">
        <v>1.2583</v>
      </c>
      <c r="DZ459" s="7">
        <v>1.2504</v>
      </c>
      <c r="EA459" s="7">
        <v>1.2425999999999999</v>
      </c>
      <c r="EB459" s="7">
        <v>1.2349000000000001</v>
      </c>
      <c r="EC459" s="7">
        <v>1.2273000000000001</v>
      </c>
      <c r="ED459" s="7">
        <v>1.2196</v>
      </c>
      <c r="EE459" s="7">
        <v>1.2121</v>
      </c>
      <c r="EF459" s="7">
        <v>1.2044999999999999</v>
      </c>
      <c r="EG459" s="7">
        <v>1.1970000000000001</v>
      </c>
      <c r="EH459" s="7">
        <v>1.1896</v>
      </c>
      <c r="EI459" s="7">
        <v>1.1820999999999999</v>
      </c>
      <c r="EJ459" s="7">
        <v>1.1746000000000001</v>
      </c>
      <c r="EK459" s="7">
        <v>1.1672</v>
      </c>
      <c r="EL459" s="7">
        <v>1.1597</v>
      </c>
      <c r="EM459" s="7">
        <v>1.1521999999999999</v>
      </c>
      <c r="EN459" s="7">
        <v>1.1447000000000001</v>
      </c>
      <c r="EO459" s="7">
        <v>1.1371</v>
      </c>
      <c r="EP459" s="7">
        <v>1.1294999999999999</v>
      </c>
      <c r="EQ459" s="7">
        <v>1.1217999999999999</v>
      </c>
      <c r="ER459" s="7">
        <v>1.1141000000000001</v>
      </c>
      <c r="ES459" s="7">
        <v>1.1062000000000001</v>
      </c>
      <c r="ET459" s="7">
        <v>1.0983000000000001</v>
      </c>
      <c r="EU459" s="7">
        <v>1.0903</v>
      </c>
      <c r="EV459" s="7">
        <v>1.0821000000000001</v>
      </c>
      <c r="EW459" s="7">
        <v>1.0739000000000001</v>
      </c>
      <c r="EX459" s="7">
        <v>1.0653999999999999</v>
      </c>
      <c r="EY459" s="7">
        <v>1.0569</v>
      </c>
      <c r="EZ459" s="7">
        <v>1.0481</v>
      </c>
      <c r="FA459" s="7">
        <v>1.0391999999999999</v>
      </c>
      <c r="FB459" s="7">
        <v>1.03</v>
      </c>
      <c r="FC459" s="7">
        <v>1.0206</v>
      </c>
      <c r="FE459" s="50">
        <f t="shared" ca="1" si="48"/>
        <v>1.2726019577852554</v>
      </c>
      <c r="FF459" s="50">
        <f t="shared" ca="1" si="49"/>
        <v>1.2776958987504003</v>
      </c>
      <c r="FG459" s="50">
        <f t="shared" ca="1" si="50"/>
        <v>1.2829142953020134</v>
      </c>
      <c r="FH459" s="50">
        <f t="shared" ca="1" si="51"/>
        <v>1.2883505369127517</v>
      </c>
      <c r="FK459" s="50">
        <f t="shared" ca="1" si="52"/>
        <v>1.2776958987504003</v>
      </c>
      <c r="FL459" s="50"/>
      <c r="FM459" s="50"/>
      <c r="FN459" s="50"/>
    </row>
    <row r="460" spans="49:170" hidden="1">
      <c r="AW460" s="433">
        <v>1.38</v>
      </c>
      <c r="AX460" s="7">
        <v>2.0087999999999999</v>
      </c>
      <c r="AY460" s="7">
        <v>1.9851000000000001</v>
      </c>
      <c r="AZ460" s="7">
        <v>1.9624999999999999</v>
      </c>
      <c r="BA460" s="7">
        <v>1.9410000000000001</v>
      </c>
      <c r="BB460" s="7">
        <v>1.9205000000000001</v>
      </c>
      <c r="BC460" s="7">
        <v>1.9009</v>
      </c>
      <c r="BD460" s="7">
        <v>1.8822000000000001</v>
      </c>
      <c r="BE460" s="7">
        <v>1.8643000000000001</v>
      </c>
      <c r="BF460" s="7">
        <v>1.8472</v>
      </c>
      <c r="BG460" s="7">
        <v>1.8308</v>
      </c>
      <c r="BH460" s="7">
        <v>1.8150999999999999</v>
      </c>
      <c r="BI460" s="7">
        <v>1.8</v>
      </c>
      <c r="BJ460" s="7">
        <v>1.7856000000000001</v>
      </c>
      <c r="BK460" s="7">
        <v>1.7717000000000001</v>
      </c>
      <c r="BL460" s="7">
        <v>1.7584</v>
      </c>
      <c r="BM460" s="7">
        <v>1.7455000000000001</v>
      </c>
      <c r="BN460" s="7">
        <v>1.7332000000000001</v>
      </c>
      <c r="BO460" s="7">
        <v>1.7214</v>
      </c>
      <c r="BP460" s="7">
        <v>1.71</v>
      </c>
      <c r="BQ460" s="7">
        <v>1.6990000000000001</v>
      </c>
      <c r="BR460" s="7">
        <v>1.6883999999999999</v>
      </c>
      <c r="BS460" s="7">
        <v>1.6781999999999999</v>
      </c>
      <c r="BT460" s="7">
        <v>1.6684000000000001</v>
      </c>
      <c r="BU460" s="7">
        <v>1.659</v>
      </c>
      <c r="BV460" s="7">
        <v>1.6498999999999999</v>
      </c>
      <c r="BW460" s="7">
        <v>1.6411</v>
      </c>
      <c r="BX460" s="7">
        <v>1.6326000000000001</v>
      </c>
      <c r="BY460" s="7">
        <v>1.6244000000000001</v>
      </c>
      <c r="BZ460" s="7">
        <v>1.6166</v>
      </c>
      <c r="CA460" s="7">
        <v>1.609</v>
      </c>
      <c r="CB460" s="7">
        <v>1.6015999999999999</v>
      </c>
      <c r="CC460" s="7">
        <v>1.5946</v>
      </c>
      <c r="CD460" s="7">
        <v>1.5878000000000001</v>
      </c>
      <c r="CE460" s="7">
        <v>1.5811999999999999</v>
      </c>
      <c r="CF460" s="7">
        <v>1.5749</v>
      </c>
      <c r="CG460" s="7">
        <v>1.5688</v>
      </c>
      <c r="CH460" s="7">
        <v>1.5629</v>
      </c>
      <c r="CI460" s="7">
        <v>1.5572999999999999</v>
      </c>
      <c r="CJ460" s="7">
        <v>1.5518000000000001</v>
      </c>
      <c r="CK460" s="7">
        <v>1.5466</v>
      </c>
      <c r="CL460" s="7">
        <v>1.5416000000000001</v>
      </c>
      <c r="CM460" s="7">
        <v>1.5367999999999999</v>
      </c>
      <c r="CN460" s="7">
        <v>1.5322</v>
      </c>
      <c r="CO460" s="7">
        <v>1.5277000000000001</v>
      </c>
      <c r="CP460" s="7">
        <v>1.5235000000000001</v>
      </c>
      <c r="CQ460" s="7">
        <v>1.5194000000000001</v>
      </c>
      <c r="CR460" s="7">
        <v>1.5156000000000001</v>
      </c>
      <c r="CS460" s="7">
        <v>1.5119</v>
      </c>
      <c r="CT460" s="7">
        <v>1.5084</v>
      </c>
      <c r="CU460" s="7">
        <v>1.5049999999999999</v>
      </c>
      <c r="CV460" s="7">
        <v>1.5019</v>
      </c>
      <c r="CW460" s="7">
        <v>1.4988999999999999</v>
      </c>
      <c r="CX460" s="7">
        <v>1.4961</v>
      </c>
      <c r="CY460" s="7">
        <v>1.4935</v>
      </c>
      <c r="CZ460" s="7">
        <v>1.4910000000000001</v>
      </c>
      <c r="DA460" s="7">
        <v>1.4886999999999999</v>
      </c>
      <c r="DB460" s="7">
        <v>1.4787999999999999</v>
      </c>
      <c r="DC460" s="7">
        <v>1.468</v>
      </c>
      <c r="DD460" s="7">
        <v>1.4573</v>
      </c>
      <c r="DE460" s="7">
        <v>1.4469000000000001</v>
      </c>
      <c r="DF460" s="7">
        <v>1.4366000000000001</v>
      </c>
      <c r="DG460" s="7">
        <v>1.4265000000000001</v>
      </c>
      <c r="DH460" s="7">
        <v>1.4165000000000001</v>
      </c>
      <c r="DI460" s="7">
        <v>1.4067000000000001</v>
      </c>
      <c r="DJ460" s="7">
        <v>1.3971</v>
      </c>
      <c r="DK460" s="7">
        <v>1.3875999999999999</v>
      </c>
      <c r="DL460" s="7">
        <v>1.3783000000000001</v>
      </c>
      <c r="DM460" s="7">
        <v>1.3691</v>
      </c>
      <c r="DN460" s="7">
        <v>1.36</v>
      </c>
      <c r="DO460" s="7">
        <v>1.3511</v>
      </c>
      <c r="DP460" s="7">
        <v>1.3423</v>
      </c>
      <c r="DQ460" s="7">
        <v>1.3335999999999999</v>
      </c>
      <c r="DR460" s="7">
        <v>1.3250999999999999</v>
      </c>
      <c r="DS460" s="7">
        <v>1.3166</v>
      </c>
      <c r="DT460" s="7">
        <v>1.3083</v>
      </c>
      <c r="DU460" s="7">
        <v>1.3001</v>
      </c>
      <c r="DV460" s="7">
        <v>1.2919</v>
      </c>
      <c r="DW460" s="7">
        <v>1.2839</v>
      </c>
      <c r="DX460" s="7">
        <v>1.2759</v>
      </c>
      <c r="DY460" s="7">
        <v>1.268</v>
      </c>
      <c r="DZ460" s="7">
        <v>1.2603</v>
      </c>
      <c r="EA460" s="7">
        <v>1.2524999999999999</v>
      </c>
      <c r="EB460" s="7">
        <v>1.2448999999999999</v>
      </c>
      <c r="EC460" s="7">
        <v>1.2373000000000001</v>
      </c>
      <c r="ED460" s="7">
        <v>1.2297</v>
      </c>
      <c r="EE460" s="7">
        <v>1.2222</v>
      </c>
      <c r="EF460" s="7">
        <v>1.2148000000000001</v>
      </c>
      <c r="EG460" s="7">
        <v>1.2073</v>
      </c>
      <c r="EH460" s="7">
        <v>1.1999</v>
      </c>
      <c r="EI460" s="7">
        <v>1.1924999999999999</v>
      </c>
      <c r="EJ460" s="7">
        <v>1.1851</v>
      </c>
      <c r="EK460" s="7">
        <v>1.1778</v>
      </c>
      <c r="EL460" s="7">
        <v>1.1704000000000001</v>
      </c>
      <c r="EM460" s="7">
        <v>1.163</v>
      </c>
      <c r="EN460" s="7">
        <v>1.1556</v>
      </c>
      <c r="EO460" s="7">
        <v>1.1480999999999999</v>
      </c>
      <c r="EP460" s="7">
        <v>1.1406000000000001</v>
      </c>
      <c r="EQ460" s="7">
        <v>1.1331</v>
      </c>
      <c r="ER460" s="7">
        <v>1.1254</v>
      </c>
      <c r="ES460" s="7">
        <v>1.1176999999999999</v>
      </c>
      <c r="ET460" s="7">
        <v>1.1100000000000001</v>
      </c>
      <c r="EU460" s="7">
        <v>1.1021000000000001</v>
      </c>
      <c r="EV460" s="7">
        <v>1.0941000000000001</v>
      </c>
      <c r="EW460" s="7">
        <v>1.0860000000000001</v>
      </c>
      <c r="EX460" s="7">
        <v>1.0777000000000001</v>
      </c>
      <c r="EY460" s="7">
        <v>1.0692999999999999</v>
      </c>
      <c r="EZ460" s="7">
        <v>1.0607</v>
      </c>
      <c r="FA460" s="7">
        <v>1.0519000000000001</v>
      </c>
      <c r="FB460" s="7">
        <v>1.0429999999999999</v>
      </c>
      <c r="FC460" s="7">
        <v>1.0338000000000001</v>
      </c>
      <c r="FE460" s="50">
        <f t="shared" ca="1" si="48"/>
        <v>1.2823019577852555</v>
      </c>
      <c r="FF460" s="50">
        <f t="shared" ca="1" si="49"/>
        <v>1.2873527395065685</v>
      </c>
      <c r="FG460" s="50">
        <f t="shared" ca="1" si="50"/>
        <v>1.2925218791946309</v>
      </c>
      <c r="FH460" s="50">
        <f t="shared" ca="1" si="51"/>
        <v>1.2980252348993289</v>
      </c>
      <c r="FK460" s="50">
        <f t="shared" ca="1" si="52"/>
        <v>1.2873527395065685</v>
      </c>
      <c r="FL460" s="50"/>
      <c r="FM460" s="50"/>
      <c r="FN460" s="50"/>
    </row>
    <row r="461" spans="49:170" hidden="1">
      <c r="AW461" s="433">
        <v>1.4790000000000001</v>
      </c>
      <c r="AX461" s="7">
        <v>2.0087999999999999</v>
      </c>
      <c r="AY461" s="7">
        <v>1.9851000000000001</v>
      </c>
      <c r="AZ461" s="7">
        <v>1.9624999999999999</v>
      </c>
      <c r="BA461" s="7">
        <v>1.9410000000000001</v>
      </c>
      <c r="BB461" s="7">
        <v>1.9205000000000001</v>
      </c>
      <c r="BC461" s="7">
        <v>1.9009</v>
      </c>
      <c r="BD461" s="7">
        <v>1.8822000000000001</v>
      </c>
      <c r="BE461" s="7">
        <v>1.8643000000000001</v>
      </c>
      <c r="BF461" s="7">
        <v>1.8472</v>
      </c>
      <c r="BG461" s="7">
        <v>1.8308</v>
      </c>
      <c r="BH461" s="7">
        <v>1.8150999999999999</v>
      </c>
      <c r="BI461" s="7">
        <v>1.8</v>
      </c>
      <c r="BJ461" s="7">
        <v>1.7856000000000001</v>
      </c>
      <c r="BK461" s="7">
        <v>1.7717000000000001</v>
      </c>
      <c r="BL461" s="7">
        <v>1.7584</v>
      </c>
      <c r="BM461" s="7">
        <v>1.7455000000000001</v>
      </c>
      <c r="BN461" s="7">
        <v>1.7332000000000001</v>
      </c>
      <c r="BO461" s="7">
        <v>1.7214</v>
      </c>
      <c r="BP461" s="7">
        <v>1.71</v>
      </c>
      <c r="BQ461" s="7">
        <v>1.6990000000000001</v>
      </c>
      <c r="BR461" s="7">
        <v>1.6883999999999999</v>
      </c>
      <c r="BS461" s="7">
        <v>1.6781999999999999</v>
      </c>
      <c r="BT461" s="7">
        <v>1.6684000000000001</v>
      </c>
      <c r="BU461" s="7">
        <v>1.659</v>
      </c>
      <c r="BV461" s="7">
        <v>1.6498999999999999</v>
      </c>
      <c r="BW461" s="7">
        <v>1.6411</v>
      </c>
      <c r="BX461" s="7">
        <v>1.6326000000000001</v>
      </c>
      <c r="BY461" s="7">
        <v>1.6244000000000001</v>
      </c>
      <c r="BZ461" s="7">
        <v>1.6166</v>
      </c>
      <c r="CA461" s="7">
        <v>1.609</v>
      </c>
      <c r="CB461" s="7">
        <v>1.6015999999999999</v>
      </c>
      <c r="CC461" s="7">
        <v>1.5946</v>
      </c>
      <c r="CD461" s="7">
        <v>1.5878000000000001</v>
      </c>
      <c r="CE461" s="7">
        <v>1.5811999999999999</v>
      </c>
      <c r="CF461" s="7">
        <v>1.5749</v>
      </c>
      <c r="CG461" s="7">
        <v>1.5688</v>
      </c>
      <c r="CH461" s="7">
        <v>1.5629</v>
      </c>
      <c r="CI461" s="7">
        <v>1.5572999999999999</v>
      </c>
      <c r="CJ461" s="7">
        <v>1.5518000000000001</v>
      </c>
      <c r="CK461" s="7">
        <v>1.5466</v>
      </c>
      <c r="CL461" s="7">
        <v>1.5416000000000001</v>
      </c>
      <c r="CM461" s="7">
        <v>1.5367999999999999</v>
      </c>
      <c r="CN461" s="7">
        <v>1.5322</v>
      </c>
      <c r="CO461" s="7">
        <v>1.5277000000000001</v>
      </c>
      <c r="CP461" s="7">
        <v>1.5235000000000001</v>
      </c>
      <c r="CQ461" s="7">
        <v>1.5194000000000001</v>
      </c>
      <c r="CR461" s="7">
        <v>1.5156000000000001</v>
      </c>
      <c r="CS461" s="7">
        <v>1.5119</v>
      </c>
      <c r="CT461" s="7">
        <v>1.5084</v>
      </c>
      <c r="CU461" s="7">
        <v>1.5049999999999999</v>
      </c>
      <c r="CV461" s="7">
        <v>1.5019</v>
      </c>
      <c r="CW461" s="7">
        <v>1.4988999999999999</v>
      </c>
      <c r="CX461" s="7">
        <v>1.4961</v>
      </c>
      <c r="CY461" s="7">
        <v>1.4935</v>
      </c>
      <c r="CZ461" s="7">
        <v>1.4910000000000001</v>
      </c>
      <c r="DA461" s="7">
        <v>1.4886999999999999</v>
      </c>
      <c r="DB461" s="7">
        <v>1.4865999999999999</v>
      </c>
      <c r="DC461" s="7">
        <v>1.4771000000000001</v>
      </c>
      <c r="DD461" s="7">
        <v>1.4664999999999999</v>
      </c>
      <c r="DE461" s="7">
        <v>1.456</v>
      </c>
      <c r="DF461" s="7">
        <v>1.4457</v>
      </c>
      <c r="DG461" s="7">
        <v>1.4356</v>
      </c>
      <c r="DH461" s="7">
        <v>1.4257</v>
      </c>
      <c r="DI461" s="7">
        <v>1.4158999999999999</v>
      </c>
      <c r="DJ461" s="7">
        <v>1.4063000000000001</v>
      </c>
      <c r="DK461" s="7">
        <v>1.3968</v>
      </c>
      <c r="DL461" s="7">
        <v>1.3875</v>
      </c>
      <c r="DM461" s="7">
        <v>1.3783000000000001</v>
      </c>
      <c r="DN461" s="7">
        <v>1.3693</v>
      </c>
      <c r="DO461" s="7">
        <v>1.3604000000000001</v>
      </c>
      <c r="DP461" s="7">
        <v>1.3515999999999999</v>
      </c>
      <c r="DQ461" s="7">
        <v>1.343</v>
      </c>
      <c r="DR461" s="7">
        <v>1.3345</v>
      </c>
      <c r="DS461" s="7">
        <v>1.3261000000000001</v>
      </c>
      <c r="DT461" s="7">
        <v>1.3178000000000001</v>
      </c>
      <c r="DU461" s="7">
        <v>1.3096000000000001</v>
      </c>
      <c r="DV461" s="7">
        <v>1.3015000000000001</v>
      </c>
      <c r="DW461" s="7">
        <v>1.2935000000000001</v>
      </c>
      <c r="DX461" s="7">
        <v>1.2855000000000001</v>
      </c>
      <c r="DY461" s="7">
        <v>1.2777000000000001</v>
      </c>
      <c r="DZ461" s="7">
        <v>1.27</v>
      </c>
      <c r="EA461" s="7">
        <v>1.2623</v>
      </c>
      <c r="EB461" s="7">
        <v>1.2546999999999999</v>
      </c>
      <c r="EC461" s="7">
        <v>1.2472000000000001</v>
      </c>
      <c r="ED461" s="7">
        <v>1.2397</v>
      </c>
      <c r="EE461" s="7">
        <v>1.2322</v>
      </c>
      <c r="EF461" s="7">
        <v>1.2248000000000001</v>
      </c>
      <c r="EG461" s="7">
        <v>1.2175</v>
      </c>
      <c r="EH461" s="7">
        <v>1.2101999999999999</v>
      </c>
      <c r="EI461" s="7">
        <v>1.2028000000000001</v>
      </c>
      <c r="EJ461" s="7">
        <v>1.1956</v>
      </c>
      <c r="EK461" s="7">
        <v>1.1882999999999999</v>
      </c>
      <c r="EL461" s="7">
        <v>1.181</v>
      </c>
      <c r="EM461" s="7">
        <v>1.1737</v>
      </c>
      <c r="EN461" s="7">
        <v>1.1664000000000001</v>
      </c>
      <c r="EO461" s="7">
        <v>1.159</v>
      </c>
      <c r="EP461" s="7">
        <v>1.1516</v>
      </c>
      <c r="EQ461" s="7">
        <v>1.1442000000000001</v>
      </c>
      <c r="ER461" s="7">
        <v>1.1367</v>
      </c>
      <c r="ES461" s="7">
        <v>1.1291</v>
      </c>
      <c r="ET461" s="7">
        <v>1.1214999999999999</v>
      </c>
      <c r="EU461" s="7">
        <v>1.1136999999999999</v>
      </c>
      <c r="EV461" s="7">
        <v>1.1059000000000001</v>
      </c>
      <c r="EW461" s="7">
        <v>1.0979000000000001</v>
      </c>
      <c r="EX461" s="7">
        <v>1.0898000000000001</v>
      </c>
      <c r="EY461" s="7">
        <v>1.0815999999999999</v>
      </c>
      <c r="EZ461" s="7">
        <v>1.0731999999999999</v>
      </c>
      <c r="FA461" s="7">
        <v>1.0646</v>
      </c>
      <c r="FB461" s="7">
        <v>1.0558000000000001</v>
      </c>
      <c r="FC461" s="7">
        <v>1.0468</v>
      </c>
      <c r="FE461" s="50">
        <f t="shared" ca="1" si="48"/>
        <v>1.2919019577852555</v>
      </c>
      <c r="FF461" s="50">
        <f t="shared" ca="1" si="49"/>
        <v>1.2969527395065685</v>
      </c>
      <c r="FG461" s="50">
        <f t="shared" ca="1" si="50"/>
        <v>1.3021142953020135</v>
      </c>
      <c r="FH461" s="50">
        <f t="shared" ca="1" si="51"/>
        <v>1.3075505369127518</v>
      </c>
      <c r="FK461" s="50">
        <f t="shared" ca="1" si="52"/>
        <v>1.2969527395065685</v>
      </c>
      <c r="FL461" s="50"/>
      <c r="FM461" s="50"/>
      <c r="FN461" s="50"/>
    </row>
    <row r="462" spans="49:170" hidden="1">
      <c r="AW462" s="433">
        <v>1.585</v>
      </c>
      <c r="AX462" s="7">
        <v>2.0087999999999999</v>
      </c>
      <c r="AY462" s="7">
        <v>1.9851000000000001</v>
      </c>
      <c r="AZ462" s="7">
        <v>1.9624999999999999</v>
      </c>
      <c r="BA462" s="7">
        <v>1.9410000000000001</v>
      </c>
      <c r="BB462" s="7">
        <v>1.9205000000000001</v>
      </c>
      <c r="BC462" s="7">
        <v>1.9009</v>
      </c>
      <c r="BD462" s="7">
        <v>1.8822000000000001</v>
      </c>
      <c r="BE462" s="7">
        <v>1.8643000000000001</v>
      </c>
      <c r="BF462" s="7">
        <v>1.8472</v>
      </c>
      <c r="BG462" s="7">
        <v>1.8308</v>
      </c>
      <c r="BH462" s="7">
        <v>1.8150999999999999</v>
      </c>
      <c r="BI462" s="7">
        <v>1.8</v>
      </c>
      <c r="BJ462" s="7">
        <v>1.7856000000000001</v>
      </c>
      <c r="BK462" s="7">
        <v>1.7717000000000001</v>
      </c>
      <c r="BL462" s="7">
        <v>1.7584</v>
      </c>
      <c r="BM462" s="7">
        <v>1.7455000000000001</v>
      </c>
      <c r="BN462" s="7">
        <v>1.7332000000000001</v>
      </c>
      <c r="BO462" s="7">
        <v>1.7214</v>
      </c>
      <c r="BP462" s="7">
        <v>1.71</v>
      </c>
      <c r="BQ462" s="7">
        <v>1.6990000000000001</v>
      </c>
      <c r="BR462" s="7">
        <v>1.6883999999999999</v>
      </c>
      <c r="BS462" s="7">
        <v>1.6781999999999999</v>
      </c>
      <c r="BT462" s="7">
        <v>1.6684000000000001</v>
      </c>
      <c r="BU462" s="7">
        <v>1.659</v>
      </c>
      <c r="BV462" s="7">
        <v>1.6498999999999999</v>
      </c>
      <c r="BW462" s="7">
        <v>1.6411</v>
      </c>
      <c r="BX462" s="7">
        <v>1.6326000000000001</v>
      </c>
      <c r="BY462" s="7">
        <v>1.6244000000000001</v>
      </c>
      <c r="BZ462" s="7">
        <v>1.6166</v>
      </c>
      <c r="CA462" s="7">
        <v>1.609</v>
      </c>
      <c r="CB462" s="7">
        <v>1.6015999999999999</v>
      </c>
      <c r="CC462" s="7">
        <v>1.5946</v>
      </c>
      <c r="CD462" s="7">
        <v>1.5878000000000001</v>
      </c>
      <c r="CE462" s="7">
        <v>1.5811999999999999</v>
      </c>
      <c r="CF462" s="7">
        <v>1.5749</v>
      </c>
      <c r="CG462" s="7">
        <v>1.5688</v>
      </c>
      <c r="CH462" s="7">
        <v>1.5629</v>
      </c>
      <c r="CI462" s="7">
        <v>1.5572999999999999</v>
      </c>
      <c r="CJ462" s="7">
        <v>1.5518000000000001</v>
      </c>
      <c r="CK462" s="7">
        <v>1.5466</v>
      </c>
      <c r="CL462" s="7">
        <v>1.5416000000000001</v>
      </c>
      <c r="CM462" s="7">
        <v>1.5367999999999999</v>
      </c>
      <c r="CN462" s="7">
        <v>1.5322</v>
      </c>
      <c r="CO462" s="7">
        <v>1.5277000000000001</v>
      </c>
      <c r="CP462" s="7">
        <v>1.5235000000000001</v>
      </c>
      <c r="CQ462" s="7">
        <v>1.5194000000000001</v>
      </c>
      <c r="CR462" s="7">
        <v>1.5156000000000001</v>
      </c>
      <c r="CS462" s="7">
        <v>1.5119</v>
      </c>
      <c r="CT462" s="7">
        <v>1.5084</v>
      </c>
      <c r="CU462" s="7">
        <v>1.5049999999999999</v>
      </c>
      <c r="CV462" s="7">
        <v>1.5019</v>
      </c>
      <c r="CW462" s="7">
        <v>1.4988999999999999</v>
      </c>
      <c r="CX462" s="7">
        <v>1.4961</v>
      </c>
      <c r="CY462" s="7">
        <v>1.4935</v>
      </c>
      <c r="CZ462" s="7">
        <v>1.4910000000000001</v>
      </c>
      <c r="DA462" s="7">
        <v>1.4886999999999999</v>
      </c>
      <c r="DB462" s="7">
        <v>1.4865999999999999</v>
      </c>
      <c r="DC462" s="7">
        <v>1.4846999999999999</v>
      </c>
      <c r="DD462" s="7">
        <v>1.4755</v>
      </c>
      <c r="DE462" s="7">
        <v>1.4650000000000001</v>
      </c>
      <c r="DF462" s="7">
        <v>1.4548000000000001</v>
      </c>
      <c r="DG462" s="7">
        <v>1.4447000000000001</v>
      </c>
      <c r="DH462" s="7">
        <v>1.4348000000000001</v>
      </c>
      <c r="DI462" s="7">
        <v>1.425</v>
      </c>
      <c r="DJ462" s="7">
        <v>1.4154</v>
      </c>
      <c r="DK462" s="7">
        <v>1.4059999999999999</v>
      </c>
      <c r="DL462" s="7">
        <v>1.3967000000000001</v>
      </c>
      <c r="DM462" s="7">
        <v>1.3875</v>
      </c>
      <c r="DN462" s="7">
        <v>1.3785000000000001</v>
      </c>
      <c r="DO462" s="7">
        <v>1.3695999999999999</v>
      </c>
      <c r="DP462" s="7">
        <v>1.3609</v>
      </c>
      <c r="DQ462" s="7">
        <v>1.3523000000000001</v>
      </c>
      <c r="DR462" s="7">
        <v>1.3438000000000001</v>
      </c>
      <c r="DS462" s="7">
        <v>1.3353999999999999</v>
      </c>
      <c r="DT462" s="7">
        <v>1.3270999999999999</v>
      </c>
      <c r="DU462" s="7">
        <v>1.319</v>
      </c>
      <c r="DV462" s="7">
        <v>1.3109</v>
      </c>
      <c r="DW462" s="7">
        <v>1.3028999999999999</v>
      </c>
      <c r="DX462" s="7">
        <v>1.2950999999999999</v>
      </c>
      <c r="DY462" s="7">
        <v>1.2873000000000001</v>
      </c>
      <c r="DZ462" s="7">
        <v>1.2796000000000001</v>
      </c>
      <c r="EA462" s="7">
        <v>1.272</v>
      </c>
      <c r="EB462" s="7">
        <v>1.2644</v>
      </c>
      <c r="EC462" s="7">
        <v>1.2568999999999999</v>
      </c>
      <c r="ED462" s="7">
        <v>1.2495000000000001</v>
      </c>
      <c r="EE462" s="7">
        <v>1.2421</v>
      </c>
      <c r="EF462" s="7">
        <v>1.2347999999999999</v>
      </c>
      <c r="EG462" s="7">
        <v>1.2275</v>
      </c>
      <c r="EH462" s="7">
        <v>1.2202999999999999</v>
      </c>
      <c r="EI462" s="7">
        <v>1.2131000000000001</v>
      </c>
      <c r="EJ462" s="7">
        <v>1.2058</v>
      </c>
      <c r="EK462" s="7">
        <v>1.1986000000000001</v>
      </c>
      <c r="EL462" s="7">
        <v>1.1914</v>
      </c>
      <c r="EM462" s="7">
        <v>1.1841999999999999</v>
      </c>
      <c r="EN462" s="7">
        <v>1.177</v>
      </c>
      <c r="EO462" s="7">
        <v>1.1698</v>
      </c>
      <c r="EP462" s="7">
        <v>1.1625000000000001</v>
      </c>
      <c r="EQ462" s="7">
        <v>1.1552</v>
      </c>
      <c r="ER462" s="7">
        <v>1.1477999999999999</v>
      </c>
      <c r="ES462" s="7">
        <v>1.1404000000000001</v>
      </c>
      <c r="ET462" s="7">
        <v>1.1328</v>
      </c>
      <c r="EU462" s="7">
        <v>1.1252</v>
      </c>
      <c r="EV462" s="7">
        <v>1.1174999999999999</v>
      </c>
      <c r="EW462" s="7">
        <v>1.1096999999999999</v>
      </c>
      <c r="EX462" s="7">
        <v>1.1017999999999999</v>
      </c>
      <c r="EY462" s="7">
        <v>1.0936999999999999</v>
      </c>
      <c r="EZ462" s="7">
        <v>1.0854999999999999</v>
      </c>
      <c r="FA462" s="7">
        <v>1.0770999999999999</v>
      </c>
      <c r="FB462" s="7">
        <v>1.0685</v>
      </c>
      <c r="FC462" s="7">
        <v>1.0597000000000001</v>
      </c>
      <c r="FE462" s="50">
        <f t="shared" ca="1" si="48"/>
        <v>1.301341908840624</v>
      </c>
      <c r="FF462" s="50">
        <f t="shared" ca="1" si="49"/>
        <v>1.3063527395065684</v>
      </c>
      <c r="FG462" s="50">
        <f t="shared" ca="1" si="50"/>
        <v>1.3115142953020134</v>
      </c>
      <c r="FH462" s="50">
        <f t="shared" ca="1" si="51"/>
        <v>1.3169505369127517</v>
      </c>
      <c r="FK462" s="50">
        <f t="shared" ca="1" si="52"/>
        <v>1.3063527395065684</v>
      </c>
      <c r="FL462" s="50"/>
      <c r="FM462" s="50"/>
      <c r="FN462" s="50"/>
    </row>
    <row r="463" spans="49:170" hidden="1">
      <c r="AW463" s="433">
        <v>1.698</v>
      </c>
      <c r="AX463" s="7">
        <v>2.0087999999999999</v>
      </c>
      <c r="AY463" s="7">
        <v>1.9851000000000001</v>
      </c>
      <c r="AZ463" s="7">
        <v>1.9624999999999999</v>
      </c>
      <c r="BA463" s="7">
        <v>1.9410000000000001</v>
      </c>
      <c r="BB463" s="7">
        <v>1.9205000000000001</v>
      </c>
      <c r="BC463" s="7">
        <v>1.9009</v>
      </c>
      <c r="BD463" s="7">
        <v>1.8822000000000001</v>
      </c>
      <c r="BE463" s="7">
        <v>1.8643000000000001</v>
      </c>
      <c r="BF463" s="7">
        <v>1.8472</v>
      </c>
      <c r="BG463" s="7">
        <v>1.8308</v>
      </c>
      <c r="BH463" s="7">
        <v>1.8150999999999999</v>
      </c>
      <c r="BI463" s="7">
        <v>1.8</v>
      </c>
      <c r="BJ463" s="7">
        <v>1.7856000000000001</v>
      </c>
      <c r="BK463" s="7">
        <v>1.7717000000000001</v>
      </c>
      <c r="BL463" s="7">
        <v>1.7584</v>
      </c>
      <c r="BM463" s="7">
        <v>1.7455000000000001</v>
      </c>
      <c r="BN463" s="7">
        <v>1.7332000000000001</v>
      </c>
      <c r="BO463" s="7">
        <v>1.7214</v>
      </c>
      <c r="BP463" s="7">
        <v>1.71</v>
      </c>
      <c r="BQ463" s="7">
        <v>1.6990000000000001</v>
      </c>
      <c r="BR463" s="7">
        <v>1.6883999999999999</v>
      </c>
      <c r="BS463" s="7">
        <v>1.6781999999999999</v>
      </c>
      <c r="BT463" s="7">
        <v>1.6684000000000001</v>
      </c>
      <c r="BU463" s="7">
        <v>1.659</v>
      </c>
      <c r="BV463" s="7">
        <v>1.6498999999999999</v>
      </c>
      <c r="BW463" s="7">
        <v>1.6411</v>
      </c>
      <c r="BX463" s="7">
        <v>1.6326000000000001</v>
      </c>
      <c r="BY463" s="7">
        <v>1.6244000000000001</v>
      </c>
      <c r="BZ463" s="7">
        <v>1.6166</v>
      </c>
      <c r="CA463" s="7">
        <v>1.609</v>
      </c>
      <c r="CB463" s="7">
        <v>1.6015999999999999</v>
      </c>
      <c r="CC463" s="7">
        <v>1.5946</v>
      </c>
      <c r="CD463" s="7">
        <v>1.5878000000000001</v>
      </c>
      <c r="CE463" s="7">
        <v>1.5811999999999999</v>
      </c>
      <c r="CF463" s="7">
        <v>1.5749</v>
      </c>
      <c r="CG463" s="7">
        <v>1.5688</v>
      </c>
      <c r="CH463" s="7">
        <v>1.5629</v>
      </c>
      <c r="CI463" s="7">
        <v>1.5572999999999999</v>
      </c>
      <c r="CJ463" s="7">
        <v>1.5518000000000001</v>
      </c>
      <c r="CK463" s="7">
        <v>1.5466</v>
      </c>
      <c r="CL463" s="7">
        <v>1.5416000000000001</v>
      </c>
      <c r="CM463" s="7">
        <v>1.5367999999999999</v>
      </c>
      <c r="CN463" s="7">
        <v>1.5322</v>
      </c>
      <c r="CO463" s="7">
        <v>1.5277000000000001</v>
      </c>
      <c r="CP463" s="7">
        <v>1.5235000000000001</v>
      </c>
      <c r="CQ463" s="7">
        <v>1.5194000000000001</v>
      </c>
      <c r="CR463" s="7">
        <v>1.5156000000000001</v>
      </c>
      <c r="CS463" s="7">
        <v>1.5119</v>
      </c>
      <c r="CT463" s="7">
        <v>1.5084</v>
      </c>
      <c r="CU463" s="7">
        <v>1.5049999999999999</v>
      </c>
      <c r="CV463" s="7">
        <v>1.5019</v>
      </c>
      <c r="CW463" s="7">
        <v>1.4988999999999999</v>
      </c>
      <c r="CX463" s="7">
        <v>1.4961</v>
      </c>
      <c r="CY463" s="7">
        <v>1.4935</v>
      </c>
      <c r="CZ463" s="7">
        <v>1.4910000000000001</v>
      </c>
      <c r="DA463" s="7">
        <v>1.4886999999999999</v>
      </c>
      <c r="DB463" s="7">
        <v>1.4865999999999999</v>
      </c>
      <c r="DC463" s="7">
        <v>1.4846999999999999</v>
      </c>
      <c r="DD463" s="7">
        <v>1.4829000000000001</v>
      </c>
      <c r="DE463" s="7">
        <v>1.474</v>
      </c>
      <c r="DF463" s="7">
        <v>1.4637</v>
      </c>
      <c r="DG463" s="7">
        <v>1.4536</v>
      </c>
      <c r="DH463" s="7">
        <v>1.4437</v>
      </c>
      <c r="DI463" s="7">
        <v>1.4339999999999999</v>
      </c>
      <c r="DJ463" s="7">
        <v>1.4244000000000001</v>
      </c>
      <c r="DK463" s="7">
        <v>1.415</v>
      </c>
      <c r="DL463" s="7">
        <v>1.4056999999999999</v>
      </c>
      <c r="DM463" s="7">
        <v>1.3966000000000001</v>
      </c>
      <c r="DN463" s="7">
        <v>1.3875999999999999</v>
      </c>
      <c r="DO463" s="7">
        <v>1.3787</v>
      </c>
      <c r="DP463" s="7">
        <v>1.37</v>
      </c>
      <c r="DQ463" s="7">
        <v>1.3613999999999999</v>
      </c>
      <c r="DR463" s="7">
        <v>1.353</v>
      </c>
      <c r="DS463" s="7">
        <v>1.3446</v>
      </c>
      <c r="DT463" s="7">
        <v>1.3364</v>
      </c>
      <c r="DU463" s="7">
        <v>1.3282</v>
      </c>
      <c r="DV463" s="7">
        <v>1.3202</v>
      </c>
      <c r="DW463" s="7">
        <v>1.3123</v>
      </c>
      <c r="DX463" s="7">
        <v>1.3045</v>
      </c>
      <c r="DY463" s="7">
        <v>1.2968</v>
      </c>
      <c r="DZ463" s="7">
        <v>1.2890999999999999</v>
      </c>
      <c r="EA463" s="7">
        <v>1.2815000000000001</v>
      </c>
      <c r="EB463" s="7">
        <v>1.274</v>
      </c>
      <c r="EC463" s="7">
        <v>1.2665999999999999</v>
      </c>
      <c r="ED463" s="7">
        <v>1.2592000000000001</v>
      </c>
      <c r="EE463" s="7">
        <v>1.2519</v>
      </c>
      <c r="EF463" s="7">
        <v>1.2446999999999999</v>
      </c>
      <c r="EG463" s="7">
        <v>1.2375</v>
      </c>
      <c r="EH463" s="7">
        <v>1.2302999999999999</v>
      </c>
      <c r="EI463" s="7">
        <v>1.2231000000000001</v>
      </c>
      <c r="EJ463" s="7">
        <v>1.216</v>
      </c>
      <c r="EK463" s="7">
        <v>1.2089000000000001</v>
      </c>
      <c r="EL463" s="7">
        <v>1.2018</v>
      </c>
      <c r="EM463" s="7">
        <v>1.1947000000000001</v>
      </c>
      <c r="EN463" s="7">
        <v>1.1876</v>
      </c>
      <c r="EO463" s="7">
        <v>1.1803999999999999</v>
      </c>
      <c r="EP463" s="7">
        <v>1.1733</v>
      </c>
      <c r="EQ463" s="7">
        <v>1.1660999999999999</v>
      </c>
      <c r="ER463" s="7">
        <v>1.1588000000000001</v>
      </c>
      <c r="ES463" s="7">
        <v>1.1515</v>
      </c>
      <c r="ET463" s="7">
        <v>1.1440999999999999</v>
      </c>
      <c r="EU463" s="7">
        <v>1.1366000000000001</v>
      </c>
      <c r="EV463" s="7">
        <v>1.1291</v>
      </c>
      <c r="EW463" s="7">
        <v>1.1214</v>
      </c>
      <c r="EX463" s="7">
        <v>1.1135999999999999</v>
      </c>
      <c r="EY463" s="7">
        <v>1.1056999999999999</v>
      </c>
      <c r="EZ463" s="7">
        <v>1.0975999999999999</v>
      </c>
      <c r="FA463" s="7">
        <v>1.0893999999999999</v>
      </c>
      <c r="FB463" s="7">
        <v>1.081</v>
      </c>
      <c r="FC463" s="7">
        <v>1.0724</v>
      </c>
      <c r="FE463" s="50">
        <f t="shared" ca="1" si="48"/>
        <v>1.310741908840624</v>
      </c>
      <c r="FF463" s="50">
        <f t="shared" ca="1" si="49"/>
        <v>1.3157095802627363</v>
      </c>
      <c r="FG463" s="50">
        <f t="shared" ca="1" si="50"/>
        <v>1.320806711409396</v>
      </c>
      <c r="FH463" s="50">
        <f t="shared" ca="1" si="51"/>
        <v>1.3261758389261746</v>
      </c>
      <c r="FK463" s="50">
        <f t="shared" ca="1" si="52"/>
        <v>1.3157095802627363</v>
      </c>
      <c r="FL463" s="50"/>
      <c r="FM463" s="50"/>
      <c r="FN463" s="50"/>
    </row>
    <row r="464" spans="49:170" hidden="1">
      <c r="AW464" s="433">
        <v>1.82</v>
      </c>
      <c r="AX464" s="7">
        <v>2.0087999999999999</v>
      </c>
      <c r="AY464" s="7">
        <v>1.9851000000000001</v>
      </c>
      <c r="AZ464" s="7">
        <v>1.9624999999999999</v>
      </c>
      <c r="BA464" s="7">
        <v>1.9410000000000001</v>
      </c>
      <c r="BB464" s="7">
        <v>1.9205000000000001</v>
      </c>
      <c r="BC464" s="7">
        <v>1.9009</v>
      </c>
      <c r="BD464" s="7">
        <v>1.8822000000000001</v>
      </c>
      <c r="BE464" s="7">
        <v>1.8643000000000001</v>
      </c>
      <c r="BF464" s="7">
        <v>1.8472</v>
      </c>
      <c r="BG464" s="7">
        <v>1.8308</v>
      </c>
      <c r="BH464" s="7">
        <v>1.8150999999999999</v>
      </c>
      <c r="BI464" s="7">
        <v>1.8</v>
      </c>
      <c r="BJ464" s="7">
        <v>1.7856000000000001</v>
      </c>
      <c r="BK464" s="7">
        <v>1.7717000000000001</v>
      </c>
      <c r="BL464" s="7">
        <v>1.7584</v>
      </c>
      <c r="BM464" s="7">
        <v>1.7455000000000001</v>
      </c>
      <c r="BN464" s="7">
        <v>1.7332000000000001</v>
      </c>
      <c r="BO464" s="7">
        <v>1.7214</v>
      </c>
      <c r="BP464" s="7">
        <v>1.71</v>
      </c>
      <c r="BQ464" s="7">
        <v>1.6990000000000001</v>
      </c>
      <c r="BR464" s="7">
        <v>1.6883999999999999</v>
      </c>
      <c r="BS464" s="7">
        <v>1.6781999999999999</v>
      </c>
      <c r="BT464" s="7">
        <v>1.6684000000000001</v>
      </c>
      <c r="BU464" s="7">
        <v>1.659</v>
      </c>
      <c r="BV464" s="7">
        <v>1.6498999999999999</v>
      </c>
      <c r="BW464" s="7">
        <v>1.6411</v>
      </c>
      <c r="BX464" s="7">
        <v>1.6326000000000001</v>
      </c>
      <c r="BY464" s="7">
        <v>1.6244000000000001</v>
      </c>
      <c r="BZ464" s="7">
        <v>1.6166</v>
      </c>
      <c r="CA464" s="7">
        <v>1.609</v>
      </c>
      <c r="CB464" s="7">
        <v>1.6015999999999999</v>
      </c>
      <c r="CC464" s="7">
        <v>1.5946</v>
      </c>
      <c r="CD464" s="7">
        <v>1.5878000000000001</v>
      </c>
      <c r="CE464" s="7">
        <v>1.5811999999999999</v>
      </c>
      <c r="CF464" s="7">
        <v>1.5749</v>
      </c>
      <c r="CG464" s="7">
        <v>1.5688</v>
      </c>
      <c r="CH464" s="7">
        <v>1.5629</v>
      </c>
      <c r="CI464" s="7">
        <v>1.5572999999999999</v>
      </c>
      <c r="CJ464" s="7">
        <v>1.5518000000000001</v>
      </c>
      <c r="CK464" s="7">
        <v>1.5466</v>
      </c>
      <c r="CL464" s="7">
        <v>1.5416000000000001</v>
      </c>
      <c r="CM464" s="7">
        <v>1.5367999999999999</v>
      </c>
      <c r="CN464" s="7">
        <v>1.5322</v>
      </c>
      <c r="CO464" s="7">
        <v>1.5277000000000001</v>
      </c>
      <c r="CP464" s="7">
        <v>1.5235000000000001</v>
      </c>
      <c r="CQ464" s="7">
        <v>1.5194000000000001</v>
      </c>
      <c r="CR464" s="7">
        <v>1.5156000000000001</v>
      </c>
      <c r="CS464" s="7">
        <v>1.5119</v>
      </c>
      <c r="CT464" s="7">
        <v>1.5084</v>
      </c>
      <c r="CU464" s="7">
        <v>1.5049999999999999</v>
      </c>
      <c r="CV464" s="7">
        <v>1.5019</v>
      </c>
      <c r="CW464" s="7">
        <v>1.4988999999999999</v>
      </c>
      <c r="CX464" s="7">
        <v>1.4961</v>
      </c>
      <c r="CY464" s="7">
        <v>1.4935</v>
      </c>
      <c r="CZ464" s="7">
        <v>1.4910000000000001</v>
      </c>
      <c r="DA464" s="7">
        <v>1.4886999999999999</v>
      </c>
      <c r="DB464" s="7">
        <v>1.4865999999999999</v>
      </c>
      <c r="DC464" s="7">
        <v>1.4846999999999999</v>
      </c>
      <c r="DD464" s="7">
        <v>1.4829000000000001</v>
      </c>
      <c r="DE464" s="7">
        <v>1.4813000000000001</v>
      </c>
      <c r="DF464" s="7">
        <v>1.4725999999999999</v>
      </c>
      <c r="DG464" s="7">
        <v>1.4624999999999999</v>
      </c>
      <c r="DH464" s="7">
        <v>1.4525999999999999</v>
      </c>
      <c r="DI464" s="7">
        <v>1.4429000000000001</v>
      </c>
      <c r="DJ464" s="7">
        <v>1.4333</v>
      </c>
      <c r="DK464" s="7">
        <v>1.4238999999999999</v>
      </c>
      <c r="DL464" s="7">
        <v>1.4146000000000001</v>
      </c>
      <c r="DM464" s="7">
        <v>1.4055</v>
      </c>
      <c r="DN464" s="7">
        <v>1.3966000000000001</v>
      </c>
      <c r="DO464" s="7">
        <v>1.3876999999999999</v>
      </c>
      <c r="DP464" s="7">
        <v>1.379</v>
      </c>
      <c r="DQ464" s="7">
        <v>1.3705000000000001</v>
      </c>
      <c r="DR464" s="7">
        <v>1.3620000000000001</v>
      </c>
      <c r="DS464" s="7">
        <v>1.3536999999999999</v>
      </c>
      <c r="DT464" s="7">
        <v>1.3454999999999999</v>
      </c>
      <c r="DU464" s="7">
        <v>1.3373999999999999</v>
      </c>
      <c r="DV464" s="7">
        <v>1.3294999999999999</v>
      </c>
      <c r="DW464" s="7">
        <v>1.3216000000000001</v>
      </c>
      <c r="DX464" s="7">
        <v>1.3138000000000001</v>
      </c>
      <c r="DY464" s="7">
        <v>1.3061</v>
      </c>
      <c r="DZ464" s="7">
        <v>1.2985</v>
      </c>
      <c r="EA464" s="7">
        <v>1.2909999999999999</v>
      </c>
      <c r="EB464" s="7">
        <v>1.2835000000000001</v>
      </c>
      <c r="EC464" s="7">
        <v>1.2762</v>
      </c>
      <c r="ED464" s="7">
        <v>1.2688999999999999</v>
      </c>
      <c r="EE464" s="7">
        <v>1.2616000000000001</v>
      </c>
      <c r="EF464" s="7">
        <v>1.2544</v>
      </c>
      <c r="EG464" s="7">
        <v>1.2473000000000001</v>
      </c>
      <c r="EH464" s="7">
        <v>1.2402</v>
      </c>
      <c r="EI464" s="7">
        <v>1.2331000000000001</v>
      </c>
      <c r="EJ464" s="7">
        <v>1.2261</v>
      </c>
      <c r="EK464" s="7">
        <v>1.2190000000000001</v>
      </c>
      <c r="EL464" s="7">
        <v>1.212</v>
      </c>
      <c r="EM464" s="7">
        <v>1.2050000000000001</v>
      </c>
      <c r="EN464" s="7">
        <v>1.198</v>
      </c>
      <c r="EO464" s="7">
        <v>1.1910000000000001</v>
      </c>
      <c r="EP464" s="7">
        <v>1.1839</v>
      </c>
      <c r="EQ464" s="7">
        <v>1.1768000000000001</v>
      </c>
      <c r="ER464" s="7">
        <v>1.1697</v>
      </c>
      <c r="ES464" s="7">
        <v>1.1625000000000001</v>
      </c>
      <c r="ET464" s="7">
        <v>1.1552</v>
      </c>
      <c r="EU464" s="7">
        <v>1.1478999999999999</v>
      </c>
      <c r="EV464" s="7">
        <v>1.1405000000000001</v>
      </c>
      <c r="EW464" s="7">
        <v>1.133</v>
      </c>
      <c r="EX464" s="7">
        <v>1.1253</v>
      </c>
      <c r="EY464" s="7">
        <v>1.1175999999999999</v>
      </c>
      <c r="EZ464" s="7">
        <v>1.1096999999999999</v>
      </c>
      <c r="FA464" s="7">
        <v>1.1015999999999999</v>
      </c>
      <c r="FB464" s="7">
        <v>1.0933999999999999</v>
      </c>
      <c r="FC464" s="7">
        <v>1.085</v>
      </c>
      <c r="FE464" s="50">
        <f t="shared" ca="1" si="48"/>
        <v>1.3200419088406241</v>
      </c>
      <c r="FF464" s="50">
        <f t="shared" ca="1" si="49"/>
        <v>1.3250095802627364</v>
      </c>
      <c r="FG464" s="50">
        <f t="shared" ca="1" si="50"/>
        <v>1.3300991275167786</v>
      </c>
      <c r="FH464" s="50">
        <f t="shared" ca="1" si="51"/>
        <v>1.3354011409395974</v>
      </c>
      <c r="FK464" s="50">
        <f t="shared" ca="1" si="52"/>
        <v>1.3250095802627364</v>
      </c>
      <c r="FL464" s="50"/>
      <c r="FM464" s="50"/>
      <c r="FN464" s="50"/>
    </row>
    <row r="465" spans="49:170" hidden="1">
      <c r="AW465" s="433">
        <v>1.95</v>
      </c>
      <c r="AX465" s="7">
        <v>2.0087999999999999</v>
      </c>
      <c r="AY465" s="7">
        <v>1.9851000000000001</v>
      </c>
      <c r="AZ465" s="7">
        <v>1.9624999999999999</v>
      </c>
      <c r="BA465" s="7">
        <v>1.9410000000000001</v>
      </c>
      <c r="BB465" s="7">
        <v>1.9205000000000001</v>
      </c>
      <c r="BC465" s="7">
        <v>1.9009</v>
      </c>
      <c r="BD465" s="7">
        <v>1.8822000000000001</v>
      </c>
      <c r="BE465" s="7">
        <v>1.8643000000000001</v>
      </c>
      <c r="BF465" s="7">
        <v>1.8472</v>
      </c>
      <c r="BG465" s="7">
        <v>1.8308</v>
      </c>
      <c r="BH465" s="7">
        <v>1.8150999999999999</v>
      </c>
      <c r="BI465" s="7">
        <v>1.8</v>
      </c>
      <c r="BJ465" s="7">
        <v>1.7856000000000001</v>
      </c>
      <c r="BK465" s="7">
        <v>1.7717000000000001</v>
      </c>
      <c r="BL465" s="7">
        <v>1.7584</v>
      </c>
      <c r="BM465" s="7">
        <v>1.7455000000000001</v>
      </c>
      <c r="BN465" s="7">
        <v>1.7332000000000001</v>
      </c>
      <c r="BO465" s="7">
        <v>1.7214</v>
      </c>
      <c r="BP465" s="7">
        <v>1.71</v>
      </c>
      <c r="BQ465" s="7">
        <v>1.6990000000000001</v>
      </c>
      <c r="BR465" s="7">
        <v>1.6883999999999999</v>
      </c>
      <c r="BS465" s="7">
        <v>1.6781999999999999</v>
      </c>
      <c r="BT465" s="7">
        <v>1.6684000000000001</v>
      </c>
      <c r="BU465" s="7">
        <v>1.659</v>
      </c>
      <c r="BV465" s="7">
        <v>1.6498999999999999</v>
      </c>
      <c r="BW465" s="7">
        <v>1.6411</v>
      </c>
      <c r="BX465" s="7">
        <v>1.6326000000000001</v>
      </c>
      <c r="BY465" s="7">
        <v>1.6244000000000001</v>
      </c>
      <c r="BZ465" s="7">
        <v>1.6166</v>
      </c>
      <c r="CA465" s="7">
        <v>1.609</v>
      </c>
      <c r="CB465" s="7">
        <v>1.6015999999999999</v>
      </c>
      <c r="CC465" s="7">
        <v>1.5946</v>
      </c>
      <c r="CD465" s="7">
        <v>1.5878000000000001</v>
      </c>
      <c r="CE465" s="7">
        <v>1.5811999999999999</v>
      </c>
      <c r="CF465" s="7">
        <v>1.5749</v>
      </c>
      <c r="CG465" s="7">
        <v>1.5688</v>
      </c>
      <c r="CH465" s="7">
        <v>1.5629</v>
      </c>
      <c r="CI465" s="7">
        <v>1.5572999999999999</v>
      </c>
      <c r="CJ465" s="7">
        <v>1.5518000000000001</v>
      </c>
      <c r="CK465" s="7">
        <v>1.5466</v>
      </c>
      <c r="CL465" s="7">
        <v>1.5416000000000001</v>
      </c>
      <c r="CM465" s="7">
        <v>1.5367999999999999</v>
      </c>
      <c r="CN465" s="7">
        <v>1.5322</v>
      </c>
      <c r="CO465" s="7">
        <v>1.5277000000000001</v>
      </c>
      <c r="CP465" s="7">
        <v>1.5235000000000001</v>
      </c>
      <c r="CQ465" s="7">
        <v>1.5194000000000001</v>
      </c>
      <c r="CR465" s="7">
        <v>1.5156000000000001</v>
      </c>
      <c r="CS465" s="7">
        <v>1.5119</v>
      </c>
      <c r="CT465" s="7">
        <v>1.5084</v>
      </c>
      <c r="CU465" s="7">
        <v>1.5049999999999999</v>
      </c>
      <c r="CV465" s="7">
        <v>1.5019</v>
      </c>
      <c r="CW465" s="7">
        <v>1.4988999999999999</v>
      </c>
      <c r="CX465" s="7">
        <v>1.4961</v>
      </c>
      <c r="CY465" s="7">
        <v>1.4935</v>
      </c>
      <c r="CZ465" s="7">
        <v>1.4910000000000001</v>
      </c>
      <c r="DA465" s="7">
        <v>1.4886999999999999</v>
      </c>
      <c r="DB465" s="7">
        <v>1.4865999999999999</v>
      </c>
      <c r="DC465" s="7">
        <v>1.4846999999999999</v>
      </c>
      <c r="DD465" s="7">
        <v>1.4829000000000001</v>
      </c>
      <c r="DE465" s="7">
        <v>1.4813000000000001</v>
      </c>
      <c r="DF465" s="7">
        <v>1.4798</v>
      </c>
      <c r="DG465" s="7">
        <v>1.4713000000000001</v>
      </c>
      <c r="DH465" s="7">
        <v>1.4614</v>
      </c>
      <c r="DI465" s="7">
        <v>1.4517</v>
      </c>
      <c r="DJ465" s="7">
        <v>1.4420999999999999</v>
      </c>
      <c r="DK465" s="7">
        <v>1.4327000000000001</v>
      </c>
      <c r="DL465" s="7">
        <v>1.4235</v>
      </c>
      <c r="DM465" s="7">
        <v>1.4144000000000001</v>
      </c>
      <c r="DN465" s="7">
        <v>1.4054</v>
      </c>
      <c r="DO465" s="7">
        <v>1.3966000000000001</v>
      </c>
      <c r="DP465" s="7">
        <v>1.3879999999999999</v>
      </c>
      <c r="DQ465" s="7">
        <v>1.3794</v>
      </c>
      <c r="DR465" s="7">
        <v>1.371</v>
      </c>
      <c r="DS465" s="7">
        <v>1.3627</v>
      </c>
      <c r="DT465" s="7">
        <v>1.3546</v>
      </c>
      <c r="DU465" s="7">
        <v>1.3465</v>
      </c>
      <c r="DV465" s="7">
        <v>1.3386</v>
      </c>
      <c r="DW465" s="7">
        <v>1.3307</v>
      </c>
      <c r="DX465" s="7">
        <v>1.323</v>
      </c>
      <c r="DY465" s="7">
        <v>1.3153999999999999</v>
      </c>
      <c r="DZ465" s="7">
        <v>1.3078000000000001</v>
      </c>
      <c r="EA465" s="7">
        <v>1.3003</v>
      </c>
      <c r="EB465" s="7">
        <v>1.2928999999999999</v>
      </c>
      <c r="EC465" s="7">
        <v>1.2856000000000001</v>
      </c>
      <c r="ED465" s="7">
        <v>1.2784</v>
      </c>
      <c r="EE465" s="7">
        <v>1.2712000000000001</v>
      </c>
      <c r="EF465" s="7">
        <v>1.2641</v>
      </c>
      <c r="EG465" s="7">
        <v>1.2569999999999999</v>
      </c>
      <c r="EH465" s="7">
        <v>1.25</v>
      </c>
      <c r="EI465" s="7">
        <v>1.2430000000000001</v>
      </c>
      <c r="EJ465" s="7">
        <v>1.236</v>
      </c>
      <c r="EK465" s="7">
        <v>1.2291000000000001</v>
      </c>
      <c r="EL465" s="7">
        <v>1.2221</v>
      </c>
      <c r="EM465" s="7">
        <v>1.2152000000000001</v>
      </c>
      <c r="EN465" s="7">
        <v>1.2082999999999999</v>
      </c>
      <c r="EO465" s="7">
        <v>1.2014</v>
      </c>
      <c r="EP465" s="7">
        <v>1.1943999999999999</v>
      </c>
      <c r="EQ465" s="7">
        <v>1.1874</v>
      </c>
      <c r="ER465" s="7">
        <v>1.1803999999999999</v>
      </c>
      <c r="ES465" s="7">
        <v>1.1733</v>
      </c>
      <c r="ET465" s="7">
        <v>1.1661999999999999</v>
      </c>
      <c r="EU465" s="7">
        <v>1.159</v>
      </c>
      <c r="EV465" s="7">
        <v>1.1516999999999999</v>
      </c>
      <c r="EW465" s="7">
        <v>1.1444000000000001</v>
      </c>
      <c r="EX465" s="7">
        <v>1.1369</v>
      </c>
      <c r="EY465" s="7">
        <v>1.1293</v>
      </c>
      <c r="EZ465" s="7">
        <v>1.1215999999999999</v>
      </c>
      <c r="FA465" s="7">
        <v>1.1136999999999999</v>
      </c>
      <c r="FB465" s="7">
        <v>1.1056999999999999</v>
      </c>
      <c r="FC465" s="7">
        <v>1.0973999999999999</v>
      </c>
      <c r="FE465" s="50">
        <f t="shared" ca="1" si="48"/>
        <v>1.3291618843683082</v>
      </c>
      <c r="FF465" s="50">
        <f t="shared" ca="1" si="49"/>
        <v>1.3341095802627361</v>
      </c>
      <c r="FG465" s="50">
        <f t="shared" ca="1" si="50"/>
        <v>1.3391991275167787</v>
      </c>
      <c r="FH465" s="50">
        <f t="shared" ca="1" si="51"/>
        <v>1.3445011409395975</v>
      </c>
      <c r="FK465" s="50">
        <f t="shared" ca="1" si="52"/>
        <v>1.3341095802627361</v>
      </c>
      <c r="FL465" s="50"/>
      <c r="FM465" s="50"/>
      <c r="FN465" s="50"/>
    </row>
    <row r="466" spans="49:170" hidden="1">
      <c r="AW466" s="433">
        <v>2.089</v>
      </c>
      <c r="AX466" s="7">
        <v>2.0087999999999999</v>
      </c>
      <c r="AY466" s="7">
        <v>1.9851000000000001</v>
      </c>
      <c r="AZ466" s="7">
        <v>1.9624999999999999</v>
      </c>
      <c r="BA466" s="7">
        <v>1.9410000000000001</v>
      </c>
      <c r="BB466" s="7">
        <v>1.9205000000000001</v>
      </c>
      <c r="BC466" s="7">
        <v>1.9009</v>
      </c>
      <c r="BD466" s="7">
        <v>1.8822000000000001</v>
      </c>
      <c r="BE466" s="7">
        <v>1.8643000000000001</v>
      </c>
      <c r="BF466" s="7">
        <v>1.8472</v>
      </c>
      <c r="BG466" s="7">
        <v>1.8308</v>
      </c>
      <c r="BH466" s="7">
        <v>1.8150999999999999</v>
      </c>
      <c r="BI466" s="7">
        <v>1.8</v>
      </c>
      <c r="BJ466" s="7">
        <v>1.7856000000000001</v>
      </c>
      <c r="BK466" s="7">
        <v>1.7717000000000001</v>
      </c>
      <c r="BL466" s="7">
        <v>1.7584</v>
      </c>
      <c r="BM466" s="7">
        <v>1.7455000000000001</v>
      </c>
      <c r="BN466" s="7">
        <v>1.7332000000000001</v>
      </c>
      <c r="BO466" s="7">
        <v>1.7214</v>
      </c>
      <c r="BP466" s="7">
        <v>1.71</v>
      </c>
      <c r="BQ466" s="7">
        <v>1.6990000000000001</v>
      </c>
      <c r="BR466" s="7">
        <v>1.6883999999999999</v>
      </c>
      <c r="BS466" s="7">
        <v>1.6781999999999999</v>
      </c>
      <c r="BT466" s="7">
        <v>1.6684000000000001</v>
      </c>
      <c r="BU466" s="7">
        <v>1.659</v>
      </c>
      <c r="BV466" s="7">
        <v>1.6498999999999999</v>
      </c>
      <c r="BW466" s="7">
        <v>1.6411</v>
      </c>
      <c r="BX466" s="7">
        <v>1.6326000000000001</v>
      </c>
      <c r="BY466" s="7">
        <v>1.6244000000000001</v>
      </c>
      <c r="BZ466" s="7">
        <v>1.6166</v>
      </c>
      <c r="CA466" s="7">
        <v>1.609</v>
      </c>
      <c r="CB466" s="7">
        <v>1.6015999999999999</v>
      </c>
      <c r="CC466" s="7">
        <v>1.5946</v>
      </c>
      <c r="CD466" s="7">
        <v>1.5878000000000001</v>
      </c>
      <c r="CE466" s="7">
        <v>1.5811999999999999</v>
      </c>
      <c r="CF466" s="7">
        <v>1.5749</v>
      </c>
      <c r="CG466" s="7">
        <v>1.5688</v>
      </c>
      <c r="CH466" s="7">
        <v>1.5629</v>
      </c>
      <c r="CI466" s="7">
        <v>1.5572999999999999</v>
      </c>
      <c r="CJ466" s="7">
        <v>1.5518000000000001</v>
      </c>
      <c r="CK466" s="7">
        <v>1.5466</v>
      </c>
      <c r="CL466" s="7">
        <v>1.5416000000000001</v>
      </c>
      <c r="CM466" s="7">
        <v>1.5367999999999999</v>
      </c>
      <c r="CN466" s="7">
        <v>1.5322</v>
      </c>
      <c r="CO466" s="7">
        <v>1.5277000000000001</v>
      </c>
      <c r="CP466" s="7">
        <v>1.5235000000000001</v>
      </c>
      <c r="CQ466" s="7">
        <v>1.5194000000000001</v>
      </c>
      <c r="CR466" s="7">
        <v>1.5156000000000001</v>
      </c>
      <c r="CS466" s="7">
        <v>1.5119</v>
      </c>
      <c r="CT466" s="7">
        <v>1.5084</v>
      </c>
      <c r="CU466" s="7">
        <v>1.5049999999999999</v>
      </c>
      <c r="CV466" s="7">
        <v>1.5019</v>
      </c>
      <c r="CW466" s="7">
        <v>1.4988999999999999</v>
      </c>
      <c r="CX466" s="7">
        <v>1.4961</v>
      </c>
      <c r="CY466" s="7">
        <v>1.4935</v>
      </c>
      <c r="CZ466" s="7">
        <v>1.4910000000000001</v>
      </c>
      <c r="DA466" s="7">
        <v>1.4886999999999999</v>
      </c>
      <c r="DB466" s="7">
        <v>1.4865999999999999</v>
      </c>
      <c r="DC466" s="7">
        <v>1.4846999999999999</v>
      </c>
      <c r="DD466" s="7">
        <v>1.4829000000000001</v>
      </c>
      <c r="DE466" s="7">
        <v>1.4813000000000001</v>
      </c>
      <c r="DF466" s="7">
        <v>1.4798</v>
      </c>
      <c r="DG466" s="7">
        <v>1.4785999999999999</v>
      </c>
      <c r="DH466" s="7">
        <v>1.4701</v>
      </c>
      <c r="DI466" s="7">
        <v>1.4603999999999999</v>
      </c>
      <c r="DJ466" s="7">
        <v>1.4508000000000001</v>
      </c>
      <c r="DK466" s="7">
        <v>1.4414</v>
      </c>
      <c r="DL466" s="7">
        <v>1.4321999999999999</v>
      </c>
      <c r="DM466" s="7">
        <v>1.4231</v>
      </c>
      <c r="DN466" s="7">
        <v>1.4141999999999999</v>
      </c>
      <c r="DO466" s="7">
        <v>1.4054</v>
      </c>
      <c r="DP466" s="7">
        <v>1.3968</v>
      </c>
      <c r="DQ466" s="7">
        <v>1.3883000000000001</v>
      </c>
      <c r="DR466" s="7">
        <v>1.3798999999999999</v>
      </c>
      <c r="DS466" s="7">
        <v>1.3716999999999999</v>
      </c>
      <c r="DT466" s="7">
        <v>1.3634999999999999</v>
      </c>
      <c r="DU466" s="7">
        <v>1.3554999999999999</v>
      </c>
      <c r="DV466" s="7">
        <v>1.3475999999999999</v>
      </c>
      <c r="DW466" s="7">
        <v>1.3398000000000001</v>
      </c>
      <c r="DX466" s="7">
        <v>1.3321000000000001</v>
      </c>
      <c r="DY466" s="7">
        <v>1.3245</v>
      </c>
      <c r="DZ466" s="7">
        <v>1.3169999999999999</v>
      </c>
      <c r="EA466" s="7">
        <v>1.3096000000000001</v>
      </c>
      <c r="EB466" s="7">
        <v>1.3022</v>
      </c>
      <c r="EC466" s="7">
        <v>1.2949999999999999</v>
      </c>
      <c r="ED466" s="7">
        <v>1.2878000000000001</v>
      </c>
      <c r="EE466" s="7">
        <v>1.2806999999999999</v>
      </c>
      <c r="EF466" s="7">
        <v>1.2736000000000001</v>
      </c>
      <c r="EG466" s="7">
        <v>1.2665999999999999</v>
      </c>
      <c r="EH466" s="7">
        <v>1.2596000000000001</v>
      </c>
      <c r="EI466" s="7">
        <v>1.2526999999999999</v>
      </c>
      <c r="EJ466" s="7">
        <v>1.2458</v>
      </c>
      <c r="EK466" s="7">
        <v>1.2390000000000001</v>
      </c>
      <c r="EL466" s="7">
        <v>1.2321</v>
      </c>
      <c r="EM466" s="7">
        <v>1.2253000000000001</v>
      </c>
      <c r="EN466" s="7">
        <v>1.2184999999999999</v>
      </c>
      <c r="EO466" s="7">
        <v>1.2117</v>
      </c>
      <c r="EP466" s="7">
        <v>1.2048000000000001</v>
      </c>
      <c r="EQ466" s="7">
        <v>1.1979</v>
      </c>
      <c r="ER466" s="7">
        <v>1.1910000000000001</v>
      </c>
      <c r="ES466" s="7">
        <v>1.1840999999999999</v>
      </c>
      <c r="ET466" s="7">
        <v>1.1771</v>
      </c>
      <c r="EU466" s="7">
        <v>1.17</v>
      </c>
      <c r="EV466" s="7">
        <v>1.1629</v>
      </c>
      <c r="EW466" s="7">
        <v>1.1556999999999999</v>
      </c>
      <c r="EX466" s="7">
        <v>1.1483000000000001</v>
      </c>
      <c r="EY466" s="7">
        <v>1.1409</v>
      </c>
      <c r="EZ466" s="7">
        <v>1.1333</v>
      </c>
      <c r="FA466" s="7">
        <v>1.1255999999999999</v>
      </c>
      <c r="FB466" s="7">
        <v>1.1177999999999999</v>
      </c>
      <c r="FC466" s="7">
        <v>1.1096999999999999</v>
      </c>
      <c r="FE466" s="50">
        <f t="shared" ca="1" si="48"/>
        <v>1.3382618843683083</v>
      </c>
      <c r="FF466" s="50">
        <f t="shared" ca="1" si="49"/>
        <v>1.3431664210189043</v>
      </c>
      <c r="FG466" s="50">
        <f t="shared" ca="1" si="50"/>
        <v>1.3481991275167786</v>
      </c>
      <c r="FH466" s="50">
        <f t="shared" ca="1" si="51"/>
        <v>1.3535011409395974</v>
      </c>
      <c r="FK466" s="50">
        <f t="shared" ca="1" si="52"/>
        <v>1.3431664210189043</v>
      </c>
      <c r="FL466" s="50"/>
      <c r="FM466" s="50"/>
      <c r="FN466" s="50"/>
    </row>
    <row r="467" spans="49:170" hidden="1">
      <c r="AW467" s="433">
        <v>2.2389999999999999</v>
      </c>
      <c r="AX467" s="7">
        <v>2.0087999999999999</v>
      </c>
      <c r="AY467" s="7">
        <v>1.9851000000000001</v>
      </c>
      <c r="AZ467" s="7">
        <v>1.9624999999999999</v>
      </c>
      <c r="BA467" s="7">
        <v>1.9410000000000001</v>
      </c>
      <c r="BB467" s="7">
        <v>1.9205000000000001</v>
      </c>
      <c r="BC467" s="7">
        <v>1.9009</v>
      </c>
      <c r="BD467" s="7">
        <v>1.8822000000000001</v>
      </c>
      <c r="BE467" s="7">
        <v>1.8643000000000001</v>
      </c>
      <c r="BF467" s="7">
        <v>1.8472</v>
      </c>
      <c r="BG467" s="7">
        <v>1.8308</v>
      </c>
      <c r="BH467" s="7">
        <v>1.8150999999999999</v>
      </c>
      <c r="BI467" s="7">
        <v>1.8</v>
      </c>
      <c r="BJ467" s="7">
        <v>1.7856000000000001</v>
      </c>
      <c r="BK467" s="7">
        <v>1.7717000000000001</v>
      </c>
      <c r="BL467" s="7">
        <v>1.7584</v>
      </c>
      <c r="BM467" s="7">
        <v>1.7455000000000001</v>
      </c>
      <c r="BN467" s="7">
        <v>1.7332000000000001</v>
      </c>
      <c r="BO467" s="7">
        <v>1.7214</v>
      </c>
      <c r="BP467" s="7">
        <v>1.71</v>
      </c>
      <c r="BQ467" s="7">
        <v>1.6990000000000001</v>
      </c>
      <c r="BR467" s="7">
        <v>1.6883999999999999</v>
      </c>
      <c r="BS467" s="7">
        <v>1.6781999999999999</v>
      </c>
      <c r="BT467" s="7">
        <v>1.6684000000000001</v>
      </c>
      <c r="BU467" s="7">
        <v>1.659</v>
      </c>
      <c r="BV467" s="7">
        <v>1.6498999999999999</v>
      </c>
      <c r="BW467" s="7">
        <v>1.6411</v>
      </c>
      <c r="BX467" s="7">
        <v>1.6326000000000001</v>
      </c>
      <c r="BY467" s="7">
        <v>1.6244000000000001</v>
      </c>
      <c r="BZ467" s="7">
        <v>1.6166</v>
      </c>
      <c r="CA467" s="7">
        <v>1.609</v>
      </c>
      <c r="CB467" s="7">
        <v>1.6015999999999999</v>
      </c>
      <c r="CC467" s="7">
        <v>1.5946</v>
      </c>
      <c r="CD467" s="7">
        <v>1.5878000000000001</v>
      </c>
      <c r="CE467" s="7">
        <v>1.5811999999999999</v>
      </c>
      <c r="CF467" s="7">
        <v>1.5749</v>
      </c>
      <c r="CG467" s="7">
        <v>1.5688</v>
      </c>
      <c r="CH467" s="7">
        <v>1.5629</v>
      </c>
      <c r="CI467" s="7">
        <v>1.5572999999999999</v>
      </c>
      <c r="CJ467" s="7">
        <v>1.5518000000000001</v>
      </c>
      <c r="CK467" s="7">
        <v>1.5466</v>
      </c>
      <c r="CL467" s="7">
        <v>1.5416000000000001</v>
      </c>
      <c r="CM467" s="7">
        <v>1.5367999999999999</v>
      </c>
      <c r="CN467" s="7">
        <v>1.5322</v>
      </c>
      <c r="CO467" s="7">
        <v>1.5277000000000001</v>
      </c>
      <c r="CP467" s="7">
        <v>1.5235000000000001</v>
      </c>
      <c r="CQ467" s="7">
        <v>1.5194000000000001</v>
      </c>
      <c r="CR467" s="7">
        <v>1.5156000000000001</v>
      </c>
      <c r="CS467" s="7">
        <v>1.5119</v>
      </c>
      <c r="CT467" s="7">
        <v>1.5084</v>
      </c>
      <c r="CU467" s="7">
        <v>1.5049999999999999</v>
      </c>
      <c r="CV467" s="7">
        <v>1.5019</v>
      </c>
      <c r="CW467" s="7">
        <v>1.4988999999999999</v>
      </c>
      <c r="CX467" s="7">
        <v>1.4961</v>
      </c>
      <c r="CY467" s="7">
        <v>1.4935</v>
      </c>
      <c r="CZ467" s="7">
        <v>1.4910000000000001</v>
      </c>
      <c r="DA467" s="7">
        <v>1.4886999999999999</v>
      </c>
      <c r="DB467" s="7">
        <v>1.4865999999999999</v>
      </c>
      <c r="DC467" s="7">
        <v>1.4846999999999999</v>
      </c>
      <c r="DD467" s="7">
        <v>1.4829000000000001</v>
      </c>
      <c r="DE467" s="7">
        <v>1.4813000000000001</v>
      </c>
      <c r="DF467" s="7">
        <v>1.4798</v>
      </c>
      <c r="DG467" s="7">
        <v>1.4785999999999999</v>
      </c>
      <c r="DH467" s="7">
        <v>1.4775</v>
      </c>
      <c r="DI467" s="7">
        <v>1.4690000000000001</v>
      </c>
      <c r="DJ467" s="7">
        <v>1.4594</v>
      </c>
      <c r="DK467" s="7">
        <v>1.4500999999999999</v>
      </c>
      <c r="DL467" s="7">
        <v>1.4409000000000001</v>
      </c>
      <c r="DM467" s="7">
        <v>1.4318</v>
      </c>
      <c r="DN467" s="7">
        <v>1.4229000000000001</v>
      </c>
      <c r="DO467" s="7">
        <v>1.4140999999999999</v>
      </c>
      <c r="DP467" s="7">
        <v>1.4055</v>
      </c>
      <c r="DQ467" s="7">
        <v>1.397</v>
      </c>
      <c r="DR467" s="7">
        <v>1.3887</v>
      </c>
      <c r="DS467" s="7">
        <v>1.3805000000000001</v>
      </c>
      <c r="DT467" s="7">
        <v>1.3724000000000001</v>
      </c>
      <c r="DU467" s="7">
        <v>1.3644000000000001</v>
      </c>
      <c r="DV467" s="7">
        <v>1.3565</v>
      </c>
      <c r="DW467" s="7">
        <v>1.3488</v>
      </c>
      <c r="DX467" s="7">
        <v>1.3411</v>
      </c>
      <c r="DY467" s="7">
        <v>1.3334999999999999</v>
      </c>
      <c r="DZ467" s="7">
        <v>1.3261000000000001</v>
      </c>
      <c r="EA467" s="7">
        <v>1.3187</v>
      </c>
      <c r="EB467" s="7">
        <v>1.3113999999999999</v>
      </c>
      <c r="EC467" s="7">
        <v>1.3042</v>
      </c>
      <c r="ED467" s="7">
        <v>1.2970999999999999</v>
      </c>
      <c r="EE467" s="7">
        <v>1.29</v>
      </c>
      <c r="EF467" s="7">
        <v>1.2829999999999999</v>
      </c>
      <c r="EG467" s="7">
        <v>1.2761</v>
      </c>
      <c r="EH467" s="7">
        <v>1.2692000000000001</v>
      </c>
      <c r="EI467" s="7">
        <v>1.2624</v>
      </c>
      <c r="EJ467" s="7">
        <v>1.2556</v>
      </c>
      <c r="EK467" s="7">
        <v>1.2487999999999999</v>
      </c>
      <c r="EL467" s="7">
        <v>1.242</v>
      </c>
      <c r="EM467" s="7">
        <v>1.2353000000000001</v>
      </c>
      <c r="EN467" s="7">
        <v>1.2285999999999999</v>
      </c>
      <c r="EO467" s="7">
        <v>1.2218</v>
      </c>
      <c r="EP467" s="7">
        <v>1.2151000000000001</v>
      </c>
      <c r="EQ467" s="7">
        <v>1.2082999999999999</v>
      </c>
      <c r="ER467" s="7">
        <v>1.2016</v>
      </c>
      <c r="ES467" s="7">
        <v>1.1947000000000001</v>
      </c>
      <c r="ET467" s="7">
        <v>1.1879</v>
      </c>
      <c r="EU467" s="7">
        <v>1.1809000000000001</v>
      </c>
      <c r="EV467" s="7">
        <v>1.1738999999999999</v>
      </c>
      <c r="EW467" s="7">
        <v>1.1668000000000001</v>
      </c>
      <c r="EX467" s="7">
        <v>1.1597</v>
      </c>
      <c r="EY467" s="7">
        <v>1.1524000000000001</v>
      </c>
      <c r="EZ467" s="7">
        <v>1.145</v>
      </c>
      <c r="FA467" s="7">
        <v>1.1374</v>
      </c>
      <c r="FB467" s="7">
        <v>1.1297999999999999</v>
      </c>
      <c r="FC467" s="7">
        <v>1.1218999999999999</v>
      </c>
      <c r="FE467" s="50">
        <f t="shared" ca="1" si="48"/>
        <v>1.3472618843683082</v>
      </c>
      <c r="FF467" s="50">
        <f t="shared" ca="1" si="49"/>
        <v>1.3521232617750722</v>
      </c>
      <c r="FG467" s="50">
        <f t="shared" ca="1" si="50"/>
        <v>1.3570991275167787</v>
      </c>
      <c r="FH467" s="50">
        <f t="shared" ca="1" si="51"/>
        <v>1.3624011409395975</v>
      </c>
      <c r="FK467" s="50">
        <f t="shared" ca="1" si="52"/>
        <v>1.3521232617750722</v>
      </c>
      <c r="FL467" s="50"/>
      <c r="FM467" s="50"/>
      <c r="FN467" s="50"/>
    </row>
    <row r="468" spans="49:170" hidden="1">
      <c r="AW468" s="433">
        <v>2.399</v>
      </c>
      <c r="AX468" s="7">
        <v>2.0087999999999999</v>
      </c>
      <c r="AY468" s="7">
        <v>1.9851000000000001</v>
      </c>
      <c r="AZ468" s="7">
        <v>1.9624999999999999</v>
      </c>
      <c r="BA468" s="7">
        <v>1.9410000000000001</v>
      </c>
      <c r="BB468" s="7">
        <v>1.9205000000000001</v>
      </c>
      <c r="BC468" s="7">
        <v>1.9009</v>
      </c>
      <c r="BD468" s="7">
        <v>1.8822000000000001</v>
      </c>
      <c r="BE468" s="7">
        <v>1.8643000000000001</v>
      </c>
      <c r="BF468" s="7">
        <v>1.8472</v>
      </c>
      <c r="BG468" s="7">
        <v>1.8308</v>
      </c>
      <c r="BH468" s="7">
        <v>1.8150999999999999</v>
      </c>
      <c r="BI468" s="7">
        <v>1.8</v>
      </c>
      <c r="BJ468" s="7">
        <v>1.7856000000000001</v>
      </c>
      <c r="BK468" s="7">
        <v>1.7717000000000001</v>
      </c>
      <c r="BL468" s="7">
        <v>1.7584</v>
      </c>
      <c r="BM468" s="7">
        <v>1.7455000000000001</v>
      </c>
      <c r="BN468" s="7">
        <v>1.7332000000000001</v>
      </c>
      <c r="BO468" s="7">
        <v>1.7214</v>
      </c>
      <c r="BP468" s="7">
        <v>1.71</v>
      </c>
      <c r="BQ468" s="7">
        <v>1.6990000000000001</v>
      </c>
      <c r="BR468" s="7">
        <v>1.6883999999999999</v>
      </c>
      <c r="BS468" s="7">
        <v>1.6781999999999999</v>
      </c>
      <c r="BT468" s="7">
        <v>1.6684000000000001</v>
      </c>
      <c r="BU468" s="7">
        <v>1.659</v>
      </c>
      <c r="BV468" s="7">
        <v>1.6498999999999999</v>
      </c>
      <c r="BW468" s="7">
        <v>1.6411</v>
      </c>
      <c r="BX468" s="7">
        <v>1.6326000000000001</v>
      </c>
      <c r="BY468" s="7">
        <v>1.6244000000000001</v>
      </c>
      <c r="BZ468" s="7">
        <v>1.6166</v>
      </c>
      <c r="CA468" s="7">
        <v>1.609</v>
      </c>
      <c r="CB468" s="7">
        <v>1.6015999999999999</v>
      </c>
      <c r="CC468" s="7">
        <v>1.5946</v>
      </c>
      <c r="CD468" s="7">
        <v>1.5878000000000001</v>
      </c>
      <c r="CE468" s="7">
        <v>1.5811999999999999</v>
      </c>
      <c r="CF468" s="7">
        <v>1.5749</v>
      </c>
      <c r="CG468" s="7">
        <v>1.5688</v>
      </c>
      <c r="CH468" s="7">
        <v>1.5629</v>
      </c>
      <c r="CI468" s="7">
        <v>1.5572999999999999</v>
      </c>
      <c r="CJ468" s="7">
        <v>1.5518000000000001</v>
      </c>
      <c r="CK468" s="7">
        <v>1.5466</v>
      </c>
      <c r="CL468" s="7">
        <v>1.5416000000000001</v>
      </c>
      <c r="CM468" s="7">
        <v>1.5367999999999999</v>
      </c>
      <c r="CN468" s="7">
        <v>1.5322</v>
      </c>
      <c r="CO468" s="7">
        <v>1.5277000000000001</v>
      </c>
      <c r="CP468" s="7">
        <v>1.5235000000000001</v>
      </c>
      <c r="CQ468" s="7">
        <v>1.5194000000000001</v>
      </c>
      <c r="CR468" s="7">
        <v>1.5156000000000001</v>
      </c>
      <c r="CS468" s="7">
        <v>1.5119</v>
      </c>
      <c r="CT468" s="7">
        <v>1.5084</v>
      </c>
      <c r="CU468" s="7">
        <v>1.5049999999999999</v>
      </c>
      <c r="CV468" s="7">
        <v>1.5019</v>
      </c>
      <c r="CW468" s="7">
        <v>1.4988999999999999</v>
      </c>
      <c r="CX468" s="7">
        <v>1.4961</v>
      </c>
      <c r="CY468" s="7">
        <v>1.4935</v>
      </c>
      <c r="CZ468" s="7">
        <v>1.4910000000000001</v>
      </c>
      <c r="DA468" s="7">
        <v>1.4886999999999999</v>
      </c>
      <c r="DB468" s="7">
        <v>1.4865999999999999</v>
      </c>
      <c r="DC468" s="7">
        <v>1.4846999999999999</v>
      </c>
      <c r="DD468" s="7">
        <v>1.4829000000000001</v>
      </c>
      <c r="DE468" s="7">
        <v>1.4813000000000001</v>
      </c>
      <c r="DF468" s="7">
        <v>1.4798</v>
      </c>
      <c r="DG468" s="7">
        <v>1.4785999999999999</v>
      </c>
      <c r="DH468" s="7">
        <v>1.4775</v>
      </c>
      <c r="DI468" s="7">
        <v>1.4765999999999999</v>
      </c>
      <c r="DJ468" s="7">
        <v>1.4679</v>
      </c>
      <c r="DK468" s="7">
        <v>1.4585999999999999</v>
      </c>
      <c r="DL468" s="7">
        <v>1.4494</v>
      </c>
      <c r="DM468" s="7">
        <v>1.4403999999999999</v>
      </c>
      <c r="DN468" s="7">
        <v>1.4315</v>
      </c>
      <c r="DO468" s="7">
        <v>1.4228000000000001</v>
      </c>
      <c r="DP468" s="7">
        <v>1.4141999999999999</v>
      </c>
      <c r="DQ468" s="7">
        <v>1.4056999999999999</v>
      </c>
      <c r="DR468" s="7">
        <v>1.3974</v>
      </c>
      <c r="DS468" s="7">
        <v>1.3892</v>
      </c>
      <c r="DT468" s="7">
        <v>1.3811</v>
      </c>
      <c r="DU468" s="7">
        <v>1.3732</v>
      </c>
      <c r="DV468" s="7">
        <v>1.3653</v>
      </c>
      <c r="DW468" s="7">
        <v>1.3575999999999999</v>
      </c>
      <c r="DX468" s="7">
        <v>1.35</v>
      </c>
      <c r="DY468" s="7">
        <v>1.3425</v>
      </c>
      <c r="DZ468" s="7">
        <v>1.3351</v>
      </c>
      <c r="EA468" s="7">
        <v>1.3278000000000001</v>
      </c>
      <c r="EB468" s="7">
        <v>1.3205</v>
      </c>
      <c r="EC468" s="7">
        <v>1.3133999999999999</v>
      </c>
      <c r="ED468" s="7">
        <v>1.3063</v>
      </c>
      <c r="EE468" s="7">
        <v>1.2992999999999999</v>
      </c>
      <c r="EF468" s="7">
        <v>1.2924</v>
      </c>
      <c r="EG468" s="7">
        <v>1.2855000000000001</v>
      </c>
      <c r="EH468" s="7">
        <v>1.2786999999999999</v>
      </c>
      <c r="EI468" s="7">
        <v>1.2719</v>
      </c>
      <c r="EJ468" s="7">
        <v>1.2652000000000001</v>
      </c>
      <c r="EK468" s="7">
        <v>1.2585</v>
      </c>
      <c r="EL468" s="7">
        <v>1.2518</v>
      </c>
      <c r="EM468" s="7">
        <v>1.2452000000000001</v>
      </c>
      <c r="EN468" s="7">
        <v>1.2384999999999999</v>
      </c>
      <c r="EO468" s="7">
        <v>1.2319</v>
      </c>
      <c r="EP468" s="7">
        <v>1.2253000000000001</v>
      </c>
      <c r="EQ468" s="7">
        <v>1.2185999999999999</v>
      </c>
      <c r="ER468" s="7">
        <v>1.2119</v>
      </c>
      <c r="ES468" s="7">
        <v>1.2052</v>
      </c>
      <c r="ET468" s="7">
        <v>1.1984999999999999</v>
      </c>
      <c r="EU468" s="7">
        <v>1.1917</v>
      </c>
      <c r="EV468" s="7">
        <v>1.1848000000000001</v>
      </c>
      <c r="EW468" s="7">
        <v>1.1778999999999999</v>
      </c>
      <c r="EX468" s="7">
        <v>1.1708000000000001</v>
      </c>
      <c r="EY468" s="7">
        <v>1.1637</v>
      </c>
      <c r="EZ468" s="7">
        <v>1.1565000000000001</v>
      </c>
      <c r="FA468" s="7">
        <v>1.1491</v>
      </c>
      <c r="FB468" s="7">
        <v>1.1415999999999999</v>
      </c>
      <c r="FC468" s="7">
        <v>1.1338999999999999</v>
      </c>
      <c r="FE468" s="50">
        <f t="shared" ca="1" si="48"/>
        <v>1.3560818598959927</v>
      </c>
      <c r="FF468" s="50">
        <f t="shared" ca="1" si="49"/>
        <v>1.3609232617750722</v>
      </c>
      <c r="FG468" s="50">
        <f t="shared" ca="1" si="50"/>
        <v>1.3658991275167787</v>
      </c>
      <c r="FH468" s="50">
        <f t="shared" ca="1" si="51"/>
        <v>1.3712011409395974</v>
      </c>
      <c r="FK468" s="50">
        <f t="shared" ca="1" si="52"/>
        <v>1.3609232617750722</v>
      </c>
      <c r="FL468" s="50"/>
      <c r="FM468" s="50"/>
      <c r="FN468" s="50"/>
    </row>
    <row r="469" spans="49:170" hidden="1">
      <c r="AW469" s="433">
        <v>2.57</v>
      </c>
      <c r="AX469" s="7">
        <v>2.0087999999999999</v>
      </c>
      <c r="AY469" s="7">
        <v>1.9851000000000001</v>
      </c>
      <c r="AZ469" s="7">
        <v>1.9624999999999999</v>
      </c>
      <c r="BA469" s="7">
        <v>1.9410000000000001</v>
      </c>
      <c r="BB469" s="7">
        <v>1.9205000000000001</v>
      </c>
      <c r="BC469" s="7">
        <v>1.9009</v>
      </c>
      <c r="BD469" s="7">
        <v>1.8822000000000001</v>
      </c>
      <c r="BE469" s="7">
        <v>1.8643000000000001</v>
      </c>
      <c r="BF469" s="7">
        <v>1.8472</v>
      </c>
      <c r="BG469" s="7">
        <v>1.8308</v>
      </c>
      <c r="BH469" s="7">
        <v>1.8150999999999999</v>
      </c>
      <c r="BI469" s="7">
        <v>1.8</v>
      </c>
      <c r="BJ469" s="7">
        <v>1.7856000000000001</v>
      </c>
      <c r="BK469" s="7">
        <v>1.7717000000000001</v>
      </c>
      <c r="BL469" s="7">
        <v>1.7584</v>
      </c>
      <c r="BM469" s="7">
        <v>1.7455000000000001</v>
      </c>
      <c r="BN469" s="7">
        <v>1.7332000000000001</v>
      </c>
      <c r="BO469" s="7">
        <v>1.7214</v>
      </c>
      <c r="BP469" s="7">
        <v>1.71</v>
      </c>
      <c r="BQ469" s="7">
        <v>1.6990000000000001</v>
      </c>
      <c r="BR469" s="7">
        <v>1.6883999999999999</v>
      </c>
      <c r="BS469" s="7">
        <v>1.6781999999999999</v>
      </c>
      <c r="BT469" s="7">
        <v>1.6684000000000001</v>
      </c>
      <c r="BU469" s="7">
        <v>1.659</v>
      </c>
      <c r="BV469" s="7">
        <v>1.6498999999999999</v>
      </c>
      <c r="BW469" s="7">
        <v>1.6411</v>
      </c>
      <c r="BX469" s="7">
        <v>1.6326000000000001</v>
      </c>
      <c r="BY469" s="7">
        <v>1.6244000000000001</v>
      </c>
      <c r="BZ469" s="7">
        <v>1.6166</v>
      </c>
      <c r="CA469" s="7">
        <v>1.609</v>
      </c>
      <c r="CB469" s="7">
        <v>1.6015999999999999</v>
      </c>
      <c r="CC469" s="7">
        <v>1.5946</v>
      </c>
      <c r="CD469" s="7">
        <v>1.5878000000000001</v>
      </c>
      <c r="CE469" s="7">
        <v>1.5811999999999999</v>
      </c>
      <c r="CF469" s="7">
        <v>1.5749</v>
      </c>
      <c r="CG469" s="7">
        <v>1.5688</v>
      </c>
      <c r="CH469" s="7">
        <v>1.5629</v>
      </c>
      <c r="CI469" s="7">
        <v>1.5572999999999999</v>
      </c>
      <c r="CJ469" s="7">
        <v>1.5518000000000001</v>
      </c>
      <c r="CK469" s="7">
        <v>1.5466</v>
      </c>
      <c r="CL469" s="7">
        <v>1.5416000000000001</v>
      </c>
      <c r="CM469" s="7">
        <v>1.5367999999999999</v>
      </c>
      <c r="CN469" s="7">
        <v>1.5322</v>
      </c>
      <c r="CO469" s="7">
        <v>1.5277000000000001</v>
      </c>
      <c r="CP469" s="7">
        <v>1.5235000000000001</v>
      </c>
      <c r="CQ469" s="7">
        <v>1.5194000000000001</v>
      </c>
      <c r="CR469" s="7">
        <v>1.5156000000000001</v>
      </c>
      <c r="CS469" s="7">
        <v>1.5119</v>
      </c>
      <c r="CT469" s="7">
        <v>1.5084</v>
      </c>
      <c r="CU469" s="7">
        <v>1.5049999999999999</v>
      </c>
      <c r="CV469" s="7">
        <v>1.5019</v>
      </c>
      <c r="CW469" s="7">
        <v>1.4988999999999999</v>
      </c>
      <c r="CX469" s="7">
        <v>1.4961</v>
      </c>
      <c r="CY469" s="7">
        <v>1.4935</v>
      </c>
      <c r="CZ469" s="7">
        <v>1.4910000000000001</v>
      </c>
      <c r="DA469" s="7">
        <v>1.4886999999999999</v>
      </c>
      <c r="DB469" s="7">
        <v>1.4865999999999999</v>
      </c>
      <c r="DC469" s="7">
        <v>1.4846999999999999</v>
      </c>
      <c r="DD469" s="7">
        <v>1.4829000000000001</v>
      </c>
      <c r="DE469" s="7">
        <v>1.4813000000000001</v>
      </c>
      <c r="DF469" s="7">
        <v>1.4798</v>
      </c>
      <c r="DG469" s="7">
        <v>1.4785999999999999</v>
      </c>
      <c r="DH469" s="7">
        <v>1.4775</v>
      </c>
      <c r="DI469" s="7">
        <v>1.4765999999999999</v>
      </c>
      <c r="DJ469" s="7">
        <v>1.4758</v>
      </c>
      <c r="DK469" s="7">
        <v>1.4670000000000001</v>
      </c>
      <c r="DL469" s="7">
        <v>1.4579</v>
      </c>
      <c r="DM469" s="7">
        <v>1.4488000000000001</v>
      </c>
      <c r="DN469" s="7">
        <v>1.44</v>
      </c>
      <c r="DO469" s="7">
        <v>1.4313</v>
      </c>
      <c r="DP469" s="7">
        <v>1.4227000000000001</v>
      </c>
      <c r="DQ469" s="7">
        <v>1.4142999999999999</v>
      </c>
      <c r="DR469" s="7">
        <v>1.4059999999999999</v>
      </c>
      <c r="DS469" s="7">
        <v>1.3977999999999999</v>
      </c>
      <c r="DT469" s="7">
        <v>1.3897999999999999</v>
      </c>
      <c r="DU469" s="7">
        <v>1.3817999999999999</v>
      </c>
      <c r="DV469" s="7">
        <v>1.3741000000000001</v>
      </c>
      <c r="DW469" s="7">
        <v>1.3664000000000001</v>
      </c>
      <c r="DX469" s="7">
        <v>1.3588</v>
      </c>
      <c r="DY469" s="7">
        <v>1.3512999999999999</v>
      </c>
      <c r="DZ469" s="7">
        <v>1.3440000000000001</v>
      </c>
      <c r="EA469" s="7">
        <v>1.3367</v>
      </c>
      <c r="EB469" s="7">
        <v>1.3294999999999999</v>
      </c>
      <c r="EC469" s="7">
        <v>1.3224</v>
      </c>
      <c r="ED469" s="7">
        <v>1.3153999999999999</v>
      </c>
      <c r="EE469" s="7">
        <v>1.3085</v>
      </c>
      <c r="EF469" s="7">
        <v>1.3016000000000001</v>
      </c>
      <c r="EG469" s="7">
        <v>1.2948</v>
      </c>
      <c r="EH469" s="7">
        <v>1.288</v>
      </c>
      <c r="EI469" s="7">
        <v>1.2813000000000001</v>
      </c>
      <c r="EJ469" s="7">
        <v>1.2746999999999999</v>
      </c>
      <c r="EK469" s="7">
        <v>1.2681</v>
      </c>
      <c r="EL469" s="7">
        <v>1.2615000000000001</v>
      </c>
      <c r="EM469" s="7">
        <v>1.2548999999999999</v>
      </c>
      <c r="EN469" s="7">
        <v>1.2484</v>
      </c>
      <c r="EO469" s="7">
        <v>1.2419</v>
      </c>
      <c r="EP469" s="7">
        <v>1.2353000000000001</v>
      </c>
      <c r="EQ469" s="7">
        <v>1.2287999999999999</v>
      </c>
      <c r="ER469" s="7">
        <v>1.2222</v>
      </c>
      <c r="ES469" s="7">
        <v>1.2156</v>
      </c>
      <c r="ET469" s="7">
        <v>1.2090000000000001</v>
      </c>
      <c r="EU469" s="7">
        <v>1.2022999999999999</v>
      </c>
      <c r="EV469" s="7">
        <v>1.1956</v>
      </c>
      <c r="EW469" s="7">
        <v>1.1888000000000001</v>
      </c>
      <c r="EX469" s="7">
        <v>1.1819</v>
      </c>
      <c r="EY469" s="7">
        <v>1.1749000000000001</v>
      </c>
      <c r="EZ469" s="7">
        <v>1.1677999999999999</v>
      </c>
      <c r="FA469" s="7">
        <v>1.1606000000000001</v>
      </c>
      <c r="FB469" s="7">
        <v>1.1533</v>
      </c>
      <c r="FC469" s="7">
        <v>1.1457999999999999</v>
      </c>
      <c r="FE469" s="50">
        <f t="shared" ca="1" si="48"/>
        <v>1.3648818598959926</v>
      </c>
      <c r="FF469" s="50">
        <f t="shared" ca="1" si="49"/>
        <v>1.3697232617750721</v>
      </c>
      <c r="FG469" s="50">
        <f t="shared" ca="1" si="50"/>
        <v>1.3746839597315437</v>
      </c>
      <c r="FH469" s="50">
        <f t="shared" ca="1" si="51"/>
        <v>1.3798517449664429</v>
      </c>
      <c r="FK469" s="50">
        <f t="shared" ca="1" si="52"/>
        <v>1.3697232617750721</v>
      </c>
      <c r="FL469" s="50"/>
      <c r="FM469" s="50"/>
      <c r="FN469" s="50"/>
    </row>
    <row r="470" spans="49:170" hidden="1">
      <c r="AW470" s="433">
        <v>2.754</v>
      </c>
      <c r="AX470" s="7">
        <v>2.0087999999999999</v>
      </c>
      <c r="AY470" s="7">
        <v>1.9851000000000001</v>
      </c>
      <c r="AZ470" s="7">
        <v>1.9624999999999999</v>
      </c>
      <c r="BA470" s="7">
        <v>1.9410000000000001</v>
      </c>
      <c r="BB470" s="7">
        <v>1.9205000000000001</v>
      </c>
      <c r="BC470" s="7">
        <v>1.9009</v>
      </c>
      <c r="BD470" s="7">
        <v>1.8822000000000001</v>
      </c>
      <c r="BE470" s="7">
        <v>1.8643000000000001</v>
      </c>
      <c r="BF470" s="7">
        <v>1.8472</v>
      </c>
      <c r="BG470" s="7">
        <v>1.8308</v>
      </c>
      <c r="BH470" s="7">
        <v>1.8150999999999999</v>
      </c>
      <c r="BI470" s="7">
        <v>1.8</v>
      </c>
      <c r="BJ470" s="7">
        <v>1.7856000000000001</v>
      </c>
      <c r="BK470" s="7">
        <v>1.7717000000000001</v>
      </c>
      <c r="BL470" s="7">
        <v>1.7584</v>
      </c>
      <c r="BM470" s="7">
        <v>1.7455000000000001</v>
      </c>
      <c r="BN470" s="7">
        <v>1.7332000000000001</v>
      </c>
      <c r="BO470" s="7">
        <v>1.7214</v>
      </c>
      <c r="BP470" s="7">
        <v>1.71</v>
      </c>
      <c r="BQ470" s="7">
        <v>1.6990000000000001</v>
      </c>
      <c r="BR470" s="7">
        <v>1.6883999999999999</v>
      </c>
      <c r="BS470" s="7">
        <v>1.6781999999999999</v>
      </c>
      <c r="BT470" s="7">
        <v>1.6684000000000001</v>
      </c>
      <c r="BU470" s="7">
        <v>1.659</v>
      </c>
      <c r="BV470" s="7">
        <v>1.6498999999999999</v>
      </c>
      <c r="BW470" s="7">
        <v>1.6411</v>
      </c>
      <c r="BX470" s="7">
        <v>1.6326000000000001</v>
      </c>
      <c r="BY470" s="7">
        <v>1.6244000000000001</v>
      </c>
      <c r="BZ470" s="7">
        <v>1.6166</v>
      </c>
      <c r="CA470" s="7">
        <v>1.609</v>
      </c>
      <c r="CB470" s="7">
        <v>1.6015999999999999</v>
      </c>
      <c r="CC470" s="7">
        <v>1.5946</v>
      </c>
      <c r="CD470" s="7">
        <v>1.5878000000000001</v>
      </c>
      <c r="CE470" s="7">
        <v>1.5811999999999999</v>
      </c>
      <c r="CF470" s="7">
        <v>1.5749</v>
      </c>
      <c r="CG470" s="7">
        <v>1.5688</v>
      </c>
      <c r="CH470" s="7">
        <v>1.5629</v>
      </c>
      <c r="CI470" s="7">
        <v>1.5572999999999999</v>
      </c>
      <c r="CJ470" s="7">
        <v>1.5518000000000001</v>
      </c>
      <c r="CK470" s="7">
        <v>1.5466</v>
      </c>
      <c r="CL470" s="7">
        <v>1.5416000000000001</v>
      </c>
      <c r="CM470" s="7">
        <v>1.5367999999999999</v>
      </c>
      <c r="CN470" s="7">
        <v>1.5322</v>
      </c>
      <c r="CO470" s="7">
        <v>1.5277000000000001</v>
      </c>
      <c r="CP470" s="7">
        <v>1.5235000000000001</v>
      </c>
      <c r="CQ470" s="7">
        <v>1.5194000000000001</v>
      </c>
      <c r="CR470" s="7">
        <v>1.5156000000000001</v>
      </c>
      <c r="CS470" s="7">
        <v>1.5119</v>
      </c>
      <c r="CT470" s="7">
        <v>1.5084</v>
      </c>
      <c r="CU470" s="7">
        <v>1.5049999999999999</v>
      </c>
      <c r="CV470" s="7">
        <v>1.5019</v>
      </c>
      <c r="CW470" s="7">
        <v>1.4988999999999999</v>
      </c>
      <c r="CX470" s="7">
        <v>1.4961</v>
      </c>
      <c r="CY470" s="7">
        <v>1.4935</v>
      </c>
      <c r="CZ470" s="7">
        <v>1.4910000000000001</v>
      </c>
      <c r="DA470" s="7">
        <v>1.4886999999999999</v>
      </c>
      <c r="DB470" s="7">
        <v>1.4865999999999999</v>
      </c>
      <c r="DC470" s="7">
        <v>1.4846999999999999</v>
      </c>
      <c r="DD470" s="7">
        <v>1.4829000000000001</v>
      </c>
      <c r="DE470" s="7">
        <v>1.4813000000000001</v>
      </c>
      <c r="DF470" s="7">
        <v>1.4798</v>
      </c>
      <c r="DG470" s="7">
        <v>1.4785999999999999</v>
      </c>
      <c r="DH470" s="7">
        <v>1.4775</v>
      </c>
      <c r="DI470" s="7">
        <v>1.4765999999999999</v>
      </c>
      <c r="DJ470" s="7">
        <v>1.4758</v>
      </c>
      <c r="DK470" s="7">
        <v>1.4752000000000001</v>
      </c>
      <c r="DL470" s="7">
        <v>1.4661999999999999</v>
      </c>
      <c r="DM470" s="7">
        <v>1.4572000000000001</v>
      </c>
      <c r="DN470" s="7">
        <v>1.4483999999999999</v>
      </c>
      <c r="DO470" s="7">
        <v>1.4397</v>
      </c>
      <c r="DP470" s="7">
        <v>1.4311</v>
      </c>
      <c r="DQ470" s="7">
        <v>1.4227000000000001</v>
      </c>
      <c r="DR470" s="7">
        <v>1.4145000000000001</v>
      </c>
      <c r="DS470" s="7">
        <v>1.4063000000000001</v>
      </c>
      <c r="DT470" s="7">
        <v>1.3983000000000001</v>
      </c>
      <c r="DU470" s="7">
        <v>1.3904000000000001</v>
      </c>
      <c r="DV470" s="7">
        <v>1.3827</v>
      </c>
      <c r="DW470" s="7">
        <v>1.375</v>
      </c>
      <c r="DX470" s="7">
        <v>1.3674999999999999</v>
      </c>
      <c r="DY470" s="7">
        <v>1.3601000000000001</v>
      </c>
      <c r="DZ470" s="7">
        <v>1.3527</v>
      </c>
      <c r="EA470" s="7">
        <v>1.3454999999999999</v>
      </c>
      <c r="EB470" s="7">
        <v>1.3384</v>
      </c>
      <c r="EC470" s="7">
        <v>1.3313999999999999</v>
      </c>
      <c r="ED470" s="7">
        <v>1.3244</v>
      </c>
      <c r="EE470" s="7">
        <v>1.3174999999999999</v>
      </c>
      <c r="EF470" s="7">
        <v>1.3107</v>
      </c>
      <c r="EG470" s="7">
        <v>1.304</v>
      </c>
      <c r="EH470" s="7">
        <v>1.2972999999999999</v>
      </c>
      <c r="EI470" s="7">
        <v>1.2907</v>
      </c>
      <c r="EJ470" s="7">
        <v>1.2841</v>
      </c>
      <c r="EK470" s="7">
        <v>1.2776000000000001</v>
      </c>
      <c r="EL470" s="7">
        <v>1.2710999999999999</v>
      </c>
      <c r="EM470" s="7">
        <v>1.2645999999999999</v>
      </c>
      <c r="EN470" s="7">
        <v>1.2581</v>
      </c>
      <c r="EO470" s="7">
        <v>1.2517</v>
      </c>
      <c r="EP470" s="7">
        <v>1.2453000000000001</v>
      </c>
      <c r="EQ470" s="7">
        <v>1.2387999999999999</v>
      </c>
      <c r="ER470" s="7">
        <v>1.2323999999999999</v>
      </c>
      <c r="ES470" s="7">
        <v>1.2259</v>
      </c>
      <c r="ET470" s="7">
        <v>1.2194</v>
      </c>
      <c r="EU470" s="7">
        <v>1.2129000000000001</v>
      </c>
      <c r="EV470" s="7">
        <v>1.2062999999999999</v>
      </c>
      <c r="EW470" s="7">
        <v>1.1996</v>
      </c>
      <c r="EX470" s="7">
        <v>1.1928000000000001</v>
      </c>
      <c r="EY470" s="7">
        <v>1.1859999999999999</v>
      </c>
      <c r="EZ470" s="7">
        <v>1.1791</v>
      </c>
      <c r="FA470" s="7">
        <v>1.1720999999999999</v>
      </c>
      <c r="FB470" s="7">
        <v>1.1649</v>
      </c>
      <c r="FC470" s="7">
        <v>1.1576</v>
      </c>
      <c r="FE470" s="50">
        <f t="shared" ca="1" si="48"/>
        <v>1.373501835423677</v>
      </c>
      <c r="FF470" s="50">
        <f t="shared" ca="1" si="49"/>
        <v>1.378323261775072</v>
      </c>
      <c r="FG470" s="50">
        <f t="shared" ca="1" si="50"/>
        <v>1.3832839597315438</v>
      </c>
      <c r="FH470" s="50">
        <f t="shared" ca="1" si="51"/>
        <v>1.3884517449664431</v>
      </c>
      <c r="FK470" s="50">
        <f t="shared" ca="1" si="52"/>
        <v>1.378323261775072</v>
      </c>
      <c r="FL470" s="50"/>
      <c r="FM470" s="50"/>
      <c r="FN470" s="50"/>
    </row>
    <row r="471" spans="49:170" hidden="1">
      <c r="AW471" s="433">
        <v>2.9510000000000001</v>
      </c>
      <c r="AX471" s="7">
        <v>2.0087999999999999</v>
      </c>
      <c r="AY471" s="7">
        <v>1.9851000000000001</v>
      </c>
      <c r="AZ471" s="7">
        <v>1.9624999999999999</v>
      </c>
      <c r="BA471" s="7">
        <v>1.9410000000000001</v>
      </c>
      <c r="BB471" s="7">
        <v>1.9205000000000001</v>
      </c>
      <c r="BC471" s="7">
        <v>1.9009</v>
      </c>
      <c r="BD471" s="7">
        <v>1.8822000000000001</v>
      </c>
      <c r="BE471" s="7">
        <v>1.8643000000000001</v>
      </c>
      <c r="BF471" s="7">
        <v>1.8472</v>
      </c>
      <c r="BG471" s="7">
        <v>1.8308</v>
      </c>
      <c r="BH471" s="7">
        <v>1.8150999999999999</v>
      </c>
      <c r="BI471" s="7">
        <v>1.8</v>
      </c>
      <c r="BJ471" s="7">
        <v>1.7856000000000001</v>
      </c>
      <c r="BK471" s="7">
        <v>1.7717000000000001</v>
      </c>
      <c r="BL471" s="7">
        <v>1.7584</v>
      </c>
      <c r="BM471" s="7">
        <v>1.7455000000000001</v>
      </c>
      <c r="BN471" s="7">
        <v>1.7332000000000001</v>
      </c>
      <c r="BO471" s="7">
        <v>1.7214</v>
      </c>
      <c r="BP471" s="7">
        <v>1.71</v>
      </c>
      <c r="BQ471" s="7">
        <v>1.6990000000000001</v>
      </c>
      <c r="BR471" s="7">
        <v>1.6883999999999999</v>
      </c>
      <c r="BS471" s="7">
        <v>1.6781999999999999</v>
      </c>
      <c r="BT471" s="7">
        <v>1.6684000000000001</v>
      </c>
      <c r="BU471" s="7">
        <v>1.659</v>
      </c>
      <c r="BV471" s="7">
        <v>1.6498999999999999</v>
      </c>
      <c r="BW471" s="7">
        <v>1.6411</v>
      </c>
      <c r="BX471" s="7">
        <v>1.6326000000000001</v>
      </c>
      <c r="BY471" s="7">
        <v>1.6244000000000001</v>
      </c>
      <c r="BZ471" s="7">
        <v>1.6166</v>
      </c>
      <c r="CA471" s="7">
        <v>1.609</v>
      </c>
      <c r="CB471" s="7">
        <v>1.6015999999999999</v>
      </c>
      <c r="CC471" s="7">
        <v>1.5946</v>
      </c>
      <c r="CD471" s="7">
        <v>1.5878000000000001</v>
      </c>
      <c r="CE471" s="7">
        <v>1.5811999999999999</v>
      </c>
      <c r="CF471" s="7">
        <v>1.5749</v>
      </c>
      <c r="CG471" s="7">
        <v>1.5688</v>
      </c>
      <c r="CH471" s="7">
        <v>1.5629</v>
      </c>
      <c r="CI471" s="7">
        <v>1.5572999999999999</v>
      </c>
      <c r="CJ471" s="7">
        <v>1.5518000000000001</v>
      </c>
      <c r="CK471" s="7">
        <v>1.5466</v>
      </c>
      <c r="CL471" s="7">
        <v>1.5416000000000001</v>
      </c>
      <c r="CM471" s="7">
        <v>1.5367999999999999</v>
      </c>
      <c r="CN471" s="7">
        <v>1.5322</v>
      </c>
      <c r="CO471" s="7">
        <v>1.5277000000000001</v>
      </c>
      <c r="CP471" s="7">
        <v>1.5235000000000001</v>
      </c>
      <c r="CQ471" s="7">
        <v>1.5194000000000001</v>
      </c>
      <c r="CR471" s="7">
        <v>1.5156000000000001</v>
      </c>
      <c r="CS471" s="7">
        <v>1.5119</v>
      </c>
      <c r="CT471" s="7">
        <v>1.5084</v>
      </c>
      <c r="CU471" s="7">
        <v>1.5049999999999999</v>
      </c>
      <c r="CV471" s="7">
        <v>1.5019</v>
      </c>
      <c r="CW471" s="7">
        <v>1.4988999999999999</v>
      </c>
      <c r="CX471" s="7">
        <v>1.4961</v>
      </c>
      <c r="CY471" s="7">
        <v>1.4935</v>
      </c>
      <c r="CZ471" s="7">
        <v>1.4910000000000001</v>
      </c>
      <c r="DA471" s="7">
        <v>1.4886999999999999</v>
      </c>
      <c r="DB471" s="7">
        <v>1.4865999999999999</v>
      </c>
      <c r="DC471" s="7">
        <v>1.4846999999999999</v>
      </c>
      <c r="DD471" s="7">
        <v>1.4829000000000001</v>
      </c>
      <c r="DE471" s="7">
        <v>1.4813000000000001</v>
      </c>
      <c r="DF471" s="7">
        <v>1.4798</v>
      </c>
      <c r="DG471" s="7">
        <v>1.4785999999999999</v>
      </c>
      <c r="DH471" s="7">
        <v>1.4775</v>
      </c>
      <c r="DI471" s="7">
        <v>1.4765999999999999</v>
      </c>
      <c r="DJ471" s="7">
        <v>1.4758</v>
      </c>
      <c r="DK471" s="7">
        <v>1.4752000000000001</v>
      </c>
      <c r="DL471" s="7">
        <v>1.4744999999999999</v>
      </c>
      <c r="DM471" s="7">
        <v>1.4655</v>
      </c>
      <c r="DN471" s="7">
        <v>1.4567000000000001</v>
      </c>
      <c r="DO471" s="7">
        <v>1.448</v>
      </c>
      <c r="DP471" s="7">
        <v>1.4395</v>
      </c>
      <c r="DQ471" s="7">
        <v>1.4311</v>
      </c>
      <c r="DR471" s="7">
        <v>1.4229000000000001</v>
      </c>
      <c r="DS471" s="7">
        <v>1.4148000000000001</v>
      </c>
      <c r="DT471" s="7">
        <v>1.4068000000000001</v>
      </c>
      <c r="DU471" s="7">
        <v>1.3989</v>
      </c>
      <c r="DV471" s="7">
        <v>1.3912</v>
      </c>
      <c r="DW471" s="7">
        <v>1.3835999999999999</v>
      </c>
      <c r="DX471" s="7">
        <v>1.3761000000000001</v>
      </c>
      <c r="DY471" s="7">
        <v>1.3687</v>
      </c>
      <c r="DZ471" s="7">
        <v>1.3613999999999999</v>
      </c>
      <c r="EA471" s="7">
        <v>1.3543000000000001</v>
      </c>
      <c r="EB471" s="7">
        <v>1.3472</v>
      </c>
      <c r="EC471" s="7">
        <v>1.3402000000000001</v>
      </c>
      <c r="ED471" s="7">
        <v>1.3332999999999999</v>
      </c>
      <c r="EE471" s="7">
        <v>1.3265</v>
      </c>
      <c r="EF471" s="7">
        <v>1.3197000000000001</v>
      </c>
      <c r="EG471" s="7">
        <v>1.3129999999999999</v>
      </c>
      <c r="EH471" s="7">
        <v>1.3064</v>
      </c>
      <c r="EI471" s="7">
        <v>1.2999000000000001</v>
      </c>
      <c r="EJ471" s="7">
        <v>1.2934000000000001</v>
      </c>
      <c r="EK471" s="7">
        <v>1.2868999999999999</v>
      </c>
      <c r="EL471" s="7">
        <v>1.2805</v>
      </c>
      <c r="EM471" s="7">
        <v>1.2741</v>
      </c>
      <c r="EN471" s="7">
        <v>1.2678</v>
      </c>
      <c r="EO471" s="7">
        <v>1.2614000000000001</v>
      </c>
      <c r="EP471" s="7">
        <v>1.2551000000000001</v>
      </c>
      <c r="EQ471" s="7">
        <v>1.2487999999999999</v>
      </c>
      <c r="ER471" s="7">
        <v>1.2423999999999999</v>
      </c>
      <c r="ES471" s="7">
        <v>1.2361</v>
      </c>
      <c r="ET471" s="7">
        <v>1.2297</v>
      </c>
      <c r="EU471" s="7">
        <v>1.2233000000000001</v>
      </c>
      <c r="EV471" s="7">
        <v>1.2168000000000001</v>
      </c>
      <c r="EW471" s="7">
        <v>1.2102999999999999</v>
      </c>
      <c r="EX471" s="7">
        <v>1.2037</v>
      </c>
      <c r="EY471" s="7">
        <v>1.1970000000000001</v>
      </c>
      <c r="EZ471" s="7">
        <v>1.1901999999999999</v>
      </c>
      <c r="FA471" s="7">
        <v>1.1833</v>
      </c>
      <c r="FB471" s="7">
        <v>1.1763999999999999</v>
      </c>
      <c r="FC471" s="7">
        <v>1.1692</v>
      </c>
      <c r="FE471" s="50">
        <f t="shared" ca="1" si="48"/>
        <v>1.3821018354236769</v>
      </c>
      <c r="FF471" s="50">
        <f t="shared" ca="1" si="49"/>
        <v>1.3868801025312398</v>
      </c>
      <c r="FG471" s="50">
        <f t="shared" ca="1" si="50"/>
        <v>1.3917839597315436</v>
      </c>
      <c r="FH471" s="50">
        <f t="shared" ca="1" si="51"/>
        <v>1.3969517449664428</v>
      </c>
      <c r="FK471" s="50">
        <f t="shared" ca="1" si="52"/>
        <v>1.3868801025312398</v>
      </c>
      <c r="FL471" s="50"/>
      <c r="FM471" s="50"/>
      <c r="FN471" s="50"/>
    </row>
    <row r="472" spans="49:170" hidden="1">
      <c r="AW472" s="433">
        <v>3.1619999999999999</v>
      </c>
      <c r="AX472" s="7">
        <v>2.0087999999999999</v>
      </c>
      <c r="AY472" s="7">
        <v>1.9851000000000001</v>
      </c>
      <c r="AZ472" s="7">
        <v>1.9624999999999999</v>
      </c>
      <c r="BA472" s="7">
        <v>1.9410000000000001</v>
      </c>
      <c r="BB472" s="7">
        <v>1.9205000000000001</v>
      </c>
      <c r="BC472" s="7">
        <v>1.9009</v>
      </c>
      <c r="BD472" s="7">
        <v>1.8822000000000001</v>
      </c>
      <c r="BE472" s="7">
        <v>1.8643000000000001</v>
      </c>
      <c r="BF472" s="7">
        <v>1.8472</v>
      </c>
      <c r="BG472" s="7">
        <v>1.8308</v>
      </c>
      <c r="BH472" s="7">
        <v>1.8150999999999999</v>
      </c>
      <c r="BI472" s="7">
        <v>1.8</v>
      </c>
      <c r="BJ472" s="7">
        <v>1.7856000000000001</v>
      </c>
      <c r="BK472" s="7">
        <v>1.7717000000000001</v>
      </c>
      <c r="BL472" s="7">
        <v>1.7584</v>
      </c>
      <c r="BM472" s="7">
        <v>1.7455000000000001</v>
      </c>
      <c r="BN472" s="7">
        <v>1.7332000000000001</v>
      </c>
      <c r="BO472" s="7">
        <v>1.7214</v>
      </c>
      <c r="BP472" s="7">
        <v>1.71</v>
      </c>
      <c r="BQ472" s="7">
        <v>1.6990000000000001</v>
      </c>
      <c r="BR472" s="7">
        <v>1.6883999999999999</v>
      </c>
      <c r="BS472" s="7">
        <v>1.6781999999999999</v>
      </c>
      <c r="BT472" s="7">
        <v>1.6684000000000001</v>
      </c>
      <c r="BU472" s="7">
        <v>1.659</v>
      </c>
      <c r="BV472" s="7">
        <v>1.6498999999999999</v>
      </c>
      <c r="BW472" s="7">
        <v>1.6411</v>
      </c>
      <c r="BX472" s="7">
        <v>1.6326000000000001</v>
      </c>
      <c r="BY472" s="7">
        <v>1.6244000000000001</v>
      </c>
      <c r="BZ472" s="7">
        <v>1.6166</v>
      </c>
      <c r="CA472" s="7">
        <v>1.609</v>
      </c>
      <c r="CB472" s="7">
        <v>1.6015999999999999</v>
      </c>
      <c r="CC472" s="7">
        <v>1.5946</v>
      </c>
      <c r="CD472" s="7">
        <v>1.5878000000000001</v>
      </c>
      <c r="CE472" s="7">
        <v>1.5811999999999999</v>
      </c>
      <c r="CF472" s="7">
        <v>1.5749</v>
      </c>
      <c r="CG472" s="7">
        <v>1.5688</v>
      </c>
      <c r="CH472" s="7">
        <v>1.5629</v>
      </c>
      <c r="CI472" s="7">
        <v>1.5572999999999999</v>
      </c>
      <c r="CJ472" s="7">
        <v>1.5518000000000001</v>
      </c>
      <c r="CK472" s="7">
        <v>1.5466</v>
      </c>
      <c r="CL472" s="7">
        <v>1.5416000000000001</v>
      </c>
      <c r="CM472" s="7">
        <v>1.5367999999999999</v>
      </c>
      <c r="CN472" s="7">
        <v>1.5322</v>
      </c>
      <c r="CO472" s="7">
        <v>1.5277000000000001</v>
      </c>
      <c r="CP472" s="7">
        <v>1.5235000000000001</v>
      </c>
      <c r="CQ472" s="7">
        <v>1.5194000000000001</v>
      </c>
      <c r="CR472" s="7">
        <v>1.5156000000000001</v>
      </c>
      <c r="CS472" s="7">
        <v>1.5119</v>
      </c>
      <c r="CT472" s="7">
        <v>1.5084</v>
      </c>
      <c r="CU472" s="7">
        <v>1.5049999999999999</v>
      </c>
      <c r="CV472" s="7">
        <v>1.5019</v>
      </c>
      <c r="CW472" s="7">
        <v>1.4988999999999999</v>
      </c>
      <c r="CX472" s="7">
        <v>1.4961</v>
      </c>
      <c r="CY472" s="7">
        <v>1.4935</v>
      </c>
      <c r="CZ472" s="7">
        <v>1.4910000000000001</v>
      </c>
      <c r="DA472" s="7">
        <v>1.4886999999999999</v>
      </c>
      <c r="DB472" s="7">
        <v>1.4865999999999999</v>
      </c>
      <c r="DC472" s="7">
        <v>1.4846999999999999</v>
      </c>
      <c r="DD472" s="7">
        <v>1.4829000000000001</v>
      </c>
      <c r="DE472" s="7">
        <v>1.4813000000000001</v>
      </c>
      <c r="DF472" s="7">
        <v>1.4798</v>
      </c>
      <c r="DG472" s="7">
        <v>1.4785999999999999</v>
      </c>
      <c r="DH472" s="7">
        <v>1.4775</v>
      </c>
      <c r="DI472" s="7">
        <v>1.4765999999999999</v>
      </c>
      <c r="DJ472" s="7">
        <v>1.4758</v>
      </c>
      <c r="DK472" s="7">
        <v>1.4752000000000001</v>
      </c>
      <c r="DL472" s="7">
        <v>1.4748000000000001</v>
      </c>
      <c r="DM472" s="7">
        <v>1.4737</v>
      </c>
      <c r="DN472" s="7">
        <v>1.4649000000000001</v>
      </c>
      <c r="DO472" s="7">
        <v>1.4561999999999999</v>
      </c>
      <c r="DP472" s="7">
        <v>1.4477</v>
      </c>
      <c r="DQ472" s="7">
        <v>1.4394</v>
      </c>
      <c r="DR472" s="7">
        <v>1.4312</v>
      </c>
      <c r="DS472" s="7">
        <v>1.4231</v>
      </c>
      <c r="DT472" s="7">
        <v>1.4151</v>
      </c>
      <c r="DU472" s="7">
        <v>1.4073</v>
      </c>
      <c r="DV472" s="7">
        <v>1.3996</v>
      </c>
      <c r="DW472" s="7">
        <v>1.3920999999999999</v>
      </c>
      <c r="DX472" s="7">
        <v>1.3846000000000001</v>
      </c>
      <c r="DY472" s="7">
        <v>1.3773</v>
      </c>
      <c r="DZ472" s="7">
        <v>1.37</v>
      </c>
      <c r="EA472" s="7">
        <v>1.3629</v>
      </c>
      <c r="EB472" s="7">
        <v>1.3559000000000001</v>
      </c>
      <c r="EC472" s="7">
        <v>1.3489</v>
      </c>
      <c r="ED472" s="7">
        <v>1.3421000000000001</v>
      </c>
      <c r="EE472" s="7">
        <v>1.3352999999999999</v>
      </c>
      <c r="EF472" s="7">
        <v>1.3286</v>
      </c>
      <c r="EG472" s="7">
        <v>1.3220000000000001</v>
      </c>
      <c r="EH472" s="7">
        <v>1.3154999999999999</v>
      </c>
      <c r="EI472" s="7">
        <v>1.3089999999999999</v>
      </c>
      <c r="EJ472" s="7">
        <v>1.3026</v>
      </c>
      <c r="EK472" s="7">
        <v>1.2962</v>
      </c>
      <c r="EL472" s="7">
        <v>1.2899</v>
      </c>
      <c r="EM472" s="7">
        <v>1.2836000000000001</v>
      </c>
      <c r="EN472" s="7">
        <v>1.2773000000000001</v>
      </c>
      <c r="EO472" s="7">
        <v>1.2710999999999999</v>
      </c>
      <c r="EP472" s="7">
        <v>1.2647999999999999</v>
      </c>
      <c r="EQ472" s="7">
        <v>1.2585999999999999</v>
      </c>
      <c r="ER472" s="7">
        <v>1.2524</v>
      </c>
      <c r="ES472" s="7">
        <v>1.2461</v>
      </c>
      <c r="ET472" s="7">
        <v>1.2399</v>
      </c>
      <c r="EU472" s="7">
        <v>1.2336</v>
      </c>
      <c r="EV472" s="7">
        <v>1.2272000000000001</v>
      </c>
      <c r="EW472" s="7">
        <v>1.2208000000000001</v>
      </c>
      <c r="EX472" s="7">
        <v>1.2143999999999999</v>
      </c>
      <c r="EY472" s="7">
        <v>1.2078</v>
      </c>
      <c r="EZ472" s="7">
        <v>1.2012</v>
      </c>
      <c r="FA472" s="7">
        <v>1.1944999999999999</v>
      </c>
      <c r="FB472" s="7">
        <v>1.1877</v>
      </c>
      <c r="FC472" s="7">
        <v>1.1807000000000001</v>
      </c>
      <c r="FE472" s="50">
        <f t="shared" ca="1" si="48"/>
        <v>1.3906018354236769</v>
      </c>
      <c r="FF472" s="50">
        <f t="shared" ca="1" si="49"/>
        <v>1.3953369432874076</v>
      </c>
      <c r="FG472" s="50">
        <f t="shared" ca="1" si="50"/>
        <v>1.4001839597315435</v>
      </c>
      <c r="FH472" s="50">
        <f t="shared" ca="1" si="51"/>
        <v>1.4053517449664428</v>
      </c>
      <c r="FK472" s="50">
        <f t="shared" ca="1" si="52"/>
        <v>1.3953369432874076</v>
      </c>
      <c r="FL472" s="50"/>
      <c r="FM472" s="50"/>
      <c r="FN472" s="50"/>
    </row>
    <row r="473" spans="49:170" hidden="1">
      <c r="AW473" s="433">
        <v>3.3879999999999999</v>
      </c>
      <c r="AX473" s="7">
        <v>2.0087999999999999</v>
      </c>
      <c r="AY473" s="7">
        <v>1.9851000000000001</v>
      </c>
      <c r="AZ473" s="7">
        <v>1.9624999999999999</v>
      </c>
      <c r="BA473" s="7">
        <v>1.9410000000000001</v>
      </c>
      <c r="BB473" s="7">
        <v>1.9205000000000001</v>
      </c>
      <c r="BC473" s="7">
        <v>1.9009</v>
      </c>
      <c r="BD473" s="7">
        <v>1.8822000000000001</v>
      </c>
      <c r="BE473" s="7">
        <v>1.8643000000000001</v>
      </c>
      <c r="BF473" s="7">
        <v>1.8472</v>
      </c>
      <c r="BG473" s="7">
        <v>1.8308</v>
      </c>
      <c r="BH473" s="7">
        <v>1.8150999999999999</v>
      </c>
      <c r="BI473" s="7">
        <v>1.8</v>
      </c>
      <c r="BJ473" s="7">
        <v>1.7856000000000001</v>
      </c>
      <c r="BK473" s="7">
        <v>1.7717000000000001</v>
      </c>
      <c r="BL473" s="7">
        <v>1.7584</v>
      </c>
      <c r="BM473" s="7">
        <v>1.7455000000000001</v>
      </c>
      <c r="BN473" s="7">
        <v>1.7332000000000001</v>
      </c>
      <c r="BO473" s="7">
        <v>1.7214</v>
      </c>
      <c r="BP473" s="7">
        <v>1.71</v>
      </c>
      <c r="BQ473" s="7">
        <v>1.6990000000000001</v>
      </c>
      <c r="BR473" s="7">
        <v>1.6883999999999999</v>
      </c>
      <c r="BS473" s="7">
        <v>1.6781999999999999</v>
      </c>
      <c r="BT473" s="7">
        <v>1.6684000000000001</v>
      </c>
      <c r="BU473" s="7">
        <v>1.659</v>
      </c>
      <c r="BV473" s="7">
        <v>1.6498999999999999</v>
      </c>
      <c r="BW473" s="7">
        <v>1.6411</v>
      </c>
      <c r="BX473" s="7">
        <v>1.6326000000000001</v>
      </c>
      <c r="BY473" s="7">
        <v>1.6244000000000001</v>
      </c>
      <c r="BZ473" s="7">
        <v>1.6166</v>
      </c>
      <c r="CA473" s="7">
        <v>1.609</v>
      </c>
      <c r="CB473" s="7">
        <v>1.6015999999999999</v>
      </c>
      <c r="CC473" s="7">
        <v>1.5946</v>
      </c>
      <c r="CD473" s="7">
        <v>1.5878000000000001</v>
      </c>
      <c r="CE473" s="7">
        <v>1.5811999999999999</v>
      </c>
      <c r="CF473" s="7">
        <v>1.5749</v>
      </c>
      <c r="CG473" s="7">
        <v>1.5688</v>
      </c>
      <c r="CH473" s="7">
        <v>1.5629</v>
      </c>
      <c r="CI473" s="7">
        <v>1.5572999999999999</v>
      </c>
      <c r="CJ473" s="7">
        <v>1.5518000000000001</v>
      </c>
      <c r="CK473" s="7">
        <v>1.5466</v>
      </c>
      <c r="CL473" s="7">
        <v>1.5416000000000001</v>
      </c>
      <c r="CM473" s="7">
        <v>1.5367999999999999</v>
      </c>
      <c r="CN473" s="7">
        <v>1.5322</v>
      </c>
      <c r="CO473" s="7">
        <v>1.5277000000000001</v>
      </c>
      <c r="CP473" s="7">
        <v>1.5235000000000001</v>
      </c>
      <c r="CQ473" s="7">
        <v>1.5194000000000001</v>
      </c>
      <c r="CR473" s="7">
        <v>1.5156000000000001</v>
      </c>
      <c r="CS473" s="7">
        <v>1.5119</v>
      </c>
      <c r="CT473" s="7">
        <v>1.5084</v>
      </c>
      <c r="CU473" s="7">
        <v>1.5049999999999999</v>
      </c>
      <c r="CV473" s="7">
        <v>1.5019</v>
      </c>
      <c r="CW473" s="7">
        <v>1.4988999999999999</v>
      </c>
      <c r="CX473" s="7">
        <v>1.4961</v>
      </c>
      <c r="CY473" s="7">
        <v>1.4935</v>
      </c>
      <c r="CZ473" s="7">
        <v>1.4910000000000001</v>
      </c>
      <c r="DA473" s="7">
        <v>1.4886999999999999</v>
      </c>
      <c r="DB473" s="7">
        <v>1.4865999999999999</v>
      </c>
      <c r="DC473" s="7">
        <v>1.4846999999999999</v>
      </c>
      <c r="DD473" s="7">
        <v>1.4829000000000001</v>
      </c>
      <c r="DE473" s="7">
        <v>1.4813000000000001</v>
      </c>
      <c r="DF473" s="7">
        <v>1.4798</v>
      </c>
      <c r="DG473" s="7">
        <v>1.4785999999999999</v>
      </c>
      <c r="DH473" s="7">
        <v>1.4775</v>
      </c>
      <c r="DI473" s="7">
        <v>1.4765999999999999</v>
      </c>
      <c r="DJ473" s="7">
        <v>1.4758</v>
      </c>
      <c r="DK473" s="7">
        <v>1.4752000000000001</v>
      </c>
      <c r="DL473" s="7">
        <v>1.4748000000000001</v>
      </c>
      <c r="DM473" s="7">
        <v>1.4745999999999999</v>
      </c>
      <c r="DN473" s="7">
        <v>1.4730000000000001</v>
      </c>
      <c r="DO473" s="7">
        <v>1.4643999999999999</v>
      </c>
      <c r="DP473" s="7">
        <v>1.4559</v>
      </c>
      <c r="DQ473" s="7">
        <v>1.4476</v>
      </c>
      <c r="DR473" s="7">
        <v>1.4394</v>
      </c>
      <c r="DS473" s="7">
        <v>1.4313</v>
      </c>
      <c r="DT473" s="7">
        <v>1.4234</v>
      </c>
      <c r="DU473" s="7">
        <v>1.4156</v>
      </c>
      <c r="DV473" s="7">
        <v>1.4079999999999999</v>
      </c>
      <c r="DW473" s="7">
        <v>1.4004000000000001</v>
      </c>
      <c r="DX473" s="7">
        <v>1.393</v>
      </c>
      <c r="DY473" s="7">
        <v>1.3856999999999999</v>
      </c>
      <c r="DZ473" s="7">
        <v>1.3785000000000001</v>
      </c>
      <c r="EA473" s="7">
        <v>1.3714999999999999</v>
      </c>
      <c r="EB473" s="7">
        <v>1.3645</v>
      </c>
      <c r="EC473" s="7">
        <v>1.3575999999999999</v>
      </c>
      <c r="ED473" s="7">
        <v>1.3508</v>
      </c>
      <c r="EE473" s="7">
        <v>1.3441000000000001</v>
      </c>
      <c r="EF473" s="7">
        <v>1.3374999999999999</v>
      </c>
      <c r="EG473" s="7">
        <v>1.3309</v>
      </c>
      <c r="EH473" s="7">
        <v>1.3244</v>
      </c>
      <c r="EI473" s="7">
        <v>1.3180000000000001</v>
      </c>
      <c r="EJ473" s="7">
        <v>1.3117000000000001</v>
      </c>
      <c r="EK473" s="7">
        <v>1.3053999999999999</v>
      </c>
      <c r="EL473" s="7">
        <v>1.2990999999999999</v>
      </c>
      <c r="EM473" s="7">
        <v>1.2928999999999999</v>
      </c>
      <c r="EN473" s="7">
        <v>1.2867</v>
      </c>
      <c r="EO473" s="7">
        <v>1.2806</v>
      </c>
      <c r="EP473" s="7">
        <v>1.2745</v>
      </c>
      <c r="EQ473" s="7">
        <v>1.2683</v>
      </c>
      <c r="ER473" s="7">
        <v>1.2622</v>
      </c>
      <c r="ES473" s="7">
        <v>1.2561</v>
      </c>
      <c r="ET473" s="7">
        <v>1.2499</v>
      </c>
      <c r="EU473" s="7">
        <v>1.2437</v>
      </c>
      <c r="EV473" s="7">
        <v>1.2375</v>
      </c>
      <c r="EW473" s="7">
        <v>1.2313000000000001</v>
      </c>
      <c r="EX473" s="7">
        <v>1.2250000000000001</v>
      </c>
      <c r="EY473" s="7">
        <v>1.2185999999999999</v>
      </c>
      <c r="EZ473" s="7">
        <v>1.2121</v>
      </c>
      <c r="FA473" s="7">
        <v>1.2056</v>
      </c>
      <c r="FB473" s="7">
        <v>1.1989000000000001</v>
      </c>
      <c r="FC473" s="7">
        <v>1.1920999999999999</v>
      </c>
      <c r="FE473" s="50">
        <f t="shared" ca="1" si="48"/>
        <v>1.3989218109513613</v>
      </c>
      <c r="FF473" s="50">
        <f t="shared" ca="1" si="49"/>
        <v>1.40368010253124</v>
      </c>
      <c r="FG473" s="50">
        <f t="shared" ca="1" si="50"/>
        <v>1.4085763758389263</v>
      </c>
      <c r="FH473" s="50">
        <f t="shared" ca="1" si="51"/>
        <v>1.4136770469798658</v>
      </c>
      <c r="FK473" s="50">
        <f t="shared" ca="1" si="52"/>
        <v>1.40368010253124</v>
      </c>
      <c r="FL473" s="50"/>
      <c r="FM473" s="50"/>
      <c r="FN473" s="50"/>
    </row>
    <row r="474" spans="49:170" hidden="1">
      <c r="AW474" s="433">
        <v>3.6309999999999998</v>
      </c>
      <c r="AX474" s="7">
        <v>2.0087999999999999</v>
      </c>
      <c r="AY474" s="7">
        <v>1.9851000000000001</v>
      </c>
      <c r="AZ474" s="7">
        <v>1.9624999999999999</v>
      </c>
      <c r="BA474" s="7">
        <v>1.9410000000000001</v>
      </c>
      <c r="BB474" s="7">
        <v>1.9205000000000001</v>
      </c>
      <c r="BC474" s="7">
        <v>1.9009</v>
      </c>
      <c r="BD474" s="7">
        <v>1.8822000000000001</v>
      </c>
      <c r="BE474" s="7">
        <v>1.8643000000000001</v>
      </c>
      <c r="BF474" s="7">
        <v>1.8472</v>
      </c>
      <c r="BG474" s="7">
        <v>1.8308</v>
      </c>
      <c r="BH474" s="7">
        <v>1.8150999999999999</v>
      </c>
      <c r="BI474" s="7">
        <v>1.8</v>
      </c>
      <c r="BJ474" s="7">
        <v>1.7856000000000001</v>
      </c>
      <c r="BK474" s="7">
        <v>1.7717000000000001</v>
      </c>
      <c r="BL474" s="7">
        <v>1.7584</v>
      </c>
      <c r="BM474" s="7">
        <v>1.7455000000000001</v>
      </c>
      <c r="BN474" s="7">
        <v>1.7332000000000001</v>
      </c>
      <c r="BO474" s="7">
        <v>1.7214</v>
      </c>
      <c r="BP474" s="7">
        <v>1.71</v>
      </c>
      <c r="BQ474" s="7">
        <v>1.6990000000000001</v>
      </c>
      <c r="BR474" s="7">
        <v>1.6883999999999999</v>
      </c>
      <c r="BS474" s="7">
        <v>1.6781999999999999</v>
      </c>
      <c r="BT474" s="7">
        <v>1.6684000000000001</v>
      </c>
      <c r="BU474" s="7">
        <v>1.659</v>
      </c>
      <c r="BV474" s="7">
        <v>1.6498999999999999</v>
      </c>
      <c r="BW474" s="7">
        <v>1.6411</v>
      </c>
      <c r="BX474" s="7">
        <v>1.6326000000000001</v>
      </c>
      <c r="BY474" s="7">
        <v>1.6244000000000001</v>
      </c>
      <c r="BZ474" s="7">
        <v>1.6166</v>
      </c>
      <c r="CA474" s="7">
        <v>1.609</v>
      </c>
      <c r="CB474" s="7">
        <v>1.6015999999999999</v>
      </c>
      <c r="CC474" s="7">
        <v>1.5946</v>
      </c>
      <c r="CD474" s="7">
        <v>1.5878000000000001</v>
      </c>
      <c r="CE474" s="7">
        <v>1.5811999999999999</v>
      </c>
      <c r="CF474" s="7">
        <v>1.5749</v>
      </c>
      <c r="CG474" s="7">
        <v>1.5688</v>
      </c>
      <c r="CH474" s="7">
        <v>1.5629</v>
      </c>
      <c r="CI474" s="7">
        <v>1.5572999999999999</v>
      </c>
      <c r="CJ474" s="7">
        <v>1.5518000000000001</v>
      </c>
      <c r="CK474" s="7">
        <v>1.5466</v>
      </c>
      <c r="CL474" s="7">
        <v>1.5416000000000001</v>
      </c>
      <c r="CM474" s="7">
        <v>1.5367999999999999</v>
      </c>
      <c r="CN474" s="7">
        <v>1.5322</v>
      </c>
      <c r="CO474" s="7">
        <v>1.5277000000000001</v>
      </c>
      <c r="CP474" s="7">
        <v>1.5235000000000001</v>
      </c>
      <c r="CQ474" s="7">
        <v>1.5194000000000001</v>
      </c>
      <c r="CR474" s="7">
        <v>1.5156000000000001</v>
      </c>
      <c r="CS474" s="7">
        <v>1.5119</v>
      </c>
      <c r="CT474" s="7">
        <v>1.5084</v>
      </c>
      <c r="CU474" s="7">
        <v>1.5049999999999999</v>
      </c>
      <c r="CV474" s="7">
        <v>1.5019</v>
      </c>
      <c r="CW474" s="7">
        <v>1.4988999999999999</v>
      </c>
      <c r="CX474" s="7">
        <v>1.4961</v>
      </c>
      <c r="CY474" s="7">
        <v>1.4935</v>
      </c>
      <c r="CZ474" s="7">
        <v>1.4910000000000001</v>
      </c>
      <c r="DA474" s="7">
        <v>1.4886999999999999</v>
      </c>
      <c r="DB474" s="7">
        <v>1.4865999999999999</v>
      </c>
      <c r="DC474" s="7">
        <v>1.4846999999999999</v>
      </c>
      <c r="DD474" s="7">
        <v>1.4829000000000001</v>
      </c>
      <c r="DE474" s="7">
        <v>1.4813000000000001</v>
      </c>
      <c r="DF474" s="7">
        <v>1.4798</v>
      </c>
      <c r="DG474" s="7">
        <v>1.4785999999999999</v>
      </c>
      <c r="DH474" s="7">
        <v>1.4775</v>
      </c>
      <c r="DI474" s="7">
        <v>1.4765999999999999</v>
      </c>
      <c r="DJ474" s="7">
        <v>1.4758</v>
      </c>
      <c r="DK474" s="7">
        <v>1.4752000000000001</v>
      </c>
      <c r="DL474" s="7">
        <v>1.4748000000000001</v>
      </c>
      <c r="DM474" s="7">
        <v>1.4745999999999999</v>
      </c>
      <c r="DN474" s="7">
        <v>1.4745999999999999</v>
      </c>
      <c r="DO474" s="7">
        <v>1.4723999999999999</v>
      </c>
      <c r="DP474" s="7">
        <v>1.464</v>
      </c>
      <c r="DQ474" s="7">
        <v>1.4557</v>
      </c>
      <c r="DR474" s="7">
        <v>1.4475</v>
      </c>
      <c r="DS474" s="7">
        <v>1.4395</v>
      </c>
      <c r="DT474" s="7">
        <v>1.4316</v>
      </c>
      <c r="DU474" s="7">
        <v>1.4238999999999999</v>
      </c>
      <c r="DV474" s="7">
        <v>1.4161999999999999</v>
      </c>
      <c r="DW474" s="7">
        <v>1.4087000000000001</v>
      </c>
      <c r="DX474" s="7">
        <v>1.4014</v>
      </c>
      <c r="DY474" s="7">
        <v>1.3940999999999999</v>
      </c>
      <c r="DZ474" s="7">
        <v>1.3869</v>
      </c>
      <c r="EA474" s="7">
        <v>1.3798999999999999</v>
      </c>
      <c r="EB474" s="7">
        <v>1.373</v>
      </c>
      <c r="EC474" s="7">
        <v>1.3661000000000001</v>
      </c>
      <c r="ED474" s="7">
        <v>1.3593999999999999</v>
      </c>
      <c r="EE474" s="7">
        <v>1.3527</v>
      </c>
      <c r="EF474" s="7">
        <v>1.3462000000000001</v>
      </c>
      <c r="EG474" s="7">
        <v>1.3396999999999999</v>
      </c>
      <c r="EH474" s="7">
        <v>1.3332999999999999</v>
      </c>
      <c r="EI474" s="7">
        <v>1.3269</v>
      </c>
      <c r="EJ474" s="7">
        <v>1.3207</v>
      </c>
      <c r="EK474" s="7">
        <v>1.3144</v>
      </c>
      <c r="EL474" s="7">
        <v>1.3083</v>
      </c>
      <c r="EM474" s="7">
        <v>1.3022</v>
      </c>
      <c r="EN474" s="7">
        <v>1.2961</v>
      </c>
      <c r="EO474" s="7">
        <v>1.29</v>
      </c>
      <c r="EP474" s="7">
        <v>1.284</v>
      </c>
      <c r="EQ474" s="7">
        <v>1.2779</v>
      </c>
      <c r="ER474" s="7">
        <v>1.2719</v>
      </c>
      <c r="ES474" s="7">
        <v>1.2659</v>
      </c>
      <c r="ET474" s="7">
        <v>1.2599</v>
      </c>
      <c r="EU474" s="7">
        <v>1.2538</v>
      </c>
      <c r="EV474" s="7">
        <v>1.2477</v>
      </c>
      <c r="EW474" s="7">
        <v>1.2416</v>
      </c>
      <c r="EX474" s="7">
        <v>1.2354000000000001</v>
      </c>
      <c r="EY474" s="7">
        <v>1.2292000000000001</v>
      </c>
      <c r="EZ474" s="7">
        <v>1.2229000000000001</v>
      </c>
      <c r="FA474" s="7">
        <v>1.2164999999999999</v>
      </c>
      <c r="FB474" s="7">
        <v>1.21</v>
      </c>
      <c r="FC474" s="7">
        <v>1.2034</v>
      </c>
      <c r="FE474" s="50">
        <f t="shared" ca="1" si="48"/>
        <v>1.4072417864790456</v>
      </c>
      <c r="FF474" s="50">
        <f t="shared" ca="1" si="49"/>
        <v>1.411936943287408</v>
      </c>
      <c r="FG474" s="50">
        <f t="shared" ca="1" si="50"/>
        <v>1.4167839597315435</v>
      </c>
      <c r="FH474" s="50">
        <f t="shared" ca="1" si="51"/>
        <v>1.4219517449664427</v>
      </c>
      <c r="FK474" s="50">
        <f t="shared" ca="1" si="52"/>
        <v>1.411936943287408</v>
      </c>
      <c r="FL474" s="50"/>
      <c r="FM474" s="50"/>
      <c r="FN474" s="50"/>
    </row>
    <row r="475" spans="49:170" hidden="1">
      <c r="AW475" s="433">
        <v>3.89</v>
      </c>
      <c r="AX475" s="7">
        <v>2.0087999999999999</v>
      </c>
      <c r="AY475" s="7">
        <v>1.9851000000000001</v>
      </c>
      <c r="AZ475" s="7">
        <v>1.9624999999999999</v>
      </c>
      <c r="BA475" s="7">
        <v>1.9410000000000001</v>
      </c>
      <c r="BB475" s="7">
        <v>1.9205000000000001</v>
      </c>
      <c r="BC475" s="7">
        <v>1.9009</v>
      </c>
      <c r="BD475" s="7">
        <v>1.8822000000000001</v>
      </c>
      <c r="BE475" s="7">
        <v>1.8643000000000001</v>
      </c>
      <c r="BF475" s="7">
        <v>1.8472</v>
      </c>
      <c r="BG475" s="7">
        <v>1.8308</v>
      </c>
      <c r="BH475" s="7">
        <v>1.8150999999999999</v>
      </c>
      <c r="BI475" s="7">
        <v>1.8</v>
      </c>
      <c r="BJ475" s="7">
        <v>1.7856000000000001</v>
      </c>
      <c r="BK475" s="7">
        <v>1.7717000000000001</v>
      </c>
      <c r="BL475" s="7">
        <v>1.7584</v>
      </c>
      <c r="BM475" s="7">
        <v>1.7455000000000001</v>
      </c>
      <c r="BN475" s="7">
        <v>1.7332000000000001</v>
      </c>
      <c r="BO475" s="7">
        <v>1.7214</v>
      </c>
      <c r="BP475" s="7">
        <v>1.71</v>
      </c>
      <c r="BQ475" s="7">
        <v>1.6990000000000001</v>
      </c>
      <c r="BR475" s="7">
        <v>1.6883999999999999</v>
      </c>
      <c r="BS475" s="7">
        <v>1.6781999999999999</v>
      </c>
      <c r="BT475" s="7">
        <v>1.6684000000000001</v>
      </c>
      <c r="BU475" s="7">
        <v>1.659</v>
      </c>
      <c r="BV475" s="7">
        <v>1.6498999999999999</v>
      </c>
      <c r="BW475" s="7">
        <v>1.6411</v>
      </c>
      <c r="BX475" s="7">
        <v>1.6326000000000001</v>
      </c>
      <c r="BY475" s="7">
        <v>1.6244000000000001</v>
      </c>
      <c r="BZ475" s="7">
        <v>1.6166</v>
      </c>
      <c r="CA475" s="7">
        <v>1.609</v>
      </c>
      <c r="CB475" s="7">
        <v>1.6015999999999999</v>
      </c>
      <c r="CC475" s="7">
        <v>1.5946</v>
      </c>
      <c r="CD475" s="7">
        <v>1.5878000000000001</v>
      </c>
      <c r="CE475" s="7">
        <v>1.5811999999999999</v>
      </c>
      <c r="CF475" s="7">
        <v>1.5749</v>
      </c>
      <c r="CG475" s="7">
        <v>1.5688</v>
      </c>
      <c r="CH475" s="7">
        <v>1.5629</v>
      </c>
      <c r="CI475" s="7">
        <v>1.5572999999999999</v>
      </c>
      <c r="CJ475" s="7">
        <v>1.5518000000000001</v>
      </c>
      <c r="CK475" s="7">
        <v>1.5466</v>
      </c>
      <c r="CL475" s="7">
        <v>1.5416000000000001</v>
      </c>
      <c r="CM475" s="7">
        <v>1.5367999999999999</v>
      </c>
      <c r="CN475" s="7">
        <v>1.5322</v>
      </c>
      <c r="CO475" s="7">
        <v>1.5277000000000001</v>
      </c>
      <c r="CP475" s="7">
        <v>1.5235000000000001</v>
      </c>
      <c r="CQ475" s="7">
        <v>1.5194000000000001</v>
      </c>
      <c r="CR475" s="7">
        <v>1.5156000000000001</v>
      </c>
      <c r="CS475" s="7">
        <v>1.5119</v>
      </c>
      <c r="CT475" s="7">
        <v>1.5084</v>
      </c>
      <c r="CU475" s="7">
        <v>1.5049999999999999</v>
      </c>
      <c r="CV475" s="7">
        <v>1.5019</v>
      </c>
      <c r="CW475" s="7">
        <v>1.4988999999999999</v>
      </c>
      <c r="CX475" s="7">
        <v>1.4961</v>
      </c>
      <c r="CY475" s="7">
        <v>1.4935</v>
      </c>
      <c r="CZ475" s="7">
        <v>1.4910000000000001</v>
      </c>
      <c r="DA475" s="7">
        <v>1.4886999999999999</v>
      </c>
      <c r="DB475" s="7">
        <v>1.4865999999999999</v>
      </c>
      <c r="DC475" s="7">
        <v>1.4846999999999999</v>
      </c>
      <c r="DD475" s="7">
        <v>1.4829000000000001</v>
      </c>
      <c r="DE475" s="7">
        <v>1.4813000000000001</v>
      </c>
      <c r="DF475" s="7">
        <v>1.4798</v>
      </c>
      <c r="DG475" s="7">
        <v>1.4785999999999999</v>
      </c>
      <c r="DH475" s="7">
        <v>1.4775</v>
      </c>
      <c r="DI475" s="7">
        <v>1.4765999999999999</v>
      </c>
      <c r="DJ475" s="7">
        <v>1.4758</v>
      </c>
      <c r="DK475" s="7">
        <v>1.4752000000000001</v>
      </c>
      <c r="DL475" s="7">
        <v>1.4748000000000001</v>
      </c>
      <c r="DM475" s="7">
        <v>1.4745999999999999</v>
      </c>
      <c r="DN475" s="7">
        <v>1.4745999999999999</v>
      </c>
      <c r="DO475" s="7">
        <v>1.4746999999999999</v>
      </c>
      <c r="DP475" s="7">
        <v>1.472</v>
      </c>
      <c r="DQ475" s="7">
        <v>1.4637</v>
      </c>
      <c r="DR475" s="7">
        <v>1.4556</v>
      </c>
      <c r="DS475" s="7">
        <v>1.4476</v>
      </c>
      <c r="DT475" s="7">
        <v>1.4397</v>
      </c>
      <c r="DU475" s="7">
        <v>1.4319999999999999</v>
      </c>
      <c r="DV475" s="7">
        <v>1.4244000000000001</v>
      </c>
      <c r="DW475" s="7">
        <v>1.4169</v>
      </c>
      <c r="DX475" s="7">
        <v>1.4096</v>
      </c>
      <c r="DY475" s="7">
        <v>1.4024000000000001</v>
      </c>
      <c r="DZ475" s="7">
        <v>1.3953</v>
      </c>
      <c r="EA475" s="7">
        <v>1.3883000000000001</v>
      </c>
      <c r="EB475" s="7">
        <v>1.3814</v>
      </c>
      <c r="EC475" s="7">
        <v>1.3746</v>
      </c>
      <c r="ED475" s="7">
        <v>1.3678999999999999</v>
      </c>
      <c r="EE475" s="7">
        <v>1.3613</v>
      </c>
      <c r="EF475" s="7">
        <v>1.3548</v>
      </c>
      <c r="EG475" s="7">
        <v>1.3484</v>
      </c>
      <c r="EH475" s="7">
        <v>1.3420000000000001</v>
      </c>
      <c r="EI475" s="7">
        <v>1.3358000000000001</v>
      </c>
      <c r="EJ475" s="7">
        <v>1.3295999999999999</v>
      </c>
      <c r="EK475" s="7">
        <v>1.3233999999999999</v>
      </c>
      <c r="EL475" s="7">
        <v>1.3172999999999999</v>
      </c>
      <c r="EM475" s="7">
        <v>1.3112999999999999</v>
      </c>
      <c r="EN475" s="7">
        <v>1.3052999999999999</v>
      </c>
      <c r="EO475" s="7">
        <v>1.2992999999999999</v>
      </c>
      <c r="EP475" s="7">
        <v>1.2934000000000001</v>
      </c>
      <c r="EQ475" s="7">
        <v>1.2875000000000001</v>
      </c>
      <c r="ER475" s="7">
        <v>1.2815000000000001</v>
      </c>
      <c r="ES475" s="7">
        <v>1.2756000000000001</v>
      </c>
      <c r="ET475" s="7">
        <v>1.2697000000000001</v>
      </c>
      <c r="EU475" s="7">
        <v>1.2638</v>
      </c>
      <c r="EV475" s="7">
        <v>1.2578</v>
      </c>
      <c r="EW475" s="7">
        <v>1.2518</v>
      </c>
      <c r="EX475" s="7">
        <v>1.2458</v>
      </c>
      <c r="EY475" s="7">
        <v>1.2397</v>
      </c>
      <c r="EZ475" s="7">
        <v>1.2335</v>
      </c>
      <c r="FA475" s="7">
        <v>1.2273000000000001</v>
      </c>
      <c r="FB475" s="7">
        <v>1.2209000000000001</v>
      </c>
      <c r="FC475" s="7">
        <v>1.2144999999999999</v>
      </c>
      <c r="FE475" s="50">
        <f t="shared" ca="1" si="48"/>
        <v>1.4154417864790456</v>
      </c>
      <c r="FF475" s="50">
        <f t="shared" ca="1" si="49"/>
        <v>1.420136943287408</v>
      </c>
      <c r="FG475" s="50">
        <f t="shared" ca="1" si="50"/>
        <v>1.4249763758389262</v>
      </c>
      <c r="FH475" s="50">
        <f t="shared" ca="1" si="51"/>
        <v>1.4300770469798656</v>
      </c>
      <c r="FK475" s="50">
        <f t="shared" ca="1" si="52"/>
        <v>1.420136943287408</v>
      </c>
      <c r="FL475" s="50"/>
      <c r="FM475" s="50"/>
      <c r="FN475" s="50"/>
    </row>
    <row r="476" spans="49:170" hidden="1">
      <c r="AW476" s="433">
        <v>4.1689999999999996</v>
      </c>
      <c r="AX476" s="7">
        <v>2.0087999999999999</v>
      </c>
      <c r="AY476" s="7">
        <v>1.9851000000000001</v>
      </c>
      <c r="AZ476" s="7">
        <v>1.9624999999999999</v>
      </c>
      <c r="BA476" s="7">
        <v>1.9410000000000001</v>
      </c>
      <c r="BB476" s="7">
        <v>1.9205000000000001</v>
      </c>
      <c r="BC476" s="7">
        <v>1.9009</v>
      </c>
      <c r="BD476" s="7">
        <v>1.8822000000000001</v>
      </c>
      <c r="BE476" s="7">
        <v>1.8643000000000001</v>
      </c>
      <c r="BF476" s="7">
        <v>1.8472</v>
      </c>
      <c r="BG476" s="7">
        <v>1.8308</v>
      </c>
      <c r="BH476" s="7">
        <v>1.8150999999999999</v>
      </c>
      <c r="BI476" s="7">
        <v>1.8</v>
      </c>
      <c r="BJ476" s="7">
        <v>1.7856000000000001</v>
      </c>
      <c r="BK476" s="7">
        <v>1.7717000000000001</v>
      </c>
      <c r="BL476" s="7">
        <v>1.7584</v>
      </c>
      <c r="BM476" s="7">
        <v>1.7455000000000001</v>
      </c>
      <c r="BN476" s="7">
        <v>1.7332000000000001</v>
      </c>
      <c r="BO476" s="7">
        <v>1.7214</v>
      </c>
      <c r="BP476" s="7">
        <v>1.71</v>
      </c>
      <c r="BQ476" s="7">
        <v>1.6990000000000001</v>
      </c>
      <c r="BR476" s="7">
        <v>1.6883999999999999</v>
      </c>
      <c r="BS476" s="7">
        <v>1.6781999999999999</v>
      </c>
      <c r="BT476" s="7">
        <v>1.6684000000000001</v>
      </c>
      <c r="BU476" s="7">
        <v>1.659</v>
      </c>
      <c r="BV476" s="7">
        <v>1.6498999999999999</v>
      </c>
      <c r="BW476" s="7">
        <v>1.6411</v>
      </c>
      <c r="BX476" s="7">
        <v>1.6326000000000001</v>
      </c>
      <c r="BY476" s="7">
        <v>1.6244000000000001</v>
      </c>
      <c r="BZ476" s="7">
        <v>1.6166</v>
      </c>
      <c r="CA476" s="7">
        <v>1.609</v>
      </c>
      <c r="CB476" s="7">
        <v>1.6015999999999999</v>
      </c>
      <c r="CC476" s="7">
        <v>1.5946</v>
      </c>
      <c r="CD476" s="7">
        <v>1.5878000000000001</v>
      </c>
      <c r="CE476" s="7">
        <v>1.5811999999999999</v>
      </c>
      <c r="CF476" s="7">
        <v>1.5749</v>
      </c>
      <c r="CG476" s="7">
        <v>1.5688</v>
      </c>
      <c r="CH476" s="7">
        <v>1.5629</v>
      </c>
      <c r="CI476" s="7">
        <v>1.5572999999999999</v>
      </c>
      <c r="CJ476" s="7">
        <v>1.5518000000000001</v>
      </c>
      <c r="CK476" s="7">
        <v>1.5466</v>
      </c>
      <c r="CL476" s="7">
        <v>1.5416000000000001</v>
      </c>
      <c r="CM476" s="7">
        <v>1.5367999999999999</v>
      </c>
      <c r="CN476" s="7">
        <v>1.5322</v>
      </c>
      <c r="CO476" s="7">
        <v>1.5277000000000001</v>
      </c>
      <c r="CP476" s="7">
        <v>1.5235000000000001</v>
      </c>
      <c r="CQ476" s="7">
        <v>1.5194000000000001</v>
      </c>
      <c r="CR476" s="7">
        <v>1.5156000000000001</v>
      </c>
      <c r="CS476" s="7">
        <v>1.5119</v>
      </c>
      <c r="CT476" s="7">
        <v>1.5084</v>
      </c>
      <c r="CU476" s="7">
        <v>1.5049999999999999</v>
      </c>
      <c r="CV476" s="7">
        <v>1.5019</v>
      </c>
      <c r="CW476" s="7">
        <v>1.4988999999999999</v>
      </c>
      <c r="CX476" s="7">
        <v>1.4961</v>
      </c>
      <c r="CY476" s="7">
        <v>1.4935</v>
      </c>
      <c r="CZ476" s="7">
        <v>1.4910000000000001</v>
      </c>
      <c r="DA476" s="7">
        <v>1.4886999999999999</v>
      </c>
      <c r="DB476" s="7">
        <v>1.4865999999999999</v>
      </c>
      <c r="DC476" s="7">
        <v>1.4846999999999999</v>
      </c>
      <c r="DD476" s="7">
        <v>1.4829000000000001</v>
      </c>
      <c r="DE476" s="7">
        <v>1.4813000000000001</v>
      </c>
      <c r="DF476" s="7">
        <v>1.4798</v>
      </c>
      <c r="DG476" s="7">
        <v>1.4785999999999999</v>
      </c>
      <c r="DH476" s="7">
        <v>1.4775</v>
      </c>
      <c r="DI476" s="7">
        <v>1.4765999999999999</v>
      </c>
      <c r="DJ476" s="7">
        <v>1.4758</v>
      </c>
      <c r="DK476" s="7">
        <v>1.4752000000000001</v>
      </c>
      <c r="DL476" s="7">
        <v>1.4748000000000001</v>
      </c>
      <c r="DM476" s="7">
        <v>1.4745999999999999</v>
      </c>
      <c r="DN476" s="7">
        <v>1.4745999999999999</v>
      </c>
      <c r="DO476" s="7">
        <v>1.4746999999999999</v>
      </c>
      <c r="DP476" s="7">
        <v>1.4750000000000001</v>
      </c>
      <c r="DQ476" s="7">
        <v>1.4716</v>
      </c>
      <c r="DR476" s="7">
        <v>1.4635</v>
      </c>
      <c r="DS476" s="7">
        <v>1.4555</v>
      </c>
      <c r="DT476" s="7">
        <v>1.4477</v>
      </c>
      <c r="DU476" s="7">
        <v>1.44</v>
      </c>
      <c r="DV476" s="7">
        <v>1.4325000000000001</v>
      </c>
      <c r="DW476" s="7">
        <v>1.425</v>
      </c>
      <c r="DX476" s="7">
        <v>1.4177</v>
      </c>
      <c r="DY476" s="7">
        <v>1.4105000000000001</v>
      </c>
      <c r="DZ476" s="7">
        <v>1.4035</v>
      </c>
      <c r="EA476" s="7">
        <v>1.3965000000000001</v>
      </c>
      <c r="EB476" s="7">
        <v>1.3896999999999999</v>
      </c>
      <c r="EC476" s="7">
        <v>1.383</v>
      </c>
      <c r="ED476" s="7">
        <v>1.3763000000000001</v>
      </c>
      <c r="EE476" s="7">
        <v>1.3697999999999999</v>
      </c>
      <c r="EF476" s="7">
        <v>1.3633</v>
      </c>
      <c r="EG476" s="7">
        <v>1.357</v>
      </c>
      <c r="EH476" s="7">
        <v>1.3507</v>
      </c>
      <c r="EI476" s="7">
        <v>1.3445</v>
      </c>
      <c r="EJ476" s="7">
        <v>1.3384</v>
      </c>
      <c r="EK476" s="7">
        <v>1.3323</v>
      </c>
      <c r="EL476" s="7">
        <v>1.3263</v>
      </c>
      <c r="EM476" s="7">
        <v>1.3203</v>
      </c>
      <c r="EN476" s="7">
        <v>1.3144</v>
      </c>
      <c r="EO476" s="7">
        <v>1.3085</v>
      </c>
      <c r="EP476" s="7">
        <v>1.3027</v>
      </c>
      <c r="EQ476" s="7">
        <v>1.2968999999999999</v>
      </c>
      <c r="ER476" s="7">
        <v>1.2909999999999999</v>
      </c>
      <c r="ES476" s="7">
        <v>1.2851999999999999</v>
      </c>
      <c r="ET476" s="7">
        <v>1.2794000000000001</v>
      </c>
      <c r="EU476" s="7">
        <v>1.2736000000000001</v>
      </c>
      <c r="EV476" s="7">
        <v>1.2678</v>
      </c>
      <c r="EW476" s="7">
        <v>1.2619</v>
      </c>
      <c r="EX476" s="7">
        <v>1.256</v>
      </c>
      <c r="EY476" s="7">
        <v>1.2501</v>
      </c>
      <c r="EZ476" s="7">
        <v>1.244</v>
      </c>
      <c r="FA476" s="7">
        <v>1.238</v>
      </c>
      <c r="FB476" s="7">
        <v>1.2318</v>
      </c>
      <c r="FC476" s="7">
        <v>1.2255</v>
      </c>
      <c r="FE476" s="50">
        <f t="shared" ca="1" si="48"/>
        <v>1.4235417864790454</v>
      </c>
      <c r="FF476" s="50">
        <f t="shared" ca="1" si="49"/>
        <v>1.4282369432874078</v>
      </c>
      <c r="FG476" s="50">
        <f t="shared" ca="1" si="50"/>
        <v>1.4330687919463088</v>
      </c>
      <c r="FH476" s="50">
        <f t="shared" ca="1" si="51"/>
        <v>1.4381023489932887</v>
      </c>
      <c r="FK476" s="50">
        <f t="shared" ca="1" si="52"/>
        <v>1.4282369432874078</v>
      </c>
      <c r="FL476" s="50"/>
      <c r="FM476" s="50"/>
      <c r="FN476" s="50"/>
    </row>
    <row r="477" spans="49:170" hidden="1">
      <c r="AW477" s="433">
        <v>4.4669999999999996</v>
      </c>
      <c r="AX477" s="7">
        <v>2.0087999999999999</v>
      </c>
      <c r="AY477" s="7">
        <v>1.9851000000000001</v>
      </c>
      <c r="AZ477" s="7">
        <v>1.9624999999999999</v>
      </c>
      <c r="BA477" s="7">
        <v>1.9410000000000001</v>
      </c>
      <c r="BB477" s="7">
        <v>1.9205000000000001</v>
      </c>
      <c r="BC477" s="7">
        <v>1.9009</v>
      </c>
      <c r="BD477" s="7">
        <v>1.8822000000000001</v>
      </c>
      <c r="BE477" s="7">
        <v>1.8643000000000001</v>
      </c>
      <c r="BF477" s="7">
        <v>1.8472</v>
      </c>
      <c r="BG477" s="7">
        <v>1.8308</v>
      </c>
      <c r="BH477" s="7">
        <v>1.8150999999999999</v>
      </c>
      <c r="BI477" s="7">
        <v>1.8</v>
      </c>
      <c r="BJ477" s="7">
        <v>1.7856000000000001</v>
      </c>
      <c r="BK477" s="7">
        <v>1.7717000000000001</v>
      </c>
      <c r="BL477" s="7">
        <v>1.7584</v>
      </c>
      <c r="BM477" s="7">
        <v>1.7455000000000001</v>
      </c>
      <c r="BN477" s="7">
        <v>1.7332000000000001</v>
      </c>
      <c r="BO477" s="7">
        <v>1.7214</v>
      </c>
      <c r="BP477" s="7">
        <v>1.71</v>
      </c>
      <c r="BQ477" s="7">
        <v>1.6990000000000001</v>
      </c>
      <c r="BR477" s="7">
        <v>1.6883999999999999</v>
      </c>
      <c r="BS477" s="7">
        <v>1.6781999999999999</v>
      </c>
      <c r="BT477" s="7">
        <v>1.6684000000000001</v>
      </c>
      <c r="BU477" s="7">
        <v>1.659</v>
      </c>
      <c r="BV477" s="7">
        <v>1.6498999999999999</v>
      </c>
      <c r="BW477" s="7">
        <v>1.6411</v>
      </c>
      <c r="BX477" s="7">
        <v>1.6326000000000001</v>
      </c>
      <c r="BY477" s="7">
        <v>1.6244000000000001</v>
      </c>
      <c r="BZ477" s="7">
        <v>1.6166</v>
      </c>
      <c r="CA477" s="7">
        <v>1.609</v>
      </c>
      <c r="CB477" s="7">
        <v>1.6015999999999999</v>
      </c>
      <c r="CC477" s="7">
        <v>1.5946</v>
      </c>
      <c r="CD477" s="7">
        <v>1.5878000000000001</v>
      </c>
      <c r="CE477" s="7">
        <v>1.5811999999999999</v>
      </c>
      <c r="CF477" s="7">
        <v>1.5749</v>
      </c>
      <c r="CG477" s="7">
        <v>1.5688</v>
      </c>
      <c r="CH477" s="7">
        <v>1.5629</v>
      </c>
      <c r="CI477" s="7">
        <v>1.5572999999999999</v>
      </c>
      <c r="CJ477" s="7">
        <v>1.5518000000000001</v>
      </c>
      <c r="CK477" s="7">
        <v>1.5466</v>
      </c>
      <c r="CL477" s="7">
        <v>1.5416000000000001</v>
      </c>
      <c r="CM477" s="7">
        <v>1.5367999999999999</v>
      </c>
      <c r="CN477" s="7">
        <v>1.5322</v>
      </c>
      <c r="CO477" s="7">
        <v>1.5277000000000001</v>
      </c>
      <c r="CP477" s="7">
        <v>1.5235000000000001</v>
      </c>
      <c r="CQ477" s="7">
        <v>1.5194000000000001</v>
      </c>
      <c r="CR477" s="7">
        <v>1.5156000000000001</v>
      </c>
      <c r="CS477" s="7">
        <v>1.5119</v>
      </c>
      <c r="CT477" s="7">
        <v>1.5084</v>
      </c>
      <c r="CU477" s="7">
        <v>1.5049999999999999</v>
      </c>
      <c r="CV477" s="7">
        <v>1.5019</v>
      </c>
      <c r="CW477" s="7">
        <v>1.4988999999999999</v>
      </c>
      <c r="CX477" s="7">
        <v>1.4961</v>
      </c>
      <c r="CY477" s="7">
        <v>1.4935</v>
      </c>
      <c r="CZ477" s="7">
        <v>1.4910000000000001</v>
      </c>
      <c r="DA477" s="7">
        <v>1.4886999999999999</v>
      </c>
      <c r="DB477" s="7">
        <v>1.4865999999999999</v>
      </c>
      <c r="DC477" s="7">
        <v>1.4846999999999999</v>
      </c>
      <c r="DD477" s="7">
        <v>1.4829000000000001</v>
      </c>
      <c r="DE477" s="7">
        <v>1.4813000000000001</v>
      </c>
      <c r="DF477" s="7">
        <v>1.4798</v>
      </c>
      <c r="DG477" s="7">
        <v>1.4785999999999999</v>
      </c>
      <c r="DH477" s="7">
        <v>1.4775</v>
      </c>
      <c r="DI477" s="7">
        <v>1.4765999999999999</v>
      </c>
      <c r="DJ477" s="7">
        <v>1.4758</v>
      </c>
      <c r="DK477" s="7">
        <v>1.4752000000000001</v>
      </c>
      <c r="DL477" s="7">
        <v>1.4748000000000001</v>
      </c>
      <c r="DM477" s="7">
        <v>1.4745999999999999</v>
      </c>
      <c r="DN477" s="7">
        <v>1.4745999999999999</v>
      </c>
      <c r="DO477" s="7">
        <v>1.4746999999999999</v>
      </c>
      <c r="DP477" s="7">
        <v>1.4750000000000001</v>
      </c>
      <c r="DQ477" s="7">
        <v>1.4755</v>
      </c>
      <c r="DR477" s="7">
        <v>1.4714</v>
      </c>
      <c r="DS477" s="7">
        <v>1.4634</v>
      </c>
      <c r="DT477" s="7">
        <v>1.4556</v>
      </c>
      <c r="DU477" s="7">
        <v>1.448</v>
      </c>
      <c r="DV477" s="7">
        <v>1.4403999999999999</v>
      </c>
      <c r="DW477" s="7">
        <v>1.4330000000000001</v>
      </c>
      <c r="DX477" s="7">
        <v>1.4258</v>
      </c>
      <c r="DY477" s="7">
        <v>1.4186000000000001</v>
      </c>
      <c r="DZ477" s="7">
        <v>1.4116</v>
      </c>
      <c r="EA477" s="7">
        <v>1.4047000000000001</v>
      </c>
      <c r="EB477" s="7">
        <v>1.3978999999999999</v>
      </c>
      <c r="EC477" s="7">
        <v>1.3912</v>
      </c>
      <c r="ED477" s="7">
        <v>1.3847</v>
      </c>
      <c r="EE477" s="7">
        <v>1.3782000000000001</v>
      </c>
      <c r="EF477" s="7">
        <v>1.3717999999999999</v>
      </c>
      <c r="EG477" s="7">
        <v>1.3654999999999999</v>
      </c>
      <c r="EH477" s="7">
        <v>1.3593</v>
      </c>
      <c r="EI477" s="7">
        <v>1.3531</v>
      </c>
      <c r="EJ477" s="7">
        <v>1.3471</v>
      </c>
      <c r="EK477" s="7">
        <v>1.3411</v>
      </c>
      <c r="EL477" s="7">
        <v>1.3351</v>
      </c>
      <c r="EM477" s="7">
        <v>1.3292999999999999</v>
      </c>
      <c r="EN477" s="7">
        <v>1.3233999999999999</v>
      </c>
      <c r="EO477" s="7">
        <v>1.3176000000000001</v>
      </c>
      <c r="EP477" s="7">
        <v>1.3119000000000001</v>
      </c>
      <c r="EQ477" s="7">
        <v>1.3062</v>
      </c>
      <c r="ER477" s="7">
        <v>1.3005</v>
      </c>
      <c r="ES477" s="7">
        <v>1.2948</v>
      </c>
      <c r="ET477" s="7">
        <v>1.2890999999999999</v>
      </c>
      <c r="EU477" s="7">
        <v>1.2834000000000001</v>
      </c>
      <c r="EV477" s="7">
        <v>1.2777000000000001</v>
      </c>
      <c r="EW477" s="7">
        <v>1.2719</v>
      </c>
      <c r="EX477" s="7">
        <v>1.2661</v>
      </c>
      <c r="EY477" s="7">
        <v>1.2603</v>
      </c>
      <c r="EZ477" s="7">
        <v>1.2544999999999999</v>
      </c>
      <c r="FA477" s="7">
        <v>1.2484999999999999</v>
      </c>
      <c r="FB477" s="7">
        <v>1.2424999999999999</v>
      </c>
      <c r="FC477" s="7">
        <v>1.2363999999999999</v>
      </c>
      <c r="FE477" s="50">
        <f t="shared" ca="1" si="48"/>
        <v>1.4315617620067298</v>
      </c>
      <c r="FF477" s="50">
        <f t="shared" ca="1" si="49"/>
        <v>1.4361937840435759</v>
      </c>
      <c r="FG477" s="50">
        <f t="shared" ca="1" si="50"/>
        <v>1.4409763758389262</v>
      </c>
      <c r="FH477" s="50">
        <f t="shared" ca="1" si="51"/>
        <v>1.4460770469798658</v>
      </c>
      <c r="FK477" s="50">
        <f t="shared" ca="1" si="52"/>
        <v>1.4361937840435759</v>
      </c>
      <c r="FL477" s="50"/>
      <c r="FM477" s="50"/>
      <c r="FN477" s="50"/>
    </row>
    <row r="478" spans="49:170" hidden="1">
      <c r="AW478" s="433">
        <v>4.7859999999999996</v>
      </c>
      <c r="AX478" s="7">
        <v>2.0087999999999999</v>
      </c>
      <c r="AY478" s="7">
        <v>1.9851000000000001</v>
      </c>
      <c r="AZ478" s="7">
        <v>1.9624999999999999</v>
      </c>
      <c r="BA478" s="7">
        <v>1.9410000000000001</v>
      </c>
      <c r="BB478" s="7">
        <v>1.9205000000000001</v>
      </c>
      <c r="BC478" s="7">
        <v>1.9009</v>
      </c>
      <c r="BD478" s="7">
        <v>1.8822000000000001</v>
      </c>
      <c r="BE478" s="7">
        <v>1.8643000000000001</v>
      </c>
      <c r="BF478" s="7">
        <v>1.8472</v>
      </c>
      <c r="BG478" s="7">
        <v>1.8308</v>
      </c>
      <c r="BH478" s="7">
        <v>1.8150999999999999</v>
      </c>
      <c r="BI478" s="7">
        <v>1.8</v>
      </c>
      <c r="BJ478" s="7">
        <v>1.7856000000000001</v>
      </c>
      <c r="BK478" s="7">
        <v>1.7717000000000001</v>
      </c>
      <c r="BL478" s="7">
        <v>1.7584</v>
      </c>
      <c r="BM478" s="7">
        <v>1.7455000000000001</v>
      </c>
      <c r="BN478" s="7">
        <v>1.7332000000000001</v>
      </c>
      <c r="BO478" s="7">
        <v>1.7214</v>
      </c>
      <c r="BP478" s="7">
        <v>1.71</v>
      </c>
      <c r="BQ478" s="7">
        <v>1.6990000000000001</v>
      </c>
      <c r="BR478" s="7">
        <v>1.6883999999999999</v>
      </c>
      <c r="BS478" s="7">
        <v>1.6781999999999999</v>
      </c>
      <c r="BT478" s="7">
        <v>1.6684000000000001</v>
      </c>
      <c r="BU478" s="7">
        <v>1.659</v>
      </c>
      <c r="BV478" s="7">
        <v>1.6498999999999999</v>
      </c>
      <c r="BW478" s="7">
        <v>1.6411</v>
      </c>
      <c r="BX478" s="7">
        <v>1.6326000000000001</v>
      </c>
      <c r="BY478" s="7">
        <v>1.6244000000000001</v>
      </c>
      <c r="BZ478" s="7">
        <v>1.6166</v>
      </c>
      <c r="CA478" s="7">
        <v>1.609</v>
      </c>
      <c r="CB478" s="7">
        <v>1.6015999999999999</v>
      </c>
      <c r="CC478" s="7">
        <v>1.5946</v>
      </c>
      <c r="CD478" s="7">
        <v>1.5878000000000001</v>
      </c>
      <c r="CE478" s="7">
        <v>1.5811999999999999</v>
      </c>
      <c r="CF478" s="7">
        <v>1.5749</v>
      </c>
      <c r="CG478" s="7">
        <v>1.5688</v>
      </c>
      <c r="CH478" s="7">
        <v>1.5629</v>
      </c>
      <c r="CI478" s="7">
        <v>1.5572999999999999</v>
      </c>
      <c r="CJ478" s="7">
        <v>1.5518000000000001</v>
      </c>
      <c r="CK478" s="7">
        <v>1.5466</v>
      </c>
      <c r="CL478" s="7">
        <v>1.5416000000000001</v>
      </c>
      <c r="CM478" s="7">
        <v>1.5367999999999999</v>
      </c>
      <c r="CN478" s="7">
        <v>1.5322</v>
      </c>
      <c r="CO478" s="7">
        <v>1.5277000000000001</v>
      </c>
      <c r="CP478" s="7">
        <v>1.5235000000000001</v>
      </c>
      <c r="CQ478" s="7">
        <v>1.5194000000000001</v>
      </c>
      <c r="CR478" s="7">
        <v>1.5156000000000001</v>
      </c>
      <c r="CS478" s="7">
        <v>1.5119</v>
      </c>
      <c r="CT478" s="7">
        <v>1.5084</v>
      </c>
      <c r="CU478" s="7">
        <v>1.5049999999999999</v>
      </c>
      <c r="CV478" s="7">
        <v>1.5019</v>
      </c>
      <c r="CW478" s="7">
        <v>1.4988999999999999</v>
      </c>
      <c r="CX478" s="7">
        <v>1.4961</v>
      </c>
      <c r="CY478" s="7">
        <v>1.4935</v>
      </c>
      <c r="CZ478" s="7">
        <v>1.4910000000000001</v>
      </c>
      <c r="DA478" s="7">
        <v>1.4886999999999999</v>
      </c>
      <c r="DB478" s="7">
        <v>1.4865999999999999</v>
      </c>
      <c r="DC478" s="7">
        <v>1.4846999999999999</v>
      </c>
      <c r="DD478" s="7">
        <v>1.4829000000000001</v>
      </c>
      <c r="DE478" s="7">
        <v>1.4813000000000001</v>
      </c>
      <c r="DF478" s="7">
        <v>1.4798</v>
      </c>
      <c r="DG478" s="7">
        <v>1.4785999999999999</v>
      </c>
      <c r="DH478" s="7">
        <v>1.4775</v>
      </c>
      <c r="DI478" s="7">
        <v>1.4765999999999999</v>
      </c>
      <c r="DJ478" s="7">
        <v>1.4758</v>
      </c>
      <c r="DK478" s="7">
        <v>1.4752000000000001</v>
      </c>
      <c r="DL478" s="7">
        <v>1.4748000000000001</v>
      </c>
      <c r="DM478" s="7">
        <v>1.4745999999999999</v>
      </c>
      <c r="DN478" s="7">
        <v>1.4745999999999999</v>
      </c>
      <c r="DO478" s="7">
        <v>1.4746999999999999</v>
      </c>
      <c r="DP478" s="7">
        <v>1.4750000000000001</v>
      </c>
      <c r="DQ478" s="7">
        <v>1.4755</v>
      </c>
      <c r="DR478" s="7">
        <v>1.4762</v>
      </c>
      <c r="DS478" s="7">
        <v>1.4712000000000001</v>
      </c>
      <c r="DT478" s="7">
        <v>1.4635</v>
      </c>
      <c r="DU478" s="7">
        <v>1.4558</v>
      </c>
      <c r="DV478" s="7">
        <v>1.4482999999999999</v>
      </c>
      <c r="DW478" s="7">
        <v>1.4410000000000001</v>
      </c>
      <c r="DX478" s="7">
        <v>1.4337</v>
      </c>
      <c r="DY478" s="7">
        <v>1.4266000000000001</v>
      </c>
      <c r="DZ478" s="7">
        <v>1.4197</v>
      </c>
      <c r="EA478" s="7">
        <v>1.4128000000000001</v>
      </c>
      <c r="EB478" s="7">
        <v>1.4060999999999999</v>
      </c>
      <c r="EC478" s="7">
        <v>1.3994</v>
      </c>
      <c r="ED478" s="7">
        <v>1.3929</v>
      </c>
      <c r="EE478" s="7">
        <v>1.3865000000000001</v>
      </c>
      <c r="EF478" s="7">
        <v>1.3801000000000001</v>
      </c>
      <c r="EG478" s="7">
        <v>1.3738999999999999</v>
      </c>
      <c r="EH478" s="7">
        <v>1.3676999999999999</v>
      </c>
      <c r="EI478" s="7">
        <v>1.3616999999999999</v>
      </c>
      <c r="EJ478" s="7">
        <v>1.3556999999999999</v>
      </c>
      <c r="EK478" s="7">
        <v>1.3496999999999999</v>
      </c>
      <c r="EL478" s="7">
        <v>1.3439000000000001</v>
      </c>
      <c r="EM478" s="7">
        <v>1.3381000000000001</v>
      </c>
      <c r="EN478" s="7">
        <v>1.3323</v>
      </c>
      <c r="EO478" s="7">
        <v>1.3267</v>
      </c>
      <c r="EP478" s="7">
        <v>1.321</v>
      </c>
      <c r="EQ478" s="7">
        <v>1.3153999999999999</v>
      </c>
      <c r="ER478" s="7">
        <v>1.3098000000000001</v>
      </c>
      <c r="ES478" s="7">
        <v>1.3042</v>
      </c>
      <c r="ET478" s="7">
        <v>1.2986</v>
      </c>
      <c r="EU478" s="7">
        <v>1.2929999999999999</v>
      </c>
      <c r="EV478" s="7">
        <v>1.2874000000000001</v>
      </c>
      <c r="EW478" s="7">
        <v>1.2818000000000001</v>
      </c>
      <c r="EX478" s="7">
        <v>1.2762</v>
      </c>
      <c r="EY478" s="7">
        <v>1.2705</v>
      </c>
      <c r="EZ478" s="7">
        <v>1.2647999999999999</v>
      </c>
      <c r="FA478" s="7">
        <v>1.2589999999999999</v>
      </c>
      <c r="FB478" s="7">
        <v>1.2531000000000001</v>
      </c>
      <c r="FC478" s="7">
        <v>1.2472000000000001</v>
      </c>
      <c r="FE478" s="50">
        <f t="shared" ca="1" si="48"/>
        <v>1.4395417864790454</v>
      </c>
      <c r="FF478" s="50">
        <f t="shared" ca="1" si="49"/>
        <v>1.4441506247997435</v>
      </c>
      <c r="FG478" s="50">
        <f t="shared" ca="1" si="50"/>
        <v>1.4488687919463086</v>
      </c>
      <c r="FH478" s="50">
        <f t="shared" ca="1" si="51"/>
        <v>1.4539023489932885</v>
      </c>
      <c r="FK478" s="50">
        <f t="shared" ca="1" si="52"/>
        <v>1.4441506247997435</v>
      </c>
      <c r="FL478" s="50"/>
      <c r="FM478" s="50"/>
      <c r="FN478" s="50"/>
    </row>
    <row r="479" spans="49:170" hidden="1">
      <c r="AW479" s="433">
        <v>5.1289999999999996</v>
      </c>
      <c r="AX479" s="7">
        <v>2.0087999999999999</v>
      </c>
      <c r="AY479" s="7">
        <v>1.9851000000000001</v>
      </c>
      <c r="AZ479" s="7">
        <v>1.9624999999999999</v>
      </c>
      <c r="BA479" s="7">
        <v>1.9410000000000001</v>
      </c>
      <c r="BB479" s="7">
        <v>1.9205000000000001</v>
      </c>
      <c r="BC479" s="7">
        <v>1.9009</v>
      </c>
      <c r="BD479" s="7">
        <v>1.8822000000000001</v>
      </c>
      <c r="BE479" s="7">
        <v>1.8643000000000001</v>
      </c>
      <c r="BF479" s="7">
        <v>1.8472</v>
      </c>
      <c r="BG479" s="7">
        <v>1.8308</v>
      </c>
      <c r="BH479" s="7">
        <v>1.8150999999999999</v>
      </c>
      <c r="BI479" s="7">
        <v>1.8</v>
      </c>
      <c r="BJ479" s="7">
        <v>1.7856000000000001</v>
      </c>
      <c r="BK479" s="7">
        <v>1.7717000000000001</v>
      </c>
      <c r="BL479" s="7">
        <v>1.7584</v>
      </c>
      <c r="BM479" s="7">
        <v>1.7455000000000001</v>
      </c>
      <c r="BN479" s="7">
        <v>1.7332000000000001</v>
      </c>
      <c r="BO479" s="7">
        <v>1.7214</v>
      </c>
      <c r="BP479" s="7">
        <v>1.71</v>
      </c>
      <c r="BQ479" s="7">
        <v>1.6990000000000001</v>
      </c>
      <c r="BR479" s="7">
        <v>1.6883999999999999</v>
      </c>
      <c r="BS479" s="7">
        <v>1.6781999999999999</v>
      </c>
      <c r="BT479" s="7">
        <v>1.6684000000000001</v>
      </c>
      <c r="BU479" s="7">
        <v>1.659</v>
      </c>
      <c r="BV479" s="7">
        <v>1.6498999999999999</v>
      </c>
      <c r="BW479" s="7">
        <v>1.6411</v>
      </c>
      <c r="BX479" s="7">
        <v>1.6326000000000001</v>
      </c>
      <c r="BY479" s="7">
        <v>1.6244000000000001</v>
      </c>
      <c r="BZ479" s="7">
        <v>1.6166</v>
      </c>
      <c r="CA479" s="7">
        <v>1.609</v>
      </c>
      <c r="CB479" s="7">
        <v>1.6015999999999999</v>
      </c>
      <c r="CC479" s="7">
        <v>1.5946</v>
      </c>
      <c r="CD479" s="7">
        <v>1.5878000000000001</v>
      </c>
      <c r="CE479" s="7">
        <v>1.5811999999999999</v>
      </c>
      <c r="CF479" s="7">
        <v>1.5749</v>
      </c>
      <c r="CG479" s="7">
        <v>1.5688</v>
      </c>
      <c r="CH479" s="7">
        <v>1.5629</v>
      </c>
      <c r="CI479" s="7">
        <v>1.5572999999999999</v>
      </c>
      <c r="CJ479" s="7">
        <v>1.5518000000000001</v>
      </c>
      <c r="CK479" s="7">
        <v>1.5466</v>
      </c>
      <c r="CL479" s="7">
        <v>1.5416000000000001</v>
      </c>
      <c r="CM479" s="7">
        <v>1.5367999999999999</v>
      </c>
      <c r="CN479" s="7">
        <v>1.5322</v>
      </c>
      <c r="CO479" s="7">
        <v>1.5277000000000001</v>
      </c>
      <c r="CP479" s="7">
        <v>1.5235000000000001</v>
      </c>
      <c r="CQ479" s="7">
        <v>1.5194000000000001</v>
      </c>
      <c r="CR479" s="7">
        <v>1.5156000000000001</v>
      </c>
      <c r="CS479" s="7">
        <v>1.5119</v>
      </c>
      <c r="CT479" s="7">
        <v>1.5084</v>
      </c>
      <c r="CU479" s="7">
        <v>1.5049999999999999</v>
      </c>
      <c r="CV479" s="7">
        <v>1.5019</v>
      </c>
      <c r="CW479" s="7">
        <v>1.4988999999999999</v>
      </c>
      <c r="CX479" s="7">
        <v>1.4961</v>
      </c>
      <c r="CY479" s="7">
        <v>1.4935</v>
      </c>
      <c r="CZ479" s="7">
        <v>1.4910000000000001</v>
      </c>
      <c r="DA479" s="7">
        <v>1.4886999999999999</v>
      </c>
      <c r="DB479" s="7">
        <v>1.4865999999999999</v>
      </c>
      <c r="DC479" s="7">
        <v>1.4846999999999999</v>
      </c>
      <c r="DD479" s="7">
        <v>1.4829000000000001</v>
      </c>
      <c r="DE479" s="7">
        <v>1.4813000000000001</v>
      </c>
      <c r="DF479" s="7">
        <v>1.4798</v>
      </c>
      <c r="DG479" s="7">
        <v>1.4785999999999999</v>
      </c>
      <c r="DH479" s="7">
        <v>1.4775</v>
      </c>
      <c r="DI479" s="7">
        <v>1.4765999999999999</v>
      </c>
      <c r="DJ479" s="7">
        <v>1.4758</v>
      </c>
      <c r="DK479" s="7">
        <v>1.4752000000000001</v>
      </c>
      <c r="DL479" s="7">
        <v>1.4748000000000001</v>
      </c>
      <c r="DM479" s="7">
        <v>1.4745999999999999</v>
      </c>
      <c r="DN479" s="7">
        <v>1.4745999999999999</v>
      </c>
      <c r="DO479" s="7">
        <v>1.4746999999999999</v>
      </c>
      <c r="DP479" s="7">
        <v>1.4750000000000001</v>
      </c>
      <c r="DQ479" s="7">
        <v>1.4755</v>
      </c>
      <c r="DR479" s="7">
        <v>1.4762</v>
      </c>
      <c r="DS479" s="7">
        <v>1.4771000000000001</v>
      </c>
      <c r="DT479" s="7">
        <v>1.4712000000000001</v>
      </c>
      <c r="DU479" s="7">
        <v>1.4636</v>
      </c>
      <c r="DV479" s="7">
        <v>1.4560999999999999</v>
      </c>
      <c r="DW479" s="7">
        <v>1.4488000000000001</v>
      </c>
      <c r="DX479" s="7">
        <v>1.4416</v>
      </c>
      <c r="DY479" s="7">
        <v>1.4346000000000001</v>
      </c>
      <c r="DZ479" s="7">
        <v>1.4276</v>
      </c>
      <c r="EA479" s="7">
        <v>1.4208000000000001</v>
      </c>
      <c r="EB479" s="7">
        <v>1.4140999999999999</v>
      </c>
      <c r="EC479" s="7">
        <v>1.4075</v>
      </c>
      <c r="ED479" s="7">
        <v>1.401</v>
      </c>
      <c r="EE479" s="7">
        <v>1.3947000000000001</v>
      </c>
      <c r="EF479" s="7">
        <v>1.3884000000000001</v>
      </c>
      <c r="EG479" s="7">
        <v>1.3822000000000001</v>
      </c>
      <c r="EH479" s="7">
        <v>1.3761000000000001</v>
      </c>
      <c r="EI479" s="7">
        <v>1.3701000000000001</v>
      </c>
      <c r="EJ479" s="7">
        <v>1.3642000000000001</v>
      </c>
      <c r="EK479" s="7">
        <v>1.3583000000000001</v>
      </c>
      <c r="EL479" s="7">
        <v>1.3526</v>
      </c>
      <c r="EM479" s="7">
        <v>1.3468</v>
      </c>
      <c r="EN479" s="7">
        <v>1.3411999999999999</v>
      </c>
      <c r="EO479" s="7">
        <v>1.3355999999999999</v>
      </c>
      <c r="EP479" s="7">
        <v>1.33</v>
      </c>
      <c r="EQ479" s="7">
        <v>1.3245</v>
      </c>
      <c r="ER479" s="7">
        <v>1.319</v>
      </c>
      <c r="ES479" s="7">
        <v>1.3134999999999999</v>
      </c>
      <c r="ET479" s="7">
        <v>1.3080000000000001</v>
      </c>
      <c r="EU479" s="7">
        <v>1.3025</v>
      </c>
      <c r="EV479" s="7">
        <v>1.2970999999999999</v>
      </c>
      <c r="EW479" s="7">
        <v>1.2916000000000001</v>
      </c>
      <c r="EX479" s="7">
        <v>1.2861</v>
      </c>
      <c r="EY479" s="7">
        <v>1.2805</v>
      </c>
      <c r="EZ479" s="7">
        <v>1.2748999999999999</v>
      </c>
      <c r="FA479" s="7">
        <v>1.2693000000000001</v>
      </c>
      <c r="FB479" s="7">
        <v>1.2636000000000001</v>
      </c>
      <c r="FC479" s="7">
        <v>1.2578</v>
      </c>
      <c r="FE479" s="50">
        <f t="shared" ca="1" si="48"/>
        <v>1.4473617620067298</v>
      </c>
      <c r="FF479" s="50">
        <f t="shared" ca="1" si="49"/>
        <v>1.4519506247997436</v>
      </c>
      <c r="FG479" s="50">
        <f t="shared" ca="1" si="50"/>
        <v>1.4566687919463086</v>
      </c>
      <c r="FH479" s="50">
        <f t="shared" ca="1" si="51"/>
        <v>1.4617023489932885</v>
      </c>
      <c r="FK479" s="50">
        <f t="shared" ca="1" si="52"/>
        <v>1.4519506247997436</v>
      </c>
      <c r="FL479" s="50"/>
      <c r="FM479" s="50"/>
      <c r="FN479" s="50"/>
    </row>
    <row r="480" spans="49:170" hidden="1">
      <c r="AW480" s="433">
        <v>5.4950000000000001</v>
      </c>
      <c r="AX480" s="7">
        <v>2.0087999999999999</v>
      </c>
      <c r="AY480" s="7">
        <v>1.9851000000000001</v>
      </c>
      <c r="AZ480" s="7">
        <v>1.9624999999999999</v>
      </c>
      <c r="BA480" s="7">
        <v>1.9410000000000001</v>
      </c>
      <c r="BB480" s="7">
        <v>1.9205000000000001</v>
      </c>
      <c r="BC480" s="7">
        <v>1.9009</v>
      </c>
      <c r="BD480" s="7">
        <v>1.8822000000000001</v>
      </c>
      <c r="BE480" s="7">
        <v>1.8643000000000001</v>
      </c>
      <c r="BF480" s="7">
        <v>1.8472</v>
      </c>
      <c r="BG480" s="7">
        <v>1.8308</v>
      </c>
      <c r="BH480" s="7">
        <v>1.8150999999999999</v>
      </c>
      <c r="BI480" s="7">
        <v>1.8</v>
      </c>
      <c r="BJ480" s="7">
        <v>1.7856000000000001</v>
      </c>
      <c r="BK480" s="7">
        <v>1.7717000000000001</v>
      </c>
      <c r="BL480" s="7">
        <v>1.7584</v>
      </c>
      <c r="BM480" s="7">
        <v>1.7455000000000001</v>
      </c>
      <c r="BN480" s="7">
        <v>1.7332000000000001</v>
      </c>
      <c r="BO480" s="7">
        <v>1.7214</v>
      </c>
      <c r="BP480" s="7">
        <v>1.71</v>
      </c>
      <c r="BQ480" s="7">
        <v>1.6990000000000001</v>
      </c>
      <c r="BR480" s="7">
        <v>1.6883999999999999</v>
      </c>
      <c r="BS480" s="7">
        <v>1.6781999999999999</v>
      </c>
      <c r="BT480" s="7">
        <v>1.6684000000000001</v>
      </c>
      <c r="BU480" s="7">
        <v>1.659</v>
      </c>
      <c r="BV480" s="7">
        <v>1.6498999999999999</v>
      </c>
      <c r="BW480" s="7">
        <v>1.6411</v>
      </c>
      <c r="BX480" s="7">
        <v>1.6326000000000001</v>
      </c>
      <c r="BY480" s="7">
        <v>1.6244000000000001</v>
      </c>
      <c r="BZ480" s="7">
        <v>1.6166</v>
      </c>
      <c r="CA480" s="7">
        <v>1.609</v>
      </c>
      <c r="CB480" s="7">
        <v>1.6015999999999999</v>
      </c>
      <c r="CC480" s="7">
        <v>1.5946</v>
      </c>
      <c r="CD480" s="7">
        <v>1.5878000000000001</v>
      </c>
      <c r="CE480" s="7">
        <v>1.5811999999999999</v>
      </c>
      <c r="CF480" s="7">
        <v>1.5749</v>
      </c>
      <c r="CG480" s="7">
        <v>1.5688</v>
      </c>
      <c r="CH480" s="7">
        <v>1.5629</v>
      </c>
      <c r="CI480" s="7">
        <v>1.5572999999999999</v>
      </c>
      <c r="CJ480" s="7">
        <v>1.5518000000000001</v>
      </c>
      <c r="CK480" s="7">
        <v>1.5466</v>
      </c>
      <c r="CL480" s="7">
        <v>1.5416000000000001</v>
      </c>
      <c r="CM480" s="7">
        <v>1.5367999999999999</v>
      </c>
      <c r="CN480" s="7">
        <v>1.5322</v>
      </c>
      <c r="CO480" s="7">
        <v>1.5277000000000001</v>
      </c>
      <c r="CP480" s="7">
        <v>1.5235000000000001</v>
      </c>
      <c r="CQ480" s="7">
        <v>1.5194000000000001</v>
      </c>
      <c r="CR480" s="7">
        <v>1.5156000000000001</v>
      </c>
      <c r="CS480" s="7">
        <v>1.5119</v>
      </c>
      <c r="CT480" s="7">
        <v>1.5084</v>
      </c>
      <c r="CU480" s="7">
        <v>1.5049999999999999</v>
      </c>
      <c r="CV480" s="7">
        <v>1.5019</v>
      </c>
      <c r="CW480" s="7">
        <v>1.4988999999999999</v>
      </c>
      <c r="CX480" s="7">
        <v>1.4961</v>
      </c>
      <c r="CY480" s="7">
        <v>1.4935</v>
      </c>
      <c r="CZ480" s="7">
        <v>1.4910000000000001</v>
      </c>
      <c r="DA480" s="7">
        <v>1.4886999999999999</v>
      </c>
      <c r="DB480" s="7">
        <v>1.4865999999999999</v>
      </c>
      <c r="DC480" s="7">
        <v>1.4846999999999999</v>
      </c>
      <c r="DD480" s="7">
        <v>1.4829000000000001</v>
      </c>
      <c r="DE480" s="7">
        <v>1.4813000000000001</v>
      </c>
      <c r="DF480" s="7">
        <v>1.4798</v>
      </c>
      <c r="DG480" s="7">
        <v>1.4785999999999999</v>
      </c>
      <c r="DH480" s="7">
        <v>1.4775</v>
      </c>
      <c r="DI480" s="7">
        <v>1.4765999999999999</v>
      </c>
      <c r="DJ480" s="7">
        <v>1.4758</v>
      </c>
      <c r="DK480" s="7">
        <v>1.4752000000000001</v>
      </c>
      <c r="DL480" s="7">
        <v>1.4748000000000001</v>
      </c>
      <c r="DM480" s="7">
        <v>1.4745999999999999</v>
      </c>
      <c r="DN480" s="7">
        <v>1.4745999999999999</v>
      </c>
      <c r="DO480" s="7">
        <v>1.4746999999999999</v>
      </c>
      <c r="DP480" s="7">
        <v>1.4750000000000001</v>
      </c>
      <c r="DQ480" s="7">
        <v>1.4755</v>
      </c>
      <c r="DR480" s="7">
        <v>1.4762</v>
      </c>
      <c r="DS480" s="7">
        <v>1.4771000000000001</v>
      </c>
      <c r="DT480" s="7">
        <v>1.4781</v>
      </c>
      <c r="DU480" s="7">
        <v>1.4713000000000001</v>
      </c>
      <c r="DV480" s="7">
        <v>1.4639</v>
      </c>
      <c r="DW480" s="7">
        <v>1.4565999999999999</v>
      </c>
      <c r="DX480" s="7">
        <v>1.4494</v>
      </c>
      <c r="DY480" s="7">
        <v>1.4423999999999999</v>
      </c>
      <c r="DZ480" s="7">
        <v>1.4355</v>
      </c>
      <c r="EA480" s="7">
        <v>1.4287000000000001</v>
      </c>
      <c r="EB480" s="7">
        <v>1.4220999999999999</v>
      </c>
      <c r="EC480" s="7">
        <v>1.4155</v>
      </c>
      <c r="ED480" s="7">
        <v>1.4091</v>
      </c>
      <c r="EE480" s="7">
        <v>1.4028</v>
      </c>
      <c r="EF480" s="7">
        <v>1.3966000000000001</v>
      </c>
      <c r="EG480" s="7">
        <v>1.3904000000000001</v>
      </c>
      <c r="EH480" s="7">
        <v>1.3844000000000001</v>
      </c>
      <c r="EI480" s="7">
        <v>1.3785000000000001</v>
      </c>
      <c r="EJ480" s="7">
        <v>1.3726</v>
      </c>
      <c r="EK480" s="7">
        <v>1.3668</v>
      </c>
      <c r="EL480" s="7">
        <v>1.3611</v>
      </c>
      <c r="EM480" s="7">
        <v>1.3554999999999999</v>
      </c>
      <c r="EN480" s="7">
        <v>1.3499000000000001</v>
      </c>
      <c r="EO480" s="7">
        <v>1.3444</v>
      </c>
      <c r="EP480" s="7">
        <v>1.3389</v>
      </c>
      <c r="EQ480" s="7">
        <v>1.3334999999999999</v>
      </c>
      <c r="ER480" s="7">
        <v>1.3281000000000001</v>
      </c>
      <c r="ES480" s="7">
        <v>1.3227</v>
      </c>
      <c r="ET480" s="7">
        <v>1.3172999999999999</v>
      </c>
      <c r="EU480" s="7">
        <v>1.3120000000000001</v>
      </c>
      <c r="EV480" s="7">
        <v>1.3066</v>
      </c>
      <c r="EW480" s="7">
        <v>1.3012999999999999</v>
      </c>
      <c r="EX480" s="7">
        <v>1.2959000000000001</v>
      </c>
      <c r="EY480" s="7">
        <v>1.2905</v>
      </c>
      <c r="EZ480" s="7">
        <v>1.2849999999999999</v>
      </c>
      <c r="FA480" s="7">
        <v>1.2795000000000001</v>
      </c>
      <c r="FB480" s="7">
        <v>1.274</v>
      </c>
      <c r="FC480" s="7">
        <v>1.2684</v>
      </c>
      <c r="FE480" s="50">
        <f t="shared" ca="1" si="48"/>
        <v>1.4551617620067299</v>
      </c>
      <c r="FF480" s="50">
        <f t="shared" ca="1" si="49"/>
        <v>1.4597506247997434</v>
      </c>
      <c r="FG480" s="50">
        <f t="shared" ca="1" si="50"/>
        <v>1.4644612080536914</v>
      </c>
      <c r="FH480" s="50">
        <f t="shared" ca="1" si="51"/>
        <v>1.4694276510067115</v>
      </c>
      <c r="FK480" s="50">
        <f t="shared" ca="1" si="52"/>
        <v>1.4597506247997434</v>
      </c>
      <c r="FL480" s="50"/>
      <c r="FM480" s="50"/>
      <c r="FN480" s="50"/>
    </row>
    <row r="481" spans="49:170" hidden="1">
      <c r="AW481" s="433">
        <v>5.8879999999999999</v>
      </c>
      <c r="AX481" s="7">
        <v>2.0087999999999999</v>
      </c>
      <c r="AY481" s="7">
        <v>1.9851000000000001</v>
      </c>
      <c r="AZ481" s="7">
        <v>1.9624999999999999</v>
      </c>
      <c r="BA481" s="7">
        <v>1.9410000000000001</v>
      </c>
      <c r="BB481" s="7">
        <v>1.9205000000000001</v>
      </c>
      <c r="BC481" s="7">
        <v>1.9009</v>
      </c>
      <c r="BD481" s="7">
        <v>1.8822000000000001</v>
      </c>
      <c r="BE481" s="7">
        <v>1.8643000000000001</v>
      </c>
      <c r="BF481" s="7">
        <v>1.8472</v>
      </c>
      <c r="BG481" s="7">
        <v>1.8308</v>
      </c>
      <c r="BH481" s="7">
        <v>1.8150999999999999</v>
      </c>
      <c r="BI481" s="7">
        <v>1.8</v>
      </c>
      <c r="BJ481" s="7">
        <v>1.7856000000000001</v>
      </c>
      <c r="BK481" s="7">
        <v>1.7717000000000001</v>
      </c>
      <c r="BL481" s="7">
        <v>1.7584</v>
      </c>
      <c r="BM481" s="7">
        <v>1.7455000000000001</v>
      </c>
      <c r="BN481" s="7">
        <v>1.7332000000000001</v>
      </c>
      <c r="BO481" s="7">
        <v>1.7214</v>
      </c>
      <c r="BP481" s="7">
        <v>1.71</v>
      </c>
      <c r="BQ481" s="7">
        <v>1.6990000000000001</v>
      </c>
      <c r="BR481" s="7">
        <v>1.6883999999999999</v>
      </c>
      <c r="BS481" s="7">
        <v>1.6781999999999999</v>
      </c>
      <c r="BT481" s="7">
        <v>1.6684000000000001</v>
      </c>
      <c r="BU481" s="7">
        <v>1.659</v>
      </c>
      <c r="BV481" s="7">
        <v>1.6498999999999999</v>
      </c>
      <c r="BW481" s="7">
        <v>1.6411</v>
      </c>
      <c r="BX481" s="7">
        <v>1.6326000000000001</v>
      </c>
      <c r="BY481" s="7">
        <v>1.6244000000000001</v>
      </c>
      <c r="BZ481" s="7">
        <v>1.6166</v>
      </c>
      <c r="CA481" s="7">
        <v>1.609</v>
      </c>
      <c r="CB481" s="7">
        <v>1.6015999999999999</v>
      </c>
      <c r="CC481" s="7">
        <v>1.5946</v>
      </c>
      <c r="CD481" s="7">
        <v>1.5878000000000001</v>
      </c>
      <c r="CE481" s="7">
        <v>1.5811999999999999</v>
      </c>
      <c r="CF481" s="7">
        <v>1.5749</v>
      </c>
      <c r="CG481" s="7">
        <v>1.5688</v>
      </c>
      <c r="CH481" s="7">
        <v>1.5629</v>
      </c>
      <c r="CI481" s="7">
        <v>1.5572999999999999</v>
      </c>
      <c r="CJ481" s="7">
        <v>1.5518000000000001</v>
      </c>
      <c r="CK481" s="7">
        <v>1.5466</v>
      </c>
      <c r="CL481" s="7">
        <v>1.5416000000000001</v>
      </c>
      <c r="CM481" s="7">
        <v>1.5367999999999999</v>
      </c>
      <c r="CN481" s="7">
        <v>1.5322</v>
      </c>
      <c r="CO481" s="7">
        <v>1.5277000000000001</v>
      </c>
      <c r="CP481" s="7">
        <v>1.5235000000000001</v>
      </c>
      <c r="CQ481" s="7">
        <v>1.5194000000000001</v>
      </c>
      <c r="CR481" s="7">
        <v>1.5156000000000001</v>
      </c>
      <c r="CS481" s="7">
        <v>1.5119</v>
      </c>
      <c r="CT481" s="7">
        <v>1.5084</v>
      </c>
      <c r="CU481" s="7">
        <v>1.5049999999999999</v>
      </c>
      <c r="CV481" s="7">
        <v>1.5019</v>
      </c>
      <c r="CW481" s="7">
        <v>1.4988999999999999</v>
      </c>
      <c r="CX481" s="7">
        <v>1.4961</v>
      </c>
      <c r="CY481" s="7">
        <v>1.4935</v>
      </c>
      <c r="CZ481" s="7">
        <v>1.4910000000000001</v>
      </c>
      <c r="DA481" s="7">
        <v>1.4886999999999999</v>
      </c>
      <c r="DB481" s="7">
        <v>1.4865999999999999</v>
      </c>
      <c r="DC481" s="7">
        <v>1.4846999999999999</v>
      </c>
      <c r="DD481" s="7">
        <v>1.4829000000000001</v>
      </c>
      <c r="DE481" s="7">
        <v>1.4813000000000001</v>
      </c>
      <c r="DF481" s="7">
        <v>1.4798</v>
      </c>
      <c r="DG481" s="7">
        <v>1.4785999999999999</v>
      </c>
      <c r="DH481" s="7">
        <v>1.4775</v>
      </c>
      <c r="DI481" s="7">
        <v>1.4765999999999999</v>
      </c>
      <c r="DJ481" s="7">
        <v>1.4758</v>
      </c>
      <c r="DK481" s="7">
        <v>1.4752000000000001</v>
      </c>
      <c r="DL481" s="7">
        <v>1.4748000000000001</v>
      </c>
      <c r="DM481" s="7">
        <v>1.4745999999999999</v>
      </c>
      <c r="DN481" s="7">
        <v>1.4745999999999999</v>
      </c>
      <c r="DO481" s="7">
        <v>1.4746999999999999</v>
      </c>
      <c r="DP481" s="7">
        <v>1.4750000000000001</v>
      </c>
      <c r="DQ481" s="7">
        <v>1.4755</v>
      </c>
      <c r="DR481" s="7">
        <v>1.4762</v>
      </c>
      <c r="DS481" s="7">
        <v>1.4771000000000001</v>
      </c>
      <c r="DT481" s="7">
        <v>1.4781</v>
      </c>
      <c r="DU481" s="7">
        <v>1.4789000000000001</v>
      </c>
      <c r="DV481" s="7">
        <v>1.4715</v>
      </c>
      <c r="DW481" s="7">
        <v>1.4642999999999999</v>
      </c>
      <c r="DX481" s="7">
        <v>1.4571000000000001</v>
      </c>
      <c r="DY481" s="7">
        <v>1.4500999999999999</v>
      </c>
      <c r="DZ481" s="7">
        <v>1.4433</v>
      </c>
      <c r="EA481" s="7">
        <v>1.4366000000000001</v>
      </c>
      <c r="EB481" s="7">
        <v>1.4298999999999999</v>
      </c>
      <c r="EC481" s="7">
        <v>1.4234</v>
      </c>
      <c r="ED481" s="7">
        <v>1.4171</v>
      </c>
      <c r="EE481" s="7">
        <v>1.4108000000000001</v>
      </c>
      <c r="EF481" s="7">
        <v>1.4046000000000001</v>
      </c>
      <c r="EG481" s="7">
        <v>1.3986000000000001</v>
      </c>
      <c r="EH481" s="7">
        <v>1.3926000000000001</v>
      </c>
      <c r="EI481" s="7">
        <v>1.3867</v>
      </c>
      <c r="EJ481" s="7">
        <v>1.3809</v>
      </c>
      <c r="EK481" s="7">
        <v>1.3752</v>
      </c>
      <c r="EL481" s="7">
        <v>1.3695999999999999</v>
      </c>
      <c r="EM481" s="7">
        <v>1.3640000000000001</v>
      </c>
      <c r="EN481" s="7">
        <v>1.3585</v>
      </c>
      <c r="EO481" s="7">
        <v>1.3531</v>
      </c>
      <c r="EP481" s="7">
        <v>1.3476999999999999</v>
      </c>
      <c r="EQ481" s="7">
        <v>1.3424</v>
      </c>
      <c r="ER481" s="7">
        <v>1.3371</v>
      </c>
      <c r="ES481" s="7">
        <v>1.3318000000000001</v>
      </c>
      <c r="ET481" s="7">
        <v>1.3265</v>
      </c>
      <c r="EU481" s="7">
        <v>1.3212999999999999</v>
      </c>
      <c r="EV481" s="7">
        <v>1.3161</v>
      </c>
      <c r="EW481" s="7">
        <v>1.3108</v>
      </c>
      <c r="EX481" s="7">
        <v>1.3056000000000001</v>
      </c>
      <c r="EY481" s="7">
        <v>1.3003</v>
      </c>
      <c r="EZ481" s="7">
        <v>1.2949999999999999</v>
      </c>
      <c r="FA481" s="7">
        <v>1.2896000000000001</v>
      </c>
      <c r="FB481" s="7">
        <v>1.2842</v>
      </c>
      <c r="FC481" s="7">
        <v>1.2787999999999999</v>
      </c>
      <c r="FE481" s="50">
        <f t="shared" ca="1" si="48"/>
        <v>1.4628617620067301</v>
      </c>
      <c r="FF481" s="50">
        <f t="shared" ca="1" si="49"/>
        <v>1.4674074655559115</v>
      </c>
      <c r="FG481" s="50">
        <f t="shared" ca="1" si="50"/>
        <v>1.4720612080536915</v>
      </c>
      <c r="FH481" s="50">
        <f t="shared" ca="1" si="51"/>
        <v>1.4770276510067115</v>
      </c>
      <c r="FK481" s="50">
        <f t="shared" ca="1" si="52"/>
        <v>1.4674074655559115</v>
      </c>
      <c r="FL481" s="50"/>
      <c r="FM481" s="50"/>
      <c r="FN481" s="50"/>
    </row>
    <row r="482" spans="49:170" hidden="1">
      <c r="AW482" s="433">
        <v>6.31</v>
      </c>
      <c r="AX482" s="7">
        <v>2.0087999999999999</v>
      </c>
      <c r="AY482" s="7">
        <v>1.9851000000000001</v>
      </c>
      <c r="AZ482" s="7">
        <v>1.9624999999999999</v>
      </c>
      <c r="BA482" s="7">
        <v>1.9410000000000001</v>
      </c>
      <c r="BB482" s="7">
        <v>1.9205000000000001</v>
      </c>
      <c r="BC482" s="7">
        <v>1.9009</v>
      </c>
      <c r="BD482" s="7">
        <v>1.8822000000000001</v>
      </c>
      <c r="BE482" s="7">
        <v>1.8643000000000001</v>
      </c>
      <c r="BF482" s="7">
        <v>1.8472</v>
      </c>
      <c r="BG482" s="7">
        <v>1.8308</v>
      </c>
      <c r="BH482" s="7">
        <v>1.8150999999999999</v>
      </c>
      <c r="BI482" s="7">
        <v>1.8</v>
      </c>
      <c r="BJ482" s="7">
        <v>1.7856000000000001</v>
      </c>
      <c r="BK482" s="7">
        <v>1.7717000000000001</v>
      </c>
      <c r="BL482" s="7">
        <v>1.7584</v>
      </c>
      <c r="BM482" s="7">
        <v>1.7455000000000001</v>
      </c>
      <c r="BN482" s="7">
        <v>1.7332000000000001</v>
      </c>
      <c r="BO482" s="7">
        <v>1.7214</v>
      </c>
      <c r="BP482" s="7">
        <v>1.71</v>
      </c>
      <c r="BQ482" s="7">
        <v>1.6990000000000001</v>
      </c>
      <c r="BR482" s="7">
        <v>1.6883999999999999</v>
      </c>
      <c r="BS482" s="7">
        <v>1.6781999999999999</v>
      </c>
      <c r="BT482" s="7">
        <v>1.6684000000000001</v>
      </c>
      <c r="BU482" s="7">
        <v>1.659</v>
      </c>
      <c r="BV482" s="7">
        <v>1.6498999999999999</v>
      </c>
      <c r="BW482" s="7">
        <v>1.6411</v>
      </c>
      <c r="BX482" s="7">
        <v>1.6326000000000001</v>
      </c>
      <c r="BY482" s="7">
        <v>1.6244000000000001</v>
      </c>
      <c r="BZ482" s="7">
        <v>1.6166</v>
      </c>
      <c r="CA482" s="7">
        <v>1.609</v>
      </c>
      <c r="CB482" s="7">
        <v>1.6015999999999999</v>
      </c>
      <c r="CC482" s="7">
        <v>1.5946</v>
      </c>
      <c r="CD482" s="7">
        <v>1.5878000000000001</v>
      </c>
      <c r="CE482" s="7">
        <v>1.5811999999999999</v>
      </c>
      <c r="CF482" s="7">
        <v>1.5749</v>
      </c>
      <c r="CG482" s="7">
        <v>1.5688</v>
      </c>
      <c r="CH482" s="7">
        <v>1.5629</v>
      </c>
      <c r="CI482" s="7">
        <v>1.5572999999999999</v>
      </c>
      <c r="CJ482" s="7">
        <v>1.5518000000000001</v>
      </c>
      <c r="CK482" s="7">
        <v>1.5466</v>
      </c>
      <c r="CL482" s="7">
        <v>1.5416000000000001</v>
      </c>
      <c r="CM482" s="7">
        <v>1.5367999999999999</v>
      </c>
      <c r="CN482" s="7">
        <v>1.5322</v>
      </c>
      <c r="CO482" s="7">
        <v>1.5277000000000001</v>
      </c>
      <c r="CP482" s="7">
        <v>1.5235000000000001</v>
      </c>
      <c r="CQ482" s="7">
        <v>1.5194000000000001</v>
      </c>
      <c r="CR482" s="7">
        <v>1.5156000000000001</v>
      </c>
      <c r="CS482" s="7">
        <v>1.5119</v>
      </c>
      <c r="CT482" s="7">
        <v>1.5084</v>
      </c>
      <c r="CU482" s="7">
        <v>1.5049999999999999</v>
      </c>
      <c r="CV482" s="7">
        <v>1.5019</v>
      </c>
      <c r="CW482" s="7">
        <v>1.4988999999999999</v>
      </c>
      <c r="CX482" s="7">
        <v>1.4961</v>
      </c>
      <c r="CY482" s="7">
        <v>1.4935</v>
      </c>
      <c r="CZ482" s="7">
        <v>1.4910000000000001</v>
      </c>
      <c r="DA482" s="7">
        <v>1.4886999999999999</v>
      </c>
      <c r="DB482" s="7">
        <v>1.4865999999999999</v>
      </c>
      <c r="DC482" s="7">
        <v>1.4846999999999999</v>
      </c>
      <c r="DD482" s="7">
        <v>1.4829000000000001</v>
      </c>
      <c r="DE482" s="7">
        <v>1.4813000000000001</v>
      </c>
      <c r="DF482" s="7">
        <v>1.4798</v>
      </c>
      <c r="DG482" s="7">
        <v>1.4785999999999999</v>
      </c>
      <c r="DH482" s="7">
        <v>1.4775</v>
      </c>
      <c r="DI482" s="7">
        <v>1.4765999999999999</v>
      </c>
      <c r="DJ482" s="7">
        <v>1.4758</v>
      </c>
      <c r="DK482" s="7">
        <v>1.4752000000000001</v>
      </c>
      <c r="DL482" s="7">
        <v>1.4748000000000001</v>
      </c>
      <c r="DM482" s="7">
        <v>1.4745999999999999</v>
      </c>
      <c r="DN482" s="7">
        <v>1.4745999999999999</v>
      </c>
      <c r="DO482" s="7">
        <v>1.4746999999999999</v>
      </c>
      <c r="DP482" s="7">
        <v>1.4750000000000001</v>
      </c>
      <c r="DQ482" s="7">
        <v>1.4755</v>
      </c>
      <c r="DR482" s="7">
        <v>1.4762</v>
      </c>
      <c r="DS482" s="7">
        <v>1.4771000000000001</v>
      </c>
      <c r="DT482" s="7">
        <v>1.4781</v>
      </c>
      <c r="DU482" s="7">
        <v>1.4793000000000001</v>
      </c>
      <c r="DV482" s="7">
        <v>1.4791000000000001</v>
      </c>
      <c r="DW482" s="7">
        <v>1.4719</v>
      </c>
      <c r="DX482" s="7">
        <v>1.4648000000000001</v>
      </c>
      <c r="DY482" s="7">
        <v>1.4578</v>
      </c>
      <c r="DZ482" s="7">
        <v>1.4510000000000001</v>
      </c>
      <c r="EA482" s="7">
        <v>1.4442999999999999</v>
      </c>
      <c r="EB482" s="7">
        <v>1.4377</v>
      </c>
      <c r="EC482" s="7">
        <v>1.4313</v>
      </c>
      <c r="ED482" s="7">
        <v>1.425</v>
      </c>
      <c r="EE482" s="7">
        <v>1.4187000000000001</v>
      </c>
      <c r="EF482" s="7">
        <v>1.4126000000000001</v>
      </c>
      <c r="EG482" s="7">
        <v>1.4066000000000001</v>
      </c>
      <c r="EH482" s="7">
        <v>1.4007000000000001</v>
      </c>
      <c r="EI482" s="7">
        <v>1.3949</v>
      </c>
      <c r="EJ482" s="7">
        <v>1.3892</v>
      </c>
      <c r="EK482" s="7">
        <v>1.3835</v>
      </c>
      <c r="EL482" s="7">
        <v>1.3779999999999999</v>
      </c>
      <c r="EM482" s="7">
        <v>1.3725000000000001</v>
      </c>
      <c r="EN482" s="7">
        <v>1.3671</v>
      </c>
      <c r="EO482" s="7">
        <v>1.3616999999999999</v>
      </c>
      <c r="EP482" s="7">
        <v>1.3564000000000001</v>
      </c>
      <c r="EQ482" s="7">
        <v>1.3512</v>
      </c>
      <c r="ER482" s="7">
        <v>1.3460000000000001</v>
      </c>
      <c r="ES482" s="7">
        <v>1.3408</v>
      </c>
      <c r="ET482" s="7">
        <v>1.3357000000000001</v>
      </c>
      <c r="EU482" s="7">
        <v>1.3305</v>
      </c>
      <c r="EV482" s="7">
        <v>1.3253999999999999</v>
      </c>
      <c r="EW482" s="7">
        <v>1.3203</v>
      </c>
      <c r="EX482" s="7">
        <v>1.3151999999999999</v>
      </c>
      <c r="EY482" s="7">
        <v>1.31</v>
      </c>
      <c r="EZ482" s="7">
        <v>1.3048999999999999</v>
      </c>
      <c r="FA482" s="7">
        <v>1.2997000000000001</v>
      </c>
      <c r="FB482" s="7">
        <v>1.2944</v>
      </c>
      <c r="FC482" s="7">
        <v>1.2890999999999999</v>
      </c>
      <c r="FE482" s="50">
        <f t="shared" ca="1" si="48"/>
        <v>1.4704817375344144</v>
      </c>
      <c r="FF482" s="50">
        <f t="shared" ca="1" si="49"/>
        <v>1.4750074655559116</v>
      </c>
      <c r="FG482" s="50">
        <f t="shared" ca="1" si="50"/>
        <v>1.479115167785235</v>
      </c>
      <c r="FH482" s="50">
        <f t="shared" ca="1" si="51"/>
        <v>1.4792493959731543</v>
      </c>
      <c r="FK482" s="50">
        <f t="shared" ca="1" si="52"/>
        <v>1.4750074655559116</v>
      </c>
      <c r="FL482" s="50"/>
      <c r="FM482" s="50"/>
      <c r="FN482" s="50"/>
    </row>
    <row r="483" spans="49:170" hidden="1">
      <c r="AW483" s="433">
        <v>6.7610000000000001</v>
      </c>
      <c r="AX483" s="7">
        <v>2.0087999999999999</v>
      </c>
      <c r="AY483" s="7">
        <v>1.9851000000000001</v>
      </c>
      <c r="AZ483" s="7">
        <v>1.9624999999999999</v>
      </c>
      <c r="BA483" s="7">
        <v>1.9410000000000001</v>
      </c>
      <c r="BB483" s="7">
        <v>1.9205000000000001</v>
      </c>
      <c r="BC483" s="7">
        <v>1.9009</v>
      </c>
      <c r="BD483" s="7">
        <v>1.8822000000000001</v>
      </c>
      <c r="BE483" s="7">
        <v>1.8643000000000001</v>
      </c>
      <c r="BF483" s="7">
        <v>1.8472</v>
      </c>
      <c r="BG483" s="7">
        <v>1.8308</v>
      </c>
      <c r="BH483" s="7">
        <v>1.8150999999999999</v>
      </c>
      <c r="BI483" s="7">
        <v>1.8</v>
      </c>
      <c r="BJ483" s="7">
        <v>1.7856000000000001</v>
      </c>
      <c r="BK483" s="7">
        <v>1.7717000000000001</v>
      </c>
      <c r="BL483" s="7">
        <v>1.7584</v>
      </c>
      <c r="BM483" s="7">
        <v>1.7455000000000001</v>
      </c>
      <c r="BN483" s="7">
        <v>1.7332000000000001</v>
      </c>
      <c r="BO483" s="7">
        <v>1.7214</v>
      </c>
      <c r="BP483" s="7">
        <v>1.71</v>
      </c>
      <c r="BQ483" s="7">
        <v>1.6990000000000001</v>
      </c>
      <c r="BR483" s="7">
        <v>1.6883999999999999</v>
      </c>
      <c r="BS483" s="7">
        <v>1.6781999999999999</v>
      </c>
      <c r="BT483" s="7">
        <v>1.6684000000000001</v>
      </c>
      <c r="BU483" s="7">
        <v>1.659</v>
      </c>
      <c r="BV483" s="7">
        <v>1.6498999999999999</v>
      </c>
      <c r="BW483" s="7">
        <v>1.6411</v>
      </c>
      <c r="BX483" s="7">
        <v>1.6326000000000001</v>
      </c>
      <c r="BY483" s="7">
        <v>1.6244000000000001</v>
      </c>
      <c r="BZ483" s="7">
        <v>1.6166</v>
      </c>
      <c r="CA483" s="7">
        <v>1.609</v>
      </c>
      <c r="CB483" s="7">
        <v>1.6015999999999999</v>
      </c>
      <c r="CC483" s="7">
        <v>1.5946</v>
      </c>
      <c r="CD483" s="7">
        <v>1.5878000000000001</v>
      </c>
      <c r="CE483" s="7">
        <v>1.5811999999999999</v>
      </c>
      <c r="CF483" s="7">
        <v>1.5749</v>
      </c>
      <c r="CG483" s="7">
        <v>1.5688</v>
      </c>
      <c r="CH483" s="7">
        <v>1.5629</v>
      </c>
      <c r="CI483" s="7">
        <v>1.5572999999999999</v>
      </c>
      <c r="CJ483" s="7">
        <v>1.5518000000000001</v>
      </c>
      <c r="CK483" s="7">
        <v>1.5466</v>
      </c>
      <c r="CL483" s="7">
        <v>1.5416000000000001</v>
      </c>
      <c r="CM483" s="7">
        <v>1.5367999999999999</v>
      </c>
      <c r="CN483" s="7">
        <v>1.5322</v>
      </c>
      <c r="CO483" s="7">
        <v>1.5277000000000001</v>
      </c>
      <c r="CP483" s="7">
        <v>1.5235000000000001</v>
      </c>
      <c r="CQ483" s="7">
        <v>1.5194000000000001</v>
      </c>
      <c r="CR483" s="7">
        <v>1.5156000000000001</v>
      </c>
      <c r="CS483" s="7">
        <v>1.5119</v>
      </c>
      <c r="CT483" s="7">
        <v>1.5084</v>
      </c>
      <c r="CU483" s="7">
        <v>1.5049999999999999</v>
      </c>
      <c r="CV483" s="7">
        <v>1.5019</v>
      </c>
      <c r="CW483" s="7">
        <v>1.4988999999999999</v>
      </c>
      <c r="CX483" s="7">
        <v>1.4961</v>
      </c>
      <c r="CY483" s="7">
        <v>1.4935</v>
      </c>
      <c r="CZ483" s="7">
        <v>1.4910000000000001</v>
      </c>
      <c r="DA483" s="7">
        <v>1.4886999999999999</v>
      </c>
      <c r="DB483" s="7">
        <v>1.4865999999999999</v>
      </c>
      <c r="DC483" s="7">
        <v>1.4846999999999999</v>
      </c>
      <c r="DD483" s="7">
        <v>1.4829000000000001</v>
      </c>
      <c r="DE483" s="7">
        <v>1.4813000000000001</v>
      </c>
      <c r="DF483" s="7">
        <v>1.4798</v>
      </c>
      <c r="DG483" s="7">
        <v>1.4785999999999999</v>
      </c>
      <c r="DH483" s="7">
        <v>1.4775</v>
      </c>
      <c r="DI483" s="7">
        <v>1.4765999999999999</v>
      </c>
      <c r="DJ483" s="7">
        <v>1.4758</v>
      </c>
      <c r="DK483" s="7">
        <v>1.4752000000000001</v>
      </c>
      <c r="DL483" s="7">
        <v>1.4748000000000001</v>
      </c>
      <c r="DM483" s="7">
        <v>1.4745999999999999</v>
      </c>
      <c r="DN483" s="7">
        <v>1.4745999999999999</v>
      </c>
      <c r="DO483" s="7">
        <v>1.4746999999999999</v>
      </c>
      <c r="DP483" s="7">
        <v>1.4750000000000001</v>
      </c>
      <c r="DQ483" s="7">
        <v>1.4755</v>
      </c>
      <c r="DR483" s="7">
        <v>1.4762</v>
      </c>
      <c r="DS483" s="7">
        <v>1.4771000000000001</v>
      </c>
      <c r="DT483" s="7">
        <v>1.4781</v>
      </c>
      <c r="DU483" s="7">
        <v>1.4793000000000001</v>
      </c>
      <c r="DV483" s="7">
        <v>1.4806999999999999</v>
      </c>
      <c r="DW483" s="7">
        <v>1.4794</v>
      </c>
      <c r="DX483" s="7">
        <v>1.4722999999999999</v>
      </c>
      <c r="DY483" s="7">
        <v>1.4654</v>
      </c>
      <c r="DZ483" s="7">
        <v>1.4585999999999999</v>
      </c>
      <c r="EA483" s="7">
        <v>1.452</v>
      </c>
      <c r="EB483" s="7">
        <v>1.4454</v>
      </c>
      <c r="EC483" s="7">
        <v>1.4390000000000001</v>
      </c>
      <c r="ED483" s="7">
        <v>1.4328000000000001</v>
      </c>
      <c r="EE483" s="7">
        <v>1.4266000000000001</v>
      </c>
      <c r="EF483" s="7">
        <v>1.4205000000000001</v>
      </c>
      <c r="EG483" s="7">
        <v>1.4146000000000001</v>
      </c>
      <c r="EH483" s="7">
        <v>1.4087000000000001</v>
      </c>
      <c r="EI483" s="7">
        <v>1.403</v>
      </c>
      <c r="EJ483" s="7">
        <v>1.3973</v>
      </c>
      <c r="EK483" s="7">
        <v>1.3917999999999999</v>
      </c>
      <c r="EL483" s="7">
        <v>1.3863000000000001</v>
      </c>
      <c r="EM483" s="7">
        <v>1.3809</v>
      </c>
      <c r="EN483" s="7">
        <v>1.3754999999999999</v>
      </c>
      <c r="EO483" s="7">
        <v>1.3703000000000001</v>
      </c>
      <c r="EP483" s="7">
        <v>1.3651</v>
      </c>
      <c r="EQ483" s="7">
        <v>1.3599000000000001</v>
      </c>
      <c r="ER483" s="7">
        <v>1.3548</v>
      </c>
      <c r="ES483" s="7">
        <v>1.3496999999999999</v>
      </c>
      <c r="ET483" s="7">
        <v>1.3447</v>
      </c>
      <c r="EU483" s="7">
        <v>1.3396999999999999</v>
      </c>
      <c r="EV483" s="7">
        <v>1.3347</v>
      </c>
      <c r="EW483" s="7">
        <v>1.3297000000000001</v>
      </c>
      <c r="EX483" s="7">
        <v>1.3247</v>
      </c>
      <c r="EY483" s="7">
        <v>1.3196000000000001</v>
      </c>
      <c r="EZ483" s="7">
        <v>1.3146</v>
      </c>
      <c r="FA483" s="7">
        <v>1.3096000000000001</v>
      </c>
      <c r="FB483" s="7">
        <v>1.3045</v>
      </c>
      <c r="FC483" s="7">
        <v>1.2992999999999999</v>
      </c>
      <c r="FE483" s="50">
        <f t="shared" ca="1" si="48"/>
        <v>1.4779817375344142</v>
      </c>
      <c r="FF483" s="50">
        <f t="shared" ca="1" si="49"/>
        <v>1.4799610701698171</v>
      </c>
      <c r="FG483" s="50">
        <f t="shared" ca="1" si="50"/>
        <v>1.4805938255033557</v>
      </c>
      <c r="FH483" s="50">
        <f t="shared" ca="1" si="51"/>
        <v>1.4796542281879195</v>
      </c>
      <c r="FK483" s="50">
        <f t="shared" ca="1" si="52"/>
        <v>1.4799610701698171</v>
      </c>
      <c r="FL483" s="50"/>
      <c r="FM483" s="50"/>
      <c r="FN483" s="50"/>
    </row>
    <row r="484" spans="49:170" hidden="1">
      <c r="AW484" s="433">
        <v>7.2439999999999998</v>
      </c>
      <c r="AX484" s="7">
        <v>2.0087999999999999</v>
      </c>
      <c r="AY484" s="7">
        <v>1.9851000000000001</v>
      </c>
      <c r="AZ484" s="7">
        <v>1.9624999999999999</v>
      </c>
      <c r="BA484" s="7">
        <v>1.9410000000000001</v>
      </c>
      <c r="BB484" s="7">
        <v>1.9205000000000001</v>
      </c>
      <c r="BC484" s="7">
        <v>1.9009</v>
      </c>
      <c r="BD484" s="7">
        <v>1.8822000000000001</v>
      </c>
      <c r="BE484" s="7">
        <v>1.8643000000000001</v>
      </c>
      <c r="BF484" s="7">
        <v>1.8472</v>
      </c>
      <c r="BG484" s="7">
        <v>1.8308</v>
      </c>
      <c r="BH484" s="7">
        <v>1.8150999999999999</v>
      </c>
      <c r="BI484" s="7">
        <v>1.8</v>
      </c>
      <c r="BJ484" s="7">
        <v>1.7856000000000001</v>
      </c>
      <c r="BK484" s="7">
        <v>1.7717000000000001</v>
      </c>
      <c r="BL484" s="7">
        <v>1.7584</v>
      </c>
      <c r="BM484" s="7">
        <v>1.7455000000000001</v>
      </c>
      <c r="BN484" s="7">
        <v>1.7332000000000001</v>
      </c>
      <c r="BO484" s="7">
        <v>1.7214</v>
      </c>
      <c r="BP484" s="7">
        <v>1.71</v>
      </c>
      <c r="BQ484" s="7">
        <v>1.6990000000000001</v>
      </c>
      <c r="BR484" s="7">
        <v>1.6883999999999999</v>
      </c>
      <c r="BS484" s="7">
        <v>1.6781999999999999</v>
      </c>
      <c r="BT484" s="7">
        <v>1.6684000000000001</v>
      </c>
      <c r="BU484" s="7">
        <v>1.659</v>
      </c>
      <c r="BV484" s="7">
        <v>1.6498999999999999</v>
      </c>
      <c r="BW484" s="7">
        <v>1.6411</v>
      </c>
      <c r="BX484" s="7">
        <v>1.6326000000000001</v>
      </c>
      <c r="BY484" s="7">
        <v>1.6244000000000001</v>
      </c>
      <c r="BZ484" s="7">
        <v>1.6166</v>
      </c>
      <c r="CA484" s="7">
        <v>1.609</v>
      </c>
      <c r="CB484" s="7">
        <v>1.6015999999999999</v>
      </c>
      <c r="CC484" s="7">
        <v>1.5946</v>
      </c>
      <c r="CD484" s="7">
        <v>1.5878000000000001</v>
      </c>
      <c r="CE484" s="7">
        <v>1.5811999999999999</v>
      </c>
      <c r="CF484" s="7">
        <v>1.5749</v>
      </c>
      <c r="CG484" s="7">
        <v>1.5688</v>
      </c>
      <c r="CH484" s="7">
        <v>1.5629</v>
      </c>
      <c r="CI484" s="7">
        <v>1.5572999999999999</v>
      </c>
      <c r="CJ484" s="7">
        <v>1.5518000000000001</v>
      </c>
      <c r="CK484" s="7">
        <v>1.5466</v>
      </c>
      <c r="CL484" s="7">
        <v>1.5416000000000001</v>
      </c>
      <c r="CM484" s="7">
        <v>1.5367999999999999</v>
      </c>
      <c r="CN484" s="7">
        <v>1.5322</v>
      </c>
      <c r="CO484" s="7">
        <v>1.5277000000000001</v>
      </c>
      <c r="CP484" s="7">
        <v>1.5235000000000001</v>
      </c>
      <c r="CQ484" s="7">
        <v>1.5194000000000001</v>
      </c>
      <c r="CR484" s="7">
        <v>1.5156000000000001</v>
      </c>
      <c r="CS484" s="7">
        <v>1.5119</v>
      </c>
      <c r="CT484" s="7">
        <v>1.5084</v>
      </c>
      <c r="CU484" s="7">
        <v>1.5049999999999999</v>
      </c>
      <c r="CV484" s="7">
        <v>1.5019</v>
      </c>
      <c r="CW484" s="7">
        <v>1.4988999999999999</v>
      </c>
      <c r="CX484" s="7">
        <v>1.4961</v>
      </c>
      <c r="CY484" s="7">
        <v>1.4935</v>
      </c>
      <c r="CZ484" s="7">
        <v>1.4910000000000001</v>
      </c>
      <c r="DA484" s="7">
        <v>1.4886999999999999</v>
      </c>
      <c r="DB484" s="7">
        <v>1.4865999999999999</v>
      </c>
      <c r="DC484" s="7">
        <v>1.4846999999999999</v>
      </c>
      <c r="DD484" s="7">
        <v>1.4829000000000001</v>
      </c>
      <c r="DE484" s="7">
        <v>1.4813000000000001</v>
      </c>
      <c r="DF484" s="7">
        <v>1.4798</v>
      </c>
      <c r="DG484" s="7">
        <v>1.4785999999999999</v>
      </c>
      <c r="DH484" s="7">
        <v>1.4775</v>
      </c>
      <c r="DI484" s="7">
        <v>1.4765999999999999</v>
      </c>
      <c r="DJ484" s="7">
        <v>1.4758</v>
      </c>
      <c r="DK484" s="7">
        <v>1.4752000000000001</v>
      </c>
      <c r="DL484" s="7">
        <v>1.4748000000000001</v>
      </c>
      <c r="DM484" s="7">
        <v>1.4745999999999999</v>
      </c>
      <c r="DN484" s="7">
        <v>1.4745999999999999</v>
      </c>
      <c r="DO484" s="7">
        <v>1.4746999999999999</v>
      </c>
      <c r="DP484" s="7">
        <v>1.4750000000000001</v>
      </c>
      <c r="DQ484" s="7">
        <v>1.4755</v>
      </c>
      <c r="DR484" s="7">
        <v>1.4762</v>
      </c>
      <c r="DS484" s="7">
        <v>1.4771000000000001</v>
      </c>
      <c r="DT484" s="7">
        <v>1.4781</v>
      </c>
      <c r="DU484" s="7">
        <v>1.4793000000000001</v>
      </c>
      <c r="DV484" s="7">
        <v>1.4806999999999999</v>
      </c>
      <c r="DW484" s="7">
        <v>1.4823</v>
      </c>
      <c r="DX484" s="7">
        <v>1.4798</v>
      </c>
      <c r="DY484" s="7">
        <v>1.4729000000000001</v>
      </c>
      <c r="DZ484" s="7">
        <v>1.4661999999999999</v>
      </c>
      <c r="EA484" s="7">
        <v>1.4595</v>
      </c>
      <c r="EB484" s="7">
        <v>1.4531000000000001</v>
      </c>
      <c r="EC484" s="7">
        <v>1.4467000000000001</v>
      </c>
      <c r="ED484" s="7">
        <v>1.4404999999999999</v>
      </c>
      <c r="EE484" s="7">
        <v>1.4343999999999999</v>
      </c>
      <c r="EF484" s="7">
        <v>1.4283999999999999</v>
      </c>
      <c r="EG484" s="7">
        <v>1.4225000000000001</v>
      </c>
      <c r="EH484" s="7">
        <v>1.4167000000000001</v>
      </c>
      <c r="EI484" s="7">
        <v>1.411</v>
      </c>
      <c r="EJ484" s="7">
        <v>1.4054</v>
      </c>
      <c r="EK484" s="7">
        <v>1.3998999999999999</v>
      </c>
      <c r="EL484" s="7">
        <v>1.3945000000000001</v>
      </c>
      <c r="EM484" s="7">
        <v>1.3892</v>
      </c>
      <c r="EN484" s="7">
        <v>1.3838999999999999</v>
      </c>
      <c r="EO484" s="7">
        <v>1.3787</v>
      </c>
      <c r="EP484" s="7">
        <v>1.3735999999999999</v>
      </c>
      <c r="EQ484" s="7">
        <v>1.3685</v>
      </c>
      <c r="ER484" s="7">
        <v>1.3634999999999999</v>
      </c>
      <c r="ES484" s="7">
        <v>1.3585</v>
      </c>
      <c r="ET484" s="7">
        <v>1.3535999999999999</v>
      </c>
      <c r="EU484" s="7">
        <v>1.3487</v>
      </c>
      <c r="EV484" s="7">
        <v>1.3438000000000001</v>
      </c>
      <c r="EW484" s="7">
        <v>1.3389</v>
      </c>
      <c r="EX484" s="7">
        <v>1.3340000000000001</v>
      </c>
      <c r="EY484" s="7">
        <v>1.3291999999999999</v>
      </c>
      <c r="EZ484" s="7">
        <v>1.3243</v>
      </c>
      <c r="FA484" s="7">
        <v>1.3192999999999999</v>
      </c>
      <c r="FB484" s="7">
        <v>1.3144</v>
      </c>
      <c r="FC484" s="7">
        <v>1.3093999999999999</v>
      </c>
      <c r="FE484" s="50">
        <f t="shared" ca="1" si="48"/>
        <v>1.4818006118078921</v>
      </c>
      <c r="FF484" s="50">
        <f t="shared" ca="1" si="49"/>
        <v>1.4816094520986864</v>
      </c>
      <c r="FG484" s="50">
        <f t="shared" ca="1" si="50"/>
        <v>1.4805938255033557</v>
      </c>
      <c r="FH484" s="50">
        <f t="shared" ca="1" si="51"/>
        <v>1.4796542281879195</v>
      </c>
      <c r="FK484" s="50">
        <f t="shared" ca="1" si="52"/>
        <v>1.4816094520986864</v>
      </c>
      <c r="FL484" s="50"/>
      <c r="FM484" s="50"/>
      <c r="FN484" s="50"/>
    </row>
    <row r="485" spans="49:170" hidden="1">
      <c r="AW485" s="433">
        <v>7.7619999999999996</v>
      </c>
      <c r="AX485" s="7">
        <v>2.0087999999999999</v>
      </c>
      <c r="AY485" s="7">
        <v>1.9851000000000001</v>
      </c>
      <c r="AZ485" s="7">
        <v>1.9624999999999999</v>
      </c>
      <c r="BA485" s="7">
        <v>1.9410000000000001</v>
      </c>
      <c r="BB485" s="7">
        <v>1.9205000000000001</v>
      </c>
      <c r="BC485" s="7">
        <v>1.9009</v>
      </c>
      <c r="BD485" s="7">
        <v>1.8822000000000001</v>
      </c>
      <c r="BE485" s="7">
        <v>1.8643000000000001</v>
      </c>
      <c r="BF485" s="7">
        <v>1.8472</v>
      </c>
      <c r="BG485" s="7">
        <v>1.8308</v>
      </c>
      <c r="BH485" s="7">
        <v>1.8150999999999999</v>
      </c>
      <c r="BI485" s="7">
        <v>1.8</v>
      </c>
      <c r="BJ485" s="7">
        <v>1.7856000000000001</v>
      </c>
      <c r="BK485" s="7">
        <v>1.7717000000000001</v>
      </c>
      <c r="BL485" s="7">
        <v>1.7584</v>
      </c>
      <c r="BM485" s="7">
        <v>1.7455000000000001</v>
      </c>
      <c r="BN485" s="7">
        <v>1.7332000000000001</v>
      </c>
      <c r="BO485" s="7">
        <v>1.7214</v>
      </c>
      <c r="BP485" s="7">
        <v>1.71</v>
      </c>
      <c r="BQ485" s="7">
        <v>1.6990000000000001</v>
      </c>
      <c r="BR485" s="7">
        <v>1.6883999999999999</v>
      </c>
      <c r="BS485" s="7">
        <v>1.6781999999999999</v>
      </c>
      <c r="BT485" s="7">
        <v>1.6684000000000001</v>
      </c>
      <c r="BU485" s="7">
        <v>1.659</v>
      </c>
      <c r="BV485" s="7">
        <v>1.6498999999999999</v>
      </c>
      <c r="BW485" s="7">
        <v>1.6411</v>
      </c>
      <c r="BX485" s="7">
        <v>1.6326000000000001</v>
      </c>
      <c r="BY485" s="7">
        <v>1.6244000000000001</v>
      </c>
      <c r="BZ485" s="7">
        <v>1.6166</v>
      </c>
      <c r="CA485" s="7">
        <v>1.609</v>
      </c>
      <c r="CB485" s="7">
        <v>1.6015999999999999</v>
      </c>
      <c r="CC485" s="7">
        <v>1.5946</v>
      </c>
      <c r="CD485" s="7">
        <v>1.5878000000000001</v>
      </c>
      <c r="CE485" s="7">
        <v>1.5811999999999999</v>
      </c>
      <c r="CF485" s="7">
        <v>1.5749</v>
      </c>
      <c r="CG485" s="7">
        <v>1.5688</v>
      </c>
      <c r="CH485" s="7">
        <v>1.5629</v>
      </c>
      <c r="CI485" s="7">
        <v>1.5572999999999999</v>
      </c>
      <c r="CJ485" s="7">
        <v>1.5518000000000001</v>
      </c>
      <c r="CK485" s="7">
        <v>1.5466</v>
      </c>
      <c r="CL485" s="7">
        <v>1.5416000000000001</v>
      </c>
      <c r="CM485" s="7">
        <v>1.5367999999999999</v>
      </c>
      <c r="CN485" s="7">
        <v>1.5322</v>
      </c>
      <c r="CO485" s="7">
        <v>1.5277000000000001</v>
      </c>
      <c r="CP485" s="7">
        <v>1.5235000000000001</v>
      </c>
      <c r="CQ485" s="7">
        <v>1.5194000000000001</v>
      </c>
      <c r="CR485" s="7">
        <v>1.5156000000000001</v>
      </c>
      <c r="CS485" s="7">
        <v>1.5119</v>
      </c>
      <c r="CT485" s="7">
        <v>1.5084</v>
      </c>
      <c r="CU485" s="7">
        <v>1.5049999999999999</v>
      </c>
      <c r="CV485" s="7">
        <v>1.5019</v>
      </c>
      <c r="CW485" s="7">
        <v>1.4988999999999999</v>
      </c>
      <c r="CX485" s="7">
        <v>1.4961</v>
      </c>
      <c r="CY485" s="7">
        <v>1.4935</v>
      </c>
      <c r="CZ485" s="7">
        <v>1.4910000000000001</v>
      </c>
      <c r="DA485" s="7">
        <v>1.4886999999999999</v>
      </c>
      <c r="DB485" s="7">
        <v>1.4865999999999999</v>
      </c>
      <c r="DC485" s="7">
        <v>1.4846999999999999</v>
      </c>
      <c r="DD485" s="7">
        <v>1.4829000000000001</v>
      </c>
      <c r="DE485" s="7">
        <v>1.4813000000000001</v>
      </c>
      <c r="DF485" s="7">
        <v>1.4798</v>
      </c>
      <c r="DG485" s="7">
        <v>1.4785999999999999</v>
      </c>
      <c r="DH485" s="7">
        <v>1.4775</v>
      </c>
      <c r="DI485" s="7">
        <v>1.4765999999999999</v>
      </c>
      <c r="DJ485" s="7">
        <v>1.4758</v>
      </c>
      <c r="DK485" s="7">
        <v>1.4752000000000001</v>
      </c>
      <c r="DL485" s="7">
        <v>1.4748000000000001</v>
      </c>
      <c r="DM485" s="7">
        <v>1.4745999999999999</v>
      </c>
      <c r="DN485" s="7">
        <v>1.4745999999999999</v>
      </c>
      <c r="DO485" s="7">
        <v>1.4746999999999999</v>
      </c>
      <c r="DP485" s="7">
        <v>1.4750000000000001</v>
      </c>
      <c r="DQ485" s="7">
        <v>1.4755</v>
      </c>
      <c r="DR485" s="7">
        <v>1.4762</v>
      </c>
      <c r="DS485" s="7">
        <v>1.4771000000000001</v>
      </c>
      <c r="DT485" s="7">
        <v>1.4781</v>
      </c>
      <c r="DU485" s="7">
        <v>1.4793000000000001</v>
      </c>
      <c r="DV485" s="7">
        <v>1.4806999999999999</v>
      </c>
      <c r="DW485" s="7">
        <v>1.4823</v>
      </c>
      <c r="DX485" s="7">
        <v>1.4841</v>
      </c>
      <c r="DY485" s="7">
        <v>1.4802999999999999</v>
      </c>
      <c r="DZ485" s="7">
        <v>1.4736</v>
      </c>
      <c r="EA485" s="7">
        <v>1.4670000000000001</v>
      </c>
      <c r="EB485" s="7">
        <v>1.4605999999999999</v>
      </c>
      <c r="EC485" s="7">
        <v>1.4542999999999999</v>
      </c>
      <c r="ED485" s="7">
        <v>1.4480999999999999</v>
      </c>
      <c r="EE485" s="7">
        <v>1.4419999999999999</v>
      </c>
      <c r="EF485" s="7">
        <v>1.4360999999999999</v>
      </c>
      <c r="EG485" s="7">
        <v>1.4302999999999999</v>
      </c>
      <c r="EH485" s="7">
        <v>1.4245000000000001</v>
      </c>
      <c r="EI485" s="7">
        <v>1.4189000000000001</v>
      </c>
      <c r="EJ485" s="7">
        <v>1.4134</v>
      </c>
      <c r="EK485" s="7">
        <v>1.4079999999999999</v>
      </c>
      <c r="EL485" s="7">
        <v>1.4026000000000001</v>
      </c>
      <c r="EM485" s="7">
        <v>1.3974</v>
      </c>
      <c r="EN485" s="7">
        <v>1.3922000000000001</v>
      </c>
      <c r="EO485" s="7">
        <v>1.3871</v>
      </c>
      <c r="EP485" s="7">
        <v>1.3819999999999999</v>
      </c>
      <c r="EQ485" s="7">
        <v>1.3771</v>
      </c>
      <c r="ER485" s="7">
        <v>1.3721000000000001</v>
      </c>
      <c r="ES485" s="7">
        <v>1.3673</v>
      </c>
      <c r="ET485" s="7">
        <v>1.3624000000000001</v>
      </c>
      <c r="EU485" s="7">
        <v>1.3575999999999999</v>
      </c>
      <c r="EV485" s="7">
        <v>1.3528</v>
      </c>
      <c r="EW485" s="7">
        <v>1.3481000000000001</v>
      </c>
      <c r="EX485" s="7">
        <v>1.3432999999999999</v>
      </c>
      <c r="EY485" s="7">
        <v>1.3386</v>
      </c>
      <c r="EZ485" s="7">
        <v>1.3338000000000001</v>
      </c>
      <c r="FA485" s="7">
        <v>1.329</v>
      </c>
      <c r="FB485" s="7">
        <v>1.3242</v>
      </c>
      <c r="FC485" s="7">
        <v>1.3193999999999999</v>
      </c>
      <c r="FE485" s="50">
        <f t="shared" ca="1" si="48"/>
        <v>1.4826595594983176</v>
      </c>
      <c r="FF485" s="50">
        <f t="shared" ca="1" si="49"/>
        <v>1.4816094520986864</v>
      </c>
      <c r="FG485" s="50">
        <f t="shared" ca="1" si="50"/>
        <v>1.4805938255033557</v>
      </c>
      <c r="FH485" s="50">
        <f t="shared" ca="1" si="51"/>
        <v>1.4796542281879195</v>
      </c>
      <c r="FK485" s="50">
        <f t="shared" ca="1" si="52"/>
        <v>1.4816094520986864</v>
      </c>
      <c r="FL485" s="50"/>
      <c r="FM485" s="50"/>
      <c r="FN485" s="50"/>
    </row>
    <row r="486" spans="49:170" hidden="1">
      <c r="AW486" s="433">
        <v>8.3179999999999996</v>
      </c>
      <c r="AX486" s="7">
        <v>2.0087999999999999</v>
      </c>
      <c r="AY486" s="7">
        <v>1.9851000000000001</v>
      </c>
      <c r="AZ486" s="7">
        <v>1.9624999999999999</v>
      </c>
      <c r="BA486" s="7">
        <v>1.9410000000000001</v>
      </c>
      <c r="BB486" s="7">
        <v>1.9205000000000001</v>
      </c>
      <c r="BC486" s="7">
        <v>1.9009</v>
      </c>
      <c r="BD486" s="7">
        <v>1.8822000000000001</v>
      </c>
      <c r="BE486" s="7">
        <v>1.8643000000000001</v>
      </c>
      <c r="BF486" s="7">
        <v>1.8472</v>
      </c>
      <c r="BG486" s="7">
        <v>1.8308</v>
      </c>
      <c r="BH486" s="7">
        <v>1.8150999999999999</v>
      </c>
      <c r="BI486" s="7">
        <v>1.8</v>
      </c>
      <c r="BJ486" s="7">
        <v>1.7856000000000001</v>
      </c>
      <c r="BK486" s="7">
        <v>1.7717000000000001</v>
      </c>
      <c r="BL486" s="7">
        <v>1.7584</v>
      </c>
      <c r="BM486" s="7">
        <v>1.7455000000000001</v>
      </c>
      <c r="BN486" s="7">
        <v>1.7332000000000001</v>
      </c>
      <c r="BO486" s="7">
        <v>1.7214</v>
      </c>
      <c r="BP486" s="7">
        <v>1.71</v>
      </c>
      <c r="BQ486" s="7">
        <v>1.6990000000000001</v>
      </c>
      <c r="BR486" s="7">
        <v>1.6883999999999999</v>
      </c>
      <c r="BS486" s="7">
        <v>1.6781999999999999</v>
      </c>
      <c r="BT486" s="7">
        <v>1.6684000000000001</v>
      </c>
      <c r="BU486" s="7">
        <v>1.659</v>
      </c>
      <c r="BV486" s="7">
        <v>1.6498999999999999</v>
      </c>
      <c r="BW486" s="7">
        <v>1.6411</v>
      </c>
      <c r="BX486" s="7">
        <v>1.6326000000000001</v>
      </c>
      <c r="BY486" s="7">
        <v>1.6244000000000001</v>
      </c>
      <c r="BZ486" s="7">
        <v>1.6166</v>
      </c>
      <c r="CA486" s="7">
        <v>1.609</v>
      </c>
      <c r="CB486" s="7">
        <v>1.6015999999999999</v>
      </c>
      <c r="CC486" s="7">
        <v>1.5946</v>
      </c>
      <c r="CD486" s="7">
        <v>1.5878000000000001</v>
      </c>
      <c r="CE486" s="7">
        <v>1.5811999999999999</v>
      </c>
      <c r="CF486" s="7">
        <v>1.5749</v>
      </c>
      <c r="CG486" s="7">
        <v>1.5688</v>
      </c>
      <c r="CH486" s="7">
        <v>1.5629</v>
      </c>
      <c r="CI486" s="7">
        <v>1.5572999999999999</v>
      </c>
      <c r="CJ486" s="7">
        <v>1.5518000000000001</v>
      </c>
      <c r="CK486" s="7">
        <v>1.5466</v>
      </c>
      <c r="CL486" s="7">
        <v>1.5416000000000001</v>
      </c>
      <c r="CM486" s="7">
        <v>1.5367999999999999</v>
      </c>
      <c r="CN486" s="7">
        <v>1.5322</v>
      </c>
      <c r="CO486" s="7">
        <v>1.5277000000000001</v>
      </c>
      <c r="CP486" s="7">
        <v>1.5235000000000001</v>
      </c>
      <c r="CQ486" s="7">
        <v>1.5194000000000001</v>
      </c>
      <c r="CR486" s="7">
        <v>1.5156000000000001</v>
      </c>
      <c r="CS486" s="7">
        <v>1.5119</v>
      </c>
      <c r="CT486" s="7">
        <v>1.5084</v>
      </c>
      <c r="CU486" s="7">
        <v>1.5049999999999999</v>
      </c>
      <c r="CV486" s="7">
        <v>1.5019</v>
      </c>
      <c r="CW486" s="7">
        <v>1.4988999999999999</v>
      </c>
      <c r="CX486" s="7">
        <v>1.4961</v>
      </c>
      <c r="CY486" s="7">
        <v>1.4935</v>
      </c>
      <c r="CZ486" s="7">
        <v>1.4910000000000001</v>
      </c>
      <c r="DA486" s="7">
        <v>1.4886999999999999</v>
      </c>
      <c r="DB486" s="7">
        <v>1.4865999999999999</v>
      </c>
      <c r="DC486" s="7">
        <v>1.4846999999999999</v>
      </c>
      <c r="DD486" s="7">
        <v>1.4829000000000001</v>
      </c>
      <c r="DE486" s="7">
        <v>1.4813000000000001</v>
      </c>
      <c r="DF486" s="7">
        <v>1.4798</v>
      </c>
      <c r="DG486" s="7">
        <v>1.4785999999999999</v>
      </c>
      <c r="DH486" s="7">
        <v>1.4775</v>
      </c>
      <c r="DI486" s="7">
        <v>1.4765999999999999</v>
      </c>
      <c r="DJ486" s="7">
        <v>1.4758</v>
      </c>
      <c r="DK486" s="7">
        <v>1.4752000000000001</v>
      </c>
      <c r="DL486" s="7">
        <v>1.4748000000000001</v>
      </c>
      <c r="DM486" s="7">
        <v>1.4745999999999999</v>
      </c>
      <c r="DN486" s="7">
        <v>1.4745999999999999</v>
      </c>
      <c r="DO486" s="7">
        <v>1.4746999999999999</v>
      </c>
      <c r="DP486" s="7">
        <v>1.4750000000000001</v>
      </c>
      <c r="DQ486" s="7">
        <v>1.4755</v>
      </c>
      <c r="DR486" s="7">
        <v>1.4762</v>
      </c>
      <c r="DS486" s="7">
        <v>1.4771000000000001</v>
      </c>
      <c r="DT486" s="7">
        <v>1.4781</v>
      </c>
      <c r="DU486" s="7">
        <v>1.4793000000000001</v>
      </c>
      <c r="DV486" s="7">
        <v>1.4806999999999999</v>
      </c>
      <c r="DW486" s="7">
        <v>1.4823</v>
      </c>
      <c r="DX486" s="7">
        <v>1.4841</v>
      </c>
      <c r="DY486" s="7">
        <v>1.486</v>
      </c>
      <c r="DZ486" s="7">
        <v>1.4810000000000001</v>
      </c>
      <c r="EA486" s="7">
        <v>1.4744999999999999</v>
      </c>
      <c r="EB486" s="7">
        <v>1.4681</v>
      </c>
      <c r="EC486" s="7">
        <v>1.4618</v>
      </c>
      <c r="ED486" s="7">
        <v>1.4557</v>
      </c>
      <c r="EE486" s="7">
        <v>1.4497</v>
      </c>
      <c r="EF486" s="7">
        <v>1.4438</v>
      </c>
      <c r="EG486" s="7">
        <v>1.4379999999999999</v>
      </c>
      <c r="EH486" s="7">
        <v>1.4322999999999999</v>
      </c>
      <c r="EI486" s="7">
        <v>1.4267000000000001</v>
      </c>
      <c r="EJ486" s="7">
        <v>1.4213</v>
      </c>
      <c r="EK486" s="7">
        <v>1.4158999999999999</v>
      </c>
      <c r="EL486" s="7">
        <v>1.4106000000000001</v>
      </c>
      <c r="EM486" s="7">
        <v>1.4055</v>
      </c>
      <c r="EN486" s="7">
        <v>1.4004000000000001</v>
      </c>
      <c r="EO486" s="7">
        <v>1.3953</v>
      </c>
      <c r="EP486" s="7">
        <v>1.3904000000000001</v>
      </c>
      <c r="EQ486" s="7">
        <v>1.3855</v>
      </c>
      <c r="ER486" s="7">
        <v>1.3807</v>
      </c>
      <c r="ES486" s="7">
        <v>1.3758999999999999</v>
      </c>
      <c r="ET486" s="7">
        <v>1.3712</v>
      </c>
      <c r="EU486" s="7">
        <v>1.3665</v>
      </c>
      <c r="EV486" s="7">
        <v>1.3617999999999999</v>
      </c>
      <c r="EW486" s="7">
        <v>1.3572</v>
      </c>
      <c r="EX486" s="7">
        <v>1.3525</v>
      </c>
      <c r="EY486" s="7">
        <v>1.3479000000000001</v>
      </c>
      <c r="EZ486" s="7">
        <v>1.3432999999999999</v>
      </c>
      <c r="FA486" s="7">
        <v>1.3386</v>
      </c>
      <c r="FB486" s="7">
        <v>1.3340000000000001</v>
      </c>
      <c r="FC486" s="7">
        <v>1.3292999999999999</v>
      </c>
      <c r="FE486" s="50">
        <f t="shared" ca="1" si="48"/>
        <v>1.4826595594983176</v>
      </c>
      <c r="FF486" s="50">
        <f t="shared" ca="1" si="49"/>
        <v>1.4816094520986864</v>
      </c>
      <c r="FG486" s="50">
        <f t="shared" ca="1" si="50"/>
        <v>1.4805938255033557</v>
      </c>
      <c r="FH486" s="50">
        <f t="shared" ca="1" si="51"/>
        <v>1.4796542281879195</v>
      </c>
      <c r="FK486" s="50">
        <f t="shared" ref="FK486:FK522" ca="1" si="53">FORECAST(AN$22,OFFSET($AX486,0,MATCH(AN$22,$AX$421:$FC$421,1)-1,1,2),OFFSET($AX$421,0,MATCH(AN$22,$AX$421:$FC$421,1)-1,1,2))</f>
        <v>1.4816094520986864</v>
      </c>
      <c r="FL486" s="50"/>
      <c r="FM486" s="50"/>
      <c r="FN486" s="50"/>
    </row>
    <row r="487" spans="49:170" hidden="1">
      <c r="AW487" s="433">
        <v>8.9130000000000003</v>
      </c>
      <c r="AX487" s="7">
        <v>2.0087999999999999</v>
      </c>
      <c r="AY487" s="7">
        <v>1.9851000000000001</v>
      </c>
      <c r="AZ487" s="7">
        <v>1.9624999999999999</v>
      </c>
      <c r="BA487" s="7">
        <v>1.9410000000000001</v>
      </c>
      <c r="BB487" s="7">
        <v>1.9205000000000001</v>
      </c>
      <c r="BC487" s="7">
        <v>1.9009</v>
      </c>
      <c r="BD487" s="7">
        <v>1.8822000000000001</v>
      </c>
      <c r="BE487" s="7">
        <v>1.8643000000000001</v>
      </c>
      <c r="BF487" s="7">
        <v>1.8472</v>
      </c>
      <c r="BG487" s="7">
        <v>1.8308</v>
      </c>
      <c r="BH487" s="7">
        <v>1.8150999999999999</v>
      </c>
      <c r="BI487" s="7">
        <v>1.8</v>
      </c>
      <c r="BJ487" s="7">
        <v>1.7856000000000001</v>
      </c>
      <c r="BK487" s="7">
        <v>1.7717000000000001</v>
      </c>
      <c r="BL487" s="7">
        <v>1.7584</v>
      </c>
      <c r="BM487" s="7">
        <v>1.7455000000000001</v>
      </c>
      <c r="BN487" s="7">
        <v>1.7332000000000001</v>
      </c>
      <c r="BO487" s="7">
        <v>1.7214</v>
      </c>
      <c r="BP487" s="7">
        <v>1.71</v>
      </c>
      <c r="BQ487" s="7">
        <v>1.6990000000000001</v>
      </c>
      <c r="BR487" s="7">
        <v>1.6883999999999999</v>
      </c>
      <c r="BS487" s="7">
        <v>1.6781999999999999</v>
      </c>
      <c r="BT487" s="7">
        <v>1.6684000000000001</v>
      </c>
      <c r="BU487" s="7">
        <v>1.659</v>
      </c>
      <c r="BV487" s="7">
        <v>1.6498999999999999</v>
      </c>
      <c r="BW487" s="7">
        <v>1.6411</v>
      </c>
      <c r="BX487" s="7">
        <v>1.6326000000000001</v>
      </c>
      <c r="BY487" s="7">
        <v>1.6244000000000001</v>
      </c>
      <c r="BZ487" s="7">
        <v>1.6166</v>
      </c>
      <c r="CA487" s="7">
        <v>1.609</v>
      </c>
      <c r="CB487" s="7">
        <v>1.6015999999999999</v>
      </c>
      <c r="CC487" s="7">
        <v>1.5946</v>
      </c>
      <c r="CD487" s="7">
        <v>1.5878000000000001</v>
      </c>
      <c r="CE487" s="7">
        <v>1.5811999999999999</v>
      </c>
      <c r="CF487" s="7">
        <v>1.5749</v>
      </c>
      <c r="CG487" s="7">
        <v>1.5688</v>
      </c>
      <c r="CH487" s="7">
        <v>1.5629</v>
      </c>
      <c r="CI487" s="7">
        <v>1.5572999999999999</v>
      </c>
      <c r="CJ487" s="7">
        <v>1.5518000000000001</v>
      </c>
      <c r="CK487" s="7">
        <v>1.5466</v>
      </c>
      <c r="CL487" s="7">
        <v>1.5416000000000001</v>
      </c>
      <c r="CM487" s="7">
        <v>1.5367999999999999</v>
      </c>
      <c r="CN487" s="7">
        <v>1.5322</v>
      </c>
      <c r="CO487" s="7">
        <v>1.5277000000000001</v>
      </c>
      <c r="CP487" s="7">
        <v>1.5235000000000001</v>
      </c>
      <c r="CQ487" s="7">
        <v>1.5194000000000001</v>
      </c>
      <c r="CR487" s="7">
        <v>1.5156000000000001</v>
      </c>
      <c r="CS487" s="7">
        <v>1.5119</v>
      </c>
      <c r="CT487" s="7">
        <v>1.5084</v>
      </c>
      <c r="CU487" s="7">
        <v>1.5049999999999999</v>
      </c>
      <c r="CV487" s="7">
        <v>1.5019</v>
      </c>
      <c r="CW487" s="7">
        <v>1.4988999999999999</v>
      </c>
      <c r="CX487" s="7">
        <v>1.4961</v>
      </c>
      <c r="CY487" s="7">
        <v>1.4935</v>
      </c>
      <c r="CZ487" s="7">
        <v>1.4910000000000001</v>
      </c>
      <c r="DA487" s="7">
        <v>1.4886999999999999</v>
      </c>
      <c r="DB487" s="7">
        <v>1.4865999999999999</v>
      </c>
      <c r="DC487" s="7">
        <v>1.4846999999999999</v>
      </c>
      <c r="DD487" s="7">
        <v>1.4829000000000001</v>
      </c>
      <c r="DE487" s="7">
        <v>1.4813000000000001</v>
      </c>
      <c r="DF487" s="7">
        <v>1.4798</v>
      </c>
      <c r="DG487" s="7">
        <v>1.4785999999999999</v>
      </c>
      <c r="DH487" s="7">
        <v>1.4775</v>
      </c>
      <c r="DI487" s="7">
        <v>1.4765999999999999</v>
      </c>
      <c r="DJ487" s="7">
        <v>1.4758</v>
      </c>
      <c r="DK487" s="7">
        <v>1.4752000000000001</v>
      </c>
      <c r="DL487" s="7">
        <v>1.4748000000000001</v>
      </c>
      <c r="DM487" s="7">
        <v>1.4745999999999999</v>
      </c>
      <c r="DN487" s="7">
        <v>1.4745999999999999</v>
      </c>
      <c r="DO487" s="7">
        <v>1.4746999999999999</v>
      </c>
      <c r="DP487" s="7">
        <v>1.4750000000000001</v>
      </c>
      <c r="DQ487" s="7">
        <v>1.4755</v>
      </c>
      <c r="DR487" s="7">
        <v>1.4762</v>
      </c>
      <c r="DS487" s="7">
        <v>1.4771000000000001</v>
      </c>
      <c r="DT487" s="7">
        <v>1.4781</v>
      </c>
      <c r="DU487" s="7">
        <v>1.4793000000000001</v>
      </c>
      <c r="DV487" s="7">
        <v>1.4806999999999999</v>
      </c>
      <c r="DW487" s="7">
        <v>1.4823</v>
      </c>
      <c r="DX487" s="7">
        <v>1.4841</v>
      </c>
      <c r="DY487" s="7">
        <v>1.486</v>
      </c>
      <c r="DZ487" s="7">
        <v>1.4882</v>
      </c>
      <c r="EA487" s="7">
        <v>1.4818</v>
      </c>
      <c r="EB487" s="7">
        <v>1.4755</v>
      </c>
      <c r="EC487" s="7">
        <v>1.4692000000000001</v>
      </c>
      <c r="ED487" s="7">
        <v>1.4631000000000001</v>
      </c>
      <c r="EE487" s="7">
        <v>1.4572000000000001</v>
      </c>
      <c r="EF487" s="7">
        <v>1.4513</v>
      </c>
      <c r="EG487" s="7">
        <v>1.4456</v>
      </c>
      <c r="EH487" s="7">
        <v>1.44</v>
      </c>
      <c r="EI487" s="7">
        <v>1.4345000000000001</v>
      </c>
      <c r="EJ487" s="7">
        <v>1.4291</v>
      </c>
      <c r="EK487" s="7">
        <v>1.4238</v>
      </c>
      <c r="EL487" s="7">
        <v>1.4186000000000001</v>
      </c>
      <c r="EM487" s="7">
        <v>1.4135</v>
      </c>
      <c r="EN487" s="7">
        <v>1.4085000000000001</v>
      </c>
      <c r="EO487" s="7">
        <v>1.4035</v>
      </c>
      <c r="EP487" s="7">
        <v>1.3987000000000001</v>
      </c>
      <c r="EQ487" s="7">
        <v>1.3938999999999999</v>
      </c>
      <c r="ER487" s="7">
        <v>1.3891</v>
      </c>
      <c r="ES487" s="7">
        <v>1.3844000000000001</v>
      </c>
      <c r="ET487" s="7">
        <v>1.3797999999999999</v>
      </c>
      <c r="EU487" s="7">
        <v>1.3752</v>
      </c>
      <c r="EV487" s="7">
        <v>1.3707</v>
      </c>
      <c r="EW487" s="7">
        <v>1.3661000000000001</v>
      </c>
      <c r="EX487" s="7">
        <v>1.3615999999999999</v>
      </c>
      <c r="EY487" s="7">
        <v>1.3571</v>
      </c>
      <c r="EZ487" s="7">
        <v>1.3526</v>
      </c>
      <c r="FA487" s="7">
        <v>1.3481000000000001</v>
      </c>
      <c r="FB487" s="7">
        <v>1.3435999999999999</v>
      </c>
      <c r="FC487" s="7">
        <v>1.339</v>
      </c>
      <c r="FE487" s="50">
        <f t="shared" ref="FE487:FE522" ca="1" si="54">FORECAST(J$39,OFFSET($AX487,0,MATCH(J$39,$AX$421:$FC$421,1)-1,1,2),OFFSET($AX$421,0,MATCH(J$39,$AX$421:$FC$421,1)-1,1,2))</f>
        <v>1.4826595594983176</v>
      </c>
      <c r="FF487" s="50">
        <f t="shared" ref="FF487:FF522" ca="1" si="55">FORECAST(L$39,OFFSET($AX487,0,MATCH(L$39,$AX$421:$FC$421,1)-1,1,2),OFFSET($AX$421,0,MATCH(L$39,$AX$421:$FC$421,1)-1,1,2))</f>
        <v>1.4816094520986864</v>
      </c>
      <c r="FG487" s="50">
        <f t="shared" ref="FG487:FG522" ca="1" si="56">FORECAST(N$39,OFFSET($AX487,0,MATCH(N$39,$AX$421:$FC$421,1)-1,1,2),OFFSET($AX$421,0,MATCH(N$39,$AX$421:$FC$421,1)-1,1,2))</f>
        <v>1.4805938255033557</v>
      </c>
      <c r="FH487" s="50">
        <f t="shared" ref="FH487:FH522" ca="1" si="57">FORECAST(P$39,OFFSET($AX487,0,MATCH(P$39,$AX$421:$FC$421,1)-1,1,2),OFFSET($AX$421,0,MATCH(P$39,$AX$421:$FC$421,1)-1,1,2))</f>
        <v>1.4796542281879195</v>
      </c>
      <c r="FK487" s="50">
        <f t="shared" ca="1" si="53"/>
        <v>1.4816094520986864</v>
      </c>
      <c r="FL487" s="50"/>
      <c r="FM487" s="50"/>
      <c r="FN487" s="50"/>
    </row>
    <row r="488" spans="49:170" hidden="1">
      <c r="AW488" s="433">
        <v>9.5500000000000007</v>
      </c>
      <c r="AX488" s="7">
        <v>2.0087999999999999</v>
      </c>
      <c r="AY488" s="7">
        <v>1.9851000000000001</v>
      </c>
      <c r="AZ488" s="7">
        <v>1.9624999999999999</v>
      </c>
      <c r="BA488" s="7">
        <v>1.9410000000000001</v>
      </c>
      <c r="BB488" s="7">
        <v>1.9205000000000001</v>
      </c>
      <c r="BC488" s="7">
        <v>1.9009</v>
      </c>
      <c r="BD488" s="7">
        <v>1.8822000000000001</v>
      </c>
      <c r="BE488" s="7">
        <v>1.8643000000000001</v>
      </c>
      <c r="BF488" s="7">
        <v>1.8472</v>
      </c>
      <c r="BG488" s="7">
        <v>1.8308</v>
      </c>
      <c r="BH488" s="7">
        <v>1.8150999999999999</v>
      </c>
      <c r="BI488" s="7">
        <v>1.8</v>
      </c>
      <c r="BJ488" s="7">
        <v>1.7856000000000001</v>
      </c>
      <c r="BK488" s="7">
        <v>1.7717000000000001</v>
      </c>
      <c r="BL488" s="7">
        <v>1.7584</v>
      </c>
      <c r="BM488" s="7">
        <v>1.7455000000000001</v>
      </c>
      <c r="BN488" s="7">
        <v>1.7332000000000001</v>
      </c>
      <c r="BO488" s="7">
        <v>1.7214</v>
      </c>
      <c r="BP488" s="7">
        <v>1.71</v>
      </c>
      <c r="BQ488" s="7">
        <v>1.6990000000000001</v>
      </c>
      <c r="BR488" s="7">
        <v>1.6883999999999999</v>
      </c>
      <c r="BS488" s="7">
        <v>1.6781999999999999</v>
      </c>
      <c r="BT488" s="7">
        <v>1.6684000000000001</v>
      </c>
      <c r="BU488" s="7">
        <v>1.659</v>
      </c>
      <c r="BV488" s="7">
        <v>1.6498999999999999</v>
      </c>
      <c r="BW488" s="7">
        <v>1.6411</v>
      </c>
      <c r="BX488" s="7">
        <v>1.6326000000000001</v>
      </c>
      <c r="BY488" s="7">
        <v>1.6244000000000001</v>
      </c>
      <c r="BZ488" s="7">
        <v>1.6166</v>
      </c>
      <c r="CA488" s="7">
        <v>1.609</v>
      </c>
      <c r="CB488" s="7">
        <v>1.6015999999999999</v>
      </c>
      <c r="CC488" s="7">
        <v>1.5946</v>
      </c>
      <c r="CD488" s="7">
        <v>1.5878000000000001</v>
      </c>
      <c r="CE488" s="7">
        <v>1.5811999999999999</v>
      </c>
      <c r="CF488" s="7">
        <v>1.5749</v>
      </c>
      <c r="CG488" s="7">
        <v>1.5688</v>
      </c>
      <c r="CH488" s="7">
        <v>1.5629</v>
      </c>
      <c r="CI488" s="7">
        <v>1.5572999999999999</v>
      </c>
      <c r="CJ488" s="7">
        <v>1.5518000000000001</v>
      </c>
      <c r="CK488" s="7">
        <v>1.5466</v>
      </c>
      <c r="CL488" s="7">
        <v>1.5416000000000001</v>
      </c>
      <c r="CM488" s="7">
        <v>1.5367999999999999</v>
      </c>
      <c r="CN488" s="7">
        <v>1.5322</v>
      </c>
      <c r="CO488" s="7">
        <v>1.5277000000000001</v>
      </c>
      <c r="CP488" s="7">
        <v>1.5235000000000001</v>
      </c>
      <c r="CQ488" s="7">
        <v>1.5194000000000001</v>
      </c>
      <c r="CR488" s="7">
        <v>1.5156000000000001</v>
      </c>
      <c r="CS488" s="7">
        <v>1.5119</v>
      </c>
      <c r="CT488" s="7">
        <v>1.5084</v>
      </c>
      <c r="CU488" s="7">
        <v>1.5049999999999999</v>
      </c>
      <c r="CV488" s="7">
        <v>1.5019</v>
      </c>
      <c r="CW488" s="7">
        <v>1.4988999999999999</v>
      </c>
      <c r="CX488" s="7">
        <v>1.4961</v>
      </c>
      <c r="CY488" s="7">
        <v>1.4935</v>
      </c>
      <c r="CZ488" s="7">
        <v>1.4910000000000001</v>
      </c>
      <c r="DA488" s="7">
        <v>1.4886999999999999</v>
      </c>
      <c r="DB488" s="7">
        <v>1.4865999999999999</v>
      </c>
      <c r="DC488" s="7">
        <v>1.4846999999999999</v>
      </c>
      <c r="DD488" s="7">
        <v>1.4829000000000001</v>
      </c>
      <c r="DE488" s="7">
        <v>1.4813000000000001</v>
      </c>
      <c r="DF488" s="7">
        <v>1.4798</v>
      </c>
      <c r="DG488" s="7">
        <v>1.4785999999999999</v>
      </c>
      <c r="DH488" s="7">
        <v>1.4775</v>
      </c>
      <c r="DI488" s="7">
        <v>1.4765999999999999</v>
      </c>
      <c r="DJ488" s="7">
        <v>1.4758</v>
      </c>
      <c r="DK488" s="7">
        <v>1.4752000000000001</v>
      </c>
      <c r="DL488" s="7">
        <v>1.4748000000000001</v>
      </c>
      <c r="DM488" s="7">
        <v>1.4745999999999999</v>
      </c>
      <c r="DN488" s="7">
        <v>1.4745999999999999</v>
      </c>
      <c r="DO488" s="7">
        <v>1.4746999999999999</v>
      </c>
      <c r="DP488" s="7">
        <v>1.4750000000000001</v>
      </c>
      <c r="DQ488" s="7">
        <v>1.4755</v>
      </c>
      <c r="DR488" s="7">
        <v>1.4762</v>
      </c>
      <c r="DS488" s="7">
        <v>1.4771000000000001</v>
      </c>
      <c r="DT488" s="7">
        <v>1.4781</v>
      </c>
      <c r="DU488" s="7">
        <v>1.4793000000000001</v>
      </c>
      <c r="DV488" s="7">
        <v>1.4806999999999999</v>
      </c>
      <c r="DW488" s="7">
        <v>1.4823</v>
      </c>
      <c r="DX488" s="7">
        <v>1.4841</v>
      </c>
      <c r="DY488" s="7">
        <v>1.486</v>
      </c>
      <c r="DZ488" s="7">
        <v>1.4882</v>
      </c>
      <c r="EA488" s="7">
        <v>1.4891000000000001</v>
      </c>
      <c r="EB488" s="7">
        <v>1.4827999999999999</v>
      </c>
      <c r="EC488" s="7">
        <v>1.4765999999999999</v>
      </c>
      <c r="ED488" s="7">
        <v>1.4704999999999999</v>
      </c>
      <c r="EE488" s="7">
        <v>1.4645999999999999</v>
      </c>
      <c r="EF488" s="7">
        <v>1.4588000000000001</v>
      </c>
      <c r="EG488" s="7">
        <v>1.4532</v>
      </c>
      <c r="EH488" s="7">
        <v>1.4476</v>
      </c>
      <c r="EI488" s="7">
        <v>1.4421999999999999</v>
      </c>
      <c r="EJ488" s="7">
        <v>1.4368000000000001</v>
      </c>
      <c r="EK488" s="7">
        <v>1.4316</v>
      </c>
      <c r="EL488" s="7">
        <v>1.4265000000000001</v>
      </c>
      <c r="EM488" s="7">
        <v>1.4214</v>
      </c>
      <c r="EN488" s="7">
        <v>1.4165000000000001</v>
      </c>
      <c r="EO488" s="7">
        <v>1.4116</v>
      </c>
      <c r="EP488" s="7">
        <v>1.4068000000000001</v>
      </c>
      <c r="EQ488" s="7">
        <v>1.4020999999999999</v>
      </c>
      <c r="ER488" s="7">
        <v>1.3975</v>
      </c>
      <c r="ES488" s="7">
        <v>1.3929</v>
      </c>
      <c r="ET488" s="7">
        <v>1.3884000000000001</v>
      </c>
      <c r="EU488" s="7">
        <v>1.3838999999999999</v>
      </c>
      <c r="EV488" s="7">
        <v>1.3794</v>
      </c>
      <c r="EW488" s="7">
        <v>1.375</v>
      </c>
      <c r="EX488" s="7">
        <v>1.3706</v>
      </c>
      <c r="EY488" s="7">
        <v>1.3662000000000001</v>
      </c>
      <c r="EZ488" s="7">
        <v>1.3619000000000001</v>
      </c>
      <c r="FA488" s="7">
        <v>1.3574999999999999</v>
      </c>
      <c r="FB488" s="7">
        <v>1.3531</v>
      </c>
      <c r="FC488" s="7">
        <v>1.3487</v>
      </c>
      <c r="FE488" s="50">
        <f t="shared" ca="1" si="54"/>
        <v>1.4826595594983176</v>
      </c>
      <c r="FF488" s="50">
        <f t="shared" ca="1" si="55"/>
        <v>1.4816094520986864</v>
      </c>
      <c r="FG488" s="50">
        <f t="shared" ca="1" si="56"/>
        <v>1.4805938255033557</v>
      </c>
      <c r="FH488" s="50">
        <f t="shared" ca="1" si="57"/>
        <v>1.4796542281879195</v>
      </c>
      <c r="FK488" s="50">
        <f t="shared" ca="1" si="53"/>
        <v>1.4816094520986864</v>
      </c>
      <c r="FL488" s="50"/>
      <c r="FM488" s="50"/>
      <c r="FN488" s="50"/>
    </row>
    <row r="489" spans="49:170" hidden="1">
      <c r="AW489" s="433">
        <v>10.233000000000001</v>
      </c>
      <c r="AX489" s="7">
        <v>2.0087999999999999</v>
      </c>
      <c r="AY489" s="7">
        <v>1.9851000000000001</v>
      </c>
      <c r="AZ489" s="7">
        <v>1.9624999999999999</v>
      </c>
      <c r="BA489" s="7">
        <v>1.9410000000000001</v>
      </c>
      <c r="BB489" s="7">
        <v>1.9205000000000001</v>
      </c>
      <c r="BC489" s="7">
        <v>1.9009</v>
      </c>
      <c r="BD489" s="7">
        <v>1.8822000000000001</v>
      </c>
      <c r="BE489" s="7">
        <v>1.8643000000000001</v>
      </c>
      <c r="BF489" s="7">
        <v>1.8472</v>
      </c>
      <c r="BG489" s="7">
        <v>1.8308</v>
      </c>
      <c r="BH489" s="7">
        <v>1.8150999999999999</v>
      </c>
      <c r="BI489" s="7">
        <v>1.8</v>
      </c>
      <c r="BJ489" s="7">
        <v>1.7856000000000001</v>
      </c>
      <c r="BK489" s="7">
        <v>1.7717000000000001</v>
      </c>
      <c r="BL489" s="7">
        <v>1.7584</v>
      </c>
      <c r="BM489" s="7">
        <v>1.7455000000000001</v>
      </c>
      <c r="BN489" s="7">
        <v>1.7332000000000001</v>
      </c>
      <c r="BO489" s="7">
        <v>1.7214</v>
      </c>
      <c r="BP489" s="7">
        <v>1.71</v>
      </c>
      <c r="BQ489" s="7">
        <v>1.6990000000000001</v>
      </c>
      <c r="BR489" s="7">
        <v>1.6883999999999999</v>
      </c>
      <c r="BS489" s="7">
        <v>1.6781999999999999</v>
      </c>
      <c r="BT489" s="7">
        <v>1.6684000000000001</v>
      </c>
      <c r="BU489" s="7">
        <v>1.659</v>
      </c>
      <c r="BV489" s="7">
        <v>1.6498999999999999</v>
      </c>
      <c r="BW489" s="7">
        <v>1.6411</v>
      </c>
      <c r="BX489" s="7">
        <v>1.6326000000000001</v>
      </c>
      <c r="BY489" s="7">
        <v>1.6244000000000001</v>
      </c>
      <c r="BZ489" s="7">
        <v>1.6166</v>
      </c>
      <c r="CA489" s="7">
        <v>1.609</v>
      </c>
      <c r="CB489" s="7">
        <v>1.6015999999999999</v>
      </c>
      <c r="CC489" s="7">
        <v>1.5946</v>
      </c>
      <c r="CD489" s="7">
        <v>1.5878000000000001</v>
      </c>
      <c r="CE489" s="7">
        <v>1.5811999999999999</v>
      </c>
      <c r="CF489" s="7">
        <v>1.5749</v>
      </c>
      <c r="CG489" s="7">
        <v>1.5688</v>
      </c>
      <c r="CH489" s="7">
        <v>1.5629</v>
      </c>
      <c r="CI489" s="7">
        <v>1.5572999999999999</v>
      </c>
      <c r="CJ489" s="7">
        <v>1.5518000000000001</v>
      </c>
      <c r="CK489" s="7">
        <v>1.5466</v>
      </c>
      <c r="CL489" s="7">
        <v>1.5416000000000001</v>
      </c>
      <c r="CM489" s="7">
        <v>1.5367999999999999</v>
      </c>
      <c r="CN489" s="7">
        <v>1.5322</v>
      </c>
      <c r="CO489" s="7">
        <v>1.5277000000000001</v>
      </c>
      <c r="CP489" s="7">
        <v>1.5235000000000001</v>
      </c>
      <c r="CQ489" s="7">
        <v>1.5194000000000001</v>
      </c>
      <c r="CR489" s="7">
        <v>1.5156000000000001</v>
      </c>
      <c r="CS489" s="7">
        <v>1.5119</v>
      </c>
      <c r="CT489" s="7">
        <v>1.5084</v>
      </c>
      <c r="CU489" s="7">
        <v>1.5049999999999999</v>
      </c>
      <c r="CV489" s="7">
        <v>1.5019</v>
      </c>
      <c r="CW489" s="7">
        <v>1.4988999999999999</v>
      </c>
      <c r="CX489" s="7">
        <v>1.4961</v>
      </c>
      <c r="CY489" s="7">
        <v>1.4935</v>
      </c>
      <c r="CZ489" s="7">
        <v>1.4910000000000001</v>
      </c>
      <c r="DA489" s="7">
        <v>1.4886999999999999</v>
      </c>
      <c r="DB489" s="7">
        <v>1.4865999999999999</v>
      </c>
      <c r="DC489" s="7">
        <v>1.4846999999999999</v>
      </c>
      <c r="DD489" s="7">
        <v>1.4829000000000001</v>
      </c>
      <c r="DE489" s="7">
        <v>1.4813000000000001</v>
      </c>
      <c r="DF489" s="7">
        <v>1.4798</v>
      </c>
      <c r="DG489" s="7">
        <v>1.4785999999999999</v>
      </c>
      <c r="DH489" s="7">
        <v>1.4775</v>
      </c>
      <c r="DI489" s="7">
        <v>1.4765999999999999</v>
      </c>
      <c r="DJ489" s="7">
        <v>1.4758</v>
      </c>
      <c r="DK489" s="7">
        <v>1.4752000000000001</v>
      </c>
      <c r="DL489" s="7">
        <v>1.4748000000000001</v>
      </c>
      <c r="DM489" s="7">
        <v>1.4745999999999999</v>
      </c>
      <c r="DN489" s="7">
        <v>1.4745999999999999</v>
      </c>
      <c r="DO489" s="7">
        <v>1.4746999999999999</v>
      </c>
      <c r="DP489" s="7">
        <v>1.4750000000000001</v>
      </c>
      <c r="DQ489" s="7">
        <v>1.4755</v>
      </c>
      <c r="DR489" s="7">
        <v>1.4762</v>
      </c>
      <c r="DS489" s="7">
        <v>1.4771000000000001</v>
      </c>
      <c r="DT489" s="7">
        <v>1.4781</v>
      </c>
      <c r="DU489" s="7">
        <v>1.4793000000000001</v>
      </c>
      <c r="DV489" s="7">
        <v>1.4806999999999999</v>
      </c>
      <c r="DW489" s="7">
        <v>1.4823</v>
      </c>
      <c r="DX489" s="7">
        <v>1.4841</v>
      </c>
      <c r="DY489" s="7">
        <v>1.486</v>
      </c>
      <c r="DZ489" s="7">
        <v>1.4882</v>
      </c>
      <c r="EA489" s="7">
        <v>1.4904999999999999</v>
      </c>
      <c r="EB489" s="7">
        <v>1.49</v>
      </c>
      <c r="EC489" s="7">
        <v>1.4839</v>
      </c>
      <c r="ED489" s="7">
        <v>1.4779</v>
      </c>
      <c r="EE489" s="7">
        <v>1.472</v>
      </c>
      <c r="EF489" s="7">
        <v>1.4661999999999999</v>
      </c>
      <c r="EG489" s="7">
        <v>1.4605999999999999</v>
      </c>
      <c r="EH489" s="7">
        <v>1.4551000000000001</v>
      </c>
      <c r="EI489" s="7">
        <v>1.4497</v>
      </c>
      <c r="EJ489" s="7">
        <v>1.4444999999999999</v>
      </c>
      <c r="EK489" s="7">
        <v>1.4393</v>
      </c>
      <c r="EL489" s="7">
        <v>1.4341999999999999</v>
      </c>
      <c r="EM489" s="7">
        <v>1.4293</v>
      </c>
      <c r="EN489" s="7">
        <v>1.4244000000000001</v>
      </c>
      <c r="EO489" s="7">
        <v>1.4196</v>
      </c>
      <c r="EP489" s="7">
        <v>1.4149</v>
      </c>
      <c r="EQ489" s="7">
        <v>1.4103000000000001</v>
      </c>
      <c r="ER489" s="7">
        <v>1.4056999999999999</v>
      </c>
      <c r="ES489" s="7">
        <v>1.4013</v>
      </c>
      <c r="ET489" s="7">
        <v>1.3968</v>
      </c>
      <c r="EU489" s="7">
        <v>1.3924000000000001</v>
      </c>
      <c r="EV489" s="7">
        <v>1.3880999999999999</v>
      </c>
      <c r="EW489" s="7">
        <v>1.3837999999999999</v>
      </c>
      <c r="EX489" s="7">
        <v>1.3794999999999999</v>
      </c>
      <c r="EY489" s="7">
        <v>1.3753</v>
      </c>
      <c r="EZ489" s="7">
        <v>1.371</v>
      </c>
      <c r="FA489" s="7">
        <v>1.3668</v>
      </c>
      <c r="FB489" s="7">
        <v>1.3625</v>
      </c>
      <c r="FC489" s="7">
        <v>1.3583000000000001</v>
      </c>
      <c r="FE489" s="50">
        <f t="shared" ca="1" si="54"/>
        <v>1.4826595594983176</v>
      </c>
      <c r="FF489" s="50">
        <f t="shared" ca="1" si="55"/>
        <v>1.4816094520986864</v>
      </c>
      <c r="FG489" s="50">
        <f t="shared" ca="1" si="56"/>
        <v>1.4805938255033557</v>
      </c>
      <c r="FH489" s="50">
        <f t="shared" ca="1" si="57"/>
        <v>1.4796542281879195</v>
      </c>
      <c r="FK489" s="50">
        <f t="shared" ca="1" si="53"/>
        <v>1.4816094520986864</v>
      </c>
      <c r="FL489" s="50"/>
      <c r="FM489" s="50"/>
      <c r="FN489" s="50"/>
    </row>
    <row r="490" spans="49:170" hidden="1">
      <c r="AW490" s="433">
        <v>10.965</v>
      </c>
      <c r="AX490" s="7">
        <v>2.0087999999999999</v>
      </c>
      <c r="AY490" s="7">
        <v>1.9851000000000001</v>
      </c>
      <c r="AZ490" s="7">
        <v>1.9624999999999999</v>
      </c>
      <c r="BA490" s="7">
        <v>1.9410000000000001</v>
      </c>
      <c r="BB490" s="7">
        <v>1.9205000000000001</v>
      </c>
      <c r="BC490" s="7">
        <v>1.9009</v>
      </c>
      <c r="BD490" s="7">
        <v>1.8822000000000001</v>
      </c>
      <c r="BE490" s="7">
        <v>1.8643000000000001</v>
      </c>
      <c r="BF490" s="7">
        <v>1.8472</v>
      </c>
      <c r="BG490" s="7">
        <v>1.8308</v>
      </c>
      <c r="BH490" s="7">
        <v>1.8150999999999999</v>
      </c>
      <c r="BI490" s="7">
        <v>1.8</v>
      </c>
      <c r="BJ490" s="7">
        <v>1.7856000000000001</v>
      </c>
      <c r="BK490" s="7">
        <v>1.7717000000000001</v>
      </c>
      <c r="BL490" s="7">
        <v>1.7584</v>
      </c>
      <c r="BM490" s="7">
        <v>1.7455000000000001</v>
      </c>
      <c r="BN490" s="7">
        <v>1.7332000000000001</v>
      </c>
      <c r="BO490" s="7">
        <v>1.7214</v>
      </c>
      <c r="BP490" s="7">
        <v>1.71</v>
      </c>
      <c r="BQ490" s="7">
        <v>1.6990000000000001</v>
      </c>
      <c r="BR490" s="7">
        <v>1.6883999999999999</v>
      </c>
      <c r="BS490" s="7">
        <v>1.6781999999999999</v>
      </c>
      <c r="BT490" s="7">
        <v>1.6684000000000001</v>
      </c>
      <c r="BU490" s="7">
        <v>1.659</v>
      </c>
      <c r="BV490" s="7">
        <v>1.6498999999999999</v>
      </c>
      <c r="BW490" s="7">
        <v>1.6411</v>
      </c>
      <c r="BX490" s="7">
        <v>1.6326000000000001</v>
      </c>
      <c r="BY490" s="7">
        <v>1.6244000000000001</v>
      </c>
      <c r="BZ490" s="7">
        <v>1.6166</v>
      </c>
      <c r="CA490" s="7">
        <v>1.609</v>
      </c>
      <c r="CB490" s="7">
        <v>1.6015999999999999</v>
      </c>
      <c r="CC490" s="7">
        <v>1.5946</v>
      </c>
      <c r="CD490" s="7">
        <v>1.5878000000000001</v>
      </c>
      <c r="CE490" s="7">
        <v>1.5811999999999999</v>
      </c>
      <c r="CF490" s="7">
        <v>1.5749</v>
      </c>
      <c r="CG490" s="7">
        <v>1.5688</v>
      </c>
      <c r="CH490" s="7">
        <v>1.5629</v>
      </c>
      <c r="CI490" s="7">
        <v>1.5572999999999999</v>
      </c>
      <c r="CJ490" s="7">
        <v>1.5518000000000001</v>
      </c>
      <c r="CK490" s="7">
        <v>1.5466</v>
      </c>
      <c r="CL490" s="7">
        <v>1.5416000000000001</v>
      </c>
      <c r="CM490" s="7">
        <v>1.5367999999999999</v>
      </c>
      <c r="CN490" s="7">
        <v>1.5322</v>
      </c>
      <c r="CO490" s="7">
        <v>1.5277000000000001</v>
      </c>
      <c r="CP490" s="7">
        <v>1.5235000000000001</v>
      </c>
      <c r="CQ490" s="7">
        <v>1.5194000000000001</v>
      </c>
      <c r="CR490" s="7">
        <v>1.5156000000000001</v>
      </c>
      <c r="CS490" s="7">
        <v>1.5119</v>
      </c>
      <c r="CT490" s="7">
        <v>1.5084</v>
      </c>
      <c r="CU490" s="7">
        <v>1.5049999999999999</v>
      </c>
      <c r="CV490" s="7">
        <v>1.5019</v>
      </c>
      <c r="CW490" s="7">
        <v>1.4988999999999999</v>
      </c>
      <c r="CX490" s="7">
        <v>1.4961</v>
      </c>
      <c r="CY490" s="7">
        <v>1.4935</v>
      </c>
      <c r="CZ490" s="7">
        <v>1.4910000000000001</v>
      </c>
      <c r="DA490" s="7">
        <v>1.4886999999999999</v>
      </c>
      <c r="DB490" s="7">
        <v>1.4865999999999999</v>
      </c>
      <c r="DC490" s="7">
        <v>1.4846999999999999</v>
      </c>
      <c r="DD490" s="7">
        <v>1.4829000000000001</v>
      </c>
      <c r="DE490" s="7">
        <v>1.4813000000000001</v>
      </c>
      <c r="DF490" s="7">
        <v>1.4798</v>
      </c>
      <c r="DG490" s="7">
        <v>1.4785999999999999</v>
      </c>
      <c r="DH490" s="7">
        <v>1.4775</v>
      </c>
      <c r="DI490" s="7">
        <v>1.4765999999999999</v>
      </c>
      <c r="DJ490" s="7">
        <v>1.4758</v>
      </c>
      <c r="DK490" s="7">
        <v>1.4752000000000001</v>
      </c>
      <c r="DL490" s="7">
        <v>1.4748000000000001</v>
      </c>
      <c r="DM490" s="7">
        <v>1.4745999999999999</v>
      </c>
      <c r="DN490" s="7">
        <v>1.4745999999999999</v>
      </c>
      <c r="DO490" s="7">
        <v>1.4746999999999999</v>
      </c>
      <c r="DP490" s="7">
        <v>1.4750000000000001</v>
      </c>
      <c r="DQ490" s="7">
        <v>1.4755</v>
      </c>
      <c r="DR490" s="7">
        <v>1.4762</v>
      </c>
      <c r="DS490" s="7">
        <v>1.4771000000000001</v>
      </c>
      <c r="DT490" s="7">
        <v>1.4781</v>
      </c>
      <c r="DU490" s="7">
        <v>1.4793000000000001</v>
      </c>
      <c r="DV490" s="7">
        <v>1.4806999999999999</v>
      </c>
      <c r="DW490" s="7">
        <v>1.4823</v>
      </c>
      <c r="DX490" s="7">
        <v>1.4841</v>
      </c>
      <c r="DY490" s="7">
        <v>1.486</v>
      </c>
      <c r="DZ490" s="7">
        <v>1.4882</v>
      </c>
      <c r="EA490" s="7">
        <v>1.4904999999999999</v>
      </c>
      <c r="EB490" s="7">
        <v>1.4930000000000001</v>
      </c>
      <c r="EC490" s="7">
        <v>1.4911000000000001</v>
      </c>
      <c r="ED490" s="7">
        <v>1.4851000000000001</v>
      </c>
      <c r="EE490" s="7">
        <v>1.4793000000000001</v>
      </c>
      <c r="EF490" s="7">
        <v>1.4736</v>
      </c>
      <c r="EG490" s="7">
        <v>1.468</v>
      </c>
      <c r="EH490" s="7">
        <v>1.4625999999999999</v>
      </c>
      <c r="EI490" s="7">
        <v>1.4573</v>
      </c>
      <c r="EJ490" s="7">
        <v>1.452</v>
      </c>
      <c r="EK490" s="7">
        <v>1.4469000000000001</v>
      </c>
      <c r="EL490" s="7">
        <v>1.4419</v>
      </c>
      <c r="EM490" s="7">
        <v>1.4371</v>
      </c>
      <c r="EN490" s="7">
        <v>1.4322999999999999</v>
      </c>
      <c r="EO490" s="7">
        <v>1.4276</v>
      </c>
      <c r="EP490" s="7">
        <v>1.4229000000000001</v>
      </c>
      <c r="EQ490" s="7">
        <v>1.4184000000000001</v>
      </c>
      <c r="ER490" s="7">
        <v>1.4138999999999999</v>
      </c>
      <c r="ES490" s="7">
        <v>1.4095</v>
      </c>
      <c r="ET490" s="7">
        <v>1.4052</v>
      </c>
      <c r="EU490" s="7">
        <v>1.4009</v>
      </c>
      <c r="EV490" s="7">
        <v>1.3967000000000001</v>
      </c>
      <c r="EW490" s="7">
        <v>1.3925000000000001</v>
      </c>
      <c r="EX490" s="7">
        <v>1.3883000000000001</v>
      </c>
      <c r="EY490" s="7">
        <v>1.3842000000000001</v>
      </c>
      <c r="EZ490" s="7">
        <v>1.3801000000000001</v>
      </c>
      <c r="FA490" s="7">
        <v>1.3759999999999999</v>
      </c>
      <c r="FB490" s="7">
        <v>1.3718999999999999</v>
      </c>
      <c r="FC490" s="7">
        <v>1.3677999999999999</v>
      </c>
      <c r="FE490" s="50">
        <f t="shared" ca="1" si="54"/>
        <v>1.4826595594983176</v>
      </c>
      <c r="FF490" s="50">
        <f t="shared" ca="1" si="55"/>
        <v>1.4816094520986864</v>
      </c>
      <c r="FG490" s="50">
        <f t="shared" ca="1" si="56"/>
        <v>1.4805938255033557</v>
      </c>
      <c r="FH490" s="50">
        <f t="shared" ca="1" si="57"/>
        <v>1.4796542281879195</v>
      </c>
      <c r="FK490" s="50">
        <f t="shared" ca="1" si="53"/>
        <v>1.4816094520986864</v>
      </c>
      <c r="FL490" s="50"/>
      <c r="FM490" s="50"/>
      <c r="FN490" s="50"/>
    </row>
    <row r="491" spans="49:170" hidden="1">
      <c r="AW491" s="433">
        <v>11.749000000000001</v>
      </c>
      <c r="AX491" s="7">
        <v>2.0087999999999999</v>
      </c>
      <c r="AY491" s="7">
        <v>1.9851000000000001</v>
      </c>
      <c r="AZ491" s="7">
        <v>1.9624999999999999</v>
      </c>
      <c r="BA491" s="7">
        <v>1.9410000000000001</v>
      </c>
      <c r="BB491" s="7">
        <v>1.9205000000000001</v>
      </c>
      <c r="BC491" s="7">
        <v>1.9009</v>
      </c>
      <c r="BD491" s="7">
        <v>1.8822000000000001</v>
      </c>
      <c r="BE491" s="7">
        <v>1.8643000000000001</v>
      </c>
      <c r="BF491" s="7">
        <v>1.8472</v>
      </c>
      <c r="BG491" s="7">
        <v>1.8308</v>
      </c>
      <c r="BH491" s="7">
        <v>1.8150999999999999</v>
      </c>
      <c r="BI491" s="7">
        <v>1.8</v>
      </c>
      <c r="BJ491" s="7">
        <v>1.7856000000000001</v>
      </c>
      <c r="BK491" s="7">
        <v>1.7717000000000001</v>
      </c>
      <c r="BL491" s="7">
        <v>1.7584</v>
      </c>
      <c r="BM491" s="7">
        <v>1.7455000000000001</v>
      </c>
      <c r="BN491" s="7">
        <v>1.7332000000000001</v>
      </c>
      <c r="BO491" s="7">
        <v>1.7214</v>
      </c>
      <c r="BP491" s="7">
        <v>1.71</v>
      </c>
      <c r="BQ491" s="7">
        <v>1.6990000000000001</v>
      </c>
      <c r="BR491" s="7">
        <v>1.6883999999999999</v>
      </c>
      <c r="BS491" s="7">
        <v>1.6781999999999999</v>
      </c>
      <c r="BT491" s="7">
        <v>1.6684000000000001</v>
      </c>
      <c r="BU491" s="7">
        <v>1.659</v>
      </c>
      <c r="BV491" s="7">
        <v>1.6498999999999999</v>
      </c>
      <c r="BW491" s="7">
        <v>1.6411</v>
      </c>
      <c r="BX491" s="7">
        <v>1.6326000000000001</v>
      </c>
      <c r="BY491" s="7">
        <v>1.6244000000000001</v>
      </c>
      <c r="BZ491" s="7">
        <v>1.6166</v>
      </c>
      <c r="CA491" s="7">
        <v>1.609</v>
      </c>
      <c r="CB491" s="7">
        <v>1.6015999999999999</v>
      </c>
      <c r="CC491" s="7">
        <v>1.5946</v>
      </c>
      <c r="CD491" s="7">
        <v>1.5878000000000001</v>
      </c>
      <c r="CE491" s="7">
        <v>1.5811999999999999</v>
      </c>
      <c r="CF491" s="7">
        <v>1.5749</v>
      </c>
      <c r="CG491" s="7">
        <v>1.5688</v>
      </c>
      <c r="CH491" s="7">
        <v>1.5629</v>
      </c>
      <c r="CI491" s="7">
        <v>1.5572999999999999</v>
      </c>
      <c r="CJ491" s="7">
        <v>1.5518000000000001</v>
      </c>
      <c r="CK491" s="7">
        <v>1.5466</v>
      </c>
      <c r="CL491" s="7">
        <v>1.5416000000000001</v>
      </c>
      <c r="CM491" s="7">
        <v>1.5367999999999999</v>
      </c>
      <c r="CN491" s="7">
        <v>1.5322</v>
      </c>
      <c r="CO491" s="7">
        <v>1.5277000000000001</v>
      </c>
      <c r="CP491" s="7">
        <v>1.5235000000000001</v>
      </c>
      <c r="CQ491" s="7">
        <v>1.5194000000000001</v>
      </c>
      <c r="CR491" s="7">
        <v>1.5156000000000001</v>
      </c>
      <c r="CS491" s="7">
        <v>1.5119</v>
      </c>
      <c r="CT491" s="7">
        <v>1.5084</v>
      </c>
      <c r="CU491" s="7">
        <v>1.5049999999999999</v>
      </c>
      <c r="CV491" s="7">
        <v>1.5019</v>
      </c>
      <c r="CW491" s="7">
        <v>1.4988999999999999</v>
      </c>
      <c r="CX491" s="7">
        <v>1.4961</v>
      </c>
      <c r="CY491" s="7">
        <v>1.4935</v>
      </c>
      <c r="CZ491" s="7">
        <v>1.4910000000000001</v>
      </c>
      <c r="DA491" s="7">
        <v>1.4886999999999999</v>
      </c>
      <c r="DB491" s="7">
        <v>1.4865999999999999</v>
      </c>
      <c r="DC491" s="7">
        <v>1.4846999999999999</v>
      </c>
      <c r="DD491" s="7">
        <v>1.4829000000000001</v>
      </c>
      <c r="DE491" s="7">
        <v>1.4813000000000001</v>
      </c>
      <c r="DF491" s="7">
        <v>1.4798</v>
      </c>
      <c r="DG491" s="7">
        <v>1.4785999999999999</v>
      </c>
      <c r="DH491" s="7">
        <v>1.4775</v>
      </c>
      <c r="DI491" s="7">
        <v>1.4765999999999999</v>
      </c>
      <c r="DJ491" s="7">
        <v>1.4758</v>
      </c>
      <c r="DK491" s="7">
        <v>1.4752000000000001</v>
      </c>
      <c r="DL491" s="7">
        <v>1.4748000000000001</v>
      </c>
      <c r="DM491" s="7">
        <v>1.4745999999999999</v>
      </c>
      <c r="DN491" s="7">
        <v>1.4745999999999999</v>
      </c>
      <c r="DO491" s="7">
        <v>1.4746999999999999</v>
      </c>
      <c r="DP491" s="7">
        <v>1.4750000000000001</v>
      </c>
      <c r="DQ491" s="7">
        <v>1.4755</v>
      </c>
      <c r="DR491" s="7">
        <v>1.4762</v>
      </c>
      <c r="DS491" s="7">
        <v>1.4771000000000001</v>
      </c>
      <c r="DT491" s="7">
        <v>1.4781</v>
      </c>
      <c r="DU491" s="7">
        <v>1.4793000000000001</v>
      </c>
      <c r="DV491" s="7">
        <v>1.4806999999999999</v>
      </c>
      <c r="DW491" s="7">
        <v>1.4823</v>
      </c>
      <c r="DX491" s="7">
        <v>1.4841</v>
      </c>
      <c r="DY491" s="7">
        <v>1.486</v>
      </c>
      <c r="DZ491" s="7">
        <v>1.4882</v>
      </c>
      <c r="EA491" s="7">
        <v>1.4904999999999999</v>
      </c>
      <c r="EB491" s="7">
        <v>1.4930000000000001</v>
      </c>
      <c r="EC491" s="7">
        <v>1.4957</v>
      </c>
      <c r="ED491" s="7">
        <v>1.4923</v>
      </c>
      <c r="EE491" s="7">
        <v>1.4864999999999999</v>
      </c>
      <c r="EF491" s="7">
        <v>1.4809000000000001</v>
      </c>
      <c r="EG491" s="7">
        <v>1.4753000000000001</v>
      </c>
      <c r="EH491" s="7">
        <v>1.4699</v>
      </c>
      <c r="EI491" s="7">
        <v>1.4646999999999999</v>
      </c>
      <c r="EJ491" s="7">
        <v>1.4595</v>
      </c>
      <c r="EK491" s="7">
        <v>1.4544999999999999</v>
      </c>
      <c r="EL491" s="7">
        <v>1.4496</v>
      </c>
      <c r="EM491" s="7">
        <v>1.4447000000000001</v>
      </c>
      <c r="EN491" s="7">
        <v>1.44</v>
      </c>
      <c r="EO491" s="7">
        <v>1.4354</v>
      </c>
      <c r="EP491" s="7">
        <v>1.4309000000000001</v>
      </c>
      <c r="EQ491" s="7">
        <v>1.4263999999999999</v>
      </c>
      <c r="ER491" s="7">
        <v>1.4219999999999999</v>
      </c>
      <c r="ES491" s="7">
        <v>1.4177</v>
      </c>
      <c r="ET491" s="7">
        <v>1.4135</v>
      </c>
      <c r="EU491" s="7">
        <v>1.4093</v>
      </c>
      <c r="EV491" s="7">
        <v>1.4052</v>
      </c>
      <c r="EW491" s="7">
        <v>1.4011</v>
      </c>
      <c r="EX491" s="7">
        <v>1.397</v>
      </c>
      <c r="EY491" s="7">
        <v>1.393</v>
      </c>
      <c r="EZ491" s="7">
        <v>1.389</v>
      </c>
      <c r="FA491" s="7">
        <v>1.3851</v>
      </c>
      <c r="FB491" s="7">
        <v>1.3811</v>
      </c>
      <c r="FC491" s="7">
        <v>1.3771</v>
      </c>
      <c r="FE491" s="50">
        <f t="shared" ca="1" si="54"/>
        <v>1.4826595594983176</v>
      </c>
      <c r="FF491" s="50">
        <f t="shared" ca="1" si="55"/>
        <v>1.4816094520986864</v>
      </c>
      <c r="FG491" s="50">
        <f t="shared" ca="1" si="56"/>
        <v>1.4805938255033557</v>
      </c>
      <c r="FH491" s="50">
        <f t="shared" ca="1" si="57"/>
        <v>1.4796542281879195</v>
      </c>
      <c r="FK491" s="50">
        <f t="shared" ca="1" si="53"/>
        <v>1.4816094520986864</v>
      </c>
      <c r="FL491" s="50"/>
      <c r="FM491" s="50"/>
      <c r="FN491" s="50"/>
    </row>
    <row r="492" spans="49:170" hidden="1">
      <c r="AW492" s="433">
        <v>12.589</v>
      </c>
      <c r="AX492" s="7">
        <v>2.0087999999999999</v>
      </c>
      <c r="AY492" s="7">
        <v>1.9851000000000001</v>
      </c>
      <c r="AZ492" s="7">
        <v>1.9624999999999999</v>
      </c>
      <c r="BA492" s="7">
        <v>1.9410000000000001</v>
      </c>
      <c r="BB492" s="7">
        <v>1.9205000000000001</v>
      </c>
      <c r="BC492" s="7">
        <v>1.9009</v>
      </c>
      <c r="BD492" s="7">
        <v>1.8822000000000001</v>
      </c>
      <c r="BE492" s="7">
        <v>1.8643000000000001</v>
      </c>
      <c r="BF492" s="7">
        <v>1.8472</v>
      </c>
      <c r="BG492" s="7">
        <v>1.8308</v>
      </c>
      <c r="BH492" s="7">
        <v>1.8150999999999999</v>
      </c>
      <c r="BI492" s="7">
        <v>1.8</v>
      </c>
      <c r="BJ492" s="7">
        <v>1.7856000000000001</v>
      </c>
      <c r="BK492" s="7">
        <v>1.7717000000000001</v>
      </c>
      <c r="BL492" s="7">
        <v>1.7584</v>
      </c>
      <c r="BM492" s="7">
        <v>1.7455000000000001</v>
      </c>
      <c r="BN492" s="7">
        <v>1.7332000000000001</v>
      </c>
      <c r="BO492" s="7">
        <v>1.7214</v>
      </c>
      <c r="BP492" s="7">
        <v>1.71</v>
      </c>
      <c r="BQ492" s="7">
        <v>1.6990000000000001</v>
      </c>
      <c r="BR492" s="7">
        <v>1.6883999999999999</v>
      </c>
      <c r="BS492" s="7">
        <v>1.6781999999999999</v>
      </c>
      <c r="BT492" s="7">
        <v>1.6684000000000001</v>
      </c>
      <c r="BU492" s="7">
        <v>1.659</v>
      </c>
      <c r="BV492" s="7">
        <v>1.6498999999999999</v>
      </c>
      <c r="BW492" s="7">
        <v>1.6411</v>
      </c>
      <c r="BX492" s="7">
        <v>1.6326000000000001</v>
      </c>
      <c r="BY492" s="7">
        <v>1.6244000000000001</v>
      </c>
      <c r="BZ492" s="7">
        <v>1.6166</v>
      </c>
      <c r="CA492" s="7">
        <v>1.609</v>
      </c>
      <c r="CB492" s="7">
        <v>1.6015999999999999</v>
      </c>
      <c r="CC492" s="7">
        <v>1.5946</v>
      </c>
      <c r="CD492" s="7">
        <v>1.5878000000000001</v>
      </c>
      <c r="CE492" s="7">
        <v>1.5811999999999999</v>
      </c>
      <c r="CF492" s="7">
        <v>1.5749</v>
      </c>
      <c r="CG492" s="7">
        <v>1.5688</v>
      </c>
      <c r="CH492" s="7">
        <v>1.5629</v>
      </c>
      <c r="CI492" s="7">
        <v>1.5572999999999999</v>
      </c>
      <c r="CJ492" s="7">
        <v>1.5518000000000001</v>
      </c>
      <c r="CK492" s="7">
        <v>1.5466</v>
      </c>
      <c r="CL492" s="7">
        <v>1.5416000000000001</v>
      </c>
      <c r="CM492" s="7">
        <v>1.5367999999999999</v>
      </c>
      <c r="CN492" s="7">
        <v>1.5322</v>
      </c>
      <c r="CO492" s="7">
        <v>1.5277000000000001</v>
      </c>
      <c r="CP492" s="7">
        <v>1.5235000000000001</v>
      </c>
      <c r="CQ492" s="7">
        <v>1.5194000000000001</v>
      </c>
      <c r="CR492" s="7">
        <v>1.5156000000000001</v>
      </c>
      <c r="CS492" s="7">
        <v>1.5119</v>
      </c>
      <c r="CT492" s="7">
        <v>1.5084</v>
      </c>
      <c r="CU492" s="7">
        <v>1.5049999999999999</v>
      </c>
      <c r="CV492" s="7">
        <v>1.5019</v>
      </c>
      <c r="CW492" s="7">
        <v>1.4988999999999999</v>
      </c>
      <c r="CX492" s="7">
        <v>1.4961</v>
      </c>
      <c r="CY492" s="7">
        <v>1.4935</v>
      </c>
      <c r="CZ492" s="7">
        <v>1.4910000000000001</v>
      </c>
      <c r="DA492" s="7">
        <v>1.4886999999999999</v>
      </c>
      <c r="DB492" s="7">
        <v>1.4865999999999999</v>
      </c>
      <c r="DC492" s="7">
        <v>1.4846999999999999</v>
      </c>
      <c r="DD492" s="7">
        <v>1.4829000000000001</v>
      </c>
      <c r="DE492" s="7">
        <v>1.4813000000000001</v>
      </c>
      <c r="DF492" s="7">
        <v>1.4798</v>
      </c>
      <c r="DG492" s="7">
        <v>1.4785999999999999</v>
      </c>
      <c r="DH492" s="7">
        <v>1.4775</v>
      </c>
      <c r="DI492" s="7">
        <v>1.4765999999999999</v>
      </c>
      <c r="DJ492" s="7">
        <v>1.4758</v>
      </c>
      <c r="DK492" s="7">
        <v>1.4752000000000001</v>
      </c>
      <c r="DL492" s="7">
        <v>1.4748000000000001</v>
      </c>
      <c r="DM492" s="7">
        <v>1.4745999999999999</v>
      </c>
      <c r="DN492" s="7">
        <v>1.4745999999999999</v>
      </c>
      <c r="DO492" s="7">
        <v>1.4746999999999999</v>
      </c>
      <c r="DP492" s="7">
        <v>1.4750000000000001</v>
      </c>
      <c r="DQ492" s="7">
        <v>1.4755</v>
      </c>
      <c r="DR492" s="7">
        <v>1.4762</v>
      </c>
      <c r="DS492" s="7">
        <v>1.4771000000000001</v>
      </c>
      <c r="DT492" s="7">
        <v>1.4781</v>
      </c>
      <c r="DU492" s="7">
        <v>1.4793000000000001</v>
      </c>
      <c r="DV492" s="7">
        <v>1.4806999999999999</v>
      </c>
      <c r="DW492" s="7">
        <v>1.4823</v>
      </c>
      <c r="DX492" s="7">
        <v>1.4841</v>
      </c>
      <c r="DY492" s="7">
        <v>1.486</v>
      </c>
      <c r="DZ492" s="7">
        <v>1.4882</v>
      </c>
      <c r="EA492" s="7">
        <v>1.4904999999999999</v>
      </c>
      <c r="EB492" s="7">
        <v>1.4930000000000001</v>
      </c>
      <c r="EC492" s="7">
        <v>1.4957</v>
      </c>
      <c r="ED492" s="7">
        <v>1.4984999999999999</v>
      </c>
      <c r="EE492" s="7">
        <v>1.4936</v>
      </c>
      <c r="EF492" s="7">
        <v>1.488</v>
      </c>
      <c r="EG492" s="7">
        <v>1.4825999999999999</v>
      </c>
      <c r="EH492" s="7">
        <v>1.4772000000000001</v>
      </c>
      <c r="EI492" s="7">
        <v>1.472</v>
      </c>
      <c r="EJ492" s="7">
        <v>1.4669000000000001</v>
      </c>
      <c r="EK492" s="7">
        <v>1.462</v>
      </c>
      <c r="EL492" s="7">
        <v>1.4571000000000001</v>
      </c>
      <c r="EM492" s="7">
        <v>1.4523999999999999</v>
      </c>
      <c r="EN492" s="7">
        <v>1.4477</v>
      </c>
      <c r="EO492" s="7">
        <v>1.4432</v>
      </c>
      <c r="EP492" s="7">
        <v>1.4387000000000001</v>
      </c>
      <c r="EQ492" s="7">
        <v>1.4342999999999999</v>
      </c>
      <c r="ER492" s="7">
        <v>1.43</v>
      </c>
      <c r="ES492" s="7">
        <v>1.4258</v>
      </c>
      <c r="ET492" s="7">
        <v>1.4217</v>
      </c>
      <c r="EU492" s="7">
        <v>1.4176</v>
      </c>
      <c r="EV492" s="7">
        <v>1.4136</v>
      </c>
      <c r="EW492" s="7">
        <v>1.4096</v>
      </c>
      <c r="EX492" s="7">
        <v>1.4056999999999999</v>
      </c>
      <c r="EY492" s="7">
        <v>1.4017999999999999</v>
      </c>
      <c r="EZ492" s="7">
        <v>1.3978999999999999</v>
      </c>
      <c r="FA492" s="7">
        <v>1.3940999999999999</v>
      </c>
      <c r="FB492" s="7">
        <v>1.3902000000000001</v>
      </c>
      <c r="FC492" s="7">
        <v>1.3864000000000001</v>
      </c>
      <c r="FE492" s="50">
        <f t="shared" ca="1" si="54"/>
        <v>1.4826595594983176</v>
      </c>
      <c r="FF492" s="50">
        <f t="shared" ca="1" si="55"/>
        <v>1.4816094520986864</v>
      </c>
      <c r="FG492" s="50">
        <f t="shared" ca="1" si="56"/>
        <v>1.4805938255033557</v>
      </c>
      <c r="FH492" s="50">
        <f t="shared" ca="1" si="57"/>
        <v>1.4796542281879195</v>
      </c>
      <c r="FK492" s="50">
        <f t="shared" ca="1" si="53"/>
        <v>1.4816094520986864</v>
      </c>
      <c r="FL492" s="50"/>
      <c r="FM492" s="50"/>
      <c r="FN492" s="50"/>
    </row>
    <row r="493" spans="49:170" hidden="1">
      <c r="AW493" s="433">
        <v>13.49</v>
      </c>
      <c r="AX493" s="7">
        <v>2.0087999999999999</v>
      </c>
      <c r="AY493" s="7">
        <v>1.9851000000000001</v>
      </c>
      <c r="AZ493" s="7">
        <v>1.9624999999999999</v>
      </c>
      <c r="BA493" s="7">
        <v>1.9410000000000001</v>
      </c>
      <c r="BB493" s="7">
        <v>1.9205000000000001</v>
      </c>
      <c r="BC493" s="7">
        <v>1.9009</v>
      </c>
      <c r="BD493" s="7">
        <v>1.8822000000000001</v>
      </c>
      <c r="BE493" s="7">
        <v>1.8643000000000001</v>
      </c>
      <c r="BF493" s="7">
        <v>1.8472</v>
      </c>
      <c r="BG493" s="7">
        <v>1.8308</v>
      </c>
      <c r="BH493" s="7">
        <v>1.8150999999999999</v>
      </c>
      <c r="BI493" s="7">
        <v>1.8</v>
      </c>
      <c r="BJ493" s="7">
        <v>1.7856000000000001</v>
      </c>
      <c r="BK493" s="7">
        <v>1.7717000000000001</v>
      </c>
      <c r="BL493" s="7">
        <v>1.7584</v>
      </c>
      <c r="BM493" s="7">
        <v>1.7455000000000001</v>
      </c>
      <c r="BN493" s="7">
        <v>1.7332000000000001</v>
      </c>
      <c r="BO493" s="7">
        <v>1.7214</v>
      </c>
      <c r="BP493" s="7">
        <v>1.71</v>
      </c>
      <c r="BQ493" s="7">
        <v>1.6990000000000001</v>
      </c>
      <c r="BR493" s="7">
        <v>1.6883999999999999</v>
      </c>
      <c r="BS493" s="7">
        <v>1.6781999999999999</v>
      </c>
      <c r="BT493" s="7">
        <v>1.6684000000000001</v>
      </c>
      <c r="BU493" s="7">
        <v>1.659</v>
      </c>
      <c r="BV493" s="7">
        <v>1.6498999999999999</v>
      </c>
      <c r="BW493" s="7">
        <v>1.6411</v>
      </c>
      <c r="BX493" s="7">
        <v>1.6326000000000001</v>
      </c>
      <c r="BY493" s="7">
        <v>1.6244000000000001</v>
      </c>
      <c r="BZ493" s="7">
        <v>1.6166</v>
      </c>
      <c r="CA493" s="7">
        <v>1.609</v>
      </c>
      <c r="CB493" s="7">
        <v>1.6015999999999999</v>
      </c>
      <c r="CC493" s="7">
        <v>1.5946</v>
      </c>
      <c r="CD493" s="7">
        <v>1.5878000000000001</v>
      </c>
      <c r="CE493" s="7">
        <v>1.5811999999999999</v>
      </c>
      <c r="CF493" s="7">
        <v>1.5749</v>
      </c>
      <c r="CG493" s="7">
        <v>1.5688</v>
      </c>
      <c r="CH493" s="7">
        <v>1.5629</v>
      </c>
      <c r="CI493" s="7">
        <v>1.5572999999999999</v>
      </c>
      <c r="CJ493" s="7">
        <v>1.5518000000000001</v>
      </c>
      <c r="CK493" s="7">
        <v>1.5466</v>
      </c>
      <c r="CL493" s="7">
        <v>1.5416000000000001</v>
      </c>
      <c r="CM493" s="7">
        <v>1.5367999999999999</v>
      </c>
      <c r="CN493" s="7">
        <v>1.5322</v>
      </c>
      <c r="CO493" s="7">
        <v>1.5277000000000001</v>
      </c>
      <c r="CP493" s="7">
        <v>1.5235000000000001</v>
      </c>
      <c r="CQ493" s="7">
        <v>1.5194000000000001</v>
      </c>
      <c r="CR493" s="7">
        <v>1.5156000000000001</v>
      </c>
      <c r="CS493" s="7">
        <v>1.5119</v>
      </c>
      <c r="CT493" s="7">
        <v>1.5084</v>
      </c>
      <c r="CU493" s="7">
        <v>1.5049999999999999</v>
      </c>
      <c r="CV493" s="7">
        <v>1.5019</v>
      </c>
      <c r="CW493" s="7">
        <v>1.4988999999999999</v>
      </c>
      <c r="CX493" s="7">
        <v>1.4961</v>
      </c>
      <c r="CY493" s="7">
        <v>1.4935</v>
      </c>
      <c r="CZ493" s="7">
        <v>1.4910000000000001</v>
      </c>
      <c r="DA493" s="7">
        <v>1.4886999999999999</v>
      </c>
      <c r="DB493" s="7">
        <v>1.4865999999999999</v>
      </c>
      <c r="DC493" s="7">
        <v>1.4846999999999999</v>
      </c>
      <c r="DD493" s="7">
        <v>1.4829000000000001</v>
      </c>
      <c r="DE493" s="7">
        <v>1.4813000000000001</v>
      </c>
      <c r="DF493" s="7">
        <v>1.4798</v>
      </c>
      <c r="DG493" s="7">
        <v>1.4785999999999999</v>
      </c>
      <c r="DH493" s="7">
        <v>1.4775</v>
      </c>
      <c r="DI493" s="7">
        <v>1.4765999999999999</v>
      </c>
      <c r="DJ493" s="7">
        <v>1.4758</v>
      </c>
      <c r="DK493" s="7">
        <v>1.4752000000000001</v>
      </c>
      <c r="DL493" s="7">
        <v>1.4748000000000001</v>
      </c>
      <c r="DM493" s="7">
        <v>1.4745999999999999</v>
      </c>
      <c r="DN493" s="7">
        <v>1.4745999999999999</v>
      </c>
      <c r="DO493" s="7">
        <v>1.4746999999999999</v>
      </c>
      <c r="DP493" s="7">
        <v>1.4750000000000001</v>
      </c>
      <c r="DQ493" s="7">
        <v>1.4755</v>
      </c>
      <c r="DR493" s="7">
        <v>1.4762</v>
      </c>
      <c r="DS493" s="7">
        <v>1.4771000000000001</v>
      </c>
      <c r="DT493" s="7">
        <v>1.4781</v>
      </c>
      <c r="DU493" s="7">
        <v>1.4793000000000001</v>
      </c>
      <c r="DV493" s="7">
        <v>1.4806999999999999</v>
      </c>
      <c r="DW493" s="7">
        <v>1.4823</v>
      </c>
      <c r="DX493" s="7">
        <v>1.4841</v>
      </c>
      <c r="DY493" s="7">
        <v>1.486</v>
      </c>
      <c r="DZ493" s="7">
        <v>1.4882</v>
      </c>
      <c r="EA493" s="7">
        <v>1.4904999999999999</v>
      </c>
      <c r="EB493" s="7">
        <v>1.4930000000000001</v>
      </c>
      <c r="EC493" s="7">
        <v>1.4957</v>
      </c>
      <c r="ED493" s="7">
        <v>1.4984999999999999</v>
      </c>
      <c r="EE493" s="7">
        <v>1.5006999999999999</v>
      </c>
      <c r="EF493" s="7">
        <v>1.4952000000000001</v>
      </c>
      <c r="EG493" s="7">
        <v>1.4897</v>
      </c>
      <c r="EH493" s="7">
        <v>1.4844999999999999</v>
      </c>
      <c r="EI493" s="7">
        <v>1.4793000000000001</v>
      </c>
      <c r="EJ493" s="7">
        <v>1.4742999999999999</v>
      </c>
      <c r="EK493" s="7">
        <v>1.4694</v>
      </c>
      <c r="EL493" s="7">
        <v>1.4645999999999999</v>
      </c>
      <c r="EM493" s="7">
        <v>1.4599</v>
      </c>
      <c r="EN493" s="7">
        <v>1.4553</v>
      </c>
      <c r="EO493" s="7">
        <v>1.4508000000000001</v>
      </c>
      <c r="EP493" s="7">
        <v>1.4464999999999999</v>
      </c>
      <c r="EQ493" s="7">
        <v>1.4421999999999999</v>
      </c>
      <c r="ER493" s="7">
        <v>1.4379999999999999</v>
      </c>
      <c r="ES493" s="7">
        <v>1.4338</v>
      </c>
      <c r="ET493" s="7">
        <v>1.4298</v>
      </c>
      <c r="EU493" s="7">
        <v>1.4258</v>
      </c>
      <c r="EV493" s="7">
        <v>1.4218999999999999</v>
      </c>
      <c r="EW493" s="7">
        <v>1.4179999999999999</v>
      </c>
      <c r="EX493" s="7">
        <v>1.4141999999999999</v>
      </c>
      <c r="EY493" s="7">
        <v>1.4104000000000001</v>
      </c>
      <c r="EZ493" s="7">
        <v>1.4067000000000001</v>
      </c>
      <c r="FA493" s="7">
        <v>1.403</v>
      </c>
      <c r="FB493" s="7">
        <v>1.3993</v>
      </c>
      <c r="FC493" s="7">
        <v>1.3956</v>
      </c>
      <c r="FE493" s="50">
        <f t="shared" ca="1" si="54"/>
        <v>1.4826595594983176</v>
      </c>
      <c r="FF493" s="50">
        <f t="shared" ca="1" si="55"/>
        <v>1.4816094520986864</v>
      </c>
      <c r="FG493" s="50">
        <f t="shared" ca="1" si="56"/>
        <v>1.4805938255033557</v>
      </c>
      <c r="FH493" s="50">
        <f t="shared" ca="1" si="57"/>
        <v>1.4796542281879195</v>
      </c>
      <c r="FK493" s="50">
        <f t="shared" ca="1" si="53"/>
        <v>1.4816094520986864</v>
      </c>
      <c r="FL493" s="50"/>
      <c r="FM493" s="50"/>
      <c r="FN493" s="50"/>
    </row>
    <row r="494" spans="49:170" hidden="1">
      <c r="AW494" s="433">
        <v>14.454000000000001</v>
      </c>
      <c r="AX494" s="7">
        <v>2.0087999999999999</v>
      </c>
      <c r="AY494" s="7">
        <v>1.9851000000000001</v>
      </c>
      <c r="AZ494" s="7">
        <v>1.9624999999999999</v>
      </c>
      <c r="BA494" s="7">
        <v>1.9410000000000001</v>
      </c>
      <c r="BB494" s="7">
        <v>1.9205000000000001</v>
      </c>
      <c r="BC494" s="7">
        <v>1.9009</v>
      </c>
      <c r="BD494" s="7">
        <v>1.8822000000000001</v>
      </c>
      <c r="BE494" s="7">
        <v>1.8643000000000001</v>
      </c>
      <c r="BF494" s="7">
        <v>1.8472</v>
      </c>
      <c r="BG494" s="7">
        <v>1.8308</v>
      </c>
      <c r="BH494" s="7">
        <v>1.8150999999999999</v>
      </c>
      <c r="BI494" s="7">
        <v>1.8</v>
      </c>
      <c r="BJ494" s="7">
        <v>1.7856000000000001</v>
      </c>
      <c r="BK494" s="7">
        <v>1.7717000000000001</v>
      </c>
      <c r="BL494" s="7">
        <v>1.7584</v>
      </c>
      <c r="BM494" s="7">
        <v>1.7455000000000001</v>
      </c>
      <c r="BN494" s="7">
        <v>1.7332000000000001</v>
      </c>
      <c r="BO494" s="7">
        <v>1.7214</v>
      </c>
      <c r="BP494" s="7">
        <v>1.71</v>
      </c>
      <c r="BQ494" s="7">
        <v>1.6990000000000001</v>
      </c>
      <c r="BR494" s="7">
        <v>1.6883999999999999</v>
      </c>
      <c r="BS494" s="7">
        <v>1.6781999999999999</v>
      </c>
      <c r="BT494" s="7">
        <v>1.6684000000000001</v>
      </c>
      <c r="BU494" s="7">
        <v>1.659</v>
      </c>
      <c r="BV494" s="7">
        <v>1.6498999999999999</v>
      </c>
      <c r="BW494" s="7">
        <v>1.6411</v>
      </c>
      <c r="BX494" s="7">
        <v>1.6326000000000001</v>
      </c>
      <c r="BY494" s="7">
        <v>1.6244000000000001</v>
      </c>
      <c r="BZ494" s="7">
        <v>1.6166</v>
      </c>
      <c r="CA494" s="7">
        <v>1.609</v>
      </c>
      <c r="CB494" s="7">
        <v>1.6015999999999999</v>
      </c>
      <c r="CC494" s="7">
        <v>1.5946</v>
      </c>
      <c r="CD494" s="7">
        <v>1.5878000000000001</v>
      </c>
      <c r="CE494" s="7">
        <v>1.5811999999999999</v>
      </c>
      <c r="CF494" s="7">
        <v>1.5749</v>
      </c>
      <c r="CG494" s="7">
        <v>1.5688</v>
      </c>
      <c r="CH494" s="7">
        <v>1.5629</v>
      </c>
      <c r="CI494" s="7">
        <v>1.5572999999999999</v>
      </c>
      <c r="CJ494" s="7">
        <v>1.5518000000000001</v>
      </c>
      <c r="CK494" s="7">
        <v>1.5466</v>
      </c>
      <c r="CL494" s="7">
        <v>1.5416000000000001</v>
      </c>
      <c r="CM494" s="7">
        <v>1.5367999999999999</v>
      </c>
      <c r="CN494" s="7">
        <v>1.5322</v>
      </c>
      <c r="CO494" s="7">
        <v>1.5277000000000001</v>
      </c>
      <c r="CP494" s="7">
        <v>1.5235000000000001</v>
      </c>
      <c r="CQ494" s="7">
        <v>1.5194000000000001</v>
      </c>
      <c r="CR494" s="7">
        <v>1.5156000000000001</v>
      </c>
      <c r="CS494" s="7">
        <v>1.5119</v>
      </c>
      <c r="CT494" s="7">
        <v>1.5084</v>
      </c>
      <c r="CU494" s="7">
        <v>1.5049999999999999</v>
      </c>
      <c r="CV494" s="7">
        <v>1.5019</v>
      </c>
      <c r="CW494" s="7">
        <v>1.4988999999999999</v>
      </c>
      <c r="CX494" s="7">
        <v>1.4961</v>
      </c>
      <c r="CY494" s="7">
        <v>1.4935</v>
      </c>
      <c r="CZ494" s="7">
        <v>1.4910000000000001</v>
      </c>
      <c r="DA494" s="7">
        <v>1.4886999999999999</v>
      </c>
      <c r="DB494" s="7">
        <v>1.4865999999999999</v>
      </c>
      <c r="DC494" s="7">
        <v>1.4846999999999999</v>
      </c>
      <c r="DD494" s="7">
        <v>1.4829000000000001</v>
      </c>
      <c r="DE494" s="7">
        <v>1.4813000000000001</v>
      </c>
      <c r="DF494" s="7">
        <v>1.4798</v>
      </c>
      <c r="DG494" s="7">
        <v>1.4785999999999999</v>
      </c>
      <c r="DH494" s="7">
        <v>1.4775</v>
      </c>
      <c r="DI494" s="7">
        <v>1.4765999999999999</v>
      </c>
      <c r="DJ494" s="7">
        <v>1.4758</v>
      </c>
      <c r="DK494" s="7">
        <v>1.4752000000000001</v>
      </c>
      <c r="DL494" s="7">
        <v>1.4748000000000001</v>
      </c>
      <c r="DM494" s="7">
        <v>1.4745999999999999</v>
      </c>
      <c r="DN494" s="7">
        <v>1.4745999999999999</v>
      </c>
      <c r="DO494" s="7">
        <v>1.4746999999999999</v>
      </c>
      <c r="DP494" s="7">
        <v>1.4750000000000001</v>
      </c>
      <c r="DQ494" s="7">
        <v>1.4755</v>
      </c>
      <c r="DR494" s="7">
        <v>1.4762</v>
      </c>
      <c r="DS494" s="7">
        <v>1.4771000000000001</v>
      </c>
      <c r="DT494" s="7">
        <v>1.4781</v>
      </c>
      <c r="DU494" s="7">
        <v>1.4793000000000001</v>
      </c>
      <c r="DV494" s="7">
        <v>1.4806999999999999</v>
      </c>
      <c r="DW494" s="7">
        <v>1.4823</v>
      </c>
      <c r="DX494" s="7">
        <v>1.4841</v>
      </c>
      <c r="DY494" s="7">
        <v>1.486</v>
      </c>
      <c r="DZ494" s="7">
        <v>1.4882</v>
      </c>
      <c r="EA494" s="7">
        <v>1.4904999999999999</v>
      </c>
      <c r="EB494" s="7">
        <v>1.4930000000000001</v>
      </c>
      <c r="EC494" s="7">
        <v>1.4957</v>
      </c>
      <c r="ED494" s="7">
        <v>1.4984999999999999</v>
      </c>
      <c r="EE494" s="7">
        <v>1.5015000000000001</v>
      </c>
      <c r="EF494" s="7">
        <v>1.5022</v>
      </c>
      <c r="EG494" s="7">
        <v>1.4967999999999999</v>
      </c>
      <c r="EH494" s="7">
        <v>1.4916</v>
      </c>
      <c r="EI494" s="7">
        <v>1.4864999999999999</v>
      </c>
      <c r="EJ494" s="7">
        <v>1.4815</v>
      </c>
      <c r="EK494" s="7">
        <v>1.4766999999999999</v>
      </c>
      <c r="EL494" s="7">
        <v>1.472</v>
      </c>
      <c r="EM494" s="7">
        <v>1.4673</v>
      </c>
      <c r="EN494" s="7">
        <v>1.4628000000000001</v>
      </c>
      <c r="EO494" s="7">
        <v>1.4583999999999999</v>
      </c>
      <c r="EP494" s="7">
        <v>1.4540999999999999</v>
      </c>
      <c r="EQ494" s="7">
        <v>1.4499</v>
      </c>
      <c r="ER494" s="7">
        <v>1.4458</v>
      </c>
      <c r="ES494" s="7">
        <v>1.4418</v>
      </c>
      <c r="ET494" s="7">
        <v>1.4378</v>
      </c>
      <c r="EU494" s="7">
        <v>1.4339</v>
      </c>
      <c r="EV494" s="7">
        <v>1.4300999999999999</v>
      </c>
      <c r="EW494" s="7">
        <v>1.4263999999999999</v>
      </c>
      <c r="EX494" s="7">
        <v>1.4227000000000001</v>
      </c>
      <c r="EY494" s="7">
        <v>1.419</v>
      </c>
      <c r="EZ494" s="7">
        <v>1.4154</v>
      </c>
      <c r="FA494" s="7">
        <v>1.4117999999999999</v>
      </c>
      <c r="FB494" s="7">
        <v>1.4081999999999999</v>
      </c>
      <c r="FC494" s="7">
        <v>1.4047000000000001</v>
      </c>
      <c r="FE494" s="50">
        <f t="shared" ca="1" si="54"/>
        <v>1.4826595594983176</v>
      </c>
      <c r="FF494" s="50">
        <f t="shared" ca="1" si="55"/>
        <v>1.4816094520986864</v>
      </c>
      <c r="FG494" s="50">
        <f t="shared" ca="1" si="56"/>
        <v>1.4805938255033557</v>
      </c>
      <c r="FH494" s="50">
        <f t="shared" ca="1" si="57"/>
        <v>1.4796542281879195</v>
      </c>
      <c r="FK494" s="50">
        <f t="shared" ca="1" si="53"/>
        <v>1.4816094520986864</v>
      </c>
      <c r="FL494" s="50"/>
      <c r="FM494" s="50"/>
      <c r="FN494" s="50"/>
    </row>
    <row r="495" spans="49:170" hidden="1">
      <c r="AW495" s="433">
        <v>15.488</v>
      </c>
      <c r="AX495" s="7">
        <v>2.0087999999999999</v>
      </c>
      <c r="AY495" s="7">
        <v>1.9851000000000001</v>
      </c>
      <c r="AZ495" s="7">
        <v>1.9624999999999999</v>
      </c>
      <c r="BA495" s="7">
        <v>1.9410000000000001</v>
      </c>
      <c r="BB495" s="7">
        <v>1.9205000000000001</v>
      </c>
      <c r="BC495" s="7">
        <v>1.9009</v>
      </c>
      <c r="BD495" s="7">
        <v>1.8822000000000001</v>
      </c>
      <c r="BE495" s="7">
        <v>1.8643000000000001</v>
      </c>
      <c r="BF495" s="7">
        <v>1.8472</v>
      </c>
      <c r="BG495" s="7">
        <v>1.8308</v>
      </c>
      <c r="BH495" s="7">
        <v>1.8150999999999999</v>
      </c>
      <c r="BI495" s="7">
        <v>1.8</v>
      </c>
      <c r="BJ495" s="7">
        <v>1.7856000000000001</v>
      </c>
      <c r="BK495" s="7">
        <v>1.7717000000000001</v>
      </c>
      <c r="BL495" s="7">
        <v>1.7584</v>
      </c>
      <c r="BM495" s="7">
        <v>1.7455000000000001</v>
      </c>
      <c r="BN495" s="7">
        <v>1.7332000000000001</v>
      </c>
      <c r="BO495" s="7">
        <v>1.7214</v>
      </c>
      <c r="BP495" s="7">
        <v>1.71</v>
      </c>
      <c r="BQ495" s="7">
        <v>1.6990000000000001</v>
      </c>
      <c r="BR495" s="7">
        <v>1.6883999999999999</v>
      </c>
      <c r="BS495" s="7">
        <v>1.6781999999999999</v>
      </c>
      <c r="BT495" s="7">
        <v>1.6684000000000001</v>
      </c>
      <c r="BU495" s="7">
        <v>1.659</v>
      </c>
      <c r="BV495" s="7">
        <v>1.6498999999999999</v>
      </c>
      <c r="BW495" s="7">
        <v>1.6411</v>
      </c>
      <c r="BX495" s="7">
        <v>1.6326000000000001</v>
      </c>
      <c r="BY495" s="7">
        <v>1.6244000000000001</v>
      </c>
      <c r="BZ495" s="7">
        <v>1.6166</v>
      </c>
      <c r="CA495" s="7">
        <v>1.609</v>
      </c>
      <c r="CB495" s="7">
        <v>1.6015999999999999</v>
      </c>
      <c r="CC495" s="7">
        <v>1.5946</v>
      </c>
      <c r="CD495" s="7">
        <v>1.5878000000000001</v>
      </c>
      <c r="CE495" s="7">
        <v>1.5811999999999999</v>
      </c>
      <c r="CF495" s="7">
        <v>1.5749</v>
      </c>
      <c r="CG495" s="7">
        <v>1.5688</v>
      </c>
      <c r="CH495" s="7">
        <v>1.5629</v>
      </c>
      <c r="CI495" s="7">
        <v>1.5572999999999999</v>
      </c>
      <c r="CJ495" s="7">
        <v>1.5518000000000001</v>
      </c>
      <c r="CK495" s="7">
        <v>1.5466</v>
      </c>
      <c r="CL495" s="7">
        <v>1.5416000000000001</v>
      </c>
      <c r="CM495" s="7">
        <v>1.5367999999999999</v>
      </c>
      <c r="CN495" s="7">
        <v>1.5322</v>
      </c>
      <c r="CO495" s="7">
        <v>1.5277000000000001</v>
      </c>
      <c r="CP495" s="7">
        <v>1.5235000000000001</v>
      </c>
      <c r="CQ495" s="7">
        <v>1.5194000000000001</v>
      </c>
      <c r="CR495" s="7">
        <v>1.5156000000000001</v>
      </c>
      <c r="CS495" s="7">
        <v>1.5119</v>
      </c>
      <c r="CT495" s="7">
        <v>1.5084</v>
      </c>
      <c r="CU495" s="7">
        <v>1.5049999999999999</v>
      </c>
      <c r="CV495" s="7">
        <v>1.5019</v>
      </c>
      <c r="CW495" s="7">
        <v>1.4988999999999999</v>
      </c>
      <c r="CX495" s="7">
        <v>1.4961</v>
      </c>
      <c r="CY495" s="7">
        <v>1.4935</v>
      </c>
      <c r="CZ495" s="7">
        <v>1.4910000000000001</v>
      </c>
      <c r="DA495" s="7">
        <v>1.4886999999999999</v>
      </c>
      <c r="DB495" s="7">
        <v>1.4865999999999999</v>
      </c>
      <c r="DC495" s="7">
        <v>1.4846999999999999</v>
      </c>
      <c r="DD495" s="7">
        <v>1.4829000000000001</v>
      </c>
      <c r="DE495" s="7">
        <v>1.4813000000000001</v>
      </c>
      <c r="DF495" s="7">
        <v>1.4798</v>
      </c>
      <c r="DG495" s="7">
        <v>1.4785999999999999</v>
      </c>
      <c r="DH495" s="7">
        <v>1.4775</v>
      </c>
      <c r="DI495" s="7">
        <v>1.4765999999999999</v>
      </c>
      <c r="DJ495" s="7">
        <v>1.4758</v>
      </c>
      <c r="DK495" s="7">
        <v>1.4752000000000001</v>
      </c>
      <c r="DL495" s="7">
        <v>1.4748000000000001</v>
      </c>
      <c r="DM495" s="7">
        <v>1.4745999999999999</v>
      </c>
      <c r="DN495" s="7">
        <v>1.4745999999999999</v>
      </c>
      <c r="DO495" s="7">
        <v>1.4746999999999999</v>
      </c>
      <c r="DP495" s="7">
        <v>1.4750000000000001</v>
      </c>
      <c r="DQ495" s="7">
        <v>1.4755</v>
      </c>
      <c r="DR495" s="7">
        <v>1.4762</v>
      </c>
      <c r="DS495" s="7">
        <v>1.4771000000000001</v>
      </c>
      <c r="DT495" s="7">
        <v>1.4781</v>
      </c>
      <c r="DU495" s="7">
        <v>1.4793000000000001</v>
      </c>
      <c r="DV495" s="7">
        <v>1.4806999999999999</v>
      </c>
      <c r="DW495" s="7">
        <v>1.4823</v>
      </c>
      <c r="DX495" s="7">
        <v>1.4841</v>
      </c>
      <c r="DY495" s="7">
        <v>1.486</v>
      </c>
      <c r="DZ495" s="7">
        <v>1.4882</v>
      </c>
      <c r="EA495" s="7">
        <v>1.4904999999999999</v>
      </c>
      <c r="EB495" s="7">
        <v>1.4930000000000001</v>
      </c>
      <c r="EC495" s="7">
        <v>1.4956</v>
      </c>
      <c r="ED495" s="7">
        <v>1.4984999999999999</v>
      </c>
      <c r="EE495" s="7">
        <v>1.5015000000000001</v>
      </c>
      <c r="EF495" s="7">
        <v>1.5046999999999999</v>
      </c>
      <c r="EG495" s="7">
        <v>1.5039</v>
      </c>
      <c r="EH495" s="7">
        <v>1.4986999999999999</v>
      </c>
      <c r="EI495" s="7">
        <v>1.4936</v>
      </c>
      <c r="EJ495" s="7">
        <v>1.4886999999999999</v>
      </c>
      <c r="EK495" s="7">
        <v>1.4839</v>
      </c>
      <c r="EL495" s="7">
        <v>1.4793000000000001</v>
      </c>
      <c r="EM495" s="7">
        <v>1.4746999999999999</v>
      </c>
      <c r="EN495" s="7">
        <v>1.4702999999999999</v>
      </c>
      <c r="EO495" s="7">
        <v>1.466</v>
      </c>
      <c r="EP495" s="7">
        <v>1.4617</v>
      </c>
      <c r="EQ495" s="7">
        <v>1.4576</v>
      </c>
      <c r="ER495" s="7">
        <v>1.4536</v>
      </c>
      <c r="ES495" s="7">
        <v>1.4496</v>
      </c>
      <c r="ET495" s="7">
        <v>1.4458</v>
      </c>
      <c r="EU495" s="7">
        <v>1.4419999999999999</v>
      </c>
      <c r="EV495" s="7">
        <v>1.4382999999999999</v>
      </c>
      <c r="EW495" s="7">
        <v>1.4346000000000001</v>
      </c>
      <c r="EX495" s="7">
        <v>1.431</v>
      </c>
      <c r="EY495" s="7">
        <v>1.4275</v>
      </c>
      <c r="EZ495" s="7">
        <v>1.4239999999999999</v>
      </c>
      <c r="FA495" s="7">
        <v>1.4205000000000001</v>
      </c>
      <c r="FB495" s="7">
        <v>1.4171</v>
      </c>
      <c r="FC495" s="7">
        <v>1.4137</v>
      </c>
      <c r="FE495" s="50">
        <f t="shared" ca="1" si="54"/>
        <v>1.4826595594983176</v>
      </c>
      <c r="FF495" s="50">
        <f t="shared" ca="1" si="55"/>
        <v>1.4816094520986864</v>
      </c>
      <c r="FG495" s="50">
        <f t="shared" ca="1" si="56"/>
        <v>1.4805938255033557</v>
      </c>
      <c r="FH495" s="50">
        <f t="shared" ca="1" si="57"/>
        <v>1.4796542281879195</v>
      </c>
      <c r="FK495" s="50">
        <f t="shared" ca="1" si="53"/>
        <v>1.4816094520986864</v>
      </c>
      <c r="FL495" s="50"/>
      <c r="FM495" s="50"/>
      <c r="FN495" s="50"/>
    </row>
    <row r="496" spans="49:170" hidden="1">
      <c r="AW496" s="433">
        <v>16.596</v>
      </c>
      <c r="AX496" s="7">
        <v>2.0087999999999999</v>
      </c>
      <c r="AY496" s="7">
        <v>1.9851000000000001</v>
      </c>
      <c r="AZ496" s="7">
        <v>1.9624999999999999</v>
      </c>
      <c r="BA496" s="7">
        <v>1.9410000000000001</v>
      </c>
      <c r="BB496" s="7">
        <v>1.9205000000000001</v>
      </c>
      <c r="BC496" s="7">
        <v>1.9009</v>
      </c>
      <c r="BD496" s="7">
        <v>1.8822000000000001</v>
      </c>
      <c r="BE496" s="7">
        <v>1.8643000000000001</v>
      </c>
      <c r="BF496" s="7">
        <v>1.8472</v>
      </c>
      <c r="BG496" s="7">
        <v>1.8308</v>
      </c>
      <c r="BH496" s="7">
        <v>1.8150999999999999</v>
      </c>
      <c r="BI496" s="7">
        <v>1.8</v>
      </c>
      <c r="BJ496" s="7">
        <v>1.7856000000000001</v>
      </c>
      <c r="BK496" s="7">
        <v>1.7717000000000001</v>
      </c>
      <c r="BL496" s="7">
        <v>1.7584</v>
      </c>
      <c r="BM496" s="7">
        <v>1.7455000000000001</v>
      </c>
      <c r="BN496" s="7">
        <v>1.7332000000000001</v>
      </c>
      <c r="BO496" s="7">
        <v>1.7214</v>
      </c>
      <c r="BP496" s="7">
        <v>1.71</v>
      </c>
      <c r="BQ496" s="7">
        <v>1.6990000000000001</v>
      </c>
      <c r="BR496" s="7">
        <v>1.6883999999999999</v>
      </c>
      <c r="BS496" s="7">
        <v>1.6781999999999999</v>
      </c>
      <c r="BT496" s="7">
        <v>1.6684000000000001</v>
      </c>
      <c r="BU496" s="7">
        <v>1.659</v>
      </c>
      <c r="BV496" s="7">
        <v>1.6498999999999999</v>
      </c>
      <c r="BW496" s="7">
        <v>1.6411</v>
      </c>
      <c r="BX496" s="7">
        <v>1.6326000000000001</v>
      </c>
      <c r="BY496" s="7">
        <v>1.6244000000000001</v>
      </c>
      <c r="BZ496" s="7">
        <v>1.6166</v>
      </c>
      <c r="CA496" s="7">
        <v>1.609</v>
      </c>
      <c r="CB496" s="7">
        <v>1.6015999999999999</v>
      </c>
      <c r="CC496" s="7">
        <v>1.5946</v>
      </c>
      <c r="CD496" s="7">
        <v>1.5878000000000001</v>
      </c>
      <c r="CE496" s="7">
        <v>1.5811999999999999</v>
      </c>
      <c r="CF496" s="7">
        <v>1.5749</v>
      </c>
      <c r="CG496" s="7">
        <v>1.5688</v>
      </c>
      <c r="CH496" s="7">
        <v>1.5629</v>
      </c>
      <c r="CI496" s="7">
        <v>1.5572999999999999</v>
      </c>
      <c r="CJ496" s="7">
        <v>1.5518000000000001</v>
      </c>
      <c r="CK496" s="7">
        <v>1.5466</v>
      </c>
      <c r="CL496" s="7">
        <v>1.5416000000000001</v>
      </c>
      <c r="CM496" s="7">
        <v>1.5367999999999999</v>
      </c>
      <c r="CN496" s="7">
        <v>1.5322</v>
      </c>
      <c r="CO496" s="7">
        <v>1.5277000000000001</v>
      </c>
      <c r="CP496" s="7">
        <v>1.5235000000000001</v>
      </c>
      <c r="CQ496" s="7">
        <v>1.5194000000000001</v>
      </c>
      <c r="CR496" s="7">
        <v>1.5156000000000001</v>
      </c>
      <c r="CS496" s="7">
        <v>1.5119</v>
      </c>
      <c r="CT496" s="7">
        <v>1.5084</v>
      </c>
      <c r="CU496" s="7">
        <v>1.5049999999999999</v>
      </c>
      <c r="CV496" s="7">
        <v>1.5019</v>
      </c>
      <c r="CW496" s="7">
        <v>1.4988999999999999</v>
      </c>
      <c r="CX496" s="7">
        <v>1.4961</v>
      </c>
      <c r="CY496" s="7">
        <v>1.4935</v>
      </c>
      <c r="CZ496" s="7">
        <v>1.4910000000000001</v>
      </c>
      <c r="DA496" s="7">
        <v>1.4886999999999999</v>
      </c>
      <c r="DB496" s="7">
        <v>1.4865999999999999</v>
      </c>
      <c r="DC496" s="7">
        <v>1.4846999999999999</v>
      </c>
      <c r="DD496" s="7">
        <v>1.4829000000000001</v>
      </c>
      <c r="DE496" s="7">
        <v>1.4813000000000001</v>
      </c>
      <c r="DF496" s="7">
        <v>1.4798</v>
      </c>
      <c r="DG496" s="7">
        <v>1.4785999999999999</v>
      </c>
      <c r="DH496" s="7">
        <v>1.4775</v>
      </c>
      <c r="DI496" s="7">
        <v>1.4765999999999999</v>
      </c>
      <c r="DJ496" s="7">
        <v>1.4758</v>
      </c>
      <c r="DK496" s="7">
        <v>1.4752000000000001</v>
      </c>
      <c r="DL496" s="7">
        <v>1.4748000000000001</v>
      </c>
      <c r="DM496" s="7">
        <v>1.4745999999999999</v>
      </c>
      <c r="DN496" s="7">
        <v>1.4745999999999999</v>
      </c>
      <c r="DO496" s="7">
        <v>1.4746999999999999</v>
      </c>
      <c r="DP496" s="7">
        <v>1.4750000000000001</v>
      </c>
      <c r="DQ496" s="7">
        <v>1.4755</v>
      </c>
      <c r="DR496" s="7">
        <v>1.4762</v>
      </c>
      <c r="DS496" s="7">
        <v>1.4771000000000001</v>
      </c>
      <c r="DT496" s="7">
        <v>1.4781</v>
      </c>
      <c r="DU496" s="7">
        <v>1.4793000000000001</v>
      </c>
      <c r="DV496" s="7">
        <v>1.4806999999999999</v>
      </c>
      <c r="DW496" s="7">
        <v>1.4823</v>
      </c>
      <c r="DX496" s="7">
        <v>1.4841</v>
      </c>
      <c r="DY496" s="7">
        <v>1.486</v>
      </c>
      <c r="DZ496" s="7">
        <v>1.4882</v>
      </c>
      <c r="EA496" s="7">
        <v>1.4904999999999999</v>
      </c>
      <c r="EB496" s="7">
        <v>1.4930000000000001</v>
      </c>
      <c r="EC496" s="7">
        <v>1.4956</v>
      </c>
      <c r="ED496" s="7">
        <v>1.4984999999999999</v>
      </c>
      <c r="EE496" s="7">
        <v>1.5015000000000001</v>
      </c>
      <c r="EF496" s="7">
        <v>1.5046999999999999</v>
      </c>
      <c r="EG496" s="7">
        <v>1.508</v>
      </c>
      <c r="EH496" s="7">
        <v>1.5057</v>
      </c>
      <c r="EI496" s="7">
        <v>1.5006999999999999</v>
      </c>
      <c r="EJ496" s="7">
        <v>1.4958</v>
      </c>
      <c r="EK496" s="7">
        <v>1.4911000000000001</v>
      </c>
      <c r="EL496" s="7">
        <v>1.4864999999999999</v>
      </c>
      <c r="EM496" s="7">
        <v>1.482</v>
      </c>
      <c r="EN496" s="7">
        <v>1.4777</v>
      </c>
      <c r="EO496" s="7">
        <v>1.4734</v>
      </c>
      <c r="EP496" s="7">
        <v>1.4693000000000001</v>
      </c>
      <c r="EQ496" s="7">
        <v>1.4652000000000001</v>
      </c>
      <c r="ER496" s="7">
        <v>1.4613</v>
      </c>
      <c r="ES496" s="7">
        <v>1.4574</v>
      </c>
      <c r="ET496" s="7">
        <v>1.4536</v>
      </c>
      <c r="EU496" s="7">
        <v>1.45</v>
      </c>
      <c r="EV496" s="7">
        <v>1.4462999999999999</v>
      </c>
      <c r="EW496" s="7">
        <v>1.4428000000000001</v>
      </c>
      <c r="EX496" s="7">
        <v>1.4393</v>
      </c>
      <c r="EY496" s="7">
        <v>1.4359</v>
      </c>
      <c r="EZ496" s="7">
        <v>1.4325000000000001</v>
      </c>
      <c r="FA496" s="7">
        <v>1.4291</v>
      </c>
      <c r="FB496" s="7">
        <v>1.4258</v>
      </c>
      <c r="FC496" s="7">
        <v>1.4226000000000001</v>
      </c>
      <c r="FE496" s="50">
        <f t="shared" ca="1" si="54"/>
        <v>1.4826595594983176</v>
      </c>
      <c r="FF496" s="50">
        <f t="shared" ca="1" si="55"/>
        <v>1.4816094520986864</v>
      </c>
      <c r="FG496" s="50">
        <f t="shared" ca="1" si="56"/>
        <v>1.4805938255033557</v>
      </c>
      <c r="FH496" s="50">
        <f t="shared" ca="1" si="57"/>
        <v>1.4796542281879195</v>
      </c>
      <c r="FK496" s="50">
        <f t="shared" ca="1" si="53"/>
        <v>1.4816094520986864</v>
      </c>
      <c r="FL496" s="50"/>
      <c r="FM496" s="50"/>
      <c r="FN496" s="50"/>
    </row>
    <row r="497" spans="49:170" hidden="1">
      <c r="AW497" s="433">
        <v>17.783000000000001</v>
      </c>
      <c r="AX497" s="7">
        <v>2.0087999999999999</v>
      </c>
      <c r="AY497" s="7">
        <v>1.9851000000000001</v>
      </c>
      <c r="AZ497" s="7">
        <v>1.9624999999999999</v>
      </c>
      <c r="BA497" s="7">
        <v>1.9410000000000001</v>
      </c>
      <c r="BB497" s="7">
        <v>1.9205000000000001</v>
      </c>
      <c r="BC497" s="7">
        <v>1.9009</v>
      </c>
      <c r="BD497" s="7">
        <v>1.8822000000000001</v>
      </c>
      <c r="BE497" s="7">
        <v>1.8643000000000001</v>
      </c>
      <c r="BF497" s="7">
        <v>1.8472</v>
      </c>
      <c r="BG497" s="7">
        <v>1.8308</v>
      </c>
      <c r="BH497" s="7">
        <v>1.8150999999999999</v>
      </c>
      <c r="BI497" s="7">
        <v>1.8</v>
      </c>
      <c r="BJ497" s="7">
        <v>1.7856000000000001</v>
      </c>
      <c r="BK497" s="7">
        <v>1.7717000000000001</v>
      </c>
      <c r="BL497" s="7">
        <v>1.7584</v>
      </c>
      <c r="BM497" s="7">
        <v>1.7455000000000001</v>
      </c>
      <c r="BN497" s="7">
        <v>1.7332000000000001</v>
      </c>
      <c r="BO497" s="7">
        <v>1.7214</v>
      </c>
      <c r="BP497" s="7">
        <v>1.71</v>
      </c>
      <c r="BQ497" s="7">
        <v>1.6990000000000001</v>
      </c>
      <c r="BR497" s="7">
        <v>1.6883999999999999</v>
      </c>
      <c r="BS497" s="7">
        <v>1.6781999999999999</v>
      </c>
      <c r="BT497" s="7">
        <v>1.6684000000000001</v>
      </c>
      <c r="BU497" s="7">
        <v>1.659</v>
      </c>
      <c r="BV497" s="7">
        <v>1.6498999999999999</v>
      </c>
      <c r="BW497" s="7">
        <v>1.6411</v>
      </c>
      <c r="BX497" s="7">
        <v>1.6326000000000001</v>
      </c>
      <c r="BY497" s="7">
        <v>1.6244000000000001</v>
      </c>
      <c r="BZ497" s="7">
        <v>1.6166</v>
      </c>
      <c r="CA497" s="7">
        <v>1.609</v>
      </c>
      <c r="CB497" s="7">
        <v>1.6015999999999999</v>
      </c>
      <c r="CC497" s="7">
        <v>1.5946</v>
      </c>
      <c r="CD497" s="7">
        <v>1.5878000000000001</v>
      </c>
      <c r="CE497" s="7">
        <v>1.5811999999999999</v>
      </c>
      <c r="CF497" s="7">
        <v>1.5749</v>
      </c>
      <c r="CG497" s="7">
        <v>1.5688</v>
      </c>
      <c r="CH497" s="7">
        <v>1.5629</v>
      </c>
      <c r="CI497" s="7">
        <v>1.5572999999999999</v>
      </c>
      <c r="CJ497" s="7">
        <v>1.5518000000000001</v>
      </c>
      <c r="CK497" s="7">
        <v>1.5466</v>
      </c>
      <c r="CL497" s="7">
        <v>1.5416000000000001</v>
      </c>
      <c r="CM497" s="7">
        <v>1.5367999999999999</v>
      </c>
      <c r="CN497" s="7">
        <v>1.5322</v>
      </c>
      <c r="CO497" s="7">
        <v>1.5277000000000001</v>
      </c>
      <c r="CP497" s="7">
        <v>1.5235000000000001</v>
      </c>
      <c r="CQ497" s="7">
        <v>1.5194000000000001</v>
      </c>
      <c r="CR497" s="7">
        <v>1.5156000000000001</v>
      </c>
      <c r="CS497" s="7">
        <v>1.5119</v>
      </c>
      <c r="CT497" s="7">
        <v>1.5084</v>
      </c>
      <c r="CU497" s="7">
        <v>1.5049999999999999</v>
      </c>
      <c r="CV497" s="7">
        <v>1.5019</v>
      </c>
      <c r="CW497" s="7">
        <v>1.4988999999999999</v>
      </c>
      <c r="CX497" s="7">
        <v>1.4961</v>
      </c>
      <c r="CY497" s="7">
        <v>1.4935</v>
      </c>
      <c r="CZ497" s="7">
        <v>1.4910000000000001</v>
      </c>
      <c r="DA497" s="7">
        <v>1.4886999999999999</v>
      </c>
      <c r="DB497" s="7">
        <v>1.4865999999999999</v>
      </c>
      <c r="DC497" s="7">
        <v>1.4846999999999999</v>
      </c>
      <c r="DD497" s="7">
        <v>1.4829000000000001</v>
      </c>
      <c r="DE497" s="7">
        <v>1.4813000000000001</v>
      </c>
      <c r="DF497" s="7">
        <v>1.4798</v>
      </c>
      <c r="DG497" s="7">
        <v>1.4785999999999999</v>
      </c>
      <c r="DH497" s="7">
        <v>1.4775</v>
      </c>
      <c r="DI497" s="7">
        <v>1.4765999999999999</v>
      </c>
      <c r="DJ497" s="7">
        <v>1.4758</v>
      </c>
      <c r="DK497" s="7">
        <v>1.4752000000000001</v>
      </c>
      <c r="DL497" s="7">
        <v>1.4748000000000001</v>
      </c>
      <c r="DM497" s="7">
        <v>1.4745999999999999</v>
      </c>
      <c r="DN497" s="7">
        <v>1.4745999999999999</v>
      </c>
      <c r="DO497" s="7">
        <v>1.4746999999999999</v>
      </c>
      <c r="DP497" s="7">
        <v>1.4750000000000001</v>
      </c>
      <c r="DQ497" s="7">
        <v>1.4755</v>
      </c>
      <c r="DR497" s="7">
        <v>1.4762</v>
      </c>
      <c r="DS497" s="7">
        <v>1.4771000000000001</v>
      </c>
      <c r="DT497" s="7">
        <v>1.4781</v>
      </c>
      <c r="DU497" s="7">
        <v>1.4793000000000001</v>
      </c>
      <c r="DV497" s="7">
        <v>1.4806999999999999</v>
      </c>
      <c r="DW497" s="7">
        <v>1.4823</v>
      </c>
      <c r="DX497" s="7">
        <v>1.4841</v>
      </c>
      <c r="DY497" s="7">
        <v>1.486</v>
      </c>
      <c r="DZ497" s="7">
        <v>1.4882</v>
      </c>
      <c r="EA497" s="7">
        <v>1.4904999999999999</v>
      </c>
      <c r="EB497" s="7">
        <v>1.4930000000000001</v>
      </c>
      <c r="EC497" s="7">
        <v>1.4957</v>
      </c>
      <c r="ED497" s="7">
        <v>1.4984999999999999</v>
      </c>
      <c r="EE497" s="7">
        <v>1.5015000000000001</v>
      </c>
      <c r="EF497" s="7">
        <v>1.5046999999999999</v>
      </c>
      <c r="EG497" s="7">
        <v>1.508</v>
      </c>
      <c r="EH497" s="7">
        <v>1.5115000000000001</v>
      </c>
      <c r="EI497" s="7">
        <v>1.5077</v>
      </c>
      <c r="EJ497" s="7">
        <v>1.5028999999999999</v>
      </c>
      <c r="EK497" s="7">
        <v>1.4982</v>
      </c>
      <c r="EL497" s="7">
        <v>1.4937</v>
      </c>
      <c r="EM497" s="7">
        <v>1.4893000000000001</v>
      </c>
      <c r="EN497" s="7">
        <v>1.4850000000000001</v>
      </c>
      <c r="EO497" s="7">
        <v>1.4807999999999999</v>
      </c>
      <c r="EP497" s="7">
        <v>1.4766999999999999</v>
      </c>
      <c r="EQ497" s="7">
        <v>1.4726999999999999</v>
      </c>
      <c r="ER497" s="7">
        <v>1.4689000000000001</v>
      </c>
      <c r="ES497" s="7">
        <v>1.4651000000000001</v>
      </c>
      <c r="ET497" s="7">
        <v>1.4614</v>
      </c>
      <c r="EU497" s="7">
        <v>1.4578</v>
      </c>
      <c r="EV497" s="7">
        <v>1.4542999999999999</v>
      </c>
      <c r="EW497" s="7">
        <v>1.4509000000000001</v>
      </c>
      <c r="EX497" s="7">
        <v>1.4475</v>
      </c>
      <c r="EY497" s="7">
        <v>1.4441999999999999</v>
      </c>
      <c r="EZ497" s="7">
        <v>1.4409000000000001</v>
      </c>
      <c r="FA497" s="7">
        <v>1.4377</v>
      </c>
      <c r="FB497" s="7">
        <v>1.4345000000000001</v>
      </c>
      <c r="FC497" s="7">
        <v>1.4314</v>
      </c>
      <c r="FE497" s="50">
        <f t="shared" ca="1" si="54"/>
        <v>1.4826595594983176</v>
      </c>
      <c r="FF497" s="50">
        <f t="shared" ca="1" si="55"/>
        <v>1.4816094520986864</v>
      </c>
      <c r="FG497" s="50">
        <f t="shared" ca="1" si="56"/>
        <v>1.4805938255033557</v>
      </c>
      <c r="FH497" s="50">
        <f t="shared" ca="1" si="57"/>
        <v>1.4796542281879195</v>
      </c>
      <c r="FK497" s="50">
        <f t="shared" ca="1" si="53"/>
        <v>1.4816094520986864</v>
      </c>
      <c r="FL497" s="50"/>
      <c r="FM497" s="50"/>
      <c r="FN497" s="50"/>
    </row>
    <row r="498" spans="49:170" hidden="1">
      <c r="AW498" s="433">
        <v>19.055</v>
      </c>
      <c r="AX498" s="7">
        <v>2.0087999999999999</v>
      </c>
      <c r="AY498" s="7">
        <v>1.9851000000000001</v>
      </c>
      <c r="AZ498" s="7">
        <v>1.9624999999999999</v>
      </c>
      <c r="BA498" s="7">
        <v>1.9410000000000001</v>
      </c>
      <c r="BB498" s="7">
        <v>1.9205000000000001</v>
      </c>
      <c r="BC498" s="7">
        <v>1.9009</v>
      </c>
      <c r="BD498" s="7">
        <v>1.8822000000000001</v>
      </c>
      <c r="BE498" s="7">
        <v>1.8643000000000001</v>
      </c>
      <c r="BF498" s="7">
        <v>1.8472</v>
      </c>
      <c r="BG498" s="7">
        <v>1.8308</v>
      </c>
      <c r="BH498" s="7">
        <v>1.8150999999999999</v>
      </c>
      <c r="BI498" s="7">
        <v>1.8</v>
      </c>
      <c r="BJ498" s="7">
        <v>1.7856000000000001</v>
      </c>
      <c r="BK498" s="7">
        <v>1.7717000000000001</v>
      </c>
      <c r="BL498" s="7">
        <v>1.7584</v>
      </c>
      <c r="BM498" s="7">
        <v>1.7455000000000001</v>
      </c>
      <c r="BN498" s="7">
        <v>1.7332000000000001</v>
      </c>
      <c r="BO498" s="7">
        <v>1.7214</v>
      </c>
      <c r="BP498" s="7">
        <v>1.71</v>
      </c>
      <c r="BQ498" s="7">
        <v>1.6990000000000001</v>
      </c>
      <c r="BR498" s="7">
        <v>1.6883999999999999</v>
      </c>
      <c r="BS498" s="7">
        <v>1.6781999999999999</v>
      </c>
      <c r="BT498" s="7">
        <v>1.6684000000000001</v>
      </c>
      <c r="BU498" s="7">
        <v>1.659</v>
      </c>
      <c r="BV498" s="7">
        <v>1.6498999999999999</v>
      </c>
      <c r="BW498" s="7">
        <v>1.6411</v>
      </c>
      <c r="BX498" s="7">
        <v>1.6326000000000001</v>
      </c>
      <c r="BY498" s="7">
        <v>1.6244000000000001</v>
      </c>
      <c r="BZ498" s="7">
        <v>1.6166</v>
      </c>
      <c r="CA498" s="7">
        <v>1.609</v>
      </c>
      <c r="CB498" s="7">
        <v>1.6015999999999999</v>
      </c>
      <c r="CC498" s="7">
        <v>1.5946</v>
      </c>
      <c r="CD498" s="7">
        <v>1.5878000000000001</v>
      </c>
      <c r="CE498" s="7">
        <v>1.5811999999999999</v>
      </c>
      <c r="CF498" s="7">
        <v>1.5749</v>
      </c>
      <c r="CG498" s="7">
        <v>1.5688</v>
      </c>
      <c r="CH498" s="7">
        <v>1.5629</v>
      </c>
      <c r="CI498" s="7">
        <v>1.5572999999999999</v>
      </c>
      <c r="CJ498" s="7">
        <v>1.5518000000000001</v>
      </c>
      <c r="CK498" s="7">
        <v>1.5466</v>
      </c>
      <c r="CL498" s="7">
        <v>1.5416000000000001</v>
      </c>
      <c r="CM498" s="7">
        <v>1.5367999999999999</v>
      </c>
      <c r="CN498" s="7">
        <v>1.5322</v>
      </c>
      <c r="CO498" s="7">
        <v>1.5277000000000001</v>
      </c>
      <c r="CP498" s="7">
        <v>1.5235000000000001</v>
      </c>
      <c r="CQ498" s="7">
        <v>1.5194000000000001</v>
      </c>
      <c r="CR498" s="7">
        <v>1.5156000000000001</v>
      </c>
      <c r="CS498" s="7">
        <v>1.5119</v>
      </c>
      <c r="CT498" s="7">
        <v>1.5084</v>
      </c>
      <c r="CU498" s="7">
        <v>1.5049999999999999</v>
      </c>
      <c r="CV498" s="7">
        <v>1.5019</v>
      </c>
      <c r="CW498" s="7">
        <v>1.4988999999999999</v>
      </c>
      <c r="CX498" s="7">
        <v>1.4961</v>
      </c>
      <c r="CY498" s="7">
        <v>1.4935</v>
      </c>
      <c r="CZ498" s="7">
        <v>1.4910000000000001</v>
      </c>
      <c r="DA498" s="7">
        <v>1.4886999999999999</v>
      </c>
      <c r="DB498" s="7">
        <v>1.4865999999999999</v>
      </c>
      <c r="DC498" s="7">
        <v>1.4846999999999999</v>
      </c>
      <c r="DD498" s="7">
        <v>1.4829000000000001</v>
      </c>
      <c r="DE498" s="7">
        <v>1.4813000000000001</v>
      </c>
      <c r="DF498" s="7">
        <v>1.4798</v>
      </c>
      <c r="DG498" s="7">
        <v>1.4785999999999999</v>
      </c>
      <c r="DH498" s="7">
        <v>1.4775</v>
      </c>
      <c r="DI498" s="7">
        <v>1.4765999999999999</v>
      </c>
      <c r="DJ498" s="7">
        <v>1.4758</v>
      </c>
      <c r="DK498" s="7">
        <v>1.4752000000000001</v>
      </c>
      <c r="DL498" s="7">
        <v>1.4748000000000001</v>
      </c>
      <c r="DM498" s="7">
        <v>1.4745999999999999</v>
      </c>
      <c r="DN498" s="7">
        <v>1.4745999999999999</v>
      </c>
      <c r="DO498" s="7">
        <v>1.4746999999999999</v>
      </c>
      <c r="DP498" s="7">
        <v>1.4750000000000001</v>
      </c>
      <c r="DQ498" s="7">
        <v>1.4755</v>
      </c>
      <c r="DR498" s="7">
        <v>1.4762</v>
      </c>
      <c r="DS498" s="7">
        <v>1.4771000000000001</v>
      </c>
      <c r="DT498" s="7">
        <v>1.4781</v>
      </c>
      <c r="DU498" s="7">
        <v>1.4793000000000001</v>
      </c>
      <c r="DV498" s="7">
        <v>1.4806999999999999</v>
      </c>
      <c r="DW498" s="7">
        <v>1.4823</v>
      </c>
      <c r="DX498" s="7">
        <v>1.4841</v>
      </c>
      <c r="DY498" s="7">
        <v>1.486</v>
      </c>
      <c r="DZ498" s="7">
        <v>1.4882</v>
      </c>
      <c r="EA498" s="7">
        <v>1.4904999999999999</v>
      </c>
      <c r="EB498" s="7">
        <v>1.4930000000000001</v>
      </c>
      <c r="EC498" s="7">
        <v>1.4957</v>
      </c>
      <c r="ED498" s="7">
        <v>1.4984999999999999</v>
      </c>
      <c r="EE498" s="7">
        <v>1.5015000000000001</v>
      </c>
      <c r="EF498" s="7">
        <v>1.5046999999999999</v>
      </c>
      <c r="EG498" s="7">
        <v>1.508</v>
      </c>
      <c r="EH498" s="7">
        <v>1.5115000000000001</v>
      </c>
      <c r="EI498" s="7">
        <v>1.5145999999999999</v>
      </c>
      <c r="EJ498" s="7">
        <v>1.5098</v>
      </c>
      <c r="EK498" s="7">
        <v>1.5052000000000001</v>
      </c>
      <c r="EL498" s="7">
        <v>1.5007999999999999</v>
      </c>
      <c r="EM498" s="7">
        <v>1.4964</v>
      </c>
      <c r="EN498" s="7">
        <v>1.4922</v>
      </c>
      <c r="EO498" s="7">
        <v>1.4881</v>
      </c>
      <c r="EP498" s="7">
        <v>1.4841</v>
      </c>
      <c r="EQ498" s="7">
        <v>1.4802</v>
      </c>
      <c r="ER498" s="7">
        <v>1.4763999999999999</v>
      </c>
      <c r="ES498" s="7">
        <v>1.4726999999999999</v>
      </c>
      <c r="ET498" s="7">
        <v>1.4691000000000001</v>
      </c>
      <c r="EU498" s="7">
        <v>1.4656</v>
      </c>
      <c r="EV498" s="7">
        <v>1.4621999999999999</v>
      </c>
      <c r="EW498" s="7">
        <v>1.4589000000000001</v>
      </c>
      <c r="EX498" s="7">
        <v>1.4556</v>
      </c>
      <c r="EY498" s="7">
        <v>1.4523999999999999</v>
      </c>
      <c r="EZ498" s="7">
        <v>1.4492</v>
      </c>
      <c r="FA498" s="7">
        <v>1.4460999999999999</v>
      </c>
      <c r="FB498" s="7">
        <v>1.4431</v>
      </c>
      <c r="FC498" s="7">
        <v>1.4400999999999999</v>
      </c>
      <c r="FE498" s="50">
        <f t="shared" ca="1" si="54"/>
        <v>1.4826595594983176</v>
      </c>
      <c r="FF498" s="50">
        <f t="shared" ca="1" si="55"/>
        <v>1.4816094520986864</v>
      </c>
      <c r="FG498" s="50">
        <f t="shared" ca="1" si="56"/>
        <v>1.4805938255033557</v>
      </c>
      <c r="FH498" s="50">
        <f t="shared" ca="1" si="57"/>
        <v>1.4796542281879195</v>
      </c>
      <c r="FK498" s="50">
        <f t="shared" ca="1" si="53"/>
        <v>1.4816094520986864</v>
      </c>
      <c r="FL498" s="50"/>
      <c r="FM498" s="50"/>
      <c r="FN498" s="50"/>
    </row>
    <row r="499" spans="49:170" hidden="1">
      <c r="AW499" s="433">
        <v>20.417000000000002</v>
      </c>
      <c r="AX499" s="7">
        <v>2.0087999999999999</v>
      </c>
      <c r="AY499" s="7">
        <v>1.9851000000000001</v>
      </c>
      <c r="AZ499" s="7">
        <v>1.9624999999999999</v>
      </c>
      <c r="BA499" s="7">
        <v>1.9410000000000001</v>
      </c>
      <c r="BB499" s="7">
        <v>1.9205000000000001</v>
      </c>
      <c r="BC499" s="7">
        <v>1.9009</v>
      </c>
      <c r="BD499" s="7">
        <v>1.8822000000000001</v>
      </c>
      <c r="BE499" s="7">
        <v>1.8643000000000001</v>
      </c>
      <c r="BF499" s="7">
        <v>1.8472</v>
      </c>
      <c r="BG499" s="7">
        <v>1.8308</v>
      </c>
      <c r="BH499" s="7">
        <v>1.8150999999999999</v>
      </c>
      <c r="BI499" s="7">
        <v>1.8</v>
      </c>
      <c r="BJ499" s="7">
        <v>1.7856000000000001</v>
      </c>
      <c r="BK499" s="7">
        <v>1.7717000000000001</v>
      </c>
      <c r="BL499" s="7">
        <v>1.7584</v>
      </c>
      <c r="BM499" s="7">
        <v>1.7455000000000001</v>
      </c>
      <c r="BN499" s="7">
        <v>1.7332000000000001</v>
      </c>
      <c r="BO499" s="7">
        <v>1.7214</v>
      </c>
      <c r="BP499" s="7">
        <v>1.71</v>
      </c>
      <c r="BQ499" s="7">
        <v>1.6990000000000001</v>
      </c>
      <c r="BR499" s="7">
        <v>1.6883999999999999</v>
      </c>
      <c r="BS499" s="7">
        <v>1.6781999999999999</v>
      </c>
      <c r="BT499" s="7">
        <v>1.6684000000000001</v>
      </c>
      <c r="BU499" s="7">
        <v>1.659</v>
      </c>
      <c r="BV499" s="7">
        <v>1.6498999999999999</v>
      </c>
      <c r="BW499" s="7">
        <v>1.6411</v>
      </c>
      <c r="BX499" s="7">
        <v>1.6326000000000001</v>
      </c>
      <c r="BY499" s="7">
        <v>1.6244000000000001</v>
      </c>
      <c r="BZ499" s="7">
        <v>1.6166</v>
      </c>
      <c r="CA499" s="7">
        <v>1.609</v>
      </c>
      <c r="CB499" s="7">
        <v>1.6015999999999999</v>
      </c>
      <c r="CC499" s="7">
        <v>1.5946</v>
      </c>
      <c r="CD499" s="7">
        <v>1.5878000000000001</v>
      </c>
      <c r="CE499" s="7">
        <v>1.5811999999999999</v>
      </c>
      <c r="CF499" s="7">
        <v>1.5749</v>
      </c>
      <c r="CG499" s="7">
        <v>1.5688</v>
      </c>
      <c r="CH499" s="7">
        <v>1.5629</v>
      </c>
      <c r="CI499" s="7">
        <v>1.5572999999999999</v>
      </c>
      <c r="CJ499" s="7">
        <v>1.5518000000000001</v>
      </c>
      <c r="CK499" s="7">
        <v>1.5466</v>
      </c>
      <c r="CL499" s="7">
        <v>1.5416000000000001</v>
      </c>
      <c r="CM499" s="7">
        <v>1.5367999999999999</v>
      </c>
      <c r="CN499" s="7">
        <v>1.5322</v>
      </c>
      <c r="CO499" s="7">
        <v>1.5277000000000001</v>
      </c>
      <c r="CP499" s="7">
        <v>1.5235000000000001</v>
      </c>
      <c r="CQ499" s="7">
        <v>1.5194000000000001</v>
      </c>
      <c r="CR499" s="7">
        <v>1.5156000000000001</v>
      </c>
      <c r="CS499" s="7">
        <v>1.5119</v>
      </c>
      <c r="CT499" s="7">
        <v>1.5084</v>
      </c>
      <c r="CU499" s="7">
        <v>1.5049999999999999</v>
      </c>
      <c r="CV499" s="7">
        <v>1.5019</v>
      </c>
      <c r="CW499" s="7">
        <v>1.4988999999999999</v>
      </c>
      <c r="CX499" s="7">
        <v>1.4961</v>
      </c>
      <c r="CY499" s="7">
        <v>1.4935</v>
      </c>
      <c r="CZ499" s="7">
        <v>1.4910000000000001</v>
      </c>
      <c r="DA499" s="7">
        <v>1.4886999999999999</v>
      </c>
      <c r="DB499" s="7">
        <v>1.4865999999999999</v>
      </c>
      <c r="DC499" s="7">
        <v>1.4846999999999999</v>
      </c>
      <c r="DD499" s="7">
        <v>1.4829000000000001</v>
      </c>
      <c r="DE499" s="7">
        <v>1.4813000000000001</v>
      </c>
      <c r="DF499" s="7">
        <v>1.4798</v>
      </c>
      <c r="DG499" s="7">
        <v>1.4785999999999999</v>
      </c>
      <c r="DH499" s="7">
        <v>1.4775</v>
      </c>
      <c r="DI499" s="7">
        <v>1.4765999999999999</v>
      </c>
      <c r="DJ499" s="7">
        <v>1.4758</v>
      </c>
      <c r="DK499" s="7">
        <v>1.4752000000000001</v>
      </c>
      <c r="DL499" s="7">
        <v>1.4748000000000001</v>
      </c>
      <c r="DM499" s="7">
        <v>1.4745999999999999</v>
      </c>
      <c r="DN499" s="7">
        <v>1.4745999999999999</v>
      </c>
      <c r="DO499" s="7">
        <v>1.4746999999999999</v>
      </c>
      <c r="DP499" s="7">
        <v>1.4750000000000001</v>
      </c>
      <c r="DQ499" s="7">
        <v>1.4755</v>
      </c>
      <c r="DR499" s="7">
        <v>1.4762</v>
      </c>
      <c r="DS499" s="7">
        <v>1.4771000000000001</v>
      </c>
      <c r="DT499" s="7">
        <v>1.4781</v>
      </c>
      <c r="DU499" s="7">
        <v>1.4793000000000001</v>
      </c>
      <c r="DV499" s="7">
        <v>1.4806999999999999</v>
      </c>
      <c r="DW499" s="7">
        <v>1.4823</v>
      </c>
      <c r="DX499" s="7">
        <v>1.4841</v>
      </c>
      <c r="DY499" s="7">
        <v>1.486</v>
      </c>
      <c r="DZ499" s="7">
        <v>1.4882</v>
      </c>
      <c r="EA499" s="7">
        <v>1.4904999999999999</v>
      </c>
      <c r="EB499" s="7">
        <v>1.4930000000000001</v>
      </c>
      <c r="EC499" s="7">
        <v>1.4957</v>
      </c>
      <c r="ED499" s="7">
        <v>1.4984999999999999</v>
      </c>
      <c r="EE499" s="7">
        <v>1.5015000000000001</v>
      </c>
      <c r="EF499" s="7">
        <v>1.5046999999999999</v>
      </c>
      <c r="EG499" s="7">
        <v>1.508</v>
      </c>
      <c r="EH499" s="7">
        <v>1.5115000000000001</v>
      </c>
      <c r="EI499" s="7">
        <v>1.5152000000000001</v>
      </c>
      <c r="EJ499" s="7">
        <v>1.5166999999999999</v>
      </c>
      <c r="EK499" s="7">
        <v>1.5122</v>
      </c>
      <c r="EL499" s="7">
        <v>1.5078</v>
      </c>
      <c r="EM499" s="7">
        <v>1.5035000000000001</v>
      </c>
      <c r="EN499" s="7">
        <v>1.4993000000000001</v>
      </c>
      <c r="EO499" s="7">
        <v>1.4953000000000001</v>
      </c>
      <c r="EP499" s="7">
        <v>1.4914000000000001</v>
      </c>
      <c r="EQ499" s="7">
        <v>1.4876</v>
      </c>
      <c r="ER499" s="7">
        <v>1.4839</v>
      </c>
      <c r="ES499" s="7">
        <v>1.4802999999999999</v>
      </c>
      <c r="ET499" s="7">
        <v>1.4767999999999999</v>
      </c>
      <c r="EU499" s="7">
        <v>1.4734</v>
      </c>
      <c r="EV499" s="7">
        <v>1.47</v>
      </c>
      <c r="EW499" s="7">
        <v>1.4668000000000001</v>
      </c>
      <c r="EX499" s="7">
        <v>1.4636</v>
      </c>
      <c r="EY499" s="7">
        <v>1.4604999999999999</v>
      </c>
      <c r="EZ499" s="7">
        <v>1.4575</v>
      </c>
      <c r="FA499" s="7">
        <v>1.4544999999999999</v>
      </c>
      <c r="FB499" s="7">
        <v>1.4516</v>
      </c>
      <c r="FC499" s="7">
        <v>1.4487000000000001</v>
      </c>
      <c r="FE499" s="50">
        <f t="shared" ca="1" si="54"/>
        <v>1.4826595594983176</v>
      </c>
      <c r="FF499" s="50">
        <f t="shared" ca="1" si="55"/>
        <v>1.4816094520986864</v>
      </c>
      <c r="FG499" s="50">
        <f t="shared" ca="1" si="56"/>
        <v>1.4805938255033557</v>
      </c>
      <c r="FH499" s="50">
        <f t="shared" ca="1" si="57"/>
        <v>1.4796542281879195</v>
      </c>
      <c r="FK499" s="50">
        <f t="shared" ca="1" si="53"/>
        <v>1.4816094520986864</v>
      </c>
      <c r="FL499" s="50"/>
      <c r="FM499" s="50"/>
      <c r="FN499" s="50"/>
    </row>
    <row r="500" spans="49:170" hidden="1">
      <c r="AW500" s="433">
        <v>21.878</v>
      </c>
      <c r="AX500" s="7">
        <v>2.0087999999999999</v>
      </c>
      <c r="AY500" s="7">
        <v>1.9851000000000001</v>
      </c>
      <c r="AZ500" s="7">
        <v>1.9624999999999999</v>
      </c>
      <c r="BA500" s="7">
        <v>1.9410000000000001</v>
      </c>
      <c r="BB500" s="7">
        <v>1.9205000000000001</v>
      </c>
      <c r="BC500" s="7">
        <v>1.9009</v>
      </c>
      <c r="BD500" s="7">
        <v>1.8822000000000001</v>
      </c>
      <c r="BE500" s="7">
        <v>1.8643000000000001</v>
      </c>
      <c r="BF500" s="7">
        <v>1.8472</v>
      </c>
      <c r="BG500" s="7">
        <v>1.8308</v>
      </c>
      <c r="BH500" s="7">
        <v>1.8150999999999999</v>
      </c>
      <c r="BI500" s="7">
        <v>1.8</v>
      </c>
      <c r="BJ500" s="7">
        <v>1.7856000000000001</v>
      </c>
      <c r="BK500" s="7">
        <v>1.7717000000000001</v>
      </c>
      <c r="BL500" s="7">
        <v>1.7584</v>
      </c>
      <c r="BM500" s="7">
        <v>1.7455000000000001</v>
      </c>
      <c r="BN500" s="7">
        <v>1.7332000000000001</v>
      </c>
      <c r="BO500" s="7">
        <v>1.7214</v>
      </c>
      <c r="BP500" s="7">
        <v>1.71</v>
      </c>
      <c r="BQ500" s="7">
        <v>1.6990000000000001</v>
      </c>
      <c r="BR500" s="7">
        <v>1.6883999999999999</v>
      </c>
      <c r="BS500" s="7">
        <v>1.6781999999999999</v>
      </c>
      <c r="BT500" s="7">
        <v>1.6684000000000001</v>
      </c>
      <c r="BU500" s="7">
        <v>1.659</v>
      </c>
      <c r="BV500" s="7">
        <v>1.6498999999999999</v>
      </c>
      <c r="BW500" s="7">
        <v>1.6411</v>
      </c>
      <c r="BX500" s="7">
        <v>1.6326000000000001</v>
      </c>
      <c r="BY500" s="7">
        <v>1.6244000000000001</v>
      </c>
      <c r="BZ500" s="7">
        <v>1.6166</v>
      </c>
      <c r="CA500" s="7">
        <v>1.609</v>
      </c>
      <c r="CB500" s="7">
        <v>1.6015999999999999</v>
      </c>
      <c r="CC500" s="7">
        <v>1.5946</v>
      </c>
      <c r="CD500" s="7">
        <v>1.5878000000000001</v>
      </c>
      <c r="CE500" s="7">
        <v>1.5811999999999999</v>
      </c>
      <c r="CF500" s="7">
        <v>1.5749</v>
      </c>
      <c r="CG500" s="7">
        <v>1.5688</v>
      </c>
      <c r="CH500" s="7">
        <v>1.5629</v>
      </c>
      <c r="CI500" s="7">
        <v>1.5572999999999999</v>
      </c>
      <c r="CJ500" s="7">
        <v>1.5518000000000001</v>
      </c>
      <c r="CK500" s="7">
        <v>1.5466</v>
      </c>
      <c r="CL500" s="7">
        <v>1.5416000000000001</v>
      </c>
      <c r="CM500" s="7">
        <v>1.5367999999999999</v>
      </c>
      <c r="CN500" s="7">
        <v>1.5322</v>
      </c>
      <c r="CO500" s="7">
        <v>1.5277000000000001</v>
      </c>
      <c r="CP500" s="7">
        <v>1.5235000000000001</v>
      </c>
      <c r="CQ500" s="7">
        <v>1.5194000000000001</v>
      </c>
      <c r="CR500" s="7">
        <v>1.5156000000000001</v>
      </c>
      <c r="CS500" s="7">
        <v>1.5119</v>
      </c>
      <c r="CT500" s="7">
        <v>1.5084</v>
      </c>
      <c r="CU500" s="7">
        <v>1.5049999999999999</v>
      </c>
      <c r="CV500" s="7">
        <v>1.5019</v>
      </c>
      <c r="CW500" s="7">
        <v>1.4988999999999999</v>
      </c>
      <c r="CX500" s="7">
        <v>1.4961</v>
      </c>
      <c r="CY500" s="7">
        <v>1.4935</v>
      </c>
      <c r="CZ500" s="7">
        <v>1.4910000000000001</v>
      </c>
      <c r="DA500" s="7">
        <v>1.4886999999999999</v>
      </c>
      <c r="DB500" s="7">
        <v>1.4865999999999999</v>
      </c>
      <c r="DC500" s="7">
        <v>1.4846999999999999</v>
      </c>
      <c r="DD500" s="7">
        <v>1.4829000000000001</v>
      </c>
      <c r="DE500" s="7">
        <v>1.4813000000000001</v>
      </c>
      <c r="DF500" s="7">
        <v>1.4798</v>
      </c>
      <c r="DG500" s="7">
        <v>1.4785999999999999</v>
      </c>
      <c r="DH500" s="7">
        <v>1.4775</v>
      </c>
      <c r="DI500" s="7">
        <v>1.4765999999999999</v>
      </c>
      <c r="DJ500" s="7">
        <v>1.4758</v>
      </c>
      <c r="DK500" s="7">
        <v>1.4752000000000001</v>
      </c>
      <c r="DL500" s="7">
        <v>1.4748000000000001</v>
      </c>
      <c r="DM500" s="7">
        <v>1.4745999999999999</v>
      </c>
      <c r="DN500" s="7">
        <v>1.4745999999999999</v>
      </c>
      <c r="DO500" s="7">
        <v>1.4746999999999999</v>
      </c>
      <c r="DP500" s="7">
        <v>1.4750000000000001</v>
      </c>
      <c r="DQ500" s="7">
        <v>1.4755</v>
      </c>
      <c r="DR500" s="7">
        <v>1.4762</v>
      </c>
      <c r="DS500" s="7">
        <v>1.4771000000000001</v>
      </c>
      <c r="DT500" s="7">
        <v>1.4781</v>
      </c>
      <c r="DU500" s="7">
        <v>1.4793000000000001</v>
      </c>
      <c r="DV500" s="7">
        <v>1.4806999999999999</v>
      </c>
      <c r="DW500" s="7">
        <v>1.4823</v>
      </c>
      <c r="DX500" s="7">
        <v>1.4841</v>
      </c>
      <c r="DY500" s="7">
        <v>1.486</v>
      </c>
      <c r="DZ500" s="7">
        <v>1.4882</v>
      </c>
      <c r="EA500" s="7">
        <v>1.4904999999999999</v>
      </c>
      <c r="EB500" s="7">
        <v>1.4930000000000001</v>
      </c>
      <c r="EC500" s="7">
        <v>1.4957</v>
      </c>
      <c r="ED500" s="7">
        <v>1.4984999999999999</v>
      </c>
      <c r="EE500" s="7">
        <v>1.5015000000000001</v>
      </c>
      <c r="EF500" s="7">
        <v>1.5046999999999999</v>
      </c>
      <c r="EG500" s="7">
        <v>1.508</v>
      </c>
      <c r="EH500" s="7">
        <v>1.5115000000000001</v>
      </c>
      <c r="EI500" s="7">
        <v>1.5152000000000001</v>
      </c>
      <c r="EJ500" s="7">
        <v>1.5189999999999999</v>
      </c>
      <c r="EK500" s="7">
        <v>1.5190999999999999</v>
      </c>
      <c r="EL500" s="7">
        <v>1.5146999999999999</v>
      </c>
      <c r="EM500" s="7">
        <v>1.5105</v>
      </c>
      <c r="EN500" s="7">
        <v>1.5064</v>
      </c>
      <c r="EO500" s="7">
        <v>1.5024</v>
      </c>
      <c r="EP500" s="7">
        <v>1.4985999999999999</v>
      </c>
      <c r="EQ500" s="7">
        <v>1.4948999999999999</v>
      </c>
      <c r="ER500" s="7">
        <v>1.4912000000000001</v>
      </c>
      <c r="ES500" s="7">
        <v>1.4877</v>
      </c>
      <c r="ET500" s="7">
        <v>1.4843</v>
      </c>
      <c r="EU500" s="7">
        <v>1.4810000000000001</v>
      </c>
      <c r="EV500" s="7">
        <v>1.4778</v>
      </c>
      <c r="EW500" s="7">
        <v>1.4745999999999999</v>
      </c>
      <c r="EX500" s="7">
        <v>1.4716</v>
      </c>
      <c r="EY500" s="7">
        <v>1.4685999999999999</v>
      </c>
      <c r="EZ500" s="7">
        <v>1.4657</v>
      </c>
      <c r="FA500" s="7">
        <v>1.4628000000000001</v>
      </c>
      <c r="FB500" s="7">
        <v>1.46</v>
      </c>
      <c r="FC500" s="7">
        <v>1.4573</v>
      </c>
      <c r="FE500" s="50">
        <f t="shared" ca="1" si="54"/>
        <v>1.4826595594983176</v>
      </c>
      <c r="FF500" s="50">
        <f t="shared" ca="1" si="55"/>
        <v>1.4816094520986864</v>
      </c>
      <c r="FG500" s="50">
        <f t="shared" ca="1" si="56"/>
        <v>1.4805938255033557</v>
      </c>
      <c r="FH500" s="50">
        <f t="shared" ca="1" si="57"/>
        <v>1.4796542281879195</v>
      </c>
      <c r="FK500" s="50">
        <f t="shared" ca="1" si="53"/>
        <v>1.4816094520986864</v>
      </c>
      <c r="FL500" s="50"/>
      <c r="FM500" s="50"/>
      <c r="FN500" s="50"/>
    </row>
    <row r="501" spans="49:170" hidden="1">
      <c r="AW501" s="433">
        <v>23.442</v>
      </c>
      <c r="AX501" s="7">
        <v>2.0087999999999999</v>
      </c>
      <c r="AY501" s="7">
        <v>1.9851000000000001</v>
      </c>
      <c r="AZ501" s="7">
        <v>1.9624999999999999</v>
      </c>
      <c r="BA501" s="7">
        <v>1.9410000000000001</v>
      </c>
      <c r="BB501" s="7">
        <v>1.9205000000000001</v>
      </c>
      <c r="BC501" s="7">
        <v>1.9009</v>
      </c>
      <c r="BD501" s="7">
        <v>1.8822000000000001</v>
      </c>
      <c r="BE501" s="7">
        <v>1.8643000000000001</v>
      </c>
      <c r="BF501" s="7">
        <v>1.8472</v>
      </c>
      <c r="BG501" s="7">
        <v>1.8308</v>
      </c>
      <c r="BH501" s="7">
        <v>1.8150999999999999</v>
      </c>
      <c r="BI501" s="7">
        <v>1.8</v>
      </c>
      <c r="BJ501" s="7">
        <v>1.7856000000000001</v>
      </c>
      <c r="BK501" s="7">
        <v>1.7717000000000001</v>
      </c>
      <c r="BL501" s="7">
        <v>1.7584</v>
      </c>
      <c r="BM501" s="7">
        <v>1.7455000000000001</v>
      </c>
      <c r="BN501" s="7">
        <v>1.7332000000000001</v>
      </c>
      <c r="BO501" s="7">
        <v>1.7214</v>
      </c>
      <c r="BP501" s="7">
        <v>1.71</v>
      </c>
      <c r="BQ501" s="7">
        <v>1.6990000000000001</v>
      </c>
      <c r="BR501" s="7">
        <v>1.6883999999999999</v>
      </c>
      <c r="BS501" s="7">
        <v>1.6781999999999999</v>
      </c>
      <c r="BT501" s="7">
        <v>1.6684000000000001</v>
      </c>
      <c r="BU501" s="7">
        <v>1.659</v>
      </c>
      <c r="BV501" s="7">
        <v>1.6498999999999999</v>
      </c>
      <c r="BW501" s="7">
        <v>1.6411</v>
      </c>
      <c r="BX501" s="7">
        <v>1.6326000000000001</v>
      </c>
      <c r="BY501" s="7">
        <v>1.6244000000000001</v>
      </c>
      <c r="BZ501" s="7">
        <v>1.6166</v>
      </c>
      <c r="CA501" s="7">
        <v>1.609</v>
      </c>
      <c r="CB501" s="7">
        <v>1.6015999999999999</v>
      </c>
      <c r="CC501" s="7">
        <v>1.5946</v>
      </c>
      <c r="CD501" s="7">
        <v>1.5878000000000001</v>
      </c>
      <c r="CE501" s="7">
        <v>1.5811999999999999</v>
      </c>
      <c r="CF501" s="7">
        <v>1.5749</v>
      </c>
      <c r="CG501" s="7">
        <v>1.5688</v>
      </c>
      <c r="CH501" s="7">
        <v>1.5629</v>
      </c>
      <c r="CI501" s="7">
        <v>1.5572999999999999</v>
      </c>
      <c r="CJ501" s="7">
        <v>1.5518000000000001</v>
      </c>
      <c r="CK501" s="7">
        <v>1.5466</v>
      </c>
      <c r="CL501" s="7">
        <v>1.5416000000000001</v>
      </c>
      <c r="CM501" s="7">
        <v>1.5367999999999999</v>
      </c>
      <c r="CN501" s="7">
        <v>1.5322</v>
      </c>
      <c r="CO501" s="7">
        <v>1.5277000000000001</v>
      </c>
      <c r="CP501" s="7">
        <v>1.5235000000000001</v>
      </c>
      <c r="CQ501" s="7">
        <v>1.5194000000000001</v>
      </c>
      <c r="CR501" s="7">
        <v>1.5156000000000001</v>
      </c>
      <c r="CS501" s="7">
        <v>1.5119</v>
      </c>
      <c r="CT501" s="7">
        <v>1.5084</v>
      </c>
      <c r="CU501" s="7">
        <v>1.5049999999999999</v>
      </c>
      <c r="CV501" s="7">
        <v>1.5019</v>
      </c>
      <c r="CW501" s="7">
        <v>1.4988999999999999</v>
      </c>
      <c r="CX501" s="7">
        <v>1.4961</v>
      </c>
      <c r="CY501" s="7">
        <v>1.4935</v>
      </c>
      <c r="CZ501" s="7">
        <v>1.4910000000000001</v>
      </c>
      <c r="DA501" s="7">
        <v>1.4886999999999999</v>
      </c>
      <c r="DB501" s="7">
        <v>1.4865999999999999</v>
      </c>
      <c r="DC501" s="7">
        <v>1.4846999999999999</v>
      </c>
      <c r="DD501" s="7">
        <v>1.4829000000000001</v>
      </c>
      <c r="DE501" s="7">
        <v>1.4813000000000001</v>
      </c>
      <c r="DF501" s="7">
        <v>1.4798</v>
      </c>
      <c r="DG501" s="7">
        <v>1.4785999999999999</v>
      </c>
      <c r="DH501" s="7">
        <v>1.4775</v>
      </c>
      <c r="DI501" s="7">
        <v>1.4765999999999999</v>
      </c>
      <c r="DJ501" s="7">
        <v>1.4758</v>
      </c>
      <c r="DK501" s="7">
        <v>1.4752000000000001</v>
      </c>
      <c r="DL501" s="7">
        <v>1.4748000000000001</v>
      </c>
      <c r="DM501" s="7">
        <v>1.4745999999999999</v>
      </c>
      <c r="DN501" s="7">
        <v>1.4745999999999999</v>
      </c>
      <c r="DO501" s="7">
        <v>1.4746999999999999</v>
      </c>
      <c r="DP501" s="7">
        <v>1.4750000000000001</v>
      </c>
      <c r="DQ501" s="7">
        <v>1.4755</v>
      </c>
      <c r="DR501" s="7">
        <v>1.4762</v>
      </c>
      <c r="DS501" s="7">
        <v>1.4771000000000001</v>
      </c>
      <c r="DT501" s="7">
        <v>1.4781</v>
      </c>
      <c r="DU501" s="7">
        <v>1.4793000000000001</v>
      </c>
      <c r="DV501" s="7">
        <v>1.4806999999999999</v>
      </c>
      <c r="DW501" s="7">
        <v>1.4823</v>
      </c>
      <c r="DX501" s="7">
        <v>1.4841</v>
      </c>
      <c r="DY501" s="7">
        <v>1.486</v>
      </c>
      <c r="DZ501" s="7">
        <v>1.4882</v>
      </c>
      <c r="EA501" s="7">
        <v>1.4904999999999999</v>
      </c>
      <c r="EB501" s="7">
        <v>1.4930000000000001</v>
      </c>
      <c r="EC501" s="7">
        <v>1.4956</v>
      </c>
      <c r="ED501" s="7">
        <v>1.4984999999999999</v>
      </c>
      <c r="EE501" s="7">
        <v>1.5015000000000001</v>
      </c>
      <c r="EF501" s="7">
        <v>1.5046999999999999</v>
      </c>
      <c r="EG501" s="7">
        <v>1.508</v>
      </c>
      <c r="EH501" s="7">
        <v>1.5115000000000001</v>
      </c>
      <c r="EI501" s="7">
        <v>1.5152000000000001</v>
      </c>
      <c r="EJ501" s="7">
        <v>1.5189999999999999</v>
      </c>
      <c r="EK501" s="7">
        <v>1.5228999999999999</v>
      </c>
      <c r="EL501" s="7">
        <v>1.5216000000000001</v>
      </c>
      <c r="EM501" s="7">
        <v>1.5174000000000001</v>
      </c>
      <c r="EN501" s="7">
        <v>1.5134000000000001</v>
      </c>
      <c r="EO501" s="7">
        <v>1.5095000000000001</v>
      </c>
      <c r="EP501" s="7">
        <v>1.5057</v>
      </c>
      <c r="EQ501" s="7">
        <v>1.5021</v>
      </c>
      <c r="ER501" s="7">
        <v>1.4985999999999999</v>
      </c>
      <c r="ES501" s="7">
        <v>1.4951000000000001</v>
      </c>
      <c r="ET501" s="7">
        <v>1.4918</v>
      </c>
      <c r="EU501" s="7">
        <v>1.4885999999999999</v>
      </c>
      <c r="EV501" s="7">
        <v>1.4854000000000001</v>
      </c>
      <c r="EW501" s="7">
        <v>1.4823999999999999</v>
      </c>
      <c r="EX501" s="7">
        <v>1.4794</v>
      </c>
      <c r="EY501" s="7">
        <v>1.4765999999999999</v>
      </c>
      <c r="EZ501" s="7">
        <v>1.4738</v>
      </c>
      <c r="FA501" s="7">
        <v>1.4710000000000001</v>
      </c>
      <c r="FB501" s="7">
        <v>1.4682999999999999</v>
      </c>
      <c r="FC501" s="7">
        <v>1.4657</v>
      </c>
      <c r="FE501" s="50">
        <f t="shared" ca="1" si="54"/>
        <v>1.4826595594983176</v>
      </c>
      <c r="FF501" s="50">
        <f t="shared" ca="1" si="55"/>
        <v>1.4816094520986864</v>
      </c>
      <c r="FG501" s="50">
        <f t="shared" ca="1" si="56"/>
        <v>1.4805938255033557</v>
      </c>
      <c r="FH501" s="50">
        <f t="shared" ca="1" si="57"/>
        <v>1.4796542281879195</v>
      </c>
      <c r="FK501" s="50">
        <f t="shared" ca="1" si="53"/>
        <v>1.4816094520986864</v>
      </c>
      <c r="FL501" s="50"/>
      <c r="FM501" s="50"/>
      <c r="FN501" s="50"/>
    </row>
    <row r="502" spans="49:170" hidden="1">
      <c r="AW502" s="433">
        <v>25.119</v>
      </c>
      <c r="AX502" s="7">
        <v>2.0087999999999999</v>
      </c>
      <c r="AY502" s="7">
        <v>1.9851000000000001</v>
      </c>
      <c r="AZ502" s="7">
        <v>1.9624999999999999</v>
      </c>
      <c r="BA502" s="7">
        <v>1.9410000000000001</v>
      </c>
      <c r="BB502" s="7">
        <v>1.9205000000000001</v>
      </c>
      <c r="BC502" s="7">
        <v>1.9009</v>
      </c>
      <c r="BD502" s="7">
        <v>1.8822000000000001</v>
      </c>
      <c r="BE502" s="7">
        <v>1.8643000000000001</v>
      </c>
      <c r="BF502" s="7">
        <v>1.8472</v>
      </c>
      <c r="BG502" s="7">
        <v>1.8308</v>
      </c>
      <c r="BH502" s="7">
        <v>1.8150999999999999</v>
      </c>
      <c r="BI502" s="7">
        <v>1.8</v>
      </c>
      <c r="BJ502" s="7">
        <v>1.7856000000000001</v>
      </c>
      <c r="BK502" s="7">
        <v>1.7717000000000001</v>
      </c>
      <c r="BL502" s="7">
        <v>1.7584</v>
      </c>
      <c r="BM502" s="7">
        <v>1.7455000000000001</v>
      </c>
      <c r="BN502" s="7">
        <v>1.7332000000000001</v>
      </c>
      <c r="BO502" s="7">
        <v>1.7214</v>
      </c>
      <c r="BP502" s="7">
        <v>1.71</v>
      </c>
      <c r="BQ502" s="7">
        <v>1.6990000000000001</v>
      </c>
      <c r="BR502" s="7">
        <v>1.6883999999999999</v>
      </c>
      <c r="BS502" s="7">
        <v>1.6781999999999999</v>
      </c>
      <c r="BT502" s="7">
        <v>1.6684000000000001</v>
      </c>
      <c r="BU502" s="7">
        <v>1.659</v>
      </c>
      <c r="BV502" s="7">
        <v>1.6498999999999999</v>
      </c>
      <c r="BW502" s="7">
        <v>1.6411</v>
      </c>
      <c r="BX502" s="7">
        <v>1.6326000000000001</v>
      </c>
      <c r="BY502" s="7">
        <v>1.6244000000000001</v>
      </c>
      <c r="BZ502" s="7">
        <v>1.6166</v>
      </c>
      <c r="CA502" s="7">
        <v>1.609</v>
      </c>
      <c r="CB502" s="7">
        <v>1.6015999999999999</v>
      </c>
      <c r="CC502" s="7">
        <v>1.5946</v>
      </c>
      <c r="CD502" s="7">
        <v>1.5878000000000001</v>
      </c>
      <c r="CE502" s="7">
        <v>1.5811999999999999</v>
      </c>
      <c r="CF502" s="7">
        <v>1.5749</v>
      </c>
      <c r="CG502" s="7">
        <v>1.5688</v>
      </c>
      <c r="CH502" s="7">
        <v>1.5629</v>
      </c>
      <c r="CI502" s="7">
        <v>1.5572999999999999</v>
      </c>
      <c r="CJ502" s="7">
        <v>1.5518000000000001</v>
      </c>
      <c r="CK502" s="7">
        <v>1.5466</v>
      </c>
      <c r="CL502" s="7">
        <v>1.5416000000000001</v>
      </c>
      <c r="CM502" s="7">
        <v>1.5367999999999999</v>
      </c>
      <c r="CN502" s="7">
        <v>1.5322</v>
      </c>
      <c r="CO502" s="7">
        <v>1.5277000000000001</v>
      </c>
      <c r="CP502" s="7">
        <v>1.5235000000000001</v>
      </c>
      <c r="CQ502" s="7">
        <v>1.5194000000000001</v>
      </c>
      <c r="CR502" s="7">
        <v>1.5156000000000001</v>
      </c>
      <c r="CS502" s="7">
        <v>1.5119</v>
      </c>
      <c r="CT502" s="7">
        <v>1.5084</v>
      </c>
      <c r="CU502" s="7">
        <v>1.5049999999999999</v>
      </c>
      <c r="CV502" s="7">
        <v>1.5019</v>
      </c>
      <c r="CW502" s="7">
        <v>1.4988999999999999</v>
      </c>
      <c r="CX502" s="7">
        <v>1.4961</v>
      </c>
      <c r="CY502" s="7">
        <v>1.4935</v>
      </c>
      <c r="CZ502" s="7">
        <v>1.4910000000000001</v>
      </c>
      <c r="DA502" s="7">
        <v>1.4886999999999999</v>
      </c>
      <c r="DB502" s="7">
        <v>1.4865999999999999</v>
      </c>
      <c r="DC502" s="7">
        <v>1.4846999999999999</v>
      </c>
      <c r="DD502" s="7">
        <v>1.4829000000000001</v>
      </c>
      <c r="DE502" s="7">
        <v>1.4813000000000001</v>
      </c>
      <c r="DF502" s="7">
        <v>1.4798</v>
      </c>
      <c r="DG502" s="7">
        <v>1.4785999999999999</v>
      </c>
      <c r="DH502" s="7">
        <v>1.4775</v>
      </c>
      <c r="DI502" s="7">
        <v>1.4765999999999999</v>
      </c>
      <c r="DJ502" s="7">
        <v>1.4758</v>
      </c>
      <c r="DK502" s="7">
        <v>1.4752000000000001</v>
      </c>
      <c r="DL502" s="7">
        <v>1.4748000000000001</v>
      </c>
      <c r="DM502" s="7">
        <v>1.4745999999999999</v>
      </c>
      <c r="DN502" s="7">
        <v>1.4745999999999999</v>
      </c>
      <c r="DO502" s="7">
        <v>1.4746999999999999</v>
      </c>
      <c r="DP502" s="7">
        <v>1.4750000000000001</v>
      </c>
      <c r="DQ502" s="7">
        <v>1.4755</v>
      </c>
      <c r="DR502" s="7">
        <v>1.4762</v>
      </c>
      <c r="DS502" s="7">
        <v>1.4771000000000001</v>
      </c>
      <c r="DT502" s="7">
        <v>1.4781</v>
      </c>
      <c r="DU502" s="7">
        <v>1.4793000000000001</v>
      </c>
      <c r="DV502" s="7">
        <v>1.4806999999999999</v>
      </c>
      <c r="DW502" s="7">
        <v>1.4823</v>
      </c>
      <c r="DX502" s="7">
        <v>1.4841</v>
      </c>
      <c r="DY502" s="7">
        <v>1.486</v>
      </c>
      <c r="DZ502" s="7">
        <v>1.4882</v>
      </c>
      <c r="EA502" s="7">
        <v>1.4904999999999999</v>
      </c>
      <c r="EB502" s="7">
        <v>1.4930000000000001</v>
      </c>
      <c r="EC502" s="7">
        <v>1.4957</v>
      </c>
      <c r="ED502" s="7">
        <v>1.4984999999999999</v>
      </c>
      <c r="EE502" s="7">
        <v>1.5015000000000001</v>
      </c>
      <c r="EF502" s="7">
        <v>1.5046999999999999</v>
      </c>
      <c r="EG502" s="7">
        <v>1.508</v>
      </c>
      <c r="EH502" s="7">
        <v>1.5115000000000001</v>
      </c>
      <c r="EI502" s="7">
        <v>1.5152000000000001</v>
      </c>
      <c r="EJ502" s="7">
        <v>1.5189999999999999</v>
      </c>
      <c r="EK502" s="7">
        <v>1.5228999999999999</v>
      </c>
      <c r="EL502" s="7">
        <v>1.5269999999999999</v>
      </c>
      <c r="EM502" s="7">
        <v>1.5243</v>
      </c>
      <c r="EN502" s="7">
        <v>1.5204</v>
      </c>
      <c r="EO502" s="7">
        <v>1.5165</v>
      </c>
      <c r="EP502" s="7">
        <v>1.5127999999999999</v>
      </c>
      <c r="EQ502" s="7">
        <v>1.5092000000000001</v>
      </c>
      <c r="ER502" s="7">
        <v>1.5058</v>
      </c>
      <c r="ES502" s="7">
        <v>1.5024</v>
      </c>
      <c r="ET502" s="7">
        <v>1.4992000000000001</v>
      </c>
      <c r="EU502" s="7">
        <v>1.4961</v>
      </c>
      <c r="EV502" s="7">
        <v>1.4930000000000001</v>
      </c>
      <c r="EW502" s="7">
        <v>1.4901</v>
      </c>
      <c r="EX502" s="7">
        <v>1.4872000000000001</v>
      </c>
      <c r="EY502" s="7">
        <v>1.4844999999999999</v>
      </c>
      <c r="EZ502" s="7">
        <v>1.4818</v>
      </c>
      <c r="FA502" s="7">
        <v>1.4791000000000001</v>
      </c>
      <c r="FB502" s="7">
        <v>1.4765999999999999</v>
      </c>
      <c r="FC502" s="7">
        <v>1.4741</v>
      </c>
      <c r="FE502" s="50">
        <f t="shared" ca="1" si="54"/>
        <v>1.4826595594983176</v>
      </c>
      <c r="FF502" s="50">
        <f t="shared" ca="1" si="55"/>
        <v>1.4816094520986864</v>
      </c>
      <c r="FG502" s="50">
        <f t="shared" ca="1" si="56"/>
        <v>1.4805938255033557</v>
      </c>
      <c r="FH502" s="50">
        <f t="shared" ca="1" si="57"/>
        <v>1.4796542281879195</v>
      </c>
      <c r="FK502" s="50">
        <f t="shared" ca="1" si="53"/>
        <v>1.4816094520986864</v>
      </c>
      <c r="FL502" s="50"/>
      <c r="FM502" s="50"/>
      <c r="FN502" s="50"/>
    </row>
    <row r="503" spans="49:170" hidden="1">
      <c r="AW503" s="433">
        <v>26.914999999999999</v>
      </c>
      <c r="AX503" s="7">
        <v>2.0087999999999999</v>
      </c>
      <c r="AY503" s="7">
        <v>1.9851000000000001</v>
      </c>
      <c r="AZ503" s="7">
        <v>1.9624999999999999</v>
      </c>
      <c r="BA503" s="7">
        <v>1.9410000000000001</v>
      </c>
      <c r="BB503" s="7">
        <v>1.9205000000000001</v>
      </c>
      <c r="BC503" s="7">
        <v>1.9009</v>
      </c>
      <c r="BD503" s="7">
        <v>1.8822000000000001</v>
      </c>
      <c r="BE503" s="7">
        <v>1.8643000000000001</v>
      </c>
      <c r="BF503" s="7">
        <v>1.8472</v>
      </c>
      <c r="BG503" s="7">
        <v>1.8308</v>
      </c>
      <c r="BH503" s="7">
        <v>1.8150999999999999</v>
      </c>
      <c r="BI503" s="7">
        <v>1.8</v>
      </c>
      <c r="BJ503" s="7">
        <v>1.7856000000000001</v>
      </c>
      <c r="BK503" s="7">
        <v>1.7717000000000001</v>
      </c>
      <c r="BL503" s="7">
        <v>1.7584</v>
      </c>
      <c r="BM503" s="7">
        <v>1.7455000000000001</v>
      </c>
      <c r="BN503" s="7">
        <v>1.7332000000000001</v>
      </c>
      <c r="BO503" s="7">
        <v>1.7214</v>
      </c>
      <c r="BP503" s="7">
        <v>1.71</v>
      </c>
      <c r="BQ503" s="7">
        <v>1.6990000000000001</v>
      </c>
      <c r="BR503" s="7">
        <v>1.6883999999999999</v>
      </c>
      <c r="BS503" s="7">
        <v>1.6781999999999999</v>
      </c>
      <c r="BT503" s="7">
        <v>1.6684000000000001</v>
      </c>
      <c r="BU503" s="7">
        <v>1.659</v>
      </c>
      <c r="BV503" s="7">
        <v>1.6498999999999999</v>
      </c>
      <c r="BW503" s="7">
        <v>1.6411</v>
      </c>
      <c r="BX503" s="7">
        <v>1.6326000000000001</v>
      </c>
      <c r="BY503" s="7">
        <v>1.6244000000000001</v>
      </c>
      <c r="BZ503" s="7">
        <v>1.6166</v>
      </c>
      <c r="CA503" s="7">
        <v>1.609</v>
      </c>
      <c r="CB503" s="7">
        <v>1.6015999999999999</v>
      </c>
      <c r="CC503" s="7">
        <v>1.5946</v>
      </c>
      <c r="CD503" s="7">
        <v>1.5878000000000001</v>
      </c>
      <c r="CE503" s="7">
        <v>1.5811999999999999</v>
      </c>
      <c r="CF503" s="7">
        <v>1.5749</v>
      </c>
      <c r="CG503" s="7">
        <v>1.5688</v>
      </c>
      <c r="CH503" s="7">
        <v>1.5629</v>
      </c>
      <c r="CI503" s="7">
        <v>1.5572999999999999</v>
      </c>
      <c r="CJ503" s="7">
        <v>1.5518000000000001</v>
      </c>
      <c r="CK503" s="7">
        <v>1.5466</v>
      </c>
      <c r="CL503" s="7">
        <v>1.5416000000000001</v>
      </c>
      <c r="CM503" s="7">
        <v>1.5367999999999999</v>
      </c>
      <c r="CN503" s="7">
        <v>1.5322</v>
      </c>
      <c r="CO503" s="7">
        <v>1.5277000000000001</v>
      </c>
      <c r="CP503" s="7">
        <v>1.5235000000000001</v>
      </c>
      <c r="CQ503" s="7">
        <v>1.5194000000000001</v>
      </c>
      <c r="CR503" s="7">
        <v>1.5156000000000001</v>
      </c>
      <c r="CS503" s="7">
        <v>1.5119</v>
      </c>
      <c r="CT503" s="7">
        <v>1.5084</v>
      </c>
      <c r="CU503" s="7">
        <v>1.5049999999999999</v>
      </c>
      <c r="CV503" s="7">
        <v>1.5019</v>
      </c>
      <c r="CW503" s="7">
        <v>1.4988999999999999</v>
      </c>
      <c r="CX503" s="7">
        <v>1.4961</v>
      </c>
      <c r="CY503" s="7">
        <v>1.4935</v>
      </c>
      <c r="CZ503" s="7">
        <v>1.4910000000000001</v>
      </c>
      <c r="DA503" s="7">
        <v>1.4886999999999999</v>
      </c>
      <c r="DB503" s="7">
        <v>1.4865999999999999</v>
      </c>
      <c r="DC503" s="7">
        <v>1.4846999999999999</v>
      </c>
      <c r="DD503" s="7">
        <v>1.4829000000000001</v>
      </c>
      <c r="DE503" s="7">
        <v>1.4813000000000001</v>
      </c>
      <c r="DF503" s="7">
        <v>1.4798</v>
      </c>
      <c r="DG503" s="7">
        <v>1.4785999999999999</v>
      </c>
      <c r="DH503" s="7">
        <v>1.4775</v>
      </c>
      <c r="DI503" s="7">
        <v>1.4765999999999999</v>
      </c>
      <c r="DJ503" s="7">
        <v>1.4758</v>
      </c>
      <c r="DK503" s="7">
        <v>1.4752000000000001</v>
      </c>
      <c r="DL503" s="7">
        <v>1.4748000000000001</v>
      </c>
      <c r="DM503" s="7">
        <v>1.4745999999999999</v>
      </c>
      <c r="DN503" s="7">
        <v>1.4745999999999999</v>
      </c>
      <c r="DO503" s="7">
        <v>1.4746999999999999</v>
      </c>
      <c r="DP503" s="7">
        <v>1.4750000000000001</v>
      </c>
      <c r="DQ503" s="7">
        <v>1.4755</v>
      </c>
      <c r="DR503" s="7">
        <v>1.4762</v>
      </c>
      <c r="DS503" s="7">
        <v>1.4771000000000001</v>
      </c>
      <c r="DT503" s="7">
        <v>1.4781</v>
      </c>
      <c r="DU503" s="7">
        <v>1.4793000000000001</v>
      </c>
      <c r="DV503" s="7">
        <v>1.4806999999999999</v>
      </c>
      <c r="DW503" s="7">
        <v>1.4823</v>
      </c>
      <c r="DX503" s="7">
        <v>1.4841</v>
      </c>
      <c r="DY503" s="7">
        <v>1.486</v>
      </c>
      <c r="DZ503" s="7">
        <v>1.4882</v>
      </c>
      <c r="EA503" s="7">
        <v>1.4904999999999999</v>
      </c>
      <c r="EB503" s="7">
        <v>1.4930000000000001</v>
      </c>
      <c r="EC503" s="7">
        <v>1.4957</v>
      </c>
      <c r="ED503" s="7">
        <v>1.4984999999999999</v>
      </c>
      <c r="EE503" s="7">
        <v>1.5015000000000001</v>
      </c>
      <c r="EF503" s="7">
        <v>1.5046999999999999</v>
      </c>
      <c r="EG503" s="7">
        <v>1.508</v>
      </c>
      <c r="EH503" s="7">
        <v>1.5115000000000001</v>
      </c>
      <c r="EI503" s="7">
        <v>1.5152000000000001</v>
      </c>
      <c r="EJ503" s="7">
        <v>1.5189999999999999</v>
      </c>
      <c r="EK503" s="7">
        <v>1.5228999999999999</v>
      </c>
      <c r="EL503" s="7">
        <v>1.5269999999999999</v>
      </c>
      <c r="EM503" s="7">
        <v>1.5310999999999999</v>
      </c>
      <c r="EN503" s="7">
        <v>1.5271999999999999</v>
      </c>
      <c r="EO503" s="7">
        <v>1.5235000000000001</v>
      </c>
      <c r="EP503" s="7">
        <v>1.5198</v>
      </c>
      <c r="EQ503" s="7">
        <v>1.5163</v>
      </c>
      <c r="ER503" s="7">
        <v>1.5128999999999999</v>
      </c>
      <c r="ES503" s="7">
        <v>1.5097</v>
      </c>
      <c r="ET503" s="7">
        <v>1.5065</v>
      </c>
      <c r="EU503" s="7">
        <v>1.5035000000000001</v>
      </c>
      <c r="EV503" s="7">
        <v>1.5004999999999999</v>
      </c>
      <c r="EW503" s="7">
        <v>1.4977</v>
      </c>
      <c r="EX503" s="7">
        <v>1.4948999999999999</v>
      </c>
      <c r="EY503" s="7">
        <v>1.4923</v>
      </c>
      <c r="EZ503" s="7">
        <v>1.4897</v>
      </c>
      <c r="FA503" s="7">
        <v>1.4872000000000001</v>
      </c>
      <c r="FB503" s="7">
        <v>1.4846999999999999</v>
      </c>
      <c r="FC503" s="7">
        <v>1.4823999999999999</v>
      </c>
      <c r="FE503" s="50">
        <f t="shared" ca="1" si="54"/>
        <v>1.4826595594983176</v>
      </c>
      <c r="FF503" s="50">
        <f t="shared" ca="1" si="55"/>
        <v>1.4816094520986864</v>
      </c>
      <c r="FG503" s="50">
        <f t="shared" ca="1" si="56"/>
        <v>1.4805938255033557</v>
      </c>
      <c r="FH503" s="50">
        <f t="shared" ca="1" si="57"/>
        <v>1.4796542281879195</v>
      </c>
      <c r="FK503" s="50">
        <f t="shared" ca="1" si="53"/>
        <v>1.4816094520986864</v>
      </c>
      <c r="FL503" s="50"/>
      <c r="FM503" s="50"/>
      <c r="FN503" s="50"/>
    </row>
    <row r="504" spans="49:170" hidden="1">
      <c r="AW504" s="433">
        <v>28.84</v>
      </c>
      <c r="AX504" s="7">
        <v>2.0087999999999999</v>
      </c>
      <c r="AY504" s="7">
        <v>1.9851000000000001</v>
      </c>
      <c r="AZ504" s="7">
        <v>1.9624999999999999</v>
      </c>
      <c r="BA504" s="7">
        <v>1.9410000000000001</v>
      </c>
      <c r="BB504" s="7">
        <v>1.9205000000000001</v>
      </c>
      <c r="BC504" s="7">
        <v>1.9009</v>
      </c>
      <c r="BD504" s="7">
        <v>1.8822000000000001</v>
      </c>
      <c r="BE504" s="7">
        <v>1.8643000000000001</v>
      </c>
      <c r="BF504" s="7">
        <v>1.8472</v>
      </c>
      <c r="BG504" s="7">
        <v>1.8308</v>
      </c>
      <c r="BH504" s="7">
        <v>1.8150999999999999</v>
      </c>
      <c r="BI504" s="7">
        <v>1.8</v>
      </c>
      <c r="BJ504" s="7">
        <v>1.7856000000000001</v>
      </c>
      <c r="BK504" s="7">
        <v>1.7717000000000001</v>
      </c>
      <c r="BL504" s="7">
        <v>1.7584</v>
      </c>
      <c r="BM504" s="7">
        <v>1.7455000000000001</v>
      </c>
      <c r="BN504" s="7">
        <v>1.7332000000000001</v>
      </c>
      <c r="BO504" s="7">
        <v>1.7214</v>
      </c>
      <c r="BP504" s="7">
        <v>1.71</v>
      </c>
      <c r="BQ504" s="7">
        <v>1.6990000000000001</v>
      </c>
      <c r="BR504" s="7">
        <v>1.6883999999999999</v>
      </c>
      <c r="BS504" s="7">
        <v>1.6781999999999999</v>
      </c>
      <c r="BT504" s="7">
        <v>1.6684000000000001</v>
      </c>
      <c r="BU504" s="7">
        <v>1.659</v>
      </c>
      <c r="BV504" s="7">
        <v>1.6498999999999999</v>
      </c>
      <c r="BW504" s="7">
        <v>1.6411</v>
      </c>
      <c r="BX504" s="7">
        <v>1.6326000000000001</v>
      </c>
      <c r="BY504" s="7">
        <v>1.6244000000000001</v>
      </c>
      <c r="BZ504" s="7">
        <v>1.6166</v>
      </c>
      <c r="CA504" s="7">
        <v>1.609</v>
      </c>
      <c r="CB504" s="7">
        <v>1.6015999999999999</v>
      </c>
      <c r="CC504" s="7">
        <v>1.5946</v>
      </c>
      <c r="CD504" s="7">
        <v>1.5878000000000001</v>
      </c>
      <c r="CE504" s="7">
        <v>1.5811999999999999</v>
      </c>
      <c r="CF504" s="7">
        <v>1.5749</v>
      </c>
      <c r="CG504" s="7">
        <v>1.5688</v>
      </c>
      <c r="CH504" s="7">
        <v>1.5629</v>
      </c>
      <c r="CI504" s="7">
        <v>1.5572999999999999</v>
      </c>
      <c r="CJ504" s="7">
        <v>1.5518000000000001</v>
      </c>
      <c r="CK504" s="7">
        <v>1.5466</v>
      </c>
      <c r="CL504" s="7">
        <v>1.5416000000000001</v>
      </c>
      <c r="CM504" s="7">
        <v>1.5367999999999999</v>
      </c>
      <c r="CN504" s="7">
        <v>1.5322</v>
      </c>
      <c r="CO504" s="7">
        <v>1.5277000000000001</v>
      </c>
      <c r="CP504" s="7">
        <v>1.5235000000000001</v>
      </c>
      <c r="CQ504" s="7">
        <v>1.5194000000000001</v>
      </c>
      <c r="CR504" s="7">
        <v>1.5156000000000001</v>
      </c>
      <c r="CS504" s="7">
        <v>1.5119</v>
      </c>
      <c r="CT504" s="7">
        <v>1.5084</v>
      </c>
      <c r="CU504" s="7">
        <v>1.5049999999999999</v>
      </c>
      <c r="CV504" s="7">
        <v>1.5019</v>
      </c>
      <c r="CW504" s="7">
        <v>1.4988999999999999</v>
      </c>
      <c r="CX504" s="7">
        <v>1.4961</v>
      </c>
      <c r="CY504" s="7">
        <v>1.4935</v>
      </c>
      <c r="CZ504" s="7">
        <v>1.4910000000000001</v>
      </c>
      <c r="DA504" s="7">
        <v>1.4886999999999999</v>
      </c>
      <c r="DB504" s="7">
        <v>1.4865999999999999</v>
      </c>
      <c r="DC504" s="7">
        <v>1.4846999999999999</v>
      </c>
      <c r="DD504" s="7">
        <v>1.4829000000000001</v>
      </c>
      <c r="DE504" s="7">
        <v>1.4813000000000001</v>
      </c>
      <c r="DF504" s="7">
        <v>1.4798</v>
      </c>
      <c r="DG504" s="7">
        <v>1.4785999999999999</v>
      </c>
      <c r="DH504" s="7">
        <v>1.4775</v>
      </c>
      <c r="DI504" s="7">
        <v>1.4765999999999999</v>
      </c>
      <c r="DJ504" s="7">
        <v>1.4758</v>
      </c>
      <c r="DK504" s="7">
        <v>1.4752000000000001</v>
      </c>
      <c r="DL504" s="7">
        <v>1.4748000000000001</v>
      </c>
      <c r="DM504" s="7">
        <v>1.4745999999999999</v>
      </c>
      <c r="DN504" s="7">
        <v>1.4745999999999999</v>
      </c>
      <c r="DO504" s="7">
        <v>1.4746999999999999</v>
      </c>
      <c r="DP504" s="7">
        <v>1.4750000000000001</v>
      </c>
      <c r="DQ504" s="7">
        <v>1.4755</v>
      </c>
      <c r="DR504" s="7">
        <v>1.4762</v>
      </c>
      <c r="DS504" s="7">
        <v>1.4771000000000001</v>
      </c>
      <c r="DT504" s="7">
        <v>1.4781</v>
      </c>
      <c r="DU504" s="7">
        <v>1.4793000000000001</v>
      </c>
      <c r="DV504" s="7">
        <v>1.4806999999999999</v>
      </c>
      <c r="DW504" s="7">
        <v>1.4823</v>
      </c>
      <c r="DX504" s="7">
        <v>1.4841</v>
      </c>
      <c r="DY504" s="7">
        <v>1.486</v>
      </c>
      <c r="DZ504" s="7">
        <v>1.4882</v>
      </c>
      <c r="EA504" s="7">
        <v>1.4904999999999999</v>
      </c>
      <c r="EB504" s="7">
        <v>1.4930000000000001</v>
      </c>
      <c r="EC504" s="7">
        <v>1.4956</v>
      </c>
      <c r="ED504" s="7">
        <v>1.4984999999999999</v>
      </c>
      <c r="EE504" s="7">
        <v>1.5015000000000001</v>
      </c>
      <c r="EF504" s="7">
        <v>1.5046999999999999</v>
      </c>
      <c r="EG504" s="7">
        <v>1.508</v>
      </c>
      <c r="EH504" s="7">
        <v>1.5115000000000001</v>
      </c>
      <c r="EI504" s="7">
        <v>1.5152000000000001</v>
      </c>
      <c r="EJ504" s="7">
        <v>1.5189999999999999</v>
      </c>
      <c r="EK504" s="7">
        <v>1.5228999999999999</v>
      </c>
      <c r="EL504" s="7">
        <v>1.5269999999999999</v>
      </c>
      <c r="EM504" s="7">
        <v>1.5311999999999999</v>
      </c>
      <c r="EN504" s="7">
        <v>1.534</v>
      </c>
      <c r="EO504" s="7">
        <v>1.5303</v>
      </c>
      <c r="EP504" s="7">
        <v>1.5267999999999999</v>
      </c>
      <c r="EQ504" s="7">
        <v>1.5233000000000001</v>
      </c>
      <c r="ER504" s="7">
        <v>1.52</v>
      </c>
      <c r="ES504" s="7">
        <v>1.5167999999999999</v>
      </c>
      <c r="ET504" s="7">
        <v>1.5138</v>
      </c>
      <c r="EU504" s="7">
        <v>1.5107999999999999</v>
      </c>
      <c r="EV504" s="7">
        <v>1.508</v>
      </c>
      <c r="EW504" s="7">
        <v>1.5052000000000001</v>
      </c>
      <c r="EX504" s="7">
        <v>1.5025999999999999</v>
      </c>
      <c r="EY504" s="7">
        <v>1.5</v>
      </c>
      <c r="EZ504" s="7">
        <v>1.4975000000000001</v>
      </c>
      <c r="FA504" s="7">
        <v>1.4951000000000001</v>
      </c>
      <c r="FB504" s="7">
        <v>1.4927999999999999</v>
      </c>
      <c r="FC504" s="7">
        <v>1.4905999999999999</v>
      </c>
      <c r="FE504" s="50">
        <f t="shared" ca="1" si="54"/>
        <v>1.4826595594983176</v>
      </c>
      <c r="FF504" s="50">
        <f t="shared" ca="1" si="55"/>
        <v>1.4816094520986864</v>
      </c>
      <c r="FG504" s="50">
        <f t="shared" ca="1" si="56"/>
        <v>1.4805938255033557</v>
      </c>
      <c r="FH504" s="50">
        <f t="shared" ca="1" si="57"/>
        <v>1.4796542281879195</v>
      </c>
      <c r="FK504" s="50">
        <f t="shared" ca="1" si="53"/>
        <v>1.4816094520986864</v>
      </c>
      <c r="FL504" s="50"/>
      <c r="FM504" s="50"/>
      <c r="FN504" s="50"/>
    </row>
    <row r="505" spans="49:170" hidden="1">
      <c r="AW505" s="433">
        <v>30.902999999999999</v>
      </c>
      <c r="AX505" s="7">
        <v>2.0087999999999999</v>
      </c>
      <c r="AY505" s="7">
        <v>1.9851000000000001</v>
      </c>
      <c r="AZ505" s="7">
        <v>1.9624999999999999</v>
      </c>
      <c r="BA505" s="7">
        <v>1.9410000000000001</v>
      </c>
      <c r="BB505" s="7">
        <v>1.9205000000000001</v>
      </c>
      <c r="BC505" s="7">
        <v>1.9009</v>
      </c>
      <c r="BD505" s="7">
        <v>1.8822000000000001</v>
      </c>
      <c r="BE505" s="7">
        <v>1.8643000000000001</v>
      </c>
      <c r="BF505" s="7">
        <v>1.8472</v>
      </c>
      <c r="BG505" s="7">
        <v>1.8308</v>
      </c>
      <c r="BH505" s="7">
        <v>1.8150999999999999</v>
      </c>
      <c r="BI505" s="7">
        <v>1.8</v>
      </c>
      <c r="BJ505" s="7">
        <v>1.7856000000000001</v>
      </c>
      <c r="BK505" s="7">
        <v>1.7717000000000001</v>
      </c>
      <c r="BL505" s="7">
        <v>1.7584</v>
      </c>
      <c r="BM505" s="7">
        <v>1.7455000000000001</v>
      </c>
      <c r="BN505" s="7">
        <v>1.7332000000000001</v>
      </c>
      <c r="BO505" s="7">
        <v>1.7214</v>
      </c>
      <c r="BP505" s="7">
        <v>1.71</v>
      </c>
      <c r="BQ505" s="7">
        <v>1.6990000000000001</v>
      </c>
      <c r="BR505" s="7">
        <v>1.6883999999999999</v>
      </c>
      <c r="BS505" s="7">
        <v>1.6781999999999999</v>
      </c>
      <c r="BT505" s="7">
        <v>1.6684000000000001</v>
      </c>
      <c r="BU505" s="7">
        <v>1.659</v>
      </c>
      <c r="BV505" s="7">
        <v>1.6498999999999999</v>
      </c>
      <c r="BW505" s="7">
        <v>1.6411</v>
      </c>
      <c r="BX505" s="7">
        <v>1.6326000000000001</v>
      </c>
      <c r="BY505" s="7">
        <v>1.6244000000000001</v>
      </c>
      <c r="BZ505" s="7">
        <v>1.6166</v>
      </c>
      <c r="CA505" s="7">
        <v>1.609</v>
      </c>
      <c r="CB505" s="7">
        <v>1.6015999999999999</v>
      </c>
      <c r="CC505" s="7">
        <v>1.5946</v>
      </c>
      <c r="CD505" s="7">
        <v>1.5878000000000001</v>
      </c>
      <c r="CE505" s="7">
        <v>1.5811999999999999</v>
      </c>
      <c r="CF505" s="7">
        <v>1.5749</v>
      </c>
      <c r="CG505" s="7">
        <v>1.5688</v>
      </c>
      <c r="CH505" s="7">
        <v>1.5629</v>
      </c>
      <c r="CI505" s="7">
        <v>1.5572999999999999</v>
      </c>
      <c r="CJ505" s="7">
        <v>1.5518000000000001</v>
      </c>
      <c r="CK505" s="7">
        <v>1.5466</v>
      </c>
      <c r="CL505" s="7">
        <v>1.5416000000000001</v>
      </c>
      <c r="CM505" s="7">
        <v>1.5367999999999999</v>
      </c>
      <c r="CN505" s="7">
        <v>1.5322</v>
      </c>
      <c r="CO505" s="7">
        <v>1.5277000000000001</v>
      </c>
      <c r="CP505" s="7">
        <v>1.5235000000000001</v>
      </c>
      <c r="CQ505" s="7">
        <v>1.5194000000000001</v>
      </c>
      <c r="CR505" s="7">
        <v>1.5156000000000001</v>
      </c>
      <c r="CS505" s="7">
        <v>1.5119</v>
      </c>
      <c r="CT505" s="7">
        <v>1.5084</v>
      </c>
      <c r="CU505" s="7">
        <v>1.5049999999999999</v>
      </c>
      <c r="CV505" s="7">
        <v>1.5019</v>
      </c>
      <c r="CW505" s="7">
        <v>1.4988999999999999</v>
      </c>
      <c r="CX505" s="7">
        <v>1.4961</v>
      </c>
      <c r="CY505" s="7">
        <v>1.4935</v>
      </c>
      <c r="CZ505" s="7">
        <v>1.4910000000000001</v>
      </c>
      <c r="DA505" s="7">
        <v>1.4886999999999999</v>
      </c>
      <c r="DB505" s="7">
        <v>1.4865999999999999</v>
      </c>
      <c r="DC505" s="7">
        <v>1.4846999999999999</v>
      </c>
      <c r="DD505" s="7">
        <v>1.4829000000000001</v>
      </c>
      <c r="DE505" s="7">
        <v>1.4813000000000001</v>
      </c>
      <c r="DF505" s="7">
        <v>1.4798</v>
      </c>
      <c r="DG505" s="7">
        <v>1.4785999999999999</v>
      </c>
      <c r="DH505" s="7">
        <v>1.4775</v>
      </c>
      <c r="DI505" s="7">
        <v>1.4765999999999999</v>
      </c>
      <c r="DJ505" s="7">
        <v>1.4758</v>
      </c>
      <c r="DK505" s="7">
        <v>1.4752000000000001</v>
      </c>
      <c r="DL505" s="7">
        <v>1.4748000000000001</v>
      </c>
      <c r="DM505" s="7">
        <v>1.4745999999999999</v>
      </c>
      <c r="DN505" s="7">
        <v>1.4745999999999999</v>
      </c>
      <c r="DO505" s="7">
        <v>1.4746999999999999</v>
      </c>
      <c r="DP505" s="7">
        <v>1.4750000000000001</v>
      </c>
      <c r="DQ505" s="7">
        <v>1.4755</v>
      </c>
      <c r="DR505" s="7">
        <v>1.4762</v>
      </c>
      <c r="DS505" s="7">
        <v>1.4771000000000001</v>
      </c>
      <c r="DT505" s="7">
        <v>1.4781</v>
      </c>
      <c r="DU505" s="7">
        <v>1.4793000000000001</v>
      </c>
      <c r="DV505" s="7">
        <v>1.4806999999999999</v>
      </c>
      <c r="DW505" s="7">
        <v>1.4823</v>
      </c>
      <c r="DX505" s="7">
        <v>1.4841</v>
      </c>
      <c r="DY505" s="7">
        <v>1.486</v>
      </c>
      <c r="DZ505" s="7">
        <v>1.4882</v>
      </c>
      <c r="EA505" s="7">
        <v>1.4904999999999999</v>
      </c>
      <c r="EB505" s="7">
        <v>1.4930000000000001</v>
      </c>
      <c r="EC505" s="7">
        <v>1.4957</v>
      </c>
      <c r="ED505" s="7">
        <v>1.4984999999999999</v>
      </c>
      <c r="EE505" s="7">
        <v>1.5015000000000001</v>
      </c>
      <c r="EF505" s="7">
        <v>1.5046999999999999</v>
      </c>
      <c r="EG505" s="7">
        <v>1.508</v>
      </c>
      <c r="EH505" s="7">
        <v>1.5115000000000001</v>
      </c>
      <c r="EI505" s="7">
        <v>1.5152000000000001</v>
      </c>
      <c r="EJ505" s="7">
        <v>1.5189999999999999</v>
      </c>
      <c r="EK505" s="7">
        <v>1.5228999999999999</v>
      </c>
      <c r="EL505" s="7">
        <v>1.5269999999999999</v>
      </c>
      <c r="EM505" s="7">
        <v>1.5311999999999999</v>
      </c>
      <c r="EN505" s="7">
        <v>1.5355000000000001</v>
      </c>
      <c r="EO505" s="7">
        <v>1.5370999999999999</v>
      </c>
      <c r="EP505" s="7">
        <v>1.5336000000000001</v>
      </c>
      <c r="EQ505" s="7">
        <v>1.5303</v>
      </c>
      <c r="ER505" s="7">
        <v>1.5269999999999999</v>
      </c>
      <c r="ES505" s="7">
        <v>1.5239</v>
      </c>
      <c r="ET505" s="7">
        <v>1.5209999999999999</v>
      </c>
      <c r="EU505" s="7">
        <v>1.5181</v>
      </c>
      <c r="EV505" s="7">
        <v>1.5153000000000001</v>
      </c>
      <c r="EW505" s="7">
        <v>1.5126999999999999</v>
      </c>
      <c r="EX505" s="7">
        <v>1.5101</v>
      </c>
      <c r="EY505" s="7">
        <v>1.5077</v>
      </c>
      <c r="EZ505" s="7">
        <v>1.5053000000000001</v>
      </c>
      <c r="FA505" s="7">
        <v>1.5029999999999999</v>
      </c>
      <c r="FB505" s="7">
        <v>1.5007999999999999</v>
      </c>
      <c r="FC505" s="7">
        <v>1.4986999999999999</v>
      </c>
      <c r="FE505" s="50">
        <f t="shared" ca="1" si="54"/>
        <v>1.4826595594983176</v>
      </c>
      <c r="FF505" s="50">
        <f t="shared" ca="1" si="55"/>
        <v>1.4816094520986864</v>
      </c>
      <c r="FG505" s="50">
        <f t="shared" ca="1" si="56"/>
        <v>1.4805938255033557</v>
      </c>
      <c r="FH505" s="50">
        <f t="shared" ca="1" si="57"/>
        <v>1.4796542281879195</v>
      </c>
      <c r="FK505" s="50">
        <f t="shared" ca="1" si="53"/>
        <v>1.4816094520986864</v>
      </c>
      <c r="FL505" s="50"/>
      <c r="FM505" s="50"/>
      <c r="FN505" s="50"/>
    </row>
    <row r="506" spans="49:170" hidden="1">
      <c r="AW506" s="433">
        <v>33.113</v>
      </c>
      <c r="AX506" s="7">
        <v>2.0087999999999999</v>
      </c>
      <c r="AY506" s="7">
        <v>1.9851000000000001</v>
      </c>
      <c r="AZ506" s="7">
        <v>1.9624999999999999</v>
      </c>
      <c r="BA506" s="7">
        <v>1.9410000000000001</v>
      </c>
      <c r="BB506" s="7">
        <v>1.9205000000000001</v>
      </c>
      <c r="BC506" s="7">
        <v>1.9009</v>
      </c>
      <c r="BD506" s="7">
        <v>1.8822000000000001</v>
      </c>
      <c r="BE506" s="7">
        <v>1.8643000000000001</v>
      </c>
      <c r="BF506" s="7">
        <v>1.8472</v>
      </c>
      <c r="BG506" s="7">
        <v>1.8308</v>
      </c>
      <c r="BH506" s="7">
        <v>1.8150999999999999</v>
      </c>
      <c r="BI506" s="7">
        <v>1.8</v>
      </c>
      <c r="BJ506" s="7">
        <v>1.7856000000000001</v>
      </c>
      <c r="BK506" s="7">
        <v>1.7717000000000001</v>
      </c>
      <c r="BL506" s="7">
        <v>1.7584</v>
      </c>
      <c r="BM506" s="7">
        <v>1.7455000000000001</v>
      </c>
      <c r="BN506" s="7">
        <v>1.7332000000000001</v>
      </c>
      <c r="BO506" s="7">
        <v>1.7214</v>
      </c>
      <c r="BP506" s="7">
        <v>1.71</v>
      </c>
      <c r="BQ506" s="7">
        <v>1.6990000000000001</v>
      </c>
      <c r="BR506" s="7">
        <v>1.6883999999999999</v>
      </c>
      <c r="BS506" s="7">
        <v>1.6781999999999999</v>
      </c>
      <c r="BT506" s="7">
        <v>1.6684000000000001</v>
      </c>
      <c r="BU506" s="7">
        <v>1.659</v>
      </c>
      <c r="BV506" s="7">
        <v>1.6498999999999999</v>
      </c>
      <c r="BW506" s="7">
        <v>1.6411</v>
      </c>
      <c r="BX506" s="7">
        <v>1.6326000000000001</v>
      </c>
      <c r="BY506" s="7">
        <v>1.6244000000000001</v>
      </c>
      <c r="BZ506" s="7">
        <v>1.6166</v>
      </c>
      <c r="CA506" s="7">
        <v>1.609</v>
      </c>
      <c r="CB506" s="7">
        <v>1.6015999999999999</v>
      </c>
      <c r="CC506" s="7">
        <v>1.5946</v>
      </c>
      <c r="CD506" s="7">
        <v>1.5878000000000001</v>
      </c>
      <c r="CE506" s="7">
        <v>1.5811999999999999</v>
      </c>
      <c r="CF506" s="7">
        <v>1.5749</v>
      </c>
      <c r="CG506" s="7">
        <v>1.5688</v>
      </c>
      <c r="CH506" s="7">
        <v>1.5629</v>
      </c>
      <c r="CI506" s="7">
        <v>1.5572999999999999</v>
      </c>
      <c r="CJ506" s="7">
        <v>1.5518000000000001</v>
      </c>
      <c r="CK506" s="7">
        <v>1.5466</v>
      </c>
      <c r="CL506" s="7">
        <v>1.5416000000000001</v>
      </c>
      <c r="CM506" s="7">
        <v>1.5367999999999999</v>
      </c>
      <c r="CN506" s="7">
        <v>1.5322</v>
      </c>
      <c r="CO506" s="7">
        <v>1.5277000000000001</v>
      </c>
      <c r="CP506" s="7">
        <v>1.5235000000000001</v>
      </c>
      <c r="CQ506" s="7">
        <v>1.5194000000000001</v>
      </c>
      <c r="CR506" s="7">
        <v>1.5156000000000001</v>
      </c>
      <c r="CS506" s="7">
        <v>1.5119</v>
      </c>
      <c r="CT506" s="7">
        <v>1.5084</v>
      </c>
      <c r="CU506" s="7">
        <v>1.5049999999999999</v>
      </c>
      <c r="CV506" s="7">
        <v>1.5019</v>
      </c>
      <c r="CW506" s="7">
        <v>1.4988999999999999</v>
      </c>
      <c r="CX506" s="7">
        <v>1.4961</v>
      </c>
      <c r="CY506" s="7">
        <v>1.4935</v>
      </c>
      <c r="CZ506" s="7">
        <v>1.4910000000000001</v>
      </c>
      <c r="DA506" s="7">
        <v>1.4886999999999999</v>
      </c>
      <c r="DB506" s="7">
        <v>1.4865999999999999</v>
      </c>
      <c r="DC506" s="7">
        <v>1.4846999999999999</v>
      </c>
      <c r="DD506" s="7">
        <v>1.4829000000000001</v>
      </c>
      <c r="DE506" s="7">
        <v>1.4813000000000001</v>
      </c>
      <c r="DF506" s="7">
        <v>1.4798</v>
      </c>
      <c r="DG506" s="7">
        <v>1.4785999999999999</v>
      </c>
      <c r="DH506" s="7">
        <v>1.4775</v>
      </c>
      <c r="DI506" s="7">
        <v>1.4765999999999999</v>
      </c>
      <c r="DJ506" s="7">
        <v>1.4758</v>
      </c>
      <c r="DK506" s="7">
        <v>1.4752000000000001</v>
      </c>
      <c r="DL506" s="7">
        <v>1.4748000000000001</v>
      </c>
      <c r="DM506" s="7">
        <v>1.4745999999999999</v>
      </c>
      <c r="DN506" s="7">
        <v>1.4745999999999999</v>
      </c>
      <c r="DO506" s="7">
        <v>1.4746999999999999</v>
      </c>
      <c r="DP506" s="7">
        <v>1.4750000000000001</v>
      </c>
      <c r="DQ506" s="7">
        <v>1.4755</v>
      </c>
      <c r="DR506" s="7">
        <v>1.4762</v>
      </c>
      <c r="DS506" s="7">
        <v>1.4771000000000001</v>
      </c>
      <c r="DT506" s="7">
        <v>1.4781</v>
      </c>
      <c r="DU506" s="7">
        <v>1.4793000000000001</v>
      </c>
      <c r="DV506" s="7">
        <v>1.4806999999999999</v>
      </c>
      <c r="DW506" s="7">
        <v>1.4823</v>
      </c>
      <c r="DX506" s="7">
        <v>1.4841</v>
      </c>
      <c r="DY506" s="7">
        <v>1.486</v>
      </c>
      <c r="DZ506" s="7">
        <v>1.4882</v>
      </c>
      <c r="EA506" s="7">
        <v>1.4904999999999999</v>
      </c>
      <c r="EB506" s="7">
        <v>1.4930000000000001</v>
      </c>
      <c r="EC506" s="7">
        <v>1.4957</v>
      </c>
      <c r="ED506" s="7">
        <v>1.4984999999999999</v>
      </c>
      <c r="EE506" s="7">
        <v>1.5015000000000001</v>
      </c>
      <c r="EF506" s="7">
        <v>1.5046999999999999</v>
      </c>
      <c r="EG506" s="7">
        <v>1.508</v>
      </c>
      <c r="EH506" s="7">
        <v>1.5115000000000001</v>
      </c>
      <c r="EI506" s="7">
        <v>1.5152000000000001</v>
      </c>
      <c r="EJ506" s="7">
        <v>1.5189999999999999</v>
      </c>
      <c r="EK506" s="7">
        <v>1.5228999999999999</v>
      </c>
      <c r="EL506" s="7">
        <v>1.5269999999999999</v>
      </c>
      <c r="EM506" s="7">
        <v>1.5311999999999999</v>
      </c>
      <c r="EN506" s="7">
        <v>1.5355000000000001</v>
      </c>
      <c r="EO506" s="7">
        <v>1.54</v>
      </c>
      <c r="EP506" s="7">
        <v>1.5404</v>
      </c>
      <c r="EQ506" s="7">
        <v>1.5370999999999999</v>
      </c>
      <c r="ER506" s="7">
        <v>1.534</v>
      </c>
      <c r="ES506" s="7">
        <v>1.5309999999999999</v>
      </c>
      <c r="ET506" s="7">
        <v>1.5281</v>
      </c>
      <c r="EU506" s="7">
        <v>1.5253000000000001</v>
      </c>
      <c r="EV506" s="7">
        <v>1.5226</v>
      </c>
      <c r="EW506" s="7">
        <v>1.5201</v>
      </c>
      <c r="EX506" s="7">
        <v>1.5176000000000001</v>
      </c>
      <c r="EY506" s="7">
        <v>1.5152000000000001</v>
      </c>
      <c r="EZ506" s="7">
        <v>1.5129999999999999</v>
      </c>
      <c r="FA506" s="7">
        <v>1.5107999999999999</v>
      </c>
      <c r="FB506" s="7">
        <v>1.5086999999999999</v>
      </c>
      <c r="FC506" s="7">
        <v>1.5066999999999999</v>
      </c>
      <c r="FE506" s="50">
        <f t="shared" ca="1" si="54"/>
        <v>1.4826595594983176</v>
      </c>
      <c r="FF506" s="50">
        <f t="shared" ca="1" si="55"/>
        <v>1.4816094520986864</v>
      </c>
      <c r="FG506" s="50">
        <f t="shared" ca="1" si="56"/>
        <v>1.4805938255033557</v>
      </c>
      <c r="FH506" s="50">
        <f t="shared" ca="1" si="57"/>
        <v>1.4796542281879195</v>
      </c>
      <c r="FK506" s="50">
        <f t="shared" ca="1" si="53"/>
        <v>1.4816094520986864</v>
      </c>
      <c r="FL506" s="50"/>
      <c r="FM506" s="50"/>
      <c r="FN506" s="50"/>
    </row>
    <row r="507" spans="49:170" hidden="1">
      <c r="AW507" s="433">
        <v>35.481000000000002</v>
      </c>
      <c r="AX507" s="7">
        <v>2.0087999999999999</v>
      </c>
      <c r="AY507" s="7">
        <v>1.9851000000000001</v>
      </c>
      <c r="AZ507" s="7">
        <v>1.9624999999999999</v>
      </c>
      <c r="BA507" s="7">
        <v>1.9410000000000001</v>
      </c>
      <c r="BB507" s="7">
        <v>1.9205000000000001</v>
      </c>
      <c r="BC507" s="7">
        <v>1.9009</v>
      </c>
      <c r="BD507" s="7">
        <v>1.8822000000000001</v>
      </c>
      <c r="BE507" s="7">
        <v>1.8643000000000001</v>
      </c>
      <c r="BF507" s="7">
        <v>1.8472</v>
      </c>
      <c r="BG507" s="7">
        <v>1.8308</v>
      </c>
      <c r="BH507" s="7">
        <v>1.8150999999999999</v>
      </c>
      <c r="BI507" s="7">
        <v>1.8</v>
      </c>
      <c r="BJ507" s="7">
        <v>1.7856000000000001</v>
      </c>
      <c r="BK507" s="7">
        <v>1.7717000000000001</v>
      </c>
      <c r="BL507" s="7">
        <v>1.7584</v>
      </c>
      <c r="BM507" s="7">
        <v>1.7455000000000001</v>
      </c>
      <c r="BN507" s="7">
        <v>1.7332000000000001</v>
      </c>
      <c r="BO507" s="7">
        <v>1.7214</v>
      </c>
      <c r="BP507" s="7">
        <v>1.71</v>
      </c>
      <c r="BQ507" s="7">
        <v>1.6990000000000001</v>
      </c>
      <c r="BR507" s="7">
        <v>1.6883999999999999</v>
      </c>
      <c r="BS507" s="7">
        <v>1.6781999999999999</v>
      </c>
      <c r="BT507" s="7">
        <v>1.6684000000000001</v>
      </c>
      <c r="BU507" s="7">
        <v>1.659</v>
      </c>
      <c r="BV507" s="7">
        <v>1.6498999999999999</v>
      </c>
      <c r="BW507" s="7">
        <v>1.6411</v>
      </c>
      <c r="BX507" s="7">
        <v>1.6326000000000001</v>
      </c>
      <c r="BY507" s="7">
        <v>1.6244000000000001</v>
      </c>
      <c r="BZ507" s="7">
        <v>1.6166</v>
      </c>
      <c r="CA507" s="7">
        <v>1.609</v>
      </c>
      <c r="CB507" s="7">
        <v>1.6015999999999999</v>
      </c>
      <c r="CC507" s="7">
        <v>1.5946</v>
      </c>
      <c r="CD507" s="7">
        <v>1.5878000000000001</v>
      </c>
      <c r="CE507" s="7">
        <v>1.5811999999999999</v>
      </c>
      <c r="CF507" s="7">
        <v>1.5749</v>
      </c>
      <c r="CG507" s="7">
        <v>1.5688</v>
      </c>
      <c r="CH507" s="7">
        <v>1.5629</v>
      </c>
      <c r="CI507" s="7">
        <v>1.5572999999999999</v>
      </c>
      <c r="CJ507" s="7">
        <v>1.5518000000000001</v>
      </c>
      <c r="CK507" s="7">
        <v>1.5466</v>
      </c>
      <c r="CL507" s="7">
        <v>1.5416000000000001</v>
      </c>
      <c r="CM507" s="7">
        <v>1.5367999999999999</v>
      </c>
      <c r="CN507" s="7">
        <v>1.5322</v>
      </c>
      <c r="CO507" s="7">
        <v>1.5277000000000001</v>
      </c>
      <c r="CP507" s="7">
        <v>1.5235000000000001</v>
      </c>
      <c r="CQ507" s="7">
        <v>1.5194000000000001</v>
      </c>
      <c r="CR507" s="7">
        <v>1.5156000000000001</v>
      </c>
      <c r="CS507" s="7">
        <v>1.5119</v>
      </c>
      <c r="CT507" s="7">
        <v>1.5084</v>
      </c>
      <c r="CU507" s="7">
        <v>1.5049999999999999</v>
      </c>
      <c r="CV507" s="7">
        <v>1.5019</v>
      </c>
      <c r="CW507" s="7">
        <v>1.4988999999999999</v>
      </c>
      <c r="CX507" s="7">
        <v>1.4961</v>
      </c>
      <c r="CY507" s="7">
        <v>1.4935</v>
      </c>
      <c r="CZ507" s="7">
        <v>1.4910000000000001</v>
      </c>
      <c r="DA507" s="7">
        <v>1.4886999999999999</v>
      </c>
      <c r="DB507" s="7">
        <v>1.4865999999999999</v>
      </c>
      <c r="DC507" s="7">
        <v>1.4846999999999999</v>
      </c>
      <c r="DD507" s="7">
        <v>1.4829000000000001</v>
      </c>
      <c r="DE507" s="7">
        <v>1.4813000000000001</v>
      </c>
      <c r="DF507" s="7">
        <v>1.4798</v>
      </c>
      <c r="DG507" s="7">
        <v>1.4785999999999999</v>
      </c>
      <c r="DH507" s="7">
        <v>1.4775</v>
      </c>
      <c r="DI507" s="7">
        <v>1.4765999999999999</v>
      </c>
      <c r="DJ507" s="7">
        <v>1.4758</v>
      </c>
      <c r="DK507" s="7">
        <v>1.4752000000000001</v>
      </c>
      <c r="DL507" s="7">
        <v>1.4748000000000001</v>
      </c>
      <c r="DM507" s="7">
        <v>1.4745999999999999</v>
      </c>
      <c r="DN507" s="7">
        <v>1.4745999999999999</v>
      </c>
      <c r="DO507" s="7">
        <v>1.4746999999999999</v>
      </c>
      <c r="DP507" s="7">
        <v>1.4750000000000001</v>
      </c>
      <c r="DQ507" s="7">
        <v>1.4755</v>
      </c>
      <c r="DR507" s="7">
        <v>1.4762</v>
      </c>
      <c r="DS507" s="7">
        <v>1.4771000000000001</v>
      </c>
      <c r="DT507" s="7">
        <v>1.4781</v>
      </c>
      <c r="DU507" s="7">
        <v>1.4793000000000001</v>
      </c>
      <c r="DV507" s="7">
        <v>1.4806999999999999</v>
      </c>
      <c r="DW507" s="7">
        <v>1.4823</v>
      </c>
      <c r="DX507" s="7">
        <v>1.4841</v>
      </c>
      <c r="DY507" s="7">
        <v>1.486</v>
      </c>
      <c r="DZ507" s="7">
        <v>1.4882</v>
      </c>
      <c r="EA507" s="7">
        <v>1.4904999999999999</v>
      </c>
      <c r="EB507" s="7">
        <v>1.4930000000000001</v>
      </c>
      <c r="EC507" s="7">
        <v>1.4957</v>
      </c>
      <c r="ED507" s="7">
        <v>1.4984999999999999</v>
      </c>
      <c r="EE507" s="7">
        <v>1.5015000000000001</v>
      </c>
      <c r="EF507" s="7">
        <v>1.5046999999999999</v>
      </c>
      <c r="EG507" s="7">
        <v>1.508</v>
      </c>
      <c r="EH507" s="7">
        <v>1.5115000000000001</v>
      </c>
      <c r="EI507" s="7">
        <v>1.5152000000000001</v>
      </c>
      <c r="EJ507" s="7">
        <v>1.5189999999999999</v>
      </c>
      <c r="EK507" s="7">
        <v>1.5228999999999999</v>
      </c>
      <c r="EL507" s="7">
        <v>1.5269999999999999</v>
      </c>
      <c r="EM507" s="7">
        <v>1.5311999999999999</v>
      </c>
      <c r="EN507" s="7">
        <v>1.5355000000000001</v>
      </c>
      <c r="EO507" s="7">
        <v>1.54</v>
      </c>
      <c r="EP507" s="7">
        <v>1.5445</v>
      </c>
      <c r="EQ507" s="7">
        <v>1.544</v>
      </c>
      <c r="ER507" s="7">
        <v>1.5408999999999999</v>
      </c>
      <c r="ES507" s="7">
        <v>1.5379</v>
      </c>
      <c r="ET507" s="7">
        <v>1.5350999999999999</v>
      </c>
      <c r="EU507" s="7">
        <v>1.5324</v>
      </c>
      <c r="EV507" s="7">
        <v>1.5298</v>
      </c>
      <c r="EW507" s="7">
        <v>1.5274000000000001</v>
      </c>
      <c r="EX507" s="7">
        <v>1.5249999999999999</v>
      </c>
      <c r="EY507" s="7">
        <v>1.5227999999999999</v>
      </c>
      <c r="EZ507" s="7">
        <v>1.5206</v>
      </c>
      <c r="FA507" s="7">
        <v>1.5185</v>
      </c>
      <c r="FB507" s="7">
        <v>1.5165999999999999</v>
      </c>
      <c r="FC507" s="7">
        <v>1.5146999999999999</v>
      </c>
      <c r="FE507" s="50">
        <f t="shared" ca="1" si="54"/>
        <v>1.4826595594983176</v>
      </c>
      <c r="FF507" s="50">
        <f t="shared" ca="1" si="55"/>
        <v>1.4816094520986864</v>
      </c>
      <c r="FG507" s="50">
        <f t="shared" ca="1" si="56"/>
        <v>1.4805938255033557</v>
      </c>
      <c r="FH507" s="50">
        <f t="shared" ca="1" si="57"/>
        <v>1.4796542281879195</v>
      </c>
      <c r="FK507" s="50">
        <f t="shared" ca="1" si="53"/>
        <v>1.4816094520986864</v>
      </c>
      <c r="FL507" s="50"/>
      <c r="FM507" s="50"/>
      <c r="FN507" s="50"/>
    </row>
    <row r="508" spans="49:170" hidden="1">
      <c r="AW508" s="433">
        <v>38.018999999999998</v>
      </c>
      <c r="AX508" s="7">
        <v>2.0087999999999999</v>
      </c>
      <c r="AY508" s="7">
        <v>1.9851000000000001</v>
      </c>
      <c r="AZ508" s="7">
        <v>1.9624999999999999</v>
      </c>
      <c r="BA508" s="7">
        <v>1.9410000000000001</v>
      </c>
      <c r="BB508" s="7">
        <v>1.9205000000000001</v>
      </c>
      <c r="BC508" s="7">
        <v>1.9009</v>
      </c>
      <c r="BD508" s="7">
        <v>1.8822000000000001</v>
      </c>
      <c r="BE508" s="7">
        <v>1.8643000000000001</v>
      </c>
      <c r="BF508" s="7">
        <v>1.8472</v>
      </c>
      <c r="BG508" s="7">
        <v>1.8308</v>
      </c>
      <c r="BH508" s="7">
        <v>1.8150999999999999</v>
      </c>
      <c r="BI508" s="7">
        <v>1.8</v>
      </c>
      <c r="BJ508" s="7">
        <v>1.7856000000000001</v>
      </c>
      <c r="BK508" s="7">
        <v>1.7717000000000001</v>
      </c>
      <c r="BL508" s="7">
        <v>1.7584</v>
      </c>
      <c r="BM508" s="7">
        <v>1.7455000000000001</v>
      </c>
      <c r="BN508" s="7">
        <v>1.7332000000000001</v>
      </c>
      <c r="BO508" s="7">
        <v>1.7214</v>
      </c>
      <c r="BP508" s="7">
        <v>1.71</v>
      </c>
      <c r="BQ508" s="7">
        <v>1.6990000000000001</v>
      </c>
      <c r="BR508" s="7">
        <v>1.6883999999999999</v>
      </c>
      <c r="BS508" s="7">
        <v>1.6781999999999999</v>
      </c>
      <c r="BT508" s="7">
        <v>1.6684000000000001</v>
      </c>
      <c r="BU508" s="7">
        <v>1.659</v>
      </c>
      <c r="BV508" s="7">
        <v>1.6498999999999999</v>
      </c>
      <c r="BW508" s="7">
        <v>1.6411</v>
      </c>
      <c r="BX508" s="7">
        <v>1.6326000000000001</v>
      </c>
      <c r="BY508" s="7">
        <v>1.6244000000000001</v>
      </c>
      <c r="BZ508" s="7">
        <v>1.6166</v>
      </c>
      <c r="CA508" s="7">
        <v>1.609</v>
      </c>
      <c r="CB508" s="7">
        <v>1.6015999999999999</v>
      </c>
      <c r="CC508" s="7">
        <v>1.5946</v>
      </c>
      <c r="CD508" s="7">
        <v>1.5878000000000001</v>
      </c>
      <c r="CE508" s="7">
        <v>1.5811999999999999</v>
      </c>
      <c r="CF508" s="7">
        <v>1.5749</v>
      </c>
      <c r="CG508" s="7">
        <v>1.5688</v>
      </c>
      <c r="CH508" s="7">
        <v>1.5629</v>
      </c>
      <c r="CI508" s="7">
        <v>1.5572999999999999</v>
      </c>
      <c r="CJ508" s="7">
        <v>1.5518000000000001</v>
      </c>
      <c r="CK508" s="7">
        <v>1.5466</v>
      </c>
      <c r="CL508" s="7">
        <v>1.5416000000000001</v>
      </c>
      <c r="CM508" s="7">
        <v>1.5367999999999999</v>
      </c>
      <c r="CN508" s="7">
        <v>1.5322</v>
      </c>
      <c r="CO508" s="7">
        <v>1.5277000000000001</v>
      </c>
      <c r="CP508" s="7">
        <v>1.5235000000000001</v>
      </c>
      <c r="CQ508" s="7">
        <v>1.5194000000000001</v>
      </c>
      <c r="CR508" s="7">
        <v>1.5156000000000001</v>
      </c>
      <c r="CS508" s="7">
        <v>1.5119</v>
      </c>
      <c r="CT508" s="7">
        <v>1.5084</v>
      </c>
      <c r="CU508" s="7">
        <v>1.5049999999999999</v>
      </c>
      <c r="CV508" s="7">
        <v>1.5019</v>
      </c>
      <c r="CW508" s="7">
        <v>1.4988999999999999</v>
      </c>
      <c r="CX508" s="7">
        <v>1.4961</v>
      </c>
      <c r="CY508" s="7">
        <v>1.4935</v>
      </c>
      <c r="CZ508" s="7">
        <v>1.4910000000000001</v>
      </c>
      <c r="DA508" s="7">
        <v>1.4886999999999999</v>
      </c>
      <c r="DB508" s="7">
        <v>1.4865999999999999</v>
      </c>
      <c r="DC508" s="7">
        <v>1.4846999999999999</v>
      </c>
      <c r="DD508" s="7">
        <v>1.4829000000000001</v>
      </c>
      <c r="DE508" s="7">
        <v>1.4813000000000001</v>
      </c>
      <c r="DF508" s="7">
        <v>1.4798</v>
      </c>
      <c r="DG508" s="7">
        <v>1.4785999999999999</v>
      </c>
      <c r="DH508" s="7">
        <v>1.4775</v>
      </c>
      <c r="DI508" s="7">
        <v>1.4765999999999999</v>
      </c>
      <c r="DJ508" s="7">
        <v>1.4758</v>
      </c>
      <c r="DK508" s="7">
        <v>1.4752000000000001</v>
      </c>
      <c r="DL508" s="7">
        <v>1.4748000000000001</v>
      </c>
      <c r="DM508" s="7">
        <v>1.4745999999999999</v>
      </c>
      <c r="DN508" s="7">
        <v>1.4745999999999999</v>
      </c>
      <c r="DO508" s="7">
        <v>1.4746999999999999</v>
      </c>
      <c r="DP508" s="7">
        <v>1.4750000000000001</v>
      </c>
      <c r="DQ508" s="7">
        <v>1.4755</v>
      </c>
      <c r="DR508" s="7">
        <v>1.4762</v>
      </c>
      <c r="DS508" s="7">
        <v>1.4771000000000001</v>
      </c>
      <c r="DT508" s="7">
        <v>1.4781</v>
      </c>
      <c r="DU508" s="7">
        <v>1.4793000000000001</v>
      </c>
      <c r="DV508" s="7">
        <v>1.4806999999999999</v>
      </c>
      <c r="DW508" s="7">
        <v>1.4823</v>
      </c>
      <c r="DX508" s="7">
        <v>1.4841</v>
      </c>
      <c r="DY508" s="7">
        <v>1.486</v>
      </c>
      <c r="DZ508" s="7">
        <v>1.4882</v>
      </c>
      <c r="EA508" s="7">
        <v>1.4904999999999999</v>
      </c>
      <c r="EB508" s="7">
        <v>1.4930000000000001</v>
      </c>
      <c r="EC508" s="7">
        <v>1.4956</v>
      </c>
      <c r="ED508" s="7">
        <v>1.4984999999999999</v>
      </c>
      <c r="EE508" s="7">
        <v>1.5015000000000001</v>
      </c>
      <c r="EF508" s="7">
        <v>1.5046999999999999</v>
      </c>
      <c r="EG508" s="7">
        <v>1.508</v>
      </c>
      <c r="EH508" s="7">
        <v>1.5115000000000001</v>
      </c>
      <c r="EI508" s="7">
        <v>1.5152000000000001</v>
      </c>
      <c r="EJ508" s="7">
        <v>1.5189999999999999</v>
      </c>
      <c r="EK508" s="7">
        <v>1.5228999999999999</v>
      </c>
      <c r="EL508" s="7">
        <v>1.5269999999999999</v>
      </c>
      <c r="EM508" s="7">
        <v>1.5311999999999999</v>
      </c>
      <c r="EN508" s="7">
        <v>1.5355000000000001</v>
      </c>
      <c r="EO508" s="7">
        <v>1.54</v>
      </c>
      <c r="EP508" s="7">
        <v>1.5445</v>
      </c>
      <c r="EQ508" s="7">
        <v>1.5490999999999999</v>
      </c>
      <c r="ER508" s="7">
        <v>1.5477000000000001</v>
      </c>
      <c r="ES508" s="7">
        <v>1.5448</v>
      </c>
      <c r="ET508" s="7">
        <v>1.5421</v>
      </c>
      <c r="EU508" s="7">
        <v>1.5395000000000001</v>
      </c>
      <c r="EV508" s="7">
        <v>1.5369999999999999</v>
      </c>
      <c r="EW508" s="7">
        <v>1.5346</v>
      </c>
      <c r="EX508" s="7">
        <v>1.5323</v>
      </c>
      <c r="EY508" s="7">
        <v>1.5302</v>
      </c>
      <c r="EZ508" s="7">
        <v>1.5281</v>
      </c>
      <c r="FA508" s="7">
        <v>1.5262</v>
      </c>
      <c r="FB508" s="7">
        <v>1.5244</v>
      </c>
      <c r="FC508" s="7">
        <v>1.5226</v>
      </c>
      <c r="FE508" s="50">
        <f t="shared" ca="1" si="54"/>
        <v>1.4826595594983176</v>
      </c>
      <c r="FF508" s="50">
        <f t="shared" ca="1" si="55"/>
        <v>1.4816094520986864</v>
      </c>
      <c r="FG508" s="50">
        <f t="shared" ca="1" si="56"/>
        <v>1.4805938255033557</v>
      </c>
      <c r="FH508" s="50">
        <f t="shared" ca="1" si="57"/>
        <v>1.4796542281879195</v>
      </c>
      <c r="FK508" s="50">
        <f t="shared" ca="1" si="53"/>
        <v>1.4816094520986864</v>
      </c>
      <c r="FL508" s="50"/>
      <c r="FM508" s="50"/>
      <c r="FN508" s="50"/>
    </row>
    <row r="509" spans="49:170" hidden="1">
      <c r="AW509" s="433">
        <v>40.738</v>
      </c>
      <c r="AX509" s="7">
        <v>2.0087999999999999</v>
      </c>
      <c r="AY509" s="7">
        <v>1.9851000000000001</v>
      </c>
      <c r="AZ509" s="7">
        <v>1.9624999999999999</v>
      </c>
      <c r="BA509" s="7">
        <v>1.9410000000000001</v>
      </c>
      <c r="BB509" s="7">
        <v>1.9205000000000001</v>
      </c>
      <c r="BC509" s="7">
        <v>1.9009</v>
      </c>
      <c r="BD509" s="7">
        <v>1.8822000000000001</v>
      </c>
      <c r="BE509" s="7">
        <v>1.8643000000000001</v>
      </c>
      <c r="BF509" s="7">
        <v>1.8472</v>
      </c>
      <c r="BG509" s="7">
        <v>1.8308</v>
      </c>
      <c r="BH509" s="7">
        <v>1.8150999999999999</v>
      </c>
      <c r="BI509" s="7">
        <v>1.8</v>
      </c>
      <c r="BJ509" s="7">
        <v>1.7856000000000001</v>
      </c>
      <c r="BK509" s="7">
        <v>1.7717000000000001</v>
      </c>
      <c r="BL509" s="7">
        <v>1.7584</v>
      </c>
      <c r="BM509" s="7">
        <v>1.7455000000000001</v>
      </c>
      <c r="BN509" s="7">
        <v>1.7332000000000001</v>
      </c>
      <c r="BO509" s="7">
        <v>1.7214</v>
      </c>
      <c r="BP509" s="7">
        <v>1.71</v>
      </c>
      <c r="BQ509" s="7">
        <v>1.6990000000000001</v>
      </c>
      <c r="BR509" s="7">
        <v>1.6883999999999999</v>
      </c>
      <c r="BS509" s="7">
        <v>1.6781999999999999</v>
      </c>
      <c r="BT509" s="7">
        <v>1.6684000000000001</v>
      </c>
      <c r="BU509" s="7">
        <v>1.659</v>
      </c>
      <c r="BV509" s="7">
        <v>1.6498999999999999</v>
      </c>
      <c r="BW509" s="7">
        <v>1.6411</v>
      </c>
      <c r="BX509" s="7">
        <v>1.6326000000000001</v>
      </c>
      <c r="BY509" s="7">
        <v>1.6244000000000001</v>
      </c>
      <c r="BZ509" s="7">
        <v>1.6166</v>
      </c>
      <c r="CA509" s="7">
        <v>1.609</v>
      </c>
      <c r="CB509" s="7">
        <v>1.6015999999999999</v>
      </c>
      <c r="CC509" s="7">
        <v>1.5946</v>
      </c>
      <c r="CD509" s="7">
        <v>1.5878000000000001</v>
      </c>
      <c r="CE509" s="7">
        <v>1.5811999999999999</v>
      </c>
      <c r="CF509" s="7">
        <v>1.5749</v>
      </c>
      <c r="CG509" s="7">
        <v>1.5688</v>
      </c>
      <c r="CH509" s="7">
        <v>1.5629</v>
      </c>
      <c r="CI509" s="7">
        <v>1.5572999999999999</v>
      </c>
      <c r="CJ509" s="7">
        <v>1.5518000000000001</v>
      </c>
      <c r="CK509" s="7">
        <v>1.5466</v>
      </c>
      <c r="CL509" s="7">
        <v>1.5416000000000001</v>
      </c>
      <c r="CM509" s="7">
        <v>1.5367999999999999</v>
      </c>
      <c r="CN509" s="7">
        <v>1.5322</v>
      </c>
      <c r="CO509" s="7">
        <v>1.5277000000000001</v>
      </c>
      <c r="CP509" s="7">
        <v>1.5235000000000001</v>
      </c>
      <c r="CQ509" s="7">
        <v>1.5194000000000001</v>
      </c>
      <c r="CR509" s="7">
        <v>1.5156000000000001</v>
      </c>
      <c r="CS509" s="7">
        <v>1.5119</v>
      </c>
      <c r="CT509" s="7">
        <v>1.5084</v>
      </c>
      <c r="CU509" s="7">
        <v>1.5049999999999999</v>
      </c>
      <c r="CV509" s="7">
        <v>1.5019</v>
      </c>
      <c r="CW509" s="7">
        <v>1.4988999999999999</v>
      </c>
      <c r="CX509" s="7">
        <v>1.4961</v>
      </c>
      <c r="CY509" s="7">
        <v>1.4935</v>
      </c>
      <c r="CZ509" s="7">
        <v>1.4910000000000001</v>
      </c>
      <c r="DA509" s="7">
        <v>1.4886999999999999</v>
      </c>
      <c r="DB509" s="7">
        <v>1.4865999999999999</v>
      </c>
      <c r="DC509" s="7">
        <v>1.4846999999999999</v>
      </c>
      <c r="DD509" s="7">
        <v>1.4829000000000001</v>
      </c>
      <c r="DE509" s="7">
        <v>1.4813000000000001</v>
      </c>
      <c r="DF509" s="7">
        <v>1.4798</v>
      </c>
      <c r="DG509" s="7">
        <v>1.4785999999999999</v>
      </c>
      <c r="DH509" s="7">
        <v>1.4775</v>
      </c>
      <c r="DI509" s="7">
        <v>1.4765999999999999</v>
      </c>
      <c r="DJ509" s="7">
        <v>1.4758</v>
      </c>
      <c r="DK509" s="7">
        <v>1.4752000000000001</v>
      </c>
      <c r="DL509" s="7">
        <v>1.4748000000000001</v>
      </c>
      <c r="DM509" s="7">
        <v>1.4745999999999999</v>
      </c>
      <c r="DN509" s="7">
        <v>1.4745999999999999</v>
      </c>
      <c r="DO509" s="7">
        <v>1.4746999999999999</v>
      </c>
      <c r="DP509" s="7">
        <v>1.4750000000000001</v>
      </c>
      <c r="DQ509" s="7">
        <v>1.4755</v>
      </c>
      <c r="DR509" s="7">
        <v>1.4762</v>
      </c>
      <c r="DS509" s="7">
        <v>1.4771000000000001</v>
      </c>
      <c r="DT509" s="7">
        <v>1.4781</v>
      </c>
      <c r="DU509" s="7">
        <v>1.4793000000000001</v>
      </c>
      <c r="DV509" s="7">
        <v>1.4806999999999999</v>
      </c>
      <c r="DW509" s="7">
        <v>1.4823</v>
      </c>
      <c r="DX509" s="7">
        <v>1.4841</v>
      </c>
      <c r="DY509" s="7">
        <v>1.486</v>
      </c>
      <c r="DZ509" s="7">
        <v>1.4882</v>
      </c>
      <c r="EA509" s="7">
        <v>1.4904999999999999</v>
      </c>
      <c r="EB509" s="7">
        <v>1.4930000000000001</v>
      </c>
      <c r="EC509" s="7">
        <v>1.4957</v>
      </c>
      <c r="ED509" s="7">
        <v>1.4984999999999999</v>
      </c>
      <c r="EE509" s="7">
        <v>1.5015000000000001</v>
      </c>
      <c r="EF509" s="7">
        <v>1.5046999999999999</v>
      </c>
      <c r="EG509" s="7">
        <v>1.508</v>
      </c>
      <c r="EH509" s="7">
        <v>1.5115000000000001</v>
      </c>
      <c r="EI509" s="7">
        <v>1.5152000000000001</v>
      </c>
      <c r="EJ509" s="7">
        <v>1.5189999999999999</v>
      </c>
      <c r="EK509" s="7">
        <v>1.5228999999999999</v>
      </c>
      <c r="EL509" s="7">
        <v>1.5269999999999999</v>
      </c>
      <c r="EM509" s="7">
        <v>1.5311999999999999</v>
      </c>
      <c r="EN509" s="7">
        <v>1.5355000000000001</v>
      </c>
      <c r="EO509" s="7">
        <v>1.54</v>
      </c>
      <c r="EP509" s="7">
        <v>1.5445</v>
      </c>
      <c r="EQ509" s="7">
        <v>1.5490999999999999</v>
      </c>
      <c r="ER509" s="7">
        <v>1.5538000000000001</v>
      </c>
      <c r="ES509" s="7">
        <v>1.5516000000000001</v>
      </c>
      <c r="ET509" s="7">
        <v>1.5489999999999999</v>
      </c>
      <c r="EU509" s="7">
        <v>1.5465</v>
      </c>
      <c r="EV509" s="7">
        <v>1.5441</v>
      </c>
      <c r="EW509" s="7">
        <v>1.5418000000000001</v>
      </c>
      <c r="EX509" s="7">
        <v>1.5396000000000001</v>
      </c>
      <c r="EY509" s="7">
        <v>1.5376000000000001</v>
      </c>
      <c r="EZ509" s="7">
        <v>1.5356000000000001</v>
      </c>
      <c r="FA509" s="7">
        <v>1.5338000000000001</v>
      </c>
      <c r="FB509" s="7">
        <v>1.532</v>
      </c>
      <c r="FC509" s="7">
        <v>1.5304</v>
      </c>
      <c r="FE509" s="50">
        <f t="shared" ca="1" si="54"/>
        <v>1.4826595594983176</v>
      </c>
      <c r="FF509" s="50">
        <f t="shared" ca="1" si="55"/>
        <v>1.4816094520986864</v>
      </c>
      <c r="FG509" s="50">
        <f t="shared" ca="1" si="56"/>
        <v>1.4805938255033557</v>
      </c>
      <c r="FH509" s="50">
        <f t="shared" ca="1" si="57"/>
        <v>1.4796542281879195</v>
      </c>
      <c r="FK509" s="50">
        <f t="shared" ca="1" si="53"/>
        <v>1.4816094520986864</v>
      </c>
      <c r="FL509" s="50"/>
      <c r="FM509" s="50"/>
      <c r="FN509" s="50"/>
    </row>
    <row r="510" spans="49:170" hidden="1">
      <c r="AW510" s="433">
        <v>43.652000000000001</v>
      </c>
      <c r="AX510" s="7">
        <v>2.0087999999999999</v>
      </c>
      <c r="AY510" s="7">
        <v>1.9851000000000001</v>
      </c>
      <c r="AZ510" s="7">
        <v>1.9624999999999999</v>
      </c>
      <c r="BA510" s="7">
        <v>1.9410000000000001</v>
      </c>
      <c r="BB510" s="7">
        <v>1.9205000000000001</v>
      </c>
      <c r="BC510" s="7">
        <v>1.9009</v>
      </c>
      <c r="BD510" s="7">
        <v>1.8822000000000001</v>
      </c>
      <c r="BE510" s="7">
        <v>1.8643000000000001</v>
      </c>
      <c r="BF510" s="7">
        <v>1.8472</v>
      </c>
      <c r="BG510" s="7">
        <v>1.8308</v>
      </c>
      <c r="BH510" s="7">
        <v>1.8150999999999999</v>
      </c>
      <c r="BI510" s="7">
        <v>1.8</v>
      </c>
      <c r="BJ510" s="7">
        <v>1.7856000000000001</v>
      </c>
      <c r="BK510" s="7">
        <v>1.7717000000000001</v>
      </c>
      <c r="BL510" s="7">
        <v>1.7584</v>
      </c>
      <c r="BM510" s="7">
        <v>1.7455000000000001</v>
      </c>
      <c r="BN510" s="7">
        <v>1.7332000000000001</v>
      </c>
      <c r="BO510" s="7">
        <v>1.7214</v>
      </c>
      <c r="BP510" s="7">
        <v>1.71</v>
      </c>
      <c r="BQ510" s="7">
        <v>1.6990000000000001</v>
      </c>
      <c r="BR510" s="7">
        <v>1.6883999999999999</v>
      </c>
      <c r="BS510" s="7">
        <v>1.6781999999999999</v>
      </c>
      <c r="BT510" s="7">
        <v>1.6684000000000001</v>
      </c>
      <c r="BU510" s="7">
        <v>1.659</v>
      </c>
      <c r="BV510" s="7">
        <v>1.6498999999999999</v>
      </c>
      <c r="BW510" s="7">
        <v>1.6411</v>
      </c>
      <c r="BX510" s="7">
        <v>1.6326000000000001</v>
      </c>
      <c r="BY510" s="7">
        <v>1.6244000000000001</v>
      </c>
      <c r="BZ510" s="7">
        <v>1.6166</v>
      </c>
      <c r="CA510" s="7">
        <v>1.609</v>
      </c>
      <c r="CB510" s="7">
        <v>1.6015999999999999</v>
      </c>
      <c r="CC510" s="7">
        <v>1.5946</v>
      </c>
      <c r="CD510" s="7">
        <v>1.5878000000000001</v>
      </c>
      <c r="CE510" s="7">
        <v>1.5811999999999999</v>
      </c>
      <c r="CF510" s="7">
        <v>1.5749</v>
      </c>
      <c r="CG510" s="7">
        <v>1.5688</v>
      </c>
      <c r="CH510" s="7">
        <v>1.5629</v>
      </c>
      <c r="CI510" s="7">
        <v>1.5572999999999999</v>
      </c>
      <c r="CJ510" s="7">
        <v>1.5518000000000001</v>
      </c>
      <c r="CK510" s="7">
        <v>1.5466</v>
      </c>
      <c r="CL510" s="7">
        <v>1.5416000000000001</v>
      </c>
      <c r="CM510" s="7">
        <v>1.5367999999999999</v>
      </c>
      <c r="CN510" s="7">
        <v>1.5322</v>
      </c>
      <c r="CO510" s="7">
        <v>1.5277000000000001</v>
      </c>
      <c r="CP510" s="7">
        <v>1.5235000000000001</v>
      </c>
      <c r="CQ510" s="7">
        <v>1.5194000000000001</v>
      </c>
      <c r="CR510" s="7">
        <v>1.5156000000000001</v>
      </c>
      <c r="CS510" s="7">
        <v>1.5119</v>
      </c>
      <c r="CT510" s="7">
        <v>1.5084</v>
      </c>
      <c r="CU510" s="7">
        <v>1.5049999999999999</v>
      </c>
      <c r="CV510" s="7">
        <v>1.5019</v>
      </c>
      <c r="CW510" s="7">
        <v>1.4988999999999999</v>
      </c>
      <c r="CX510" s="7">
        <v>1.4961</v>
      </c>
      <c r="CY510" s="7">
        <v>1.4935</v>
      </c>
      <c r="CZ510" s="7">
        <v>1.4910000000000001</v>
      </c>
      <c r="DA510" s="7">
        <v>1.4886999999999999</v>
      </c>
      <c r="DB510" s="7">
        <v>1.4865999999999999</v>
      </c>
      <c r="DC510" s="7">
        <v>1.4846999999999999</v>
      </c>
      <c r="DD510" s="7">
        <v>1.4829000000000001</v>
      </c>
      <c r="DE510" s="7">
        <v>1.4813000000000001</v>
      </c>
      <c r="DF510" s="7">
        <v>1.4798</v>
      </c>
      <c r="DG510" s="7">
        <v>1.4785999999999999</v>
      </c>
      <c r="DH510" s="7">
        <v>1.4775</v>
      </c>
      <c r="DI510" s="7">
        <v>1.4765999999999999</v>
      </c>
      <c r="DJ510" s="7">
        <v>1.4758</v>
      </c>
      <c r="DK510" s="7">
        <v>1.4752000000000001</v>
      </c>
      <c r="DL510" s="7">
        <v>1.4748000000000001</v>
      </c>
      <c r="DM510" s="7">
        <v>1.4745999999999999</v>
      </c>
      <c r="DN510" s="7">
        <v>1.4745999999999999</v>
      </c>
      <c r="DO510" s="7">
        <v>1.4746999999999999</v>
      </c>
      <c r="DP510" s="7">
        <v>1.4750000000000001</v>
      </c>
      <c r="DQ510" s="7">
        <v>1.4755</v>
      </c>
      <c r="DR510" s="7">
        <v>1.4762</v>
      </c>
      <c r="DS510" s="7">
        <v>1.4771000000000001</v>
      </c>
      <c r="DT510" s="7">
        <v>1.4781</v>
      </c>
      <c r="DU510" s="7">
        <v>1.4793000000000001</v>
      </c>
      <c r="DV510" s="7">
        <v>1.4806999999999999</v>
      </c>
      <c r="DW510" s="7">
        <v>1.4823</v>
      </c>
      <c r="DX510" s="7">
        <v>1.4841</v>
      </c>
      <c r="DY510" s="7">
        <v>1.486</v>
      </c>
      <c r="DZ510" s="7">
        <v>1.4882</v>
      </c>
      <c r="EA510" s="7">
        <v>1.4904999999999999</v>
      </c>
      <c r="EB510" s="7">
        <v>1.4930000000000001</v>
      </c>
      <c r="EC510" s="7">
        <v>1.4957</v>
      </c>
      <c r="ED510" s="7">
        <v>1.4984999999999999</v>
      </c>
      <c r="EE510" s="7">
        <v>1.5015000000000001</v>
      </c>
      <c r="EF510" s="7">
        <v>1.5046999999999999</v>
      </c>
      <c r="EG510" s="7">
        <v>1.508</v>
      </c>
      <c r="EH510" s="7">
        <v>1.5115000000000001</v>
      </c>
      <c r="EI510" s="7">
        <v>1.5152000000000001</v>
      </c>
      <c r="EJ510" s="7">
        <v>1.5189999999999999</v>
      </c>
      <c r="EK510" s="7">
        <v>1.5228999999999999</v>
      </c>
      <c r="EL510" s="7">
        <v>1.5269999999999999</v>
      </c>
      <c r="EM510" s="7">
        <v>1.5311999999999999</v>
      </c>
      <c r="EN510" s="7">
        <v>1.5355000000000001</v>
      </c>
      <c r="EO510" s="7">
        <v>1.54</v>
      </c>
      <c r="EP510" s="7">
        <v>1.5445</v>
      </c>
      <c r="EQ510" s="7">
        <v>1.5490999999999999</v>
      </c>
      <c r="ER510" s="7">
        <v>1.5538000000000001</v>
      </c>
      <c r="ES510" s="7">
        <v>1.5584</v>
      </c>
      <c r="ET510" s="7">
        <v>1.5558000000000001</v>
      </c>
      <c r="EU510" s="7">
        <v>1.5533999999999999</v>
      </c>
      <c r="EV510" s="7">
        <v>1.5510999999999999</v>
      </c>
      <c r="EW510" s="7">
        <v>1.5488999999999999</v>
      </c>
      <c r="EX510" s="7">
        <v>1.5468</v>
      </c>
      <c r="EY510" s="7">
        <v>1.5448</v>
      </c>
      <c r="EZ510" s="7">
        <v>1.5429999999999999</v>
      </c>
      <c r="FA510" s="7">
        <v>1.5412999999999999</v>
      </c>
      <c r="FB510" s="7">
        <v>1.5397000000000001</v>
      </c>
      <c r="FC510" s="7">
        <v>1.5381</v>
      </c>
      <c r="FE510" s="50">
        <f t="shared" ca="1" si="54"/>
        <v>1.4826595594983176</v>
      </c>
      <c r="FF510" s="50">
        <f t="shared" ca="1" si="55"/>
        <v>1.4816094520986864</v>
      </c>
      <c r="FG510" s="50">
        <f t="shared" ca="1" si="56"/>
        <v>1.4805938255033557</v>
      </c>
      <c r="FH510" s="50">
        <f t="shared" ca="1" si="57"/>
        <v>1.4796542281879195</v>
      </c>
      <c r="FK510" s="50">
        <f t="shared" ca="1" si="53"/>
        <v>1.4816094520986864</v>
      </c>
      <c r="FL510" s="50"/>
      <c r="FM510" s="50"/>
      <c r="FN510" s="50"/>
    </row>
    <row r="511" spans="49:170" hidden="1">
      <c r="AW511" s="433">
        <v>46.774000000000001</v>
      </c>
      <c r="AX511" s="7">
        <v>2.0087999999999999</v>
      </c>
      <c r="AY511" s="7">
        <v>1.9851000000000001</v>
      </c>
      <c r="AZ511" s="7">
        <v>1.9624999999999999</v>
      </c>
      <c r="BA511" s="7">
        <v>1.9410000000000001</v>
      </c>
      <c r="BB511" s="7">
        <v>1.9205000000000001</v>
      </c>
      <c r="BC511" s="7">
        <v>1.9009</v>
      </c>
      <c r="BD511" s="7">
        <v>1.8822000000000001</v>
      </c>
      <c r="BE511" s="7">
        <v>1.8643000000000001</v>
      </c>
      <c r="BF511" s="7">
        <v>1.8472</v>
      </c>
      <c r="BG511" s="7">
        <v>1.8308</v>
      </c>
      <c r="BH511" s="7">
        <v>1.8150999999999999</v>
      </c>
      <c r="BI511" s="7">
        <v>1.8</v>
      </c>
      <c r="BJ511" s="7">
        <v>1.7856000000000001</v>
      </c>
      <c r="BK511" s="7">
        <v>1.7717000000000001</v>
      </c>
      <c r="BL511" s="7">
        <v>1.7584</v>
      </c>
      <c r="BM511" s="7">
        <v>1.7455000000000001</v>
      </c>
      <c r="BN511" s="7">
        <v>1.7332000000000001</v>
      </c>
      <c r="BO511" s="7">
        <v>1.7214</v>
      </c>
      <c r="BP511" s="7">
        <v>1.71</v>
      </c>
      <c r="BQ511" s="7">
        <v>1.6990000000000001</v>
      </c>
      <c r="BR511" s="7">
        <v>1.6883999999999999</v>
      </c>
      <c r="BS511" s="7">
        <v>1.6781999999999999</v>
      </c>
      <c r="BT511" s="7">
        <v>1.6684000000000001</v>
      </c>
      <c r="BU511" s="7">
        <v>1.659</v>
      </c>
      <c r="BV511" s="7">
        <v>1.6498999999999999</v>
      </c>
      <c r="BW511" s="7">
        <v>1.6411</v>
      </c>
      <c r="BX511" s="7">
        <v>1.6326000000000001</v>
      </c>
      <c r="BY511" s="7">
        <v>1.6244000000000001</v>
      </c>
      <c r="BZ511" s="7">
        <v>1.6166</v>
      </c>
      <c r="CA511" s="7">
        <v>1.609</v>
      </c>
      <c r="CB511" s="7">
        <v>1.6015999999999999</v>
      </c>
      <c r="CC511" s="7">
        <v>1.5946</v>
      </c>
      <c r="CD511" s="7">
        <v>1.5878000000000001</v>
      </c>
      <c r="CE511" s="7">
        <v>1.5811999999999999</v>
      </c>
      <c r="CF511" s="7">
        <v>1.5749</v>
      </c>
      <c r="CG511" s="7">
        <v>1.5688</v>
      </c>
      <c r="CH511" s="7">
        <v>1.5629</v>
      </c>
      <c r="CI511" s="7">
        <v>1.5572999999999999</v>
      </c>
      <c r="CJ511" s="7">
        <v>1.5518000000000001</v>
      </c>
      <c r="CK511" s="7">
        <v>1.5466</v>
      </c>
      <c r="CL511" s="7">
        <v>1.5416000000000001</v>
      </c>
      <c r="CM511" s="7">
        <v>1.5367999999999999</v>
      </c>
      <c r="CN511" s="7">
        <v>1.5322</v>
      </c>
      <c r="CO511" s="7">
        <v>1.5277000000000001</v>
      </c>
      <c r="CP511" s="7">
        <v>1.5235000000000001</v>
      </c>
      <c r="CQ511" s="7">
        <v>1.5194000000000001</v>
      </c>
      <c r="CR511" s="7">
        <v>1.5156000000000001</v>
      </c>
      <c r="CS511" s="7">
        <v>1.5119</v>
      </c>
      <c r="CT511" s="7">
        <v>1.5084</v>
      </c>
      <c r="CU511" s="7">
        <v>1.5049999999999999</v>
      </c>
      <c r="CV511" s="7">
        <v>1.5019</v>
      </c>
      <c r="CW511" s="7">
        <v>1.4988999999999999</v>
      </c>
      <c r="CX511" s="7">
        <v>1.4961</v>
      </c>
      <c r="CY511" s="7">
        <v>1.4935</v>
      </c>
      <c r="CZ511" s="7">
        <v>1.4910000000000001</v>
      </c>
      <c r="DA511" s="7">
        <v>1.4886999999999999</v>
      </c>
      <c r="DB511" s="7">
        <v>1.4865999999999999</v>
      </c>
      <c r="DC511" s="7">
        <v>1.4846999999999999</v>
      </c>
      <c r="DD511" s="7">
        <v>1.4829000000000001</v>
      </c>
      <c r="DE511" s="7">
        <v>1.4813000000000001</v>
      </c>
      <c r="DF511" s="7">
        <v>1.4798</v>
      </c>
      <c r="DG511" s="7">
        <v>1.4785999999999999</v>
      </c>
      <c r="DH511" s="7">
        <v>1.4775</v>
      </c>
      <c r="DI511" s="7">
        <v>1.4765999999999999</v>
      </c>
      <c r="DJ511" s="7">
        <v>1.4758</v>
      </c>
      <c r="DK511" s="7">
        <v>1.4752000000000001</v>
      </c>
      <c r="DL511" s="7">
        <v>1.4748000000000001</v>
      </c>
      <c r="DM511" s="7">
        <v>1.4745999999999999</v>
      </c>
      <c r="DN511" s="7">
        <v>1.4745999999999999</v>
      </c>
      <c r="DO511" s="7">
        <v>1.4746999999999999</v>
      </c>
      <c r="DP511" s="7">
        <v>1.4750000000000001</v>
      </c>
      <c r="DQ511" s="7">
        <v>1.4755</v>
      </c>
      <c r="DR511" s="7">
        <v>1.4762</v>
      </c>
      <c r="DS511" s="7">
        <v>1.4771000000000001</v>
      </c>
      <c r="DT511" s="7">
        <v>1.4781</v>
      </c>
      <c r="DU511" s="7">
        <v>1.4793000000000001</v>
      </c>
      <c r="DV511" s="7">
        <v>1.4806999999999999</v>
      </c>
      <c r="DW511" s="7">
        <v>1.4823</v>
      </c>
      <c r="DX511" s="7">
        <v>1.4841</v>
      </c>
      <c r="DY511" s="7">
        <v>1.486</v>
      </c>
      <c r="DZ511" s="7">
        <v>1.4882</v>
      </c>
      <c r="EA511" s="7">
        <v>1.4904999999999999</v>
      </c>
      <c r="EB511" s="7">
        <v>1.4930000000000001</v>
      </c>
      <c r="EC511" s="7">
        <v>1.4957</v>
      </c>
      <c r="ED511" s="7">
        <v>1.4984999999999999</v>
      </c>
      <c r="EE511" s="7">
        <v>1.5015000000000001</v>
      </c>
      <c r="EF511" s="7">
        <v>1.5046999999999999</v>
      </c>
      <c r="EG511" s="7">
        <v>1.508</v>
      </c>
      <c r="EH511" s="7">
        <v>1.5115000000000001</v>
      </c>
      <c r="EI511" s="7">
        <v>1.5152000000000001</v>
      </c>
      <c r="EJ511" s="7">
        <v>1.5189999999999999</v>
      </c>
      <c r="EK511" s="7">
        <v>1.5228999999999999</v>
      </c>
      <c r="EL511" s="7">
        <v>1.5269999999999999</v>
      </c>
      <c r="EM511" s="7">
        <v>1.5311999999999999</v>
      </c>
      <c r="EN511" s="7">
        <v>1.5355000000000001</v>
      </c>
      <c r="EO511" s="7">
        <v>1.54</v>
      </c>
      <c r="EP511" s="7">
        <v>1.5445</v>
      </c>
      <c r="EQ511" s="7">
        <v>1.5490999999999999</v>
      </c>
      <c r="ER511" s="7">
        <v>1.5538000000000001</v>
      </c>
      <c r="ES511" s="7">
        <v>1.5585</v>
      </c>
      <c r="ET511" s="7">
        <v>1.5626</v>
      </c>
      <c r="EU511" s="7">
        <v>1.5602</v>
      </c>
      <c r="EV511" s="7">
        <v>1.5580000000000001</v>
      </c>
      <c r="EW511" s="7">
        <v>1.5559000000000001</v>
      </c>
      <c r="EX511" s="7">
        <v>1.5539000000000001</v>
      </c>
      <c r="EY511" s="7">
        <v>1.5521</v>
      </c>
      <c r="EZ511" s="7">
        <v>1.5503</v>
      </c>
      <c r="FA511" s="7">
        <v>1.5487</v>
      </c>
      <c r="FB511" s="7">
        <v>1.5471999999999999</v>
      </c>
      <c r="FC511" s="7">
        <v>1.5458000000000001</v>
      </c>
      <c r="FE511" s="50">
        <f t="shared" ca="1" si="54"/>
        <v>1.4826595594983176</v>
      </c>
      <c r="FF511" s="50">
        <f t="shared" ca="1" si="55"/>
        <v>1.4816094520986864</v>
      </c>
      <c r="FG511" s="50">
        <f t="shared" ca="1" si="56"/>
        <v>1.4805938255033557</v>
      </c>
      <c r="FH511" s="50">
        <f t="shared" ca="1" si="57"/>
        <v>1.4796542281879195</v>
      </c>
      <c r="FK511" s="50">
        <f t="shared" ca="1" si="53"/>
        <v>1.4816094520986864</v>
      </c>
      <c r="FL511" s="50"/>
      <c r="FM511" s="50"/>
      <c r="FN511" s="50"/>
    </row>
    <row r="512" spans="49:170" hidden="1">
      <c r="AW512" s="433">
        <v>50.119</v>
      </c>
      <c r="AX512" s="7">
        <v>2.0087999999999999</v>
      </c>
      <c r="AY512" s="7">
        <v>1.9851000000000001</v>
      </c>
      <c r="AZ512" s="7">
        <v>1.9624999999999999</v>
      </c>
      <c r="BA512" s="7">
        <v>1.9410000000000001</v>
      </c>
      <c r="BB512" s="7">
        <v>1.9205000000000001</v>
      </c>
      <c r="BC512" s="7">
        <v>1.9009</v>
      </c>
      <c r="BD512" s="7">
        <v>1.8822000000000001</v>
      </c>
      <c r="BE512" s="7">
        <v>1.8643000000000001</v>
      </c>
      <c r="BF512" s="7">
        <v>1.8472</v>
      </c>
      <c r="BG512" s="7">
        <v>1.8308</v>
      </c>
      <c r="BH512" s="7">
        <v>1.8150999999999999</v>
      </c>
      <c r="BI512" s="7">
        <v>1.8</v>
      </c>
      <c r="BJ512" s="7">
        <v>1.7856000000000001</v>
      </c>
      <c r="BK512" s="7">
        <v>1.7717000000000001</v>
      </c>
      <c r="BL512" s="7">
        <v>1.7584</v>
      </c>
      <c r="BM512" s="7">
        <v>1.7455000000000001</v>
      </c>
      <c r="BN512" s="7">
        <v>1.7332000000000001</v>
      </c>
      <c r="BO512" s="7">
        <v>1.7214</v>
      </c>
      <c r="BP512" s="7">
        <v>1.71</v>
      </c>
      <c r="BQ512" s="7">
        <v>1.6990000000000001</v>
      </c>
      <c r="BR512" s="7">
        <v>1.6883999999999999</v>
      </c>
      <c r="BS512" s="7">
        <v>1.6781999999999999</v>
      </c>
      <c r="BT512" s="7">
        <v>1.6684000000000001</v>
      </c>
      <c r="BU512" s="7">
        <v>1.659</v>
      </c>
      <c r="BV512" s="7">
        <v>1.6498999999999999</v>
      </c>
      <c r="BW512" s="7">
        <v>1.6411</v>
      </c>
      <c r="BX512" s="7">
        <v>1.6326000000000001</v>
      </c>
      <c r="BY512" s="7">
        <v>1.6244000000000001</v>
      </c>
      <c r="BZ512" s="7">
        <v>1.6166</v>
      </c>
      <c r="CA512" s="7">
        <v>1.609</v>
      </c>
      <c r="CB512" s="7">
        <v>1.6015999999999999</v>
      </c>
      <c r="CC512" s="7">
        <v>1.5946</v>
      </c>
      <c r="CD512" s="7">
        <v>1.5878000000000001</v>
      </c>
      <c r="CE512" s="7">
        <v>1.5811999999999999</v>
      </c>
      <c r="CF512" s="7">
        <v>1.5749</v>
      </c>
      <c r="CG512" s="7">
        <v>1.5688</v>
      </c>
      <c r="CH512" s="7">
        <v>1.5629</v>
      </c>
      <c r="CI512" s="7">
        <v>1.5572999999999999</v>
      </c>
      <c r="CJ512" s="7">
        <v>1.5518000000000001</v>
      </c>
      <c r="CK512" s="7">
        <v>1.5466</v>
      </c>
      <c r="CL512" s="7">
        <v>1.5416000000000001</v>
      </c>
      <c r="CM512" s="7">
        <v>1.5367999999999999</v>
      </c>
      <c r="CN512" s="7">
        <v>1.5322</v>
      </c>
      <c r="CO512" s="7">
        <v>1.5277000000000001</v>
      </c>
      <c r="CP512" s="7">
        <v>1.5235000000000001</v>
      </c>
      <c r="CQ512" s="7">
        <v>1.5194000000000001</v>
      </c>
      <c r="CR512" s="7">
        <v>1.5156000000000001</v>
      </c>
      <c r="CS512" s="7">
        <v>1.5119</v>
      </c>
      <c r="CT512" s="7">
        <v>1.5084</v>
      </c>
      <c r="CU512" s="7">
        <v>1.5049999999999999</v>
      </c>
      <c r="CV512" s="7">
        <v>1.5019</v>
      </c>
      <c r="CW512" s="7">
        <v>1.4988999999999999</v>
      </c>
      <c r="CX512" s="7">
        <v>1.4961</v>
      </c>
      <c r="CY512" s="7">
        <v>1.4935</v>
      </c>
      <c r="CZ512" s="7">
        <v>1.4910000000000001</v>
      </c>
      <c r="DA512" s="7">
        <v>1.4886999999999999</v>
      </c>
      <c r="DB512" s="7">
        <v>1.4865999999999999</v>
      </c>
      <c r="DC512" s="7">
        <v>1.4846999999999999</v>
      </c>
      <c r="DD512" s="7">
        <v>1.4829000000000001</v>
      </c>
      <c r="DE512" s="7">
        <v>1.4813000000000001</v>
      </c>
      <c r="DF512" s="7">
        <v>1.4798</v>
      </c>
      <c r="DG512" s="7">
        <v>1.4785999999999999</v>
      </c>
      <c r="DH512" s="7">
        <v>1.4775</v>
      </c>
      <c r="DI512" s="7">
        <v>1.4765999999999999</v>
      </c>
      <c r="DJ512" s="7">
        <v>1.4758</v>
      </c>
      <c r="DK512" s="7">
        <v>1.4752000000000001</v>
      </c>
      <c r="DL512" s="7">
        <v>1.4748000000000001</v>
      </c>
      <c r="DM512" s="7">
        <v>1.4745999999999999</v>
      </c>
      <c r="DN512" s="7">
        <v>1.4745999999999999</v>
      </c>
      <c r="DO512" s="7">
        <v>1.4746999999999999</v>
      </c>
      <c r="DP512" s="7">
        <v>1.4750000000000001</v>
      </c>
      <c r="DQ512" s="7">
        <v>1.4755</v>
      </c>
      <c r="DR512" s="7">
        <v>1.4762</v>
      </c>
      <c r="DS512" s="7">
        <v>1.4771000000000001</v>
      </c>
      <c r="DT512" s="7">
        <v>1.4781</v>
      </c>
      <c r="DU512" s="7">
        <v>1.4793000000000001</v>
      </c>
      <c r="DV512" s="7">
        <v>1.4806999999999999</v>
      </c>
      <c r="DW512" s="7">
        <v>1.4823</v>
      </c>
      <c r="DX512" s="7">
        <v>1.4841</v>
      </c>
      <c r="DY512" s="7">
        <v>1.486</v>
      </c>
      <c r="DZ512" s="7">
        <v>1.4882</v>
      </c>
      <c r="EA512" s="7">
        <v>1.4904999999999999</v>
      </c>
      <c r="EB512" s="7">
        <v>1.4930000000000001</v>
      </c>
      <c r="EC512" s="7">
        <v>1.4956</v>
      </c>
      <c r="ED512" s="7">
        <v>1.4984999999999999</v>
      </c>
      <c r="EE512" s="7">
        <v>1.5015000000000001</v>
      </c>
      <c r="EF512" s="7">
        <v>1.5046999999999999</v>
      </c>
      <c r="EG512" s="7">
        <v>1.508</v>
      </c>
      <c r="EH512" s="7">
        <v>1.5115000000000001</v>
      </c>
      <c r="EI512" s="7">
        <v>1.5152000000000001</v>
      </c>
      <c r="EJ512" s="7">
        <v>1.5189999999999999</v>
      </c>
      <c r="EK512" s="7">
        <v>1.5228999999999999</v>
      </c>
      <c r="EL512" s="7">
        <v>1.5269999999999999</v>
      </c>
      <c r="EM512" s="7">
        <v>1.5311999999999999</v>
      </c>
      <c r="EN512" s="7">
        <v>1.5355000000000001</v>
      </c>
      <c r="EO512" s="7">
        <v>1.54</v>
      </c>
      <c r="EP512" s="7">
        <v>1.5445</v>
      </c>
      <c r="EQ512" s="7">
        <v>1.5490999999999999</v>
      </c>
      <c r="ER512" s="7">
        <v>1.5538000000000001</v>
      </c>
      <c r="ES512" s="7">
        <v>1.5585</v>
      </c>
      <c r="ET512" s="7">
        <v>1.5632999999999999</v>
      </c>
      <c r="EU512" s="7">
        <v>1.5669999999999999</v>
      </c>
      <c r="EV512" s="7">
        <v>1.5649</v>
      </c>
      <c r="EW512" s="7">
        <v>1.5629</v>
      </c>
      <c r="EX512" s="7">
        <v>1.5609999999999999</v>
      </c>
      <c r="EY512" s="7">
        <v>1.5591999999999999</v>
      </c>
      <c r="EZ512" s="7">
        <v>1.5576000000000001</v>
      </c>
      <c r="FA512" s="7">
        <v>1.5561</v>
      </c>
      <c r="FB512" s="7">
        <v>1.5547</v>
      </c>
      <c r="FC512" s="7">
        <v>1.5533999999999999</v>
      </c>
      <c r="FE512" s="50">
        <f t="shared" ca="1" si="54"/>
        <v>1.4826595594983176</v>
      </c>
      <c r="FF512" s="50">
        <f t="shared" ca="1" si="55"/>
        <v>1.4816094520986864</v>
      </c>
      <c r="FG512" s="50">
        <f t="shared" ca="1" si="56"/>
        <v>1.4805938255033557</v>
      </c>
      <c r="FH512" s="50">
        <f t="shared" ca="1" si="57"/>
        <v>1.4796542281879195</v>
      </c>
      <c r="FK512" s="50">
        <f t="shared" ca="1" si="53"/>
        <v>1.4816094520986864</v>
      </c>
      <c r="FL512" s="50"/>
      <c r="FM512" s="50"/>
      <c r="FN512" s="50"/>
    </row>
    <row r="513" spans="47:170" hidden="1">
      <c r="AW513" s="433">
        <v>53.703000000000003</v>
      </c>
      <c r="AX513" s="7">
        <v>2.0087999999999999</v>
      </c>
      <c r="AY513" s="7">
        <v>1.9851000000000001</v>
      </c>
      <c r="AZ513" s="7">
        <v>1.9624999999999999</v>
      </c>
      <c r="BA513" s="7">
        <v>1.9410000000000001</v>
      </c>
      <c r="BB513" s="7">
        <v>1.9205000000000001</v>
      </c>
      <c r="BC513" s="7">
        <v>1.9009</v>
      </c>
      <c r="BD513" s="7">
        <v>1.8822000000000001</v>
      </c>
      <c r="BE513" s="7">
        <v>1.8643000000000001</v>
      </c>
      <c r="BF513" s="7">
        <v>1.8472</v>
      </c>
      <c r="BG513" s="7">
        <v>1.8308</v>
      </c>
      <c r="BH513" s="7">
        <v>1.8150999999999999</v>
      </c>
      <c r="BI513" s="7">
        <v>1.8</v>
      </c>
      <c r="BJ513" s="7">
        <v>1.7856000000000001</v>
      </c>
      <c r="BK513" s="7">
        <v>1.7717000000000001</v>
      </c>
      <c r="BL513" s="7">
        <v>1.7584</v>
      </c>
      <c r="BM513" s="7">
        <v>1.7455000000000001</v>
      </c>
      <c r="BN513" s="7">
        <v>1.7332000000000001</v>
      </c>
      <c r="BO513" s="7">
        <v>1.7214</v>
      </c>
      <c r="BP513" s="7">
        <v>1.71</v>
      </c>
      <c r="BQ513" s="7">
        <v>1.6990000000000001</v>
      </c>
      <c r="BR513" s="7">
        <v>1.6883999999999999</v>
      </c>
      <c r="BS513" s="7">
        <v>1.6781999999999999</v>
      </c>
      <c r="BT513" s="7">
        <v>1.6684000000000001</v>
      </c>
      <c r="BU513" s="7">
        <v>1.659</v>
      </c>
      <c r="BV513" s="7">
        <v>1.6498999999999999</v>
      </c>
      <c r="BW513" s="7">
        <v>1.6411</v>
      </c>
      <c r="BX513" s="7">
        <v>1.6326000000000001</v>
      </c>
      <c r="BY513" s="7">
        <v>1.6244000000000001</v>
      </c>
      <c r="BZ513" s="7">
        <v>1.6166</v>
      </c>
      <c r="CA513" s="7">
        <v>1.609</v>
      </c>
      <c r="CB513" s="7">
        <v>1.6015999999999999</v>
      </c>
      <c r="CC513" s="7">
        <v>1.5946</v>
      </c>
      <c r="CD513" s="7">
        <v>1.5878000000000001</v>
      </c>
      <c r="CE513" s="7">
        <v>1.5811999999999999</v>
      </c>
      <c r="CF513" s="7">
        <v>1.5749</v>
      </c>
      <c r="CG513" s="7">
        <v>1.5688</v>
      </c>
      <c r="CH513" s="7">
        <v>1.5629</v>
      </c>
      <c r="CI513" s="7">
        <v>1.5572999999999999</v>
      </c>
      <c r="CJ513" s="7">
        <v>1.5518000000000001</v>
      </c>
      <c r="CK513" s="7">
        <v>1.5466</v>
      </c>
      <c r="CL513" s="7">
        <v>1.5416000000000001</v>
      </c>
      <c r="CM513" s="7">
        <v>1.5367999999999999</v>
      </c>
      <c r="CN513" s="7">
        <v>1.5322</v>
      </c>
      <c r="CO513" s="7">
        <v>1.5277000000000001</v>
      </c>
      <c r="CP513" s="7">
        <v>1.5235000000000001</v>
      </c>
      <c r="CQ513" s="7">
        <v>1.5194000000000001</v>
      </c>
      <c r="CR513" s="7">
        <v>1.5156000000000001</v>
      </c>
      <c r="CS513" s="7">
        <v>1.5119</v>
      </c>
      <c r="CT513" s="7">
        <v>1.5084</v>
      </c>
      <c r="CU513" s="7">
        <v>1.5049999999999999</v>
      </c>
      <c r="CV513" s="7">
        <v>1.5019</v>
      </c>
      <c r="CW513" s="7">
        <v>1.4988999999999999</v>
      </c>
      <c r="CX513" s="7">
        <v>1.4961</v>
      </c>
      <c r="CY513" s="7">
        <v>1.4935</v>
      </c>
      <c r="CZ513" s="7">
        <v>1.4910000000000001</v>
      </c>
      <c r="DA513" s="7">
        <v>1.4886999999999999</v>
      </c>
      <c r="DB513" s="7">
        <v>1.4865999999999999</v>
      </c>
      <c r="DC513" s="7">
        <v>1.4846999999999999</v>
      </c>
      <c r="DD513" s="7">
        <v>1.4829000000000001</v>
      </c>
      <c r="DE513" s="7">
        <v>1.4813000000000001</v>
      </c>
      <c r="DF513" s="7">
        <v>1.4798</v>
      </c>
      <c r="DG513" s="7">
        <v>1.4785999999999999</v>
      </c>
      <c r="DH513" s="7">
        <v>1.4775</v>
      </c>
      <c r="DI513" s="7">
        <v>1.4765999999999999</v>
      </c>
      <c r="DJ513" s="7">
        <v>1.4758</v>
      </c>
      <c r="DK513" s="7">
        <v>1.4752000000000001</v>
      </c>
      <c r="DL513" s="7">
        <v>1.4748000000000001</v>
      </c>
      <c r="DM513" s="7">
        <v>1.4745999999999999</v>
      </c>
      <c r="DN513" s="7">
        <v>1.4745999999999999</v>
      </c>
      <c r="DO513" s="7">
        <v>1.4746999999999999</v>
      </c>
      <c r="DP513" s="7">
        <v>1.4750000000000001</v>
      </c>
      <c r="DQ513" s="7">
        <v>1.4755</v>
      </c>
      <c r="DR513" s="7">
        <v>1.4762</v>
      </c>
      <c r="DS513" s="7">
        <v>1.4771000000000001</v>
      </c>
      <c r="DT513" s="7">
        <v>1.4781</v>
      </c>
      <c r="DU513" s="7">
        <v>1.4793000000000001</v>
      </c>
      <c r="DV513" s="7">
        <v>1.4806999999999999</v>
      </c>
      <c r="DW513" s="7">
        <v>1.4823</v>
      </c>
      <c r="DX513" s="7">
        <v>1.4841</v>
      </c>
      <c r="DY513" s="7">
        <v>1.486</v>
      </c>
      <c r="DZ513" s="7">
        <v>1.4882</v>
      </c>
      <c r="EA513" s="7">
        <v>1.4904999999999999</v>
      </c>
      <c r="EB513" s="7">
        <v>1.4930000000000001</v>
      </c>
      <c r="EC513" s="7">
        <v>1.4957</v>
      </c>
      <c r="ED513" s="7">
        <v>1.4984999999999999</v>
      </c>
      <c r="EE513" s="7">
        <v>1.5015000000000001</v>
      </c>
      <c r="EF513" s="7">
        <v>1.5046999999999999</v>
      </c>
      <c r="EG513" s="7">
        <v>1.508</v>
      </c>
      <c r="EH513" s="7">
        <v>1.5115000000000001</v>
      </c>
      <c r="EI513" s="7">
        <v>1.5152000000000001</v>
      </c>
      <c r="EJ513" s="7">
        <v>1.5189999999999999</v>
      </c>
      <c r="EK513" s="7">
        <v>1.5228999999999999</v>
      </c>
      <c r="EL513" s="7">
        <v>1.5269999999999999</v>
      </c>
      <c r="EM513" s="7">
        <v>1.5311999999999999</v>
      </c>
      <c r="EN513" s="7">
        <v>1.5355000000000001</v>
      </c>
      <c r="EO513" s="7">
        <v>1.54</v>
      </c>
      <c r="EP513" s="7">
        <v>1.5445</v>
      </c>
      <c r="EQ513" s="7">
        <v>1.5490999999999999</v>
      </c>
      <c r="ER513" s="7">
        <v>1.5538000000000001</v>
      </c>
      <c r="ES513" s="7">
        <v>1.5585</v>
      </c>
      <c r="ET513" s="7">
        <v>1.5632999999999999</v>
      </c>
      <c r="EU513" s="7">
        <v>1.5681</v>
      </c>
      <c r="EV513" s="7">
        <v>1.5717000000000001</v>
      </c>
      <c r="EW513" s="7">
        <v>1.5697000000000001</v>
      </c>
      <c r="EX513" s="7">
        <v>1.5680000000000001</v>
      </c>
      <c r="EY513" s="7">
        <v>1.5663</v>
      </c>
      <c r="EZ513" s="7">
        <v>1.5648</v>
      </c>
      <c r="FA513" s="7">
        <v>1.5632999999999999</v>
      </c>
      <c r="FB513" s="7">
        <v>1.5621</v>
      </c>
      <c r="FC513" s="7">
        <v>1.5609</v>
      </c>
      <c r="FE513" s="50">
        <f t="shared" ca="1" si="54"/>
        <v>1.4826595594983176</v>
      </c>
      <c r="FF513" s="50">
        <f t="shared" ca="1" si="55"/>
        <v>1.4816094520986864</v>
      </c>
      <c r="FG513" s="50">
        <f t="shared" ca="1" si="56"/>
        <v>1.4805938255033557</v>
      </c>
      <c r="FH513" s="50">
        <f t="shared" ca="1" si="57"/>
        <v>1.4796542281879195</v>
      </c>
      <c r="FK513" s="50">
        <f t="shared" ca="1" si="53"/>
        <v>1.4816094520986864</v>
      </c>
      <c r="FL513" s="50"/>
      <c r="FM513" s="50"/>
      <c r="FN513" s="50"/>
    </row>
    <row r="514" spans="47:170" hidden="1">
      <c r="AW514" s="433">
        <v>57.543999999999997</v>
      </c>
      <c r="AX514" s="7">
        <v>2.0087999999999999</v>
      </c>
      <c r="AY514" s="7">
        <v>1.9851000000000001</v>
      </c>
      <c r="AZ514" s="7">
        <v>1.9624999999999999</v>
      </c>
      <c r="BA514" s="7">
        <v>1.9410000000000001</v>
      </c>
      <c r="BB514" s="7">
        <v>1.9205000000000001</v>
      </c>
      <c r="BC514" s="7">
        <v>1.9009</v>
      </c>
      <c r="BD514" s="7">
        <v>1.8822000000000001</v>
      </c>
      <c r="BE514" s="7">
        <v>1.8643000000000001</v>
      </c>
      <c r="BF514" s="7">
        <v>1.8472</v>
      </c>
      <c r="BG514" s="7">
        <v>1.8308</v>
      </c>
      <c r="BH514" s="7">
        <v>1.8150999999999999</v>
      </c>
      <c r="BI514" s="7">
        <v>1.8</v>
      </c>
      <c r="BJ514" s="7">
        <v>1.7856000000000001</v>
      </c>
      <c r="BK514" s="7">
        <v>1.7717000000000001</v>
      </c>
      <c r="BL514" s="7">
        <v>1.7584</v>
      </c>
      <c r="BM514" s="7">
        <v>1.7455000000000001</v>
      </c>
      <c r="BN514" s="7">
        <v>1.7332000000000001</v>
      </c>
      <c r="BO514" s="7">
        <v>1.7214</v>
      </c>
      <c r="BP514" s="7">
        <v>1.71</v>
      </c>
      <c r="BQ514" s="7">
        <v>1.6990000000000001</v>
      </c>
      <c r="BR514" s="7">
        <v>1.6883999999999999</v>
      </c>
      <c r="BS514" s="7">
        <v>1.6781999999999999</v>
      </c>
      <c r="BT514" s="7">
        <v>1.6684000000000001</v>
      </c>
      <c r="BU514" s="7">
        <v>1.659</v>
      </c>
      <c r="BV514" s="7">
        <v>1.6498999999999999</v>
      </c>
      <c r="BW514" s="7">
        <v>1.6411</v>
      </c>
      <c r="BX514" s="7">
        <v>1.6326000000000001</v>
      </c>
      <c r="BY514" s="7">
        <v>1.6244000000000001</v>
      </c>
      <c r="BZ514" s="7">
        <v>1.6166</v>
      </c>
      <c r="CA514" s="7">
        <v>1.609</v>
      </c>
      <c r="CB514" s="7">
        <v>1.6015999999999999</v>
      </c>
      <c r="CC514" s="7">
        <v>1.5946</v>
      </c>
      <c r="CD514" s="7">
        <v>1.5878000000000001</v>
      </c>
      <c r="CE514" s="7">
        <v>1.5811999999999999</v>
      </c>
      <c r="CF514" s="7">
        <v>1.5749</v>
      </c>
      <c r="CG514" s="7">
        <v>1.5688</v>
      </c>
      <c r="CH514" s="7">
        <v>1.5629</v>
      </c>
      <c r="CI514" s="7">
        <v>1.5572999999999999</v>
      </c>
      <c r="CJ514" s="7">
        <v>1.5518000000000001</v>
      </c>
      <c r="CK514" s="7">
        <v>1.5466</v>
      </c>
      <c r="CL514" s="7">
        <v>1.5416000000000001</v>
      </c>
      <c r="CM514" s="7">
        <v>1.5367999999999999</v>
      </c>
      <c r="CN514" s="7">
        <v>1.5322</v>
      </c>
      <c r="CO514" s="7">
        <v>1.5277000000000001</v>
      </c>
      <c r="CP514" s="7">
        <v>1.5235000000000001</v>
      </c>
      <c r="CQ514" s="7">
        <v>1.5194000000000001</v>
      </c>
      <c r="CR514" s="7">
        <v>1.5156000000000001</v>
      </c>
      <c r="CS514" s="7">
        <v>1.5119</v>
      </c>
      <c r="CT514" s="7">
        <v>1.5084</v>
      </c>
      <c r="CU514" s="7">
        <v>1.5049999999999999</v>
      </c>
      <c r="CV514" s="7">
        <v>1.5019</v>
      </c>
      <c r="CW514" s="7">
        <v>1.4988999999999999</v>
      </c>
      <c r="CX514" s="7">
        <v>1.4961</v>
      </c>
      <c r="CY514" s="7">
        <v>1.4935</v>
      </c>
      <c r="CZ514" s="7">
        <v>1.4910000000000001</v>
      </c>
      <c r="DA514" s="7">
        <v>1.4886999999999999</v>
      </c>
      <c r="DB514" s="7">
        <v>1.4865999999999999</v>
      </c>
      <c r="DC514" s="7">
        <v>1.4846999999999999</v>
      </c>
      <c r="DD514" s="7">
        <v>1.4829000000000001</v>
      </c>
      <c r="DE514" s="7">
        <v>1.4813000000000001</v>
      </c>
      <c r="DF514" s="7">
        <v>1.4798</v>
      </c>
      <c r="DG514" s="7">
        <v>1.4785999999999999</v>
      </c>
      <c r="DH514" s="7">
        <v>1.4775</v>
      </c>
      <c r="DI514" s="7">
        <v>1.4765999999999999</v>
      </c>
      <c r="DJ514" s="7">
        <v>1.4758</v>
      </c>
      <c r="DK514" s="7">
        <v>1.4752000000000001</v>
      </c>
      <c r="DL514" s="7">
        <v>1.4748000000000001</v>
      </c>
      <c r="DM514" s="7">
        <v>1.4745999999999999</v>
      </c>
      <c r="DN514" s="7">
        <v>1.4745999999999999</v>
      </c>
      <c r="DO514" s="7">
        <v>1.4746999999999999</v>
      </c>
      <c r="DP514" s="7">
        <v>1.4750000000000001</v>
      </c>
      <c r="DQ514" s="7">
        <v>1.4755</v>
      </c>
      <c r="DR514" s="7">
        <v>1.4762</v>
      </c>
      <c r="DS514" s="7">
        <v>1.4771000000000001</v>
      </c>
      <c r="DT514" s="7">
        <v>1.4781</v>
      </c>
      <c r="DU514" s="7">
        <v>1.4793000000000001</v>
      </c>
      <c r="DV514" s="7">
        <v>1.4806999999999999</v>
      </c>
      <c r="DW514" s="7">
        <v>1.4823</v>
      </c>
      <c r="DX514" s="7">
        <v>1.4841</v>
      </c>
      <c r="DY514" s="7">
        <v>1.486</v>
      </c>
      <c r="DZ514" s="7">
        <v>1.4882</v>
      </c>
      <c r="EA514" s="7">
        <v>1.4904999999999999</v>
      </c>
      <c r="EB514" s="7">
        <v>1.4930000000000001</v>
      </c>
      <c r="EC514" s="7">
        <v>1.4957</v>
      </c>
      <c r="ED514" s="7">
        <v>1.4984999999999999</v>
      </c>
      <c r="EE514" s="7">
        <v>1.5015000000000001</v>
      </c>
      <c r="EF514" s="7">
        <v>1.5046999999999999</v>
      </c>
      <c r="EG514" s="7">
        <v>1.508</v>
      </c>
      <c r="EH514" s="7">
        <v>1.5115000000000001</v>
      </c>
      <c r="EI514" s="7">
        <v>1.5152000000000001</v>
      </c>
      <c r="EJ514" s="7">
        <v>1.5189999999999999</v>
      </c>
      <c r="EK514" s="7">
        <v>1.5228999999999999</v>
      </c>
      <c r="EL514" s="7">
        <v>1.5269999999999999</v>
      </c>
      <c r="EM514" s="7">
        <v>1.5311999999999999</v>
      </c>
      <c r="EN514" s="7">
        <v>1.5355000000000001</v>
      </c>
      <c r="EO514" s="7">
        <v>1.54</v>
      </c>
      <c r="EP514" s="7">
        <v>1.5445</v>
      </c>
      <c r="EQ514" s="7">
        <v>1.5490999999999999</v>
      </c>
      <c r="ER514" s="7">
        <v>1.5538000000000001</v>
      </c>
      <c r="ES514" s="7">
        <v>1.5585</v>
      </c>
      <c r="ET514" s="7">
        <v>1.5632999999999999</v>
      </c>
      <c r="EU514" s="7">
        <v>1.5681</v>
      </c>
      <c r="EV514" s="7">
        <v>1.573</v>
      </c>
      <c r="EW514" s="7">
        <v>1.5766</v>
      </c>
      <c r="EX514" s="7">
        <v>1.5749</v>
      </c>
      <c r="EY514" s="7">
        <v>1.5732999999999999</v>
      </c>
      <c r="EZ514" s="7">
        <v>1.5719000000000001</v>
      </c>
      <c r="FA514" s="7">
        <v>1.5706</v>
      </c>
      <c r="FB514" s="7">
        <v>1.5693999999999999</v>
      </c>
      <c r="FC514" s="7">
        <v>1.5683</v>
      </c>
      <c r="FE514" s="50">
        <f t="shared" ca="1" si="54"/>
        <v>1.4826595594983176</v>
      </c>
      <c r="FF514" s="50">
        <f t="shared" ca="1" si="55"/>
        <v>1.4816094520986864</v>
      </c>
      <c r="FG514" s="50">
        <f t="shared" ca="1" si="56"/>
        <v>1.4805938255033557</v>
      </c>
      <c r="FH514" s="50">
        <f t="shared" ca="1" si="57"/>
        <v>1.4796542281879195</v>
      </c>
      <c r="FK514" s="50">
        <f t="shared" ca="1" si="53"/>
        <v>1.4816094520986864</v>
      </c>
      <c r="FL514" s="50"/>
      <c r="FM514" s="50"/>
      <c r="FN514" s="50"/>
    </row>
    <row r="515" spans="47:170" hidden="1">
      <c r="AW515" s="433">
        <v>61.66</v>
      </c>
      <c r="AX515" s="7">
        <v>2.0087999999999999</v>
      </c>
      <c r="AY515" s="7">
        <v>1.9851000000000001</v>
      </c>
      <c r="AZ515" s="7">
        <v>1.9624999999999999</v>
      </c>
      <c r="BA515" s="7">
        <v>1.9410000000000001</v>
      </c>
      <c r="BB515" s="7">
        <v>1.9205000000000001</v>
      </c>
      <c r="BC515" s="7">
        <v>1.9009</v>
      </c>
      <c r="BD515" s="7">
        <v>1.8822000000000001</v>
      </c>
      <c r="BE515" s="7">
        <v>1.8643000000000001</v>
      </c>
      <c r="BF515" s="7">
        <v>1.8472</v>
      </c>
      <c r="BG515" s="7">
        <v>1.8308</v>
      </c>
      <c r="BH515" s="7">
        <v>1.8150999999999999</v>
      </c>
      <c r="BI515" s="7">
        <v>1.8</v>
      </c>
      <c r="BJ515" s="7">
        <v>1.7856000000000001</v>
      </c>
      <c r="BK515" s="7">
        <v>1.7717000000000001</v>
      </c>
      <c r="BL515" s="7">
        <v>1.7584</v>
      </c>
      <c r="BM515" s="7">
        <v>1.7455000000000001</v>
      </c>
      <c r="BN515" s="7">
        <v>1.7332000000000001</v>
      </c>
      <c r="BO515" s="7">
        <v>1.7214</v>
      </c>
      <c r="BP515" s="7">
        <v>1.71</v>
      </c>
      <c r="BQ515" s="7">
        <v>1.6990000000000001</v>
      </c>
      <c r="BR515" s="7">
        <v>1.6883999999999999</v>
      </c>
      <c r="BS515" s="7">
        <v>1.6781999999999999</v>
      </c>
      <c r="BT515" s="7">
        <v>1.6684000000000001</v>
      </c>
      <c r="BU515" s="7">
        <v>1.659</v>
      </c>
      <c r="BV515" s="7">
        <v>1.6498999999999999</v>
      </c>
      <c r="BW515" s="7">
        <v>1.6411</v>
      </c>
      <c r="BX515" s="7">
        <v>1.6326000000000001</v>
      </c>
      <c r="BY515" s="7">
        <v>1.6244000000000001</v>
      </c>
      <c r="BZ515" s="7">
        <v>1.6166</v>
      </c>
      <c r="CA515" s="7">
        <v>1.609</v>
      </c>
      <c r="CB515" s="7">
        <v>1.6015999999999999</v>
      </c>
      <c r="CC515" s="7">
        <v>1.5946</v>
      </c>
      <c r="CD515" s="7">
        <v>1.5878000000000001</v>
      </c>
      <c r="CE515" s="7">
        <v>1.5811999999999999</v>
      </c>
      <c r="CF515" s="7">
        <v>1.5749</v>
      </c>
      <c r="CG515" s="7">
        <v>1.5688</v>
      </c>
      <c r="CH515" s="7">
        <v>1.5629</v>
      </c>
      <c r="CI515" s="7">
        <v>1.5572999999999999</v>
      </c>
      <c r="CJ515" s="7">
        <v>1.5518000000000001</v>
      </c>
      <c r="CK515" s="7">
        <v>1.5466</v>
      </c>
      <c r="CL515" s="7">
        <v>1.5416000000000001</v>
      </c>
      <c r="CM515" s="7">
        <v>1.5367999999999999</v>
      </c>
      <c r="CN515" s="7">
        <v>1.5322</v>
      </c>
      <c r="CO515" s="7">
        <v>1.5277000000000001</v>
      </c>
      <c r="CP515" s="7">
        <v>1.5235000000000001</v>
      </c>
      <c r="CQ515" s="7">
        <v>1.5194000000000001</v>
      </c>
      <c r="CR515" s="7">
        <v>1.5156000000000001</v>
      </c>
      <c r="CS515" s="7">
        <v>1.5119</v>
      </c>
      <c r="CT515" s="7">
        <v>1.5084</v>
      </c>
      <c r="CU515" s="7">
        <v>1.5049999999999999</v>
      </c>
      <c r="CV515" s="7">
        <v>1.5019</v>
      </c>
      <c r="CW515" s="7">
        <v>1.4988999999999999</v>
      </c>
      <c r="CX515" s="7">
        <v>1.4961</v>
      </c>
      <c r="CY515" s="7">
        <v>1.4935</v>
      </c>
      <c r="CZ515" s="7">
        <v>1.4910000000000001</v>
      </c>
      <c r="DA515" s="7">
        <v>1.4886999999999999</v>
      </c>
      <c r="DB515" s="7">
        <v>1.4865999999999999</v>
      </c>
      <c r="DC515" s="7">
        <v>1.4846999999999999</v>
      </c>
      <c r="DD515" s="7">
        <v>1.4829000000000001</v>
      </c>
      <c r="DE515" s="7">
        <v>1.4813000000000001</v>
      </c>
      <c r="DF515" s="7">
        <v>1.4798</v>
      </c>
      <c r="DG515" s="7">
        <v>1.4785999999999999</v>
      </c>
      <c r="DH515" s="7">
        <v>1.4775</v>
      </c>
      <c r="DI515" s="7">
        <v>1.4765999999999999</v>
      </c>
      <c r="DJ515" s="7">
        <v>1.4758</v>
      </c>
      <c r="DK515" s="7">
        <v>1.4752000000000001</v>
      </c>
      <c r="DL515" s="7">
        <v>1.4748000000000001</v>
      </c>
      <c r="DM515" s="7">
        <v>1.4745999999999999</v>
      </c>
      <c r="DN515" s="7">
        <v>1.4745999999999999</v>
      </c>
      <c r="DO515" s="7">
        <v>1.4746999999999999</v>
      </c>
      <c r="DP515" s="7">
        <v>1.4750000000000001</v>
      </c>
      <c r="DQ515" s="7">
        <v>1.4755</v>
      </c>
      <c r="DR515" s="7">
        <v>1.4762</v>
      </c>
      <c r="DS515" s="7">
        <v>1.4771000000000001</v>
      </c>
      <c r="DT515" s="7">
        <v>1.4781</v>
      </c>
      <c r="DU515" s="7">
        <v>1.4793000000000001</v>
      </c>
      <c r="DV515" s="7">
        <v>1.4806999999999999</v>
      </c>
      <c r="DW515" s="7">
        <v>1.4823</v>
      </c>
      <c r="DX515" s="7">
        <v>1.4841</v>
      </c>
      <c r="DY515" s="7">
        <v>1.486</v>
      </c>
      <c r="DZ515" s="7">
        <v>1.4882</v>
      </c>
      <c r="EA515" s="7">
        <v>1.4904999999999999</v>
      </c>
      <c r="EB515" s="7">
        <v>1.4930000000000001</v>
      </c>
      <c r="EC515" s="7">
        <v>1.4957</v>
      </c>
      <c r="ED515" s="7">
        <v>1.4984999999999999</v>
      </c>
      <c r="EE515" s="7">
        <v>1.5015000000000001</v>
      </c>
      <c r="EF515" s="7">
        <v>1.5046999999999999</v>
      </c>
      <c r="EG515" s="7">
        <v>1.508</v>
      </c>
      <c r="EH515" s="7">
        <v>1.5115000000000001</v>
      </c>
      <c r="EI515" s="7">
        <v>1.5152000000000001</v>
      </c>
      <c r="EJ515" s="7">
        <v>1.5189999999999999</v>
      </c>
      <c r="EK515" s="7">
        <v>1.5228999999999999</v>
      </c>
      <c r="EL515" s="7">
        <v>1.5269999999999999</v>
      </c>
      <c r="EM515" s="7">
        <v>1.5311999999999999</v>
      </c>
      <c r="EN515" s="7">
        <v>1.5355000000000001</v>
      </c>
      <c r="EO515" s="7">
        <v>1.54</v>
      </c>
      <c r="EP515" s="7">
        <v>1.5445</v>
      </c>
      <c r="EQ515" s="7">
        <v>1.5490999999999999</v>
      </c>
      <c r="ER515" s="7">
        <v>1.5538000000000001</v>
      </c>
      <c r="ES515" s="7">
        <v>1.5585</v>
      </c>
      <c r="ET515" s="7">
        <v>1.5632999999999999</v>
      </c>
      <c r="EU515" s="7">
        <v>1.5681</v>
      </c>
      <c r="EV515" s="7">
        <v>1.573</v>
      </c>
      <c r="EW515" s="7">
        <v>1.5779000000000001</v>
      </c>
      <c r="EX515" s="7">
        <v>1.5817000000000001</v>
      </c>
      <c r="EY515" s="7">
        <v>1.5802</v>
      </c>
      <c r="EZ515" s="7">
        <v>1.5789</v>
      </c>
      <c r="FA515" s="7">
        <v>1.5777000000000001</v>
      </c>
      <c r="FB515" s="7">
        <v>1.5766</v>
      </c>
      <c r="FC515" s="7">
        <v>1.5757000000000001</v>
      </c>
      <c r="FE515" s="50">
        <f t="shared" ca="1" si="54"/>
        <v>1.4826595594983176</v>
      </c>
      <c r="FF515" s="50">
        <f t="shared" ca="1" si="55"/>
        <v>1.4816094520986864</v>
      </c>
      <c r="FG515" s="50">
        <f t="shared" ca="1" si="56"/>
        <v>1.4805938255033557</v>
      </c>
      <c r="FH515" s="50">
        <f t="shared" ca="1" si="57"/>
        <v>1.4796542281879195</v>
      </c>
      <c r="FK515" s="50">
        <f t="shared" ca="1" si="53"/>
        <v>1.4816094520986864</v>
      </c>
      <c r="FL515" s="50"/>
      <c r="FM515" s="50"/>
      <c r="FN515" s="50"/>
    </row>
    <row r="516" spans="47:170" hidden="1">
      <c r="AW516" s="433">
        <v>66.069000000000003</v>
      </c>
      <c r="AX516" s="7">
        <v>2.0087999999999999</v>
      </c>
      <c r="AY516" s="7">
        <v>1.9851000000000001</v>
      </c>
      <c r="AZ516" s="7">
        <v>1.9624999999999999</v>
      </c>
      <c r="BA516" s="7">
        <v>1.9410000000000001</v>
      </c>
      <c r="BB516" s="7">
        <v>1.9205000000000001</v>
      </c>
      <c r="BC516" s="7">
        <v>1.9009</v>
      </c>
      <c r="BD516" s="7">
        <v>1.8822000000000001</v>
      </c>
      <c r="BE516" s="7">
        <v>1.8643000000000001</v>
      </c>
      <c r="BF516" s="7">
        <v>1.8472</v>
      </c>
      <c r="BG516" s="7">
        <v>1.8308</v>
      </c>
      <c r="BH516" s="7">
        <v>1.8150999999999999</v>
      </c>
      <c r="BI516" s="7">
        <v>1.8</v>
      </c>
      <c r="BJ516" s="7">
        <v>1.7856000000000001</v>
      </c>
      <c r="BK516" s="7">
        <v>1.7717000000000001</v>
      </c>
      <c r="BL516" s="7">
        <v>1.7584</v>
      </c>
      <c r="BM516" s="7">
        <v>1.7455000000000001</v>
      </c>
      <c r="BN516" s="7">
        <v>1.7332000000000001</v>
      </c>
      <c r="BO516" s="7">
        <v>1.7214</v>
      </c>
      <c r="BP516" s="7">
        <v>1.71</v>
      </c>
      <c r="BQ516" s="7">
        <v>1.6990000000000001</v>
      </c>
      <c r="BR516" s="7">
        <v>1.6883999999999999</v>
      </c>
      <c r="BS516" s="7">
        <v>1.6781999999999999</v>
      </c>
      <c r="BT516" s="7">
        <v>1.6684000000000001</v>
      </c>
      <c r="BU516" s="7">
        <v>1.659</v>
      </c>
      <c r="BV516" s="7">
        <v>1.6498999999999999</v>
      </c>
      <c r="BW516" s="7">
        <v>1.6411</v>
      </c>
      <c r="BX516" s="7">
        <v>1.6326000000000001</v>
      </c>
      <c r="BY516" s="7">
        <v>1.6244000000000001</v>
      </c>
      <c r="BZ516" s="7">
        <v>1.6166</v>
      </c>
      <c r="CA516" s="7">
        <v>1.609</v>
      </c>
      <c r="CB516" s="7">
        <v>1.6015999999999999</v>
      </c>
      <c r="CC516" s="7">
        <v>1.5946</v>
      </c>
      <c r="CD516" s="7">
        <v>1.5878000000000001</v>
      </c>
      <c r="CE516" s="7">
        <v>1.5811999999999999</v>
      </c>
      <c r="CF516" s="7">
        <v>1.5749</v>
      </c>
      <c r="CG516" s="7">
        <v>1.5688</v>
      </c>
      <c r="CH516" s="7">
        <v>1.5629</v>
      </c>
      <c r="CI516" s="7">
        <v>1.5572999999999999</v>
      </c>
      <c r="CJ516" s="7">
        <v>1.5518000000000001</v>
      </c>
      <c r="CK516" s="7">
        <v>1.5466</v>
      </c>
      <c r="CL516" s="7">
        <v>1.5416000000000001</v>
      </c>
      <c r="CM516" s="7">
        <v>1.5367999999999999</v>
      </c>
      <c r="CN516" s="7">
        <v>1.5322</v>
      </c>
      <c r="CO516" s="7">
        <v>1.5277000000000001</v>
      </c>
      <c r="CP516" s="7">
        <v>1.5235000000000001</v>
      </c>
      <c r="CQ516" s="7">
        <v>1.5194000000000001</v>
      </c>
      <c r="CR516" s="7">
        <v>1.5156000000000001</v>
      </c>
      <c r="CS516" s="7">
        <v>1.5119</v>
      </c>
      <c r="CT516" s="7">
        <v>1.5084</v>
      </c>
      <c r="CU516" s="7">
        <v>1.5049999999999999</v>
      </c>
      <c r="CV516" s="7">
        <v>1.5019</v>
      </c>
      <c r="CW516" s="7">
        <v>1.4988999999999999</v>
      </c>
      <c r="CX516" s="7">
        <v>1.4961</v>
      </c>
      <c r="CY516" s="7">
        <v>1.4935</v>
      </c>
      <c r="CZ516" s="7">
        <v>1.4910000000000001</v>
      </c>
      <c r="DA516" s="7">
        <v>1.4886999999999999</v>
      </c>
      <c r="DB516" s="7">
        <v>1.4865999999999999</v>
      </c>
      <c r="DC516" s="7">
        <v>1.4846999999999999</v>
      </c>
      <c r="DD516" s="7">
        <v>1.4829000000000001</v>
      </c>
      <c r="DE516" s="7">
        <v>1.4813000000000001</v>
      </c>
      <c r="DF516" s="7">
        <v>1.4798</v>
      </c>
      <c r="DG516" s="7">
        <v>1.4785999999999999</v>
      </c>
      <c r="DH516" s="7">
        <v>1.4775</v>
      </c>
      <c r="DI516" s="7">
        <v>1.4765999999999999</v>
      </c>
      <c r="DJ516" s="7">
        <v>1.4758</v>
      </c>
      <c r="DK516" s="7">
        <v>1.4752000000000001</v>
      </c>
      <c r="DL516" s="7">
        <v>1.4748000000000001</v>
      </c>
      <c r="DM516" s="7">
        <v>1.4745999999999999</v>
      </c>
      <c r="DN516" s="7">
        <v>1.4745999999999999</v>
      </c>
      <c r="DO516" s="7">
        <v>1.4746999999999999</v>
      </c>
      <c r="DP516" s="7">
        <v>1.4750000000000001</v>
      </c>
      <c r="DQ516" s="7">
        <v>1.4755</v>
      </c>
      <c r="DR516" s="7">
        <v>1.4762</v>
      </c>
      <c r="DS516" s="7">
        <v>1.4771000000000001</v>
      </c>
      <c r="DT516" s="7">
        <v>1.4781</v>
      </c>
      <c r="DU516" s="7">
        <v>1.4793000000000001</v>
      </c>
      <c r="DV516" s="7">
        <v>1.4806999999999999</v>
      </c>
      <c r="DW516" s="7">
        <v>1.4823</v>
      </c>
      <c r="DX516" s="7">
        <v>1.4841</v>
      </c>
      <c r="DY516" s="7">
        <v>1.486</v>
      </c>
      <c r="DZ516" s="7">
        <v>1.4882</v>
      </c>
      <c r="EA516" s="7">
        <v>1.4904999999999999</v>
      </c>
      <c r="EB516" s="7">
        <v>1.4930000000000001</v>
      </c>
      <c r="EC516" s="7">
        <v>1.4957</v>
      </c>
      <c r="ED516" s="7">
        <v>1.4984999999999999</v>
      </c>
      <c r="EE516" s="7">
        <v>1.5015000000000001</v>
      </c>
      <c r="EF516" s="7">
        <v>1.5046999999999999</v>
      </c>
      <c r="EG516" s="7">
        <v>1.508</v>
      </c>
      <c r="EH516" s="7">
        <v>1.5115000000000001</v>
      </c>
      <c r="EI516" s="7">
        <v>1.5152000000000001</v>
      </c>
      <c r="EJ516" s="7">
        <v>1.5189999999999999</v>
      </c>
      <c r="EK516" s="7">
        <v>1.5228999999999999</v>
      </c>
      <c r="EL516" s="7">
        <v>1.5269999999999999</v>
      </c>
      <c r="EM516" s="7">
        <v>1.5311999999999999</v>
      </c>
      <c r="EN516" s="7">
        <v>1.5355000000000001</v>
      </c>
      <c r="EO516" s="7">
        <v>1.54</v>
      </c>
      <c r="EP516" s="7">
        <v>1.5445</v>
      </c>
      <c r="EQ516" s="7">
        <v>1.5490999999999999</v>
      </c>
      <c r="ER516" s="7">
        <v>1.5538000000000001</v>
      </c>
      <c r="ES516" s="7">
        <v>1.5585</v>
      </c>
      <c r="ET516" s="7">
        <v>1.5632999999999999</v>
      </c>
      <c r="EU516" s="7">
        <v>1.5681</v>
      </c>
      <c r="EV516" s="7">
        <v>1.573</v>
      </c>
      <c r="EW516" s="7">
        <v>1.5779000000000001</v>
      </c>
      <c r="EX516" s="7">
        <v>1.5828</v>
      </c>
      <c r="EY516" s="7">
        <v>1.5871</v>
      </c>
      <c r="EZ516" s="7">
        <v>1.5859000000000001</v>
      </c>
      <c r="FA516" s="7">
        <v>1.5848</v>
      </c>
      <c r="FB516" s="7">
        <v>1.5838000000000001</v>
      </c>
      <c r="FC516" s="7">
        <v>1.583</v>
      </c>
      <c r="FE516" s="50">
        <f t="shared" ca="1" si="54"/>
        <v>1.4826595594983176</v>
      </c>
      <c r="FF516" s="50">
        <f t="shared" ca="1" si="55"/>
        <v>1.4816094520986864</v>
      </c>
      <c r="FG516" s="50">
        <f t="shared" ca="1" si="56"/>
        <v>1.4805938255033557</v>
      </c>
      <c r="FH516" s="50">
        <f t="shared" ca="1" si="57"/>
        <v>1.4796542281879195</v>
      </c>
      <c r="FK516" s="50">
        <f t="shared" ca="1" si="53"/>
        <v>1.4816094520986864</v>
      </c>
      <c r="FL516" s="50"/>
      <c r="FM516" s="50"/>
      <c r="FN516" s="50"/>
    </row>
    <row r="517" spans="47:170" hidden="1">
      <c r="AW517" s="433">
        <v>70.795000000000002</v>
      </c>
      <c r="AX517" s="7">
        <v>2.0087999999999999</v>
      </c>
      <c r="AY517" s="7">
        <v>1.9851000000000001</v>
      </c>
      <c r="AZ517" s="7">
        <v>1.9624999999999999</v>
      </c>
      <c r="BA517" s="7">
        <v>1.9410000000000001</v>
      </c>
      <c r="BB517" s="7">
        <v>1.9205000000000001</v>
      </c>
      <c r="BC517" s="7">
        <v>1.9009</v>
      </c>
      <c r="BD517" s="7">
        <v>1.8822000000000001</v>
      </c>
      <c r="BE517" s="7">
        <v>1.8643000000000001</v>
      </c>
      <c r="BF517" s="7">
        <v>1.8472</v>
      </c>
      <c r="BG517" s="7">
        <v>1.8308</v>
      </c>
      <c r="BH517" s="7">
        <v>1.8150999999999999</v>
      </c>
      <c r="BI517" s="7">
        <v>1.8</v>
      </c>
      <c r="BJ517" s="7">
        <v>1.7856000000000001</v>
      </c>
      <c r="BK517" s="7">
        <v>1.7717000000000001</v>
      </c>
      <c r="BL517" s="7">
        <v>1.7584</v>
      </c>
      <c r="BM517" s="7">
        <v>1.7455000000000001</v>
      </c>
      <c r="BN517" s="7">
        <v>1.7332000000000001</v>
      </c>
      <c r="BO517" s="7">
        <v>1.7214</v>
      </c>
      <c r="BP517" s="7">
        <v>1.71</v>
      </c>
      <c r="BQ517" s="7">
        <v>1.6990000000000001</v>
      </c>
      <c r="BR517" s="7">
        <v>1.6883999999999999</v>
      </c>
      <c r="BS517" s="7">
        <v>1.6781999999999999</v>
      </c>
      <c r="BT517" s="7">
        <v>1.6684000000000001</v>
      </c>
      <c r="BU517" s="7">
        <v>1.659</v>
      </c>
      <c r="BV517" s="7">
        <v>1.6498999999999999</v>
      </c>
      <c r="BW517" s="7">
        <v>1.6411</v>
      </c>
      <c r="BX517" s="7">
        <v>1.6326000000000001</v>
      </c>
      <c r="BY517" s="7">
        <v>1.6244000000000001</v>
      </c>
      <c r="BZ517" s="7">
        <v>1.6166</v>
      </c>
      <c r="CA517" s="7">
        <v>1.609</v>
      </c>
      <c r="CB517" s="7">
        <v>1.6015999999999999</v>
      </c>
      <c r="CC517" s="7">
        <v>1.5946</v>
      </c>
      <c r="CD517" s="7">
        <v>1.5878000000000001</v>
      </c>
      <c r="CE517" s="7">
        <v>1.5811999999999999</v>
      </c>
      <c r="CF517" s="7">
        <v>1.5749</v>
      </c>
      <c r="CG517" s="7">
        <v>1.5688</v>
      </c>
      <c r="CH517" s="7">
        <v>1.5629</v>
      </c>
      <c r="CI517" s="7">
        <v>1.5572999999999999</v>
      </c>
      <c r="CJ517" s="7">
        <v>1.5518000000000001</v>
      </c>
      <c r="CK517" s="7">
        <v>1.5466</v>
      </c>
      <c r="CL517" s="7">
        <v>1.5416000000000001</v>
      </c>
      <c r="CM517" s="7">
        <v>1.5367999999999999</v>
      </c>
      <c r="CN517" s="7">
        <v>1.5322</v>
      </c>
      <c r="CO517" s="7">
        <v>1.5277000000000001</v>
      </c>
      <c r="CP517" s="7">
        <v>1.5235000000000001</v>
      </c>
      <c r="CQ517" s="7">
        <v>1.5194000000000001</v>
      </c>
      <c r="CR517" s="7">
        <v>1.5156000000000001</v>
      </c>
      <c r="CS517" s="7">
        <v>1.5119</v>
      </c>
      <c r="CT517" s="7">
        <v>1.5084</v>
      </c>
      <c r="CU517" s="7">
        <v>1.5049999999999999</v>
      </c>
      <c r="CV517" s="7">
        <v>1.5019</v>
      </c>
      <c r="CW517" s="7">
        <v>1.4988999999999999</v>
      </c>
      <c r="CX517" s="7">
        <v>1.4961</v>
      </c>
      <c r="CY517" s="7">
        <v>1.4935</v>
      </c>
      <c r="CZ517" s="7">
        <v>1.4910000000000001</v>
      </c>
      <c r="DA517" s="7">
        <v>1.4886999999999999</v>
      </c>
      <c r="DB517" s="7">
        <v>1.4865999999999999</v>
      </c>
      <c r="DC517" s="7">
        <v>1.4846999999999999</v>
      </c>
      <c r="DD517" s="7">
        <v>1.4829000000000001</v>
      </c>
      <c r="DE517" s="7">
        <v>1.4813000000000001</v>
      </c>
      <c r="DF517" s="7">
        <v>1.4798</v>
      </c>
      <c r="DG517" s="7">
        <v>1.4785999999999999</v>
      </c>
      <c r="DH517" s="7">
        <v>1.4775</v>
      </c>
      <c r="DI517" s="7">
        <v>1.4765999999999999</v>
      </c>
      <c r="DJ517" s="7">
        <v>1.4758</v>
      </c>
      <c r="DK517" s="7">
        <v>1.4752000000000001</v>
      </c>
      <c r="DL517" s="7">
        <v>1.4748000000000001</v>
      </c>
      <c r="DM517" s="7">
        <v>1.4745999999999999</v>
      </c>
      <c r="DN517" s="7">
        <v>1.4745999999999999</v>
      </c>
      <c r="DO517" s="7">
        <v>1.4746999999999999</v>
      </c>
      <c r="DP517" s="7">
        <v>1.4750000000000001</v>
      </c>
      <c r="DQ517" s="7">
        <v>1.4755</v>
      </c>
      <c r="DR517" s="7">
        <v>1.4762</v>
      </c>
      <c r="DS517" s="7">
        <v>1.4771000000000001</v>
      </c>
      <c r="DT517" s="7">
        <v>1.4781</v>
      </c>
      <c r="DU517" s="7">
        <v>1.4793000000000001</v>
      </c>
      <c r="DV517" s="7">
        <v>1.4806999999999999</v>
      </c>
      <c r="DW517" s="7">
        <v>1.4823</v>
      </c>
      <c r="DX517" s="7">
        <v>1.4841</v>
      </c>
      <c r="DY517" s="7">
        <v>1.486</v>
      </c>
      <c r="DZ517" s="7">
        <v>1.4882</v>
      </c>
      <c r="EA517" s="7">
        <v>1.4904999999999999</v>
      </c>
      <c r="EB517" s="7">
        <v>1.4930000000000001</v>
      </c>
      <c r="EC517" s="7">
        <v>1.4957</v>
      </c>
      <c r="ED517" s="7">
        <v>1.4984999999999999</v>
      </c>
      <c r="EE517" s="7">
        <v>1.5015000000000001</v>
      </c>
      <c r="EF517" s="7">
        <v>1.5046999999999999</v>
      </c>
      <c r="EG517" s="7">
        <v>1.508</v>
      </c>
      <c r="EH517" s="7">
        <v>1.5115000000000001</v>
      </c>
      <c r="EI517" s="7">
        <v>1.5152000000000001</v>
      </c>
      <c r="EJ517" s="7">
        <v>1.5189999999999999</v>
      </c>
      <c r="EK517" s="7">
        <v>1.5228999999999999</v>
      </c>
      <c r="EL517" s="7">
        <v>1.5269999999999999</v>
      </c>
      <c r="EM517" s="7">
        <v>1.5311999999999999</v>
      </c>
      <c r="EN517" s="7">
        <v>1.5355000000000001</v>
      </c>
      <c r="EO517" s="7">
        <v>1.54</v>
      </c>
      <c r="EP517" s="7">
        <v>1.5445</v>
      </c>
      <c r="EQ517" s="7">
        <v>1.5490999999999999</v>
      </c>
      <c r="ER517" s="7">
        <v>1.5538000000000001</v>
      </c>
      <c r="ES517" s="7">
        <v>1.5585</v>
      </c>
      <c r="ET517" s="7">
        <v>1.5632999999999999</v>
      </c>
      <c r="EU517" s="7">
        <v>1.5681</v>
      </c>
      <c r="EV517" s="7">
        <v>1.573</v>
      </c>
      <c r="EW517" s="7">
        <v>1.5779000000000001</v>
      </c>
      <c r="EX517" s="7">
        <v>1.5828</v>
      </c>
      <c r="EY517" s="7">
        <v>1.5876999999999999</v>
      </c>
      <c r="EZ517" s="7">
        <v>1.5925</v>
      </c>
      <c r="FA517" s="7">
        <v>1.5918000000000001</v>
      </c>
      <c r="FB517" s="7">
        <v>1.5909</v>
      </c>
      <c r="FC517" s="7">
        <v>1.5902000000000001</v>
      </c>
      <c r="FE517" s="50">
        <f t="shared" ca="1" si="54"/>
        <v>1.4826595594983176</v>
      </c>
      <c r="FF517" s="50">
        <f t="shared" ca="1" si="55"/>
        <v>1.4816094520986864</v>
      </c>
      <c r="FG517" s="50">
        <f t="shared" ca="1" si="56"/>
        <v>1.4805938255033557</v>
      </c>
      <c r="FH517" s="50">
        <f t="shared" ca="1" si="57"/>
        <v>1.4796542281879195</v>
      </c>
      <c r="FK517" s="50">
        <f t="shared" ca="1" si="53"/>
        <v>1.4816094520986864</v>
      </c>
      <c r="FL517" s="50"/>
      <c r="FM517" s="50"/>
      <c r="FN517" s="50"/>
    </row>
    <row r="518" spans="47:170" hidden="1">
      <c r="AW518" s="433">
        <v>75.858000000000004</v>
      </c>
      <c r="AX518" s="7">
        <v>2.0087999999999999</v>
      </c>
      <c r="AY518" s="7">
        <v>1.9851000000000001</v>
      </c>
      <c r="AZ518" s="7">
        <v>1.9624999999999999</v>
      </c>
      <c r="BA518" s="7">
        <v>1.9410000000000001</v>
      </c>
      <c r="BB518" s="7">
        <v>1.9205000000000001</v>
      </c>
      <c r="BC518" s="7">
        <v>1.9009</v>
      </c>
      <c r="BD518" s="7">
        <v>1.8822000000000001</v>
      </c>
      <c r="BE518" s="7">
        <v>1.8643000000000001</v>
      </c>
      <c r="BF518" s="7">
        <v>1.8472</v>
      </c>
      <c r="BG518" s="7">
        <v>1.8308</v>
      </c>
      <c r="BH518" s="7">
        <v>1.8150999999999999</v>
      </c>
      <c r="BI518" s="7">
        <v>1.8</v>
      </c>
      <c r="BJ518" s="7">
        <v>1.7856000000000001</v>
      </c>
      <c r="BK518" s="7">
        <v>1.7717000000000001</v>
      </c>
      <c r="BL518" s="7">
        <v>1.7584</v>
      </c>
      <c r="BM518" s="7">
        <v>1.7455000000000001</v>
      </c>
      <c r="BN518" s="7">
        <v>1.7332000000000001</v>
      </c>
      <c r="BO518" s="7">
        <v>1.7214</v>
      </c>
      <c r="BP518" s="7">
        <v>1.71</v>
      </c>
      <c r="BQ518" s="7">
        <v>1.6990000000000001</v>
      </c>
      <c r="BR518" s="7">
        <v>1.6883999999999999</v>
      </c>
      <c r="BS518" s="7">
        <v>1.6781999999999999</v>
      </c>
      <c r="BT518" s="7">
        <v>1.6684000000000001</v>
      </c>
      <c r="BU518" s="7">
        <v>1.659</v>
      </c>
      <c r="BV518" s="7">
        <v>1.6498999999999999</v>
      </c>
      <c r="BW518" s="7">
        <v>1.6411</v>
      </c>
      <c r="BX518" s="7">
        <v>1.6326000000000001</v>
      </c>
      <c r="BY518" s="7">
        <v>1.6244000000000001</v>
      </c>
      <c r="BZ518" s="7">
        <v>1.6166</v>
      </c>
      <c r="CA518" s="7">
        <v>1.609</v>
      </c>
      <c r="CB518" s="7">
        <v>1.6015999999999999</v>
      </c>
      <c r="CC518" s="7">
        <v>1.5946</v>
      </c>
      <c r="CD518" s="7">
        <v>1.5878000000000001</v>
      </c>
      <c r="CE518" s="7">
        <v>1.5811999999999999</v>
      </c>
      <c r="CF518" s="7">
        <v>1.5749</v>
      </c>
      <c r="CG518" s="7">
        <v>1.5688</v>
      </c>
      <c r="CH518" s="7">
        <v>1.5629</v>
      </c>
      <c r="CI518" s="7">
        <v>1.5572999999999999</v>
      </c>
      <c r="CJ518" s="7">
        <v>1.5518000000000001</v>
      </c>
      <c r="CK518" s="7">
        <v>1.5466</v>
      </c>
      <c r="CL518" s="7">
        <v>1.5416000000000001</v>
      </c>
      <c r="CM518" s="7">
        <v>1.5367999999999999</v>
      </c>
      <c r="CN518" s="7">
        <v>1.5322</v>
      </c>
      <c r="CO518" s="7">
        <v>1.5277000000000001</v>
      </c>
      <c r="CP518" s="7">
        <v>1.5235000000000001</v>
      </c>
      <c r="CQ518" s="7">
        <v>1.5194000000000001</v>
      </c>
      <c r="CR518" s="7">
        <v>1.5156000000000001</v>
      </c>
      <c r="CS518" s="7">
        <v>1.5119</v>
      </c>
      <c r="CT518" s="7">
        <v>1.5084</v>
      </c>
      <c r="CU518" s="7">
        <v>1.5049999999999999</v>
      </c>
      <c r="CV518" s="7">
        <v>1.5019</v>
      </c>
      <c r="CW518" s="7">
        <v>1.4988999999999999</v>
      </c>
      <c r="CX518" s="7">
        <v>1.4961</v>
      </c>
      <c r="CY518" s="7">
        <v>1.4935</v>
      </c>
      <c r="CZ518" s="7">
        <v>1.4910000000000001</v>
      </c>
      <c r="DA518" s="7">
        <v>1.4886999999999999</v>
      </c>
      <c r="DB518" s="7">
        <v>1.4865999999999999</v>
      </c>
      <c r="DC518" s="7">
        <v>1.4846999999999999</v>
      </c>
      <c r="DD518" s="7">
        <v>1.4829000000000001</v>
      </c>
      <c r="DE518" s="7">
        <v>1.4813000000000001</v>
      </c>
      <c r="DF518" s="7">
        <v>1.4798</v>
      </c>
      <c r="DG518" s="7">
        <v>1.4785999999999999</v>
      </c>
      <c r="DH518" s="7">
        <v>1.4775</v>
      </c>
      <c r="DI518" s="7">
        <v>1.4765999999999999</v>
      </c>
      <c r="DJ518" s="7">
        <v>1.4758</v>
      </c>
      <c r="DK518" s="7">
        <v>1.4752000000000001</v>
      </c>
      <c r="DL518" s="7">
        <v>1.4748000000000001</v>
      </c>
      <c r="DM518" s="7">
        <v>1.4745999999999999</v>
      </c>
      <c r="DN518" s="7">
        <v>1.4745999999999999</v>
      </c>
      <c r="DO518" s="7">
        <v>1.4746999999999999</v>
      </c>
      <c r="DP518" s="7">
        <v>1.4750000000000001</v>
      </c>
      <c r="DQ518" s="7">
        <v>1.4755</v>
      </c>
      <c r="DR518" s="7">
        <v>1.4762</v>
      </c>
      <c r="DS518" s="7">
        <v>1.4771000000000001</v>
      </c>
      <c r="DT518" s="7">
        <v>1.4781</v>
      </c>
      <c r="DU518" s="7">
        <v>1.4793000000000001</v>
      </c>
      <c r="DV518" s="7">
        <v>1.4806999999999999</v>
      </c>
      <c r="DW518" s="7">
        <v>1.4823</v>
      </c>
      <c r="DX518" s="7">
        <v>1.4841</v>
      </c>
      <c r="DY518" s="7">
        <v>1.486</v>
      </c>
      <c r="DZ518" s="7">
        <v>1.4882</v>
      </c>
      <c r="EA518" s="7">
        <v>1.4904999999999999</v>
      </c>
      <c r="EB518" s="7">
        <v>1.4930000000000001</v>
      </c>
      <c r="EC518" s="7">
        <v>1.4957</v>
      </c>
      <c r="ED518" s="7">
        <v>1.4984999999999999</v>
      </c>
      <c r="EE518" s="7">
        <v>1.5015000000000001</v>
      </c>
      <c r="EF518" s="7">
        <v>1.5046999999999999</v>
      </c>
      <c r="EG518" s="7">
        <v>1.508</v>
      </c>
      <c r="EH518" s="7">
        <v>1.5115000000000001</v>
      </c>
      <c r="EI518" s="7">
        <v>1.5152000000000001</v>
      </c>
      <c r="EJ518" s="7">
        <v>1.5189999999999999</v>
      </c>
      <c r="EK518" s="7">
        <v>1.5228999999999999</v>
      </c>
      <c r="EL518" s="7">
        <v>1.5269999999999999</v>
      </c>
      <c r="EM518" s="7">
        <v>1.5311999999999999</v>
      </c>
      <c r="EN518" s="7">
        <v>1.5355000000000001</v>
      </c>
      <c r="EO518" s="7">
        <v>1.54</v>
      </c>
      <c r="EP518" s="7">
        <v>1.5445</v>
      </c>
      <c r="EQ518" s="7">
        <v>1.5490999999999999</v>
      </c>
      <c r="ER518" s="7">
        <v>1.5538000000000001</v>
      </c>
      <c r="ES518" s="7">
        <v>1.5585</v>
      </c>
      <c r="ET518" s="7">
        <v>1.5632999999999999</v>
      </c>
      <c r="EU518" s="7">
        <v>1.5681</v>
      </c>
      <c r="EV518" s="7">
        <v>1.573</v>
      </c>
      <c r="EW518" s="7">
        <v>1.5779000000000001</v>
      </c>
      <c r="EX518" s="7">
        <v>1.5828</v>
      </c>
      <c r="EY518" s="7">
        <v>1.5876999999999999</v>
      </c>
      <c r="EZ518" s="7">
        <v>1.5925</v>
      </c>
      <c r="FA518" s="7">
        <v>1.5973999999999999</v>
      </c>
      <c r="FB518" s="7">
        <v>1.5980000000000001</v>
      </c>
      <c r="FC518" s="7">
        <v>1.5973999999999999</v>
      </c>
      <c r="FE518" s="50">
        <f t="shared" ca="1" si="54"/>
        <v>1.4826595594983176</v>
      </c>
      <c r="FF518" s="50">
        <f t="shared" ca="1" si="55"/>
        <v>1.4816094520986864</v>
      </c>
      <c r="FG518" s="50">
        <f t="shared" ca="1" si="56"/>
        <v>1.4805938255033557</v>
      </c>
      <c r="FH518" s="50">
        <f t="shared" ca="1" si="57"/>
        <v>1.4796542281879195</v>
      </c>
      <c r="FK518" s="50">
        <f t="shared" ca="1" si="53"/>
        <v>1.4816094520986864</v>
      </c>
      <c r="FL518" s="50"/>
      <c r="FM518" s="50"/>
      <c r="FN518" s="50"/>
    </row>
    <row r="519" spans="47:170" hidden="1">
      <c r="AW519" s="433">
        <v>81.283000000000001</v>
      </c>
      <c r="AX519" s="7">
        <v>2.0087999999999999</v>
      </c>
      <c r="AY519" s="7">
        <v>1.9851000000000001</v>
      </c>
      <c r="AZ519" s="7">
        <v>1.9624999999999999</v>
      </c>
      <c r="BA519" s="7">
        <v>1.9410000000000001</v>
      </c>
      <c r="BB519" s="7">
        <v>1.9205000000000001</v>
      </c>
      <c r="BC519" s="7">
        <v>1.9009</v>
      </c>
      <c r="BD519" s="7">
        <v>1.8822000000000001</v>
      </c>
      <c r="BE519" s="7">
        <v>1.8643000000000001</v>
      </c>
      <c r="BF519" s="7">
        <v>1.8472</v>
      </c>
      <c r="BG519" s="7">
        <v>1.8308</v>
      </c>
      <c r="BH519" s="7">
        <v>1.8150999999999999</v>
      </c>
      <c r="BI519" s="7">
        <v>1.8</v>
      </c>
      <c r="BJ519" s="7">
        <v>1.7856000000000001</v>
      </c>
      <c r="BK519" s="7">
        <v>1.7717000000000001</v>
      </c>
      <c r="BL519" s="7">
        <v>1.7584</v>
      </c>
      <c r="BM519" s="7">
        <v>1.7455000000000001</v>
      </c>
      <c r="BN519" s="7">
        <v>1.7332000000000001</v>
      </c>
      <c r="BO519" s="7">
        <v>1.7214</v>
      </c>
      <c r="BP519" s="7">
        <v>1.71</v>
      </c>
      <c r="BQ519" s="7">
        <v>1.6990000000000001</v>
      </c>
      <c r="BR519" s="7">
        <v>1.6883999999999999</v>
      </c>
      <c r="BS519" s="7">
        <v>1.6781999999999999</v>
      </c>
      <c r="BT519" s="7">
        <v>1.6684000000000001</v>
      </c>
      <c r="BU519" s="7">
        <v>1.659</v>
      </c>
      <c r="BV519" s="7">
        <v>1.6498999999999999</v>
      </c>
      <c r="BW519" s="7">
        <v>1.6411</v>
      </c>
      <c r="BX519" s="7">
        <v>1.6326000000000001</v>
      </c>
      <c r="BY519" s="7">
        <v>1.6244000000000001</v>
      </c>
      <c r="BZ519" s="7">
        <v>1.6166</v>
      </c>
      <c r="CA519" s="7">
        <v>1.609</v>
      </c>
      <c r="CB519" s="7">
        <v>1.6015999999999999</v>
      </c>
      <c r="CC519" s="7">
        <v>1.5946</v>
      </c>
      <c r="CD519" s="7">
        <v>1.5878000000000001</v>
      </c>
      <c r="CE519" s="7">
        <v>1.5811999999999999</v>
      </c>
      <c r="CF519" s="7">
        <v>1.5749</v>
      </c>
      <c r="CG519" s="7">
        <v>1.5688</v>
      </c>
      <c r="CH519" s="7">
        <v>1.5629</v>
      </c>
      <c r="CI519" s="7">
        <v>1.5572999999999999</v>
      </c>
      <c r="CJ519" s="7">
        <v>1.5518000000000001</v>
      </c>
      <c r="CK519" s="7">
        <v>1.5466</v>
      </c>
      <c r="CL519" s="7">
        <v>1.5416000000000001</v>
      </c>
      <c r="CM519" s="7">
        <v>1.5367999999999999</v>
      </c>
      <c r="CN519" s="7">
        <v>1.5322</v>
      </c>
      <c r="CO519" s="7">
        <v>1.5277000000000001</v>
      </c>
      <c r="CP519" s="7">
        <v>1.5235000000000001</v>
      </c>
      <c r="CQ519" s="7">
        <v>1.5194000000000001</v>
      </c>
      <c r="CR519" s="7">
        <v>1.5156000000000001</v>
      </c>
      <c r="CS519" s="7">
        <v>1.5119</v>
      </c>
      <c r="CT519" s="7">
        <v>1.5084</v>
      </c>
      <c r="CU519" s="7">
        <v>1.5049999999999999</v>
      </c>
      <c r="CV519" s="7">
        <v>1.5019</v>
      </c>
      <c r="CW519" s="7">
        <v>1.4988999999999999</v>
      </c>
      <c r="CX519" s="7">
        <v>1.4961</v>
      </c>
      <c r="CY519" s="7">
        <v>1.4935</v>
      </c>
      <c r="CZ519" s="7">
        <v>1.4910000000000001</v>
      </c>
      <c r="DA519" s="7">
        <v>1.4886999999999999</v>
      </c>
      <c r="DB519" s="7">
        <v>1.4865999999999999</v>
      </c>
      <c r="DC519" s="7">
        <v>1.4846999999999999</v>
      </c>
      <c r="DD519" s="7">
        <v>1.4829000000000001</v>
      </c>
      <c r="DE519" s="7">
        <v>1.4813000000000001</v>
      </c>
      <c r="DF519" s="7">
        <v>1.4798</v>
      </c>
      <c r="DG519" s="7">
        <v>1.4785999999999999</v>
      </c>
      <c r="DH519" s="7">
        <v>1.4775</v>
      </c>
      <c r="DI519" s="7">
        <v>1.4765999999999999</v>
      </c>
      <c r="DJ519" s="7">
        <v>1.4758</v>
      </c>
      <c r="DK519" s="7">
        <v>1.4752000000000001</v>
      </c>
      <c r="DL519" s="7">
        <v>1.4748000000000001</v>
      </c>
      <c r="DM519" s="7">
        <v>1.4745999999999999</v>
      </c>
      <c r="DN519" s="7">
        <v>1.4745999999999999</v>
      </c>
      <c r="DO519" s="7">
        <v>1.4746999999999999</v>
      </c>
      <c r="DP519" s="7">
        <v>1.4750000000000001</v>
      </c>
      <c r="DQ519" s="7">
        <v>1.4755</v>
      </c>
      <c r="DR519" s="7">
        <v>1.4762</v>
      </c>
      <c r="DS519" s="7">
        <v>1.4771000000000001</v>
      </c>
      <c r="DT519" s="7">
        <v>1.4781</v>
      </c>
      <c r="DU519" s="7">
        <v>1.4793000000000001</v>
      </c>
      <c r="DV519" s="7">
        <v>1.4806999999999999</v>
      </c>
      <c r="DW519" s="7">
        <v>1.4823</v>
      </c>
      <c r="DX519" s="7">
        <v>1.4841</v>
      </c>
      <c r="DY519" s="7">
        <v>1.486</v>
      </c>
      <c r="DZ519" s="7">
        <v>1.4882</v>
      </c>
      <c r="EA519" s="7">
        <v>1.4904999999999999</v>
      </c>
      <c r="EB519" s="7">
        <v>1.4930000000000001</v>
      </c>
      <c r="EC519" s="7">
        <v>1.4957</v>
      </c>
      <c r="ED519" s="7">
        <v>1.4984999999999999</v>
      </c>
      <c r="EE519" s="7">
        <v>1.5015000000000001</v>
      </c>
      <c r="EF519" s="7">
        <v>1.5046999999999999</v>
      </c>
      <c r="EG519" s="7">
        <v>1.508</v>
      </c>
      <c r="EH519" s="7">
        <v>1.5115000000000001</v>
      </c>
      <c r="EI519" s="7">
        <v>1.5152000000000001</v>
      </c>
      <c r="EJ519" s="7">
        <v>1.5189999999999999</v>
      </c>
      <c r="EK519" s="7">
        <v>1.5228999999999999</v>
      </c>
      <c r="EL519" s="7">
        <v>1.5269999999999999</v>
      </c>
      <c r="EM519" s="7">
        <v>1.5311999999999999</v>
      </c>
      <c r="EN519" s="7">
        <v>1.5355000000000001</v>
      </c>
      <c r="EO519" s="7">
        <v>1.54</v>
      </c>
      <c r="EP519" s="7">
        <v>1.5445</v>
      </c>
      <c r="EQ519" s="7">
        <v>1.5490999999999999</v>
      </c>
      <c r="ER519" s="7">
        <v>1.5538000000000001</v>
      </c>
      <c r="ES519" s="7">
        <v>1.5585</v>
      </c>
      <c r="ET519" s="7">
        <v>1.5632999999999999</v>
      </c>
      <c r="EU519" s="7">
        <v>1.5681</v>
      </c>
      <c r="EV519" s="7">
        <v>1.573</v>
      </c>
      <c r="EW519" s="7">
        <v>1.5779000000000001</v>
      </c>
      <c r="EX519" s="7">
        <v>1.5828</v>
      </c>
      <c r="EY519" s="7">
        <v>1.5876999999999999</v>
      </c>
      <c r="EZ519" s="7">
        <v>1.5925</v>
      </c>
      <c r="FA519" s="7">
        <v>1.5973999999999999</v>
      </c>
      <c r="FB519" s="7">
        <v>1.6023000000000001</v>
      </c>
      <c r="FC519" s="7">
        <v>1.6044</v>
      </c>
      <c r="FE519" s="50">
        <f t="shared" ca="1" si="54"/>
        <v>1.4826595594983176</v>
      </c>
      <c r="FF519" s="50">
        <f t="shared" ca="1" si="55"/>
        <v>1.4816094520986864</v>
      </c>
      <c r="FG519" s="50">
        <f t="shared" ca="1" si="56"/>
        <v>1.4805938255033557</v>
      </c>
      <c r="FH519" s="50">
        <f t="shared" ca="1" si="57"/>
        <v>1.4796542281879195</v>
      </c>
      <c r="FK519" s="50">
        <f t="shared" ca="1" si="53"/>
        <v>1.4816094520986864</v>
      </c>
      <c r="FL519" s="50"/>
      <c r="FM519" s="50"/>
      <c r="FN519" s="50"/>
    </row>
    <row r="520" spans="47:170" hidden="1">
      <c r="AW520" s="433">
        <v>87.096000000000004</v>
      </c>
      <c r="AX520" s="7">
        <v>2.0087999999999999</v>
      </c>
      <c r="AY520" s="7">
        <v>1.9851000000000001</v>
      </c>
      <c r="AZ520" s="7">
        <v>1.9624999999999999</v>
      </c>
      <c r="BA520" s="7">
        <v>1.9410000000000001</v>
      </c>
      <c r="BB520" s="7">
        <v>1.9205000000000001</v>
      </c>
      <c r="BC520" s="7">
        <v>1.9009</v>
      </c>
      <c r="BD520" s="7">
        <v>1.8822000000000001</v>
      </c>
      <c r="BE520" s="7">
        <v>1.8643000000000001</v>
      </c>
      <c r="BF520" s="7">
        <v>1.8472</v>
      </c>
      <c r="BG520" s="7">
        <v>1.8308</v>
      </c>
      <c r="BH520" s="7">
        <v>1.8150999999999999</v>
      </c>
      <c r="BI520" s="7">
        <v>1.8</v>
      </c>
      <c r="BJ520" s="7">
        <v>1.7856000000000001</v>
      </c>
      <c r="BK520" s="7">
        <v>1.7717000000000001</v>
      </c>
      <c r="BL520" s="7">
        <v>1.7584</v>
      </c>
      <c r="BM520" s="7">
        <v>1.7455000000000001</v>
      </c>
      <c r="BN520" s="7">
        <v>1.7332000000000001</v>
      </c>
      <c r="BO520" s="7">
        <v>1.7214</v>
      </c>
      <c r="BP520" s="7">
        <v>1.71</v>
      </c>
      <c r="BQ520" s="7">
        <v>1.6990000000000001</v>
      </c>
      <c r="BR520" s="7">
        <v>1.6883999999999999</v>
      </c>
      <c r="BS520" s="7">
        <v>1.6781999999999999</v>
      </c>
      <c r="BT520" s="7">
        <v>1.6684000000000001</v>
      </c>
      <c r="BU520" s="7">
        <v>1.659</v>
      </c>
      <c r="BV520" s="7">
        <v>1.6498999999999999</v>
      </c>
      <c r="BW520" s="7">
        <v>1.6411</v>
      </c>
      <c r="BX520" s="7">
        <v>1.6326000000000001</v>
      </c>
      <c r="BY520" s="7">
        <v>1.6244000000000001</v>
      </c>
      <c r="BZ520" s="7">
        <v>1.6166</v>
      </c>
      <c r="CA520" s="7">
        <v>1.609</v>
      </c>
      <c r="CB520" s="7">
        <v>1.6015999999999999</v>
      </c>
      <c r="CC520" s="7">
        <v>1.5946</v>
      </c>
      <c r="CD520" s="7">
        <v>1.5878000000000001</v>
      </c>
      <c r="CE520" s="7">
        <v>1.5811999999999999</v>
      </c>
      <c r="CF520" s="7">
        <v>1.5749</v>
      </c>
      <c r="CG520" s="7">
        <v>1.5688</v>
      </c>
      <c r="CH520" s="7">
        <v>1.5629</v>
      </c>
      <c r="CI520" s="7">
        <v>1.5572999999999999</v>
      </c>
      <c r="CJ520" s="7">
        <v>1.5518000000000001</v>
      </c>
      <c r="CK520" s="7">
        <v>1.5466</v>
      </c>
      <c r="CL520" s="7">
        <v>1.5416000000000001</v>
      </c>
      <c r="CM520" s="7">
        <v>1.5367999999999999</v>
      </c>
      <c r="CN520" s="7">
        <v>1.5322</v>
      </c>
      <c r="CO520" s="7">
        <v>1.5277000000000001</v>
      </c>
      <c r="CP520" s="7">
        <v>1.5235000000000001</v>
      </c>
      <c r="CQ520" s="7">
        <v>1.5194000000000001</v>
      </c>
      <c r="CR520" s="7">
        <v>1.5156000000000001</v>
      </c>
      <c r="CS520" s="7">
        <v>1.5119</v>
      </c>
      <c r="CT520" s="7">
        <v>1.5084</v>
      </c>
      <c r="CU520" s="7">
        <v>1.5049999999999999</v>
      </c>
      <c r="CV520" s="7">
        <v>1.5019</v>
      </c>
      <c r="CW520" s="7">
        <v>1.4988999999999999</v>
      </c>
      <c r="CX520" s="7">
        <v>1.4961</v>
      </c>
      <c r="CY520" s="7">
        <v>1.4935</v>
      </c>
      <c r="CZ520" s="7">
        <v>1.4910000000000001</v>
      </c>
      <c r="DA520" s="7">
        <v>1.4886999999999999</v>
      </c>
      <c r="DB520" s="7">
        <v>1.4865999999999999</v>
      </c>
      <c r="DC520" s="7">
        <v>1.4846999999999999</v>
      </c>
      <c r="DD520" s="7">
        <v>1.4829000000000001</v>
      </c>
      <c r="DE520" s="7">
        <v>1.4813000000000001</v>
      </c>
      <c r="DF520" s="7">
        <v>1.4798</v>
      </c>
      <c r="DG520" s="7">
        <v>1.4785999999999999</v>
      </c>
      <c r="DH520" s="7">
        <v>1.4775</v>
      </c>
      <c r="DI520" s="7">
        <v>1.4765999999999999</v>
      </c>
      <c r="DJ520" s="7">
        <v>1.4758</v>
      </c>
      <c r="DK520" s="7">
        <v>1.4752000000000001</v>
      </c>
      <c r="DL520" s="7">
        <v>1.4748000000000001</v>
      </c>
      <c r="DM520" s="7">
        <v>1.4745999999999999</v>
      </c>
      <c r="DN520" s="7">
        <v>1.4745999999999999</v>
      </c>
      <c r="DO520" s="7">
        <v>1.4746999999999999</v>
      </c>
      <c r="DP520" s="7">
        <v>1.4750000000000001</v>
      </c>
      <c r="DQ520" s="7">
        <v>1.4755</v>
      </c>
      <c r="DR520" s="7">
        <v>1.4762</v>
      </c>
      <c r="DS520" s="7">
        <v>1.4771000000000001</v>
      </c>
      <c r="DT520" s="7">
        <v>1.4781</v>
      </c>
      <c r="DU520" s="7">
        <v>1.4793000000000001</v>
      </c>
      <c r="DV520" s="7">
        <v>1.4806999999999999</v>
      </c>
      <c r="DW520" s="7">
        <v>1.4823</v>
      </c>
      <c r="DX520" s="7">
        <v>1.4841</v>
      </c>
      <c r="DY520" s="7">
        <v>1.486</v>
      </c>
      <c r="DZ520" s="7">
        <v>1.4882</v>
      </c>
      <c r="EA520" s="7">
        <v>1.4904999999999999</v>
      </c>
      <c r="EB520" s="7">
        <v>1.4930000000000001</v>
      </c>
      <c r="EC520" s="7">
        <v>1.4957</v>
      </c>
      <c r="ED520" s="7">
        <v>1.4984999999999999</v>
      </c>
      <c r="EE520" s="7">
        <v>1.5015000000000001</v>
      </c>
      <c r="EF520" s="7">
        <v>1.5046999999999999</v>
      </c>
      <c r="EG520" s="7">
        <v>1.508</v>
      </c>
      <c r="EH520" s="7">
        <v>1.5115000000000001</v>
      </c>
      <c r="EI520" s="7">
        <v>1.5152000000000001</v>
      </c>
      <c r="EJ520" s="7">
        <v>1.5189999999999999</v>
      </c>
      <c r="EK520" s="7">
        <v>1.5228999999999999</v>
      </c>
      <c r="EL520" s="7">
        <v>1.5269999999999999</v>
      </c>
      <c r="EM520" s="7">
        <v>1.5311999999999999</v>
      </c>
      <c r="EN520" s="7">
        <v>1.5355000000000001</v>
      </c>
      <c r="EO520" s="7">
        <v>1.54</v>
      </c>
      <c r="EP520" s="7">
        <v>1.5445</v>
      </c>
      <c r="EQ520" s="7">
        <v>1.5490999999999999</v>
      </c>
      <c r="ER520" s="7">
        <v>1.5538000000000001</v>
      </c>
      <c r="ES520" s="7">
        <v>1.5585</v>
      </c>
      <c r="ET520" s="7">
        <v>1.5632999999999999</v>
      </c>
      <c r="EU520" s="7">
        <v>1.5681</v>
      </c>
      <c r="EV520" s="7">
        <v>1.573</v>
      </c>
      <c r="EW520" s="7">
        <v>1.5779000000000001</v>
      </c>
      <c r="EX520" s="7">
        <v>1.5828</v>
      </c>
      <c r="EY520" s="7">
        <v>1.5876999999999999</v>
      </c>
      <c r="EZ520" s="7">
        <v>1.5925</v>
      </c>
      <c r="FA520" s="7">
        <v>1.5973999999999999</v>
      </c>
      <c r="FB520" s="7">
        <v>1.6023000000000001</v>
      </c>
      <c r="FC520" s="7">
        <v>1.6071</v>
      </c>
      <c r="FE520" s="50">
        <f t="shared" ca="1" si="54"/>
        <v>1.4826595594983176</v>
      </c>
      <c r="FF520" s="50">
        <f t="shared" ca="1" si="55"/>
        <v>1.4816094520986864</v>
      </c>
      <c r="FG520" s="50">
        <f t="shared" ca="1" si="56"/>
        <v>1.4805938255033557</v>
      </c>
      <c r="FH520" s="50">
        <f t="shared" ca="1" si="57"/>
        <v>1.4796542281879195</v>
      </c>
      <c r="FK520" s="50">
        <f t="shared" ca="1" si="53"/>
        <v>1.4816094520986864</v>
      </c>
      <c r="FL520" s="50"/>
      <c r="FM520" s="50"/>
      <c r="FN520" s="50"/>
    </row>
    <row r="521" spans="47:170" hidden="1">
      <c r="AW521" s="433">
        <v>93.325000000000003</v>
      </c>
      <c r="AX521" s="7">
        <v>2.0087999999999999</v>
      </c>
      <c r="AY521" s="7">
        <v>1.9851000000000001</v>
      </c>
      <c r="AZ521" s="7">
        <v>1.9624999999999999</v>
      </c>
      <c r="BA521" s="7">
        <v>1.9410000000000001</v>
      </c>
      <c r="BB521" s="7">
        <v>1.9205000000000001</v>
      </c>
      <c r="BC521" s="7">
        <v>1.9009</v>
      </c>
      <c r="BD521" s="7">
        <v>1.8822000000000001</v>
      </c>
      <c r="BE521" s="7">
        <v>1.8643000000000001</v>
      </c>
      <c r="BF521" s="7">
        <v>1.8472</v>
      </c>
      <c r="BG521" s="7">
        <v>1.8308</v>
      </c>
      <c r="BH521" s="7">
        <v>1.8150999999999999</v>
      </c>
      <c r="BI521" s="7">
        <v>1.8</v>
      </c>
      <c r="BJ521" s="7">
        <v>1.7856000000000001</v>
      </c>
      <c r="BK521" s="7">
        <v>1.7717000000000001</v>
      </c>
      <c r="BL521" s="7">
        <v>1.7584</v>
      </c>
      <c r="BM521" s="7">
        <v>1.7455000000000001</v>
      </c>
      <c r="BN521" s="7">
        <v>1.7332000000000001</v>
      </c>
      <c r="BO521" s="7">
        <v>1.7214</v>
      </c>
      <c r="BP521" s="7">
        <v>1.71</v>
      </c>
      <c r="BQ521" s="7">
        <v>1.6990000000000001</v>
      </c>
      <c r="BR521" s="7">
        <v>1.6883999999999999</v>
      </c>
      <c r="BS521" s="7">
        <v>1.6781999999999999</v>
      </c>
      <c r="BT521" s="7">
        <v>1.6684000000000001</v>
      </c>
      <c r="BU521" s="7">
        <v>1.659</v>
      </c>
      <c r="BV521" s="7">
        <v>1.6498999999999999</v>
      </c>
      <c r="BW521" s="7">
        <v>1.6411</v>
      </c>
      <c r="BX521" s="7">
        <v>1.6326000000000001</v>
      </c>
      <c r="BY521" s="7">
        <v>1.6244000000000001</v>
      </c>
      <c r="BZ521" s="7">
        <v>1.6166</v>
      </c>
      <c r="CA521" s="7">
        <v>1.609</v>
      </c>
      <c r="CB521" s="7">
        <v>1.6015999999999999</v>
      </c>
      <c r="CC521" s="7">
        <v>1.5946</v>
      </c>
      <c r="CD521" s="7">
        <v>1.5878000000000001</v>
      </c>
      <c r="CE521" s="7">
        <v>1.5811999999999999</v>
      </c>
      <c r="CF521" s="7">
        <v>1.5749</v>
      </c>
      <c r="CG521" s="7">
        <v>1.5688</v>
      </c>
      <c r="CH521" s="7">
        <v>1.5629</v>
      </c>
      <c r="CI521" s="7">
        <v>1.5572999999999999</v>
      </c>
      <c r="CJ521" s="7">
        <v>1.5518000000000001</v>
      </c>
      <c r="CK521" s="7">
        <v>1.5466</v>
      </c>
      <c r="CL521" s="7">
        <v>1.5416000000000001</v>
      </c>
      <c r="CM521" s="7">
        <v>1.5367999999999999</v>
      </c>
      <c r="CN521" s="7">
        <v>1.5322</v>
      </c>
      <c r="CO521" s="7">
        <v>1.5277000000000001</v>
      </c>
      <c r="CP521" s="7">
        <v>1.5235000000000001</v>
      </c>
      <c r="CQ521" s="7">
        <v>1.5194000000000001</v>
      </c>
      <c r="CR521" s="7">
        <v>1.5156000000000001</v>
      </c>
      <c r="CS521" s="7">
        <v>1.5119</v>
      </c>
      <c r="CT521" s="7">
        <v>1.5084</v>
      </c>
      <c r="CU521" s="7">
        <v>1.5049999999999999</v>
      </c>
      <c r="CV521" s="7">
        <v>1.5019</v>
      </c>
      <c r="CW521" s="7">
        <v>1.4988999999999999</v>
      </c>
      <c r="CX521" s="7">
        <v>1.4961</v>
      </c>
      <c r="CY521" s="7">
        <v>1.4935</v>
      </c>
      <c r="CZ521" s="7">
        <v>1.4910000000000001</v>
      </c>
      <c r="DA521" s="7">
        <v>1.4886999999999999</v>
      </c>
      <c r="DB521" s="7">
        <v>1.4865999999999999</v>
      </c>
      <c r="DC521" s="7">
        <v>1.4846999999999999</v>
      </c>
      <c r="DD521" s="7">
        <v>1.4829000000000001</v>
      </c>
      <c r="DE521" s="7">
        <v>1.4813000000000001</v>
      </c>
      <c r="DF521" s="7">
        <v>1.4798</v>
      </c>
      <c r="DG521" s="7">
        <v>1.4785999999999999</v>
      </c>
      <c r="DH521" s="7">
        <v>1.4775</v>
      </c>
      <c r="DI521" s="7">
        <v>1.4765999999999999</v>
      </c>
      <c r="DJ521" s="7">
        <v>1.4758</v>
      </c>
      <c r="DK521" s="7">
        <v>1.4752000000000001</v>
      </c>
      <c r="DL521" s="7">
        <v>1.4748000000000001</v>
      </c>
      <c r="DM521" s="7">
        <v>1.4745999999999999</v>
      </c>
      <c r="DN521" s="7">
        <v>1.4745999999999999</v>
      </c>
      <c r="DO521" s="7">
        <v>1.4746999999999999</v>
      </c>
      <c r="DP521" s="7">
        <v>1.4750000000000001</v>
      </c>
      <c r="DQ521" s="7">
        <v>1.4755</v>
      </c>
      <c r="DR521" s="7">
        <v>1.4762</v>
      </c>
      <c r="DS521" s="7">
        <v>1.4771000000000001</v>
      </c>
      <c r="DT521" s="7">
        <v>1.4781</v>
      </c>
      <c r="DU521" s="7">
        <v>1.4793000000000001</v>
      </c>
      <c r="DV521" s="7">
        <v>1.4806999999999999</v>
      </c>
      <c r="DW521" s="7">
        <v>1.4823</v>
      </c>
      <c r="DX521" s="7">
        <v>1.4841</v>
      </c>
      <c r="DY521" s="7">
        <v>1.486</v>
      </c>
      <c r="DZ521" s="7">
        <v>1.4882</v>
      </c>
      <c r="EA521" s="7">
        <v>1.4904999999999999</v>
      </c>
      <c r="EB521" s="7">
        <v>1.4930000000000001</v>
      </c>
      <c r="EC521" s="7">
        <v>1.4957</v>
      </c>
      <c r="ED521" s="7">
        <v>1.4984999999999999</v>
      </c>
      <c r="EE521" s="7">
        <v>1.5015000000000001</v>
      </c>
      <c r="EF521" s="7">
        <v>1.5046999999999999</v>
      </c>
      <c r="EG521" s="7">
        <v>1.508</v>
      </c>
      <c r="EH521" s="7">
        <v>1.5115000000000001</v>
      </c>
      <c r="EI521" s="7">
        <v>1.5152000000000001</v>
      </c>
      <c r="EJ521" s="7">
        <v>1.5189999999999999</v>
      </c>
      <c r="EK521" s="7">
        <v>1.5228999999999999</v>
      </c>
      <c r="EL521" s="7">
        <v>1.5269999999999999</v>
      </c>
      <c r="EM521" s="7">
        <v>1.5311999999999999</v>
      </c>
      <c r="EN521" s="7">
        <v>1.5355000000000001</v>
      </c>
      <c r="EO521" s="7">
        <v>1.54</v>
      </c>
      <c r="EP521" s="7">
        <v>1.5445</v>
      </c>
      <c r="EQ521" s="7">
        <v>1.5490999999999999</v>
      </c>
      <c r="ER521" s="7">
        <v>1.5538000000000001</v>
      </c>
      <c r="ES521" s="7">
        <v>1.5585</v>
      </c>
      <c r="ET521" s="7">
        <v>1.5632999999999999</v>
      </c>
      <c r="EU521" s="7">
        <v>1.5681</v>
      </c>
      <c r="EV521" s="7">
        <v>1.573</v>
      </c>
      <c r="EW521" s="7">
        <v>1.5779000000000001</v>
      </c>
      <c r="EX521" s="7">
        <v>1.5828</v>
      </c>
      <c r="EY521" s="7">
        <v>1.5876999999999999</v>
      </c>
      <c r="EZ521" s="7">
        <v>1.5925</v>
      </c>
      <c r="FA521" s="7">
        <v>1.5973999999999999</v>
      </c>
      <c r="FB521" s="7">
        <v>1.6023000000000001</v>
      </c>
      <c r="FC521" s="7">
        <v>1.6071</v>
      </c>
      <c r="FE521" s="50">
        <f t="shared" ca="1" si="54"/>
        <v>1.4826595594983176</v>
      </c>
      <c r="FF521" s="50">
        <f t="shared" ca="1" si="55"/>
        <v>1.4816094520986864</v>
      </c>
      <c r="FG521" s="50">
        <f t="shared" ca="1" si="56"/>
        <v>1.4805938255033557</v>
      </c>
      <c r="FH521" s="50">
        <f t="shared" ca="1" si="57"/>
        <v>1.4796542281879195</v>
      </c>
      <c r="FK521" s="50">
        <f t="shared" ca="1" si="53"/>
        <v>1.4816094520986864</v>
      </c>
      <c r="FL521" s="50"/>
      <c r="FM521" s="50"/>
      <c r="FN521" s="50"/>
    </row>
    <row r="522" spans="47:170" hidden="1">
      <c r="AW522" s="433">
        <v>100</v>
      </c>
      <c r="AX522" s="7">
        <v>2.0087999999999999</v>
      </c>
      <c r="AY522" s="7">
        <v>1.9851000000000001</v>
      </c>
      <c r="AZ522" s="7">
        <v>1.9624999999999999</v>
      </c>
      <c r="BA522" s="7">
        <v>1.9410000000000001</v>
      </c>
      <c r="BB522" s="7">
        <v>1.9205000000000001</v>
      </c>
      <c r="BC522" s="7">
        <v>1.9009</v>
      </c>
      <c r="BD522" s="7">
        <v>1.8822000000000001</v>
      </c>
      <c r="BE522" s="7">
        <v>1.8643000000000001</v>
      </c>
      <c r="BF522" s="7">
        <v>1.8472</v>
      </c>
      <c r="BG522" s="7">
        <v>1.8308</v>
      </c>
      <c r="BH522" s="7">
        <v>1.8150999999999999</v>
      </c>
      <c r="BI522" s="7">
        <v>1.8</v>
      </c>
      <c r="BJ522" s="7">
        <v>1.7856000000000001</v>
      </c>
      <c r="BK522" s="7">
        <v>1.7717000000000001</v>
      </c>
      <c r="BL522" s="7">
        <v>1.7584</v>
      </c>
      <c r="BM522" s="7">
        <v>1.7455000000000001</v>
      </c>
      <c r="BN522" s="7">
        <v>1.7332000000000001</v>
      </c>
      <c r="BO522" s="7">
        <v>1.7214</v>
      </c>
      <c r="BP522" s="7">
        <v>1.71</v>
      </c>
      <c r="BQ522" s="7">
        <v>1.6990000000000001</v>
      </c>
      <c r="BR522" s="7">
        <v>1.6883999999999999</v>
      </c>
      <c r="BS522" s="7">
        <v>1.6781999999999999</v>
      </c>
      <c r="BT522" s="7">
        <v>1.6684000000000001</v>
      </c>
      <c r="BU522" s="7">
        <v>1.659</v>
      </c>
      <c r="BV522" s="7">
        <v>1.6498999999999999</v>
      </c>
      <c r="BW522" s="7">
        <v>1.6411</v>
      </c>
      <c r="BX522" s="7">
        <v>1.6326000000000001</v>
      </c>
      <c r="BY522" s="7">
        <v>1.6244000000000001</v>
      </c>
      <c r="BZ522" s="7">
        <v>1.6166</v>
      </c>
      <c r="CA522" s="7">
        <v>1.609</v>
      </c>
      <c r="CB522" s="7">
        <v>1.6015999999999999</v>
      </c>
      <c r="CC522" s="7">
        <v>1.5946</v>
      </c>
      <c r="CD522" s="7">
        <v>1.5878000000000001</v>
      </c>
      <c r="CE522" s="7">
        <v>1.5811999999999999</v>
      </c>
      <c r="CF522" s="7">
        <v>1.5749</v>
      </c>
      <c r="CG522" s="7">
        <v>1.5688</v>
      </c>
      <c r="CH522" s="7">
        <v>1.5629</v>
      </c>
      <c r="CI522" s="7">
        <v>1.5572999999999999</v>
      </c>
      <c r="CJ522" s="7">
        <v>1.5518000000000001</v>
      </c>
      <c r="CK522" s="7">
        <v>1.5466</v>
      </c>
      <c r="CL522" s="7">
        <v>1.5416000000000001</v>
      </c>
      <c r="CM522" s="7">
        <v>1.5367999999999999</v>
      </c>
      <c r="CN522" s="7">
        <v>1.5322</v>
      </c>
      <c r="CO522" s="7">
        <v>1.5277000000000001</v>
      </c>
      <c r="CP522" s="7">
        <v>1.5235000000000001</v>
      </c>
      <c r="CQ522" s="7">
        <v>1.5194000000000001</v>
      </c>
      <c r="CR522" s="7">
        <v>1.5156000000000001</v>
      </c>
      <c r="CS522" s="7">
        <v>1.5119</v>
      </c>
      <c r="CT522" s="7">
        <v>1.5084</v>
      </c>
      <c r="CU522" s="7">
        <v>1.5049999999999999</v>
      </c>
      <c r="CV522" s="7">
        <v>1.5019</v>
      </c>
      <c r="CW522" s="7">
        <v>1.4988999999999999</v>
      </c>
      <c r="CX522" s="7">
        <v>1.4961</v>
      </c>
      <c r="CY522" s="7">
        <v>1.4935</v>
      </c>
      <c r="CZ522" s="7">
        <v>1.4910000000000001</v>
      </c>
      <c r="DA522" s="7">
        <v>1.4886999999999999</v>
      </c>
      <c r="DB522" s="7">
        <v>1.4865999999999999</v>
      </c>
      <c r="DC522" s="7">
        <v>1.4846999999999999</v>
      </c>
      <c r="DD522" s="7">
        <v>1.4829000000000001</v>
      </c>
      <c r="DE522" s="7">
        <v>1.4813000000000001</v>
      </c>
      <c r="DF522" s="7">
        <v>1.4798</v>
      </c>
      <c r="DG522" s="7">
        <v>1.4785999999999999</v>
      </c>
      <c r="DH522" s="7">
        <v>1.4775</v>
      </c>
      <c r="DI522" s="7">
        <v>1.4765999999999999</v>
      </c>
      <c r="DJ522" s="7">
        <v>1.4758</v>
      </c>
      <c r="DK522" s="7">
        <v>1.4752000000000001</v>
      </c>
      <c r="DL522" s="7">
        <v>1.4748000000000001</v>
      </c>
      <c r="DM522" s="7">
        <v>1.4745999999999999</v>
      </c>
      <c r="DN522" s="7">
        <v>1.4745999999999999</v>
      </c>
      <c r="DO522" s="7">
        <v>1.4746999999999999</v>
      </c>
      <c r="DP522" s="7">
        <v>1.4750000000000001</v>
      </c>
      <c r="DQ522" s="7">
        <v>1.4755</v>
      </c>
      <c r="DR522" s="7">
        <v>1.4762</v>
      </c>
      <c r="DS522" s="7">
        <v>1.4771000000000001</v>
      </c>
      <c r="DT522" s="7">
        <v>1.4781</v>
      </c>
      <c r="DU522" s="7">
        <v>1.4793000000000001</v>
      </c>
      <c r="DV522" s="7">
        <v>1.4806999999999999</v>
      </c>
      <c r="DW522" s="7">
        <v>1.4823</v>
      </c>
      <c r="DX522" s="7">
        <v>1.4841</v>
      </c>
      <c r="DY522" s="7">
        <v>1.486</v>
      </c>
      <c r="DZ522" s="7">
        <v>1.4882</v>
      </c>
      <c r="EA522" s="7">
        <v>1.4904999999999999</v>
      </c>
      <c r="EB522" s="7">
        <v>1.4930000000000001</v>
      </c>
      <c r="EC522" s="7">
        <v>1.4957</v>
      </c>
      <c r="ED522" s="7">
        <v>1.4984999999999999</v>
      </c>
      <c r="EE522" s="7">
        <v>1.5015000000000001</v>
      </c>
      <c r="EF522" s="7">
        <v>1.5046999999999999</v>
      </c>
      <c r="EG522" s="7">
        <v>1.508</v>
      </c>
      <c r="EH522" s="7">
        <v>1.5115000000000001</v>
      </c>
      <c r="EI522" s="7">
        <v>1.5152000000000001</v>
      </c>
      <c r="EJ522" s="7">
        <v>1.5189999999999999</v>
      </c>
      <c r="EK522" s="7">
        <v>1.5228999999999999</v>
      </c>
      <c r="EL522" s="7">
        <v>1.5269999999999999</v>
      </c>
      <c r="EM522" s="7">
        <v>1.5311999999999999</v>
      </c>
      <c r="EN522" s="7">
        <v>1.5355000000000001</v>
      </c>
      <c r="EO522" s="7">
        <v>1.54</v>
      </c>
      <c r="EP522" s="7">
        <v>1.5445</v>
      </c>
      <c r="EQ522" s="7">
        <v>1.5490999999999999</v>
      </c>
      <c r="ER522" s="7">
        <v>1.5538000000000001</v>
      </c>
      <c r="ES522" s="7">
        <v>1.5585</v>
      </c>
      <c r="ET522" s="7">
        <v>1.5632999999999999</v>
      </c>
      <c r="EU522" s="7">
        <v>1.5681</v>
      </c>
      <c r="EV522" s="7">
        <v>1.573</v>
      </c>
      <c r="EW522" s="7">
        <v>1.5779000000000001</v>
      </c>
      <c r="EX522" s="7">
        <v>1.5828</v>
      </c>
      <c r="EY522" s="7">
        <v>1.5876999999999999</v>
      </c>
      <c r="EZ522" s="7">
        <v>1.5925</v>
      </c>
      <c r="FA522" s="7">
        <v>1.5973999999999999</v>
      </c>
      <c r="FB522" s="7">
        <v>1.6023000000000001</v>
      </c>
      <c r="FC522" s="7">
        <v>1.6071</v>
      </c>
      <c r="FE522" s="50">
        <f t="shared" ca="1" si="54"/>
        <v>1.4826595594983176</v>
      </c>
      <c r="FF522" s="50">
        <f t="shared" ca="1" si="55"/>
        <v>1.4816094520986864</v>
      </c>
      <c r="FG522" s="50">
        <f t="shared" ca="1" si="56"/>
        <v>1.4805938255033557</v>
      </c>
      <c r="FH522" s="50">
        <f t="shared" ca="1" si="57"/>
        <v>1.4796542281879195</v>
      </c>
      <c r="FK522" s="50">
        <f t="shared" ca="1" si="53"/>
        <v>1.4816094520986864</v>
      </c>
      <c r="FL522" s="50"/>
      <c r="FM522" s="50"/>
      <c r="FN522" s="50"/>
    </row>
    <row r="523" spans="47:170" hidden="1"/>
    <row r="524" spans="47:170" hidden="1"/>
    <row r="525" spans="47:170" ht="15.75" hidden="1" thickBot="1"/>
    <row r="526" spans="47:170" ht="15.75" hidden="1" thickBot="1">
      <c r="AU526" s="100" t="s">
        <v>194</v>
      </c>
      <c r="AW526" s="113" t="s">
        <v>195</v>
      </c>
    </row>
    <row r="527" spans="47:170" hidden="1">
      <c r="AW527" s="112"/>
      <c r="AX527" s="112">
        <v>2</v>
      </c>
      <c r="AY527" s="112">
        <v>2.0939999999999999</v>
      </c>
      <c r="AZ527" s="112">
        <v>2.1930000000000001</v>
      </c>
      <c r="BA527" s="112">
        <v>2.2959999999999998</v>
      </c>
      <c r="BB527" s="112">
        <v>2.4049999999999998</v>
      </c>
      <c r="BC527" s="112">
        <v>2.5179999999999998</v>
      </c>
      <c r="BD527" s="112">
        <v>2.637</v>
      </c>
      <c r="BE527" s="112">
        <v>2.7610000000000001</v>
      </c>
      <c r="BF527" s="112">
        <v>2.891</v>
      </c>
      <c r="BG527" s="112">
        <v>3.0270000000000001</v>
      </c>
      <c r="BH527" s="112">
        <v>3.17</v>
      </c>
      <c r="BI527" s="112">
        <v>3.319</v>
      </c>
      <c r="BJ527" s="112">
        <v>3.476</v>
      </c>
      <c r="BK527" s="112">
        <v>3.6389999999999998</v>
      </c>
      <c r="BL527" s="112">
        <v>3.8109999999999999</v>
      </c>
      <c r="BM527" s="112">
        <v>3.9910000000000001</v>
      </c>
      <c r="BN527" s="112">
        <v>4.1790000000000003</v>
      </c>
      <c r="BO527" s="112">
        <v>4.3760000000000003</v>
      </c>
      <c r="BP527" s="112">
        <v>4.5819999999999999</v>
      </c>
      <c r="BQ527" s="112">
        <v>4.798</v>
      </c>
      <c r="BR527" s="112">
        <v>5.024</v>
      </c>
      <c r="BS527" s="112">
        <v>5.2610000000000001</v>
      </c>
      <c r="BT527" s="112">
        <v>5.508</v>
      </c>
      <c r="BU527" s="112">
        <v>5.7679999999999998</v>
      </c>
      <c r="BV527" s="112">
        <v>6.04</v>
      </c>
      <c r="BW527" s="112">
        <v>6.3250000000000002</v>
      </c>
      <c r="BX527" s="112">
        <v>6.6230000000000002</v>
      </c>
      <c r="BY527" s="112">
        <v>6.9349999999999996</v>
      </c>
      <c r="BZ527" s="112">
        <v>7.2619999999999996</v>
      </c>
      <c r="CA527" s="112">
        <v>7.6040000000000001</v>
      </c>
      <c r="CB527" s="112">
        <v>7.9619999999999997</v>
      </c>
      <c r="CC527" s="112">
        <v>8.3369999999999997</v>
      </c>
      <c r="CD527" s="112">
        <v>8.73</v>
      </c>
      <c r="CE527" s="112">
        <v>9.1419999999999995</v>
      </c>
      <c r="CF527" s="112">
        <v>9.5730000000000004</v>
      </c>
      <c r="CG527" s="112">
        <v>10.023999999999999</v>
      </c>
      <c r="CH527" s="112">
        <v>10.496</v>
      </c>
      <c r="CI527" s="112">
        <v>10.991</v>
      </c>
      <c r="CJ527" s="112">
        <v>11.509</v>
      </c>
      <c r="CK527" s="112">
        <v>12.051</v>
      </c>
      <c r="CL527" s="112">
        <v>12.619</v>
      </c>
      <c r="CM527" s="112">
        <v>13.214</v>
      </c>
      <c r="CN527" s="112">
        <v>13.837</v>
      </c>
      <c r="CO527" s="112">
        <v>14.489000000000001</v>
      </c>
      <c r="CP527" s="112">
        <v>15.172000000000001</v>
      </c>
      <c r="CQ527" s="112">
        <v>15.887</v>
      </c>
      <c r="CR527" s="112">
        <v>16.635000000000002</v>
      </c>
      <c r="CS527" s="112">
        <v>17.419</v>
      </c>
      <c r="CT527" s="112">
        <v>18.239999999999998</v>
      </c>
      <c r="CU527" s="112">
        <v>19.100000000000001</v>
      </c>
      <c r="CV527" s="112">
        <v>20</v>
      </c>
      <c r="CW527" s="112">
        <v>20.943000000000001</v>
      </c>
      <c r="CX527" s="112">
        <v>21.93</v>
      </c>
      <c r="CY527" s="112">
        <v>22.963000000000001</v>
      </c>
      <c r="CZ527" s="112">
        <v>24.045000000000002</v>
      </c>
      <c r="DA527" s="112">
        <v>25.178999999999998</v>
      </c>
      <c r="DB527" s="112">
        <v>26.364999999999998</v>
      </c>
      <c r="DC527" s="112">
        <v>27.608000000000001</v>
      </c>
      <c r="DD527" s="112">
        <v>28.908999999999999</v>
      </c>
      <c r="DE527" s="112">
        <v>30.271000000000001</v>
      </c>
      <c r="DF527" s="112">
        <v>31.698</v>
      </c>
      <c r="DG527" s="112">
        <v>33.192</v>
      </c>
      <c r="DH527" s="112">
        <v>34.756</v>
      </c>
      <c r="DI527" s="112">
        <v>36.393999999999998</v>
      </c>
      <c r="DJ527" s="112">
        <v>38.109000000000002</v>
      </c>
      <c r="DK527" s="112">
        <v>39.905000000000001</v>
      </c>
      <c r="DL527" s="112">
        <v>41.786000000000001</v>
      </c>
      <c r="DM527" s="112">
        <v>43.755000000000003</v>
      </c>
      <c r="DN527" s="112">
        <v>45.817</v>
      </c>
      <c r="DO527" s="112">
        <v>47.976999999999997</v>
      </c>
      <c r="DP527" s="112">
        <v>50.238</v>
      </c>
      <c r="DQ527" s="112">
        <v>52.604999999999997</v>
      </c>
      <c r="DR527" s="112">
        <v>55.085000000000001</v>
      </c>
      <c r="DS527" s="112">
        <v>57.680999999999997</v>
      </c>
      <c r="DT527" s="112">
        <v>60.399000000000001</v>
      </c>
      <c r="DU527" s="112">
        <v>63.246000000000002</v>
      </c>
      <c r="DV527" s="112">
        <v>66.225999999999999</v>
      </c>
      <c r="DW527" s="112">
        <v>69.346999999999994</v>
      </c>
      <c r="DX527" s="112">
        <v>72.616</v>
      </c>
      <c r="DY527" s="112">
        <v>76.037999999999997</v>
      </c>
      <c r="DZ527" s="112">
        <v>79.620999999999995</v>
      </c>
      <c r="EA527" s="112">
        <v>83.373999999999995</v>
      </c>
      <c r="EB527" s="112">
        <v>87.302999999999997</v>
      </c>
      <c r="EC527" s="112">
        <v>91.418000000000006</v>
      </c>
      <c r="ED527" s="112">
        <v>95.725999999999999</v>
      </c>
      <c r="EE527" s="112">
        <v>100.23699999999999</v>
      </c>
      <c r="EF527" s="112">
        <v>104.961</v>
      </c>
      <c r="EG527" s="112">
        <v>109.908</v>
      </c>
      <c r="EH527" s="112">
        <v>115.08799999999999</v>
      </c>
      <c r="EI527" s="112">
        <v>120.512</v>
      </c>
      <c r="EJ527" s="112">
        <v>126.191</v>
      </c>
      <c r="EK527" s="112">
        <v>132.13900000000001</v>
      </c>
      <c r="EL527" s="112">
        <v>138.36600000000001</v>
      </c>
      <c r="EM527" s="112">
        <v>144.887</v>
      </c>
      <c r="EN527" s="112">
        <v>151.71600000000001</v>
      </c>
      <c r="EO527" s="112">
        <v>158.86600000000001</v>
      </c>
      <c r="EP527" s="112">
        <v>166.35300000000001</v>
      </c>
      <c r="EQ527" s="112">
        <v>174.19300000000001</v>
      </c>
      <c r="ER527" s="112">
        <v>182.40199999999999</v>
      </c>
      <c r="ES527" s="112">
        <v>190.999</v>
      </c>
      <c r="ET527" s="112">
        <v>200</v>
      </c>
      <c r="EU527" s="112">
        <v>209.42599999999999</v>
      </c>
      <c r="EV527" s="112">
        <v>219.29599999999999</v>
      </c>
      <c r="EW527" s="112">
        <v>229.631</v>
      </c>
      <c r="EX527" s="112">
        <v>240.453</v>
      </c>
      <c r="EY527" s="112">
        <v>251.785</v>
      </c>
      <c r="EZ527" s="112">
        <v>263.65100000000001</v>
      </c>
      <c r="FA527" s="112">
        <v>276.077</v>
      </c>
      <c r="FB527" s="112">
        <v>289.08800000000002</v>
      </c>
      <c r="FC527" s="112">
        <v>302.71199999999999</v>
      </c>
    </row>
    <row r="528" spans="47:170" hidden="1">
      <c r="AV528" s="599" t="s">
        <v>196</v>
      </c>
      <c r="AW528" s="112">
        <v>0.1</v>
      </c>
      <c r="AX528" s="7">
        <v>0.88219999999999998</v>
      </c>
      <c r="AY528" s="7">
        <v>0.89139999999999997</v>
      </c>
      <c r="AZ528" s="7">
        <v>0.90059999999999996</v>
      </c>
      <c r="BA528" s="7">
        <v>0.90969999999999995</v>
      </c>
      <c r="BB528" s="7">
        <v>0.91869999999999996</v>
      </c>
      <c r="BC528" s="7">
        <v>0.92759999999999998</v>
      </c>
      <c r="BD528" s="7">
        <v>0.93640000000000001</v>
      </c>
      <c r="BE528" s="7">
        <v>0.94510000000000005</v>
      </c>
      <c r="BF528" s="7">
        <v>0.95379999999999998</v>
      </c>
      <c r="BG528" s="7">
        <v>0.96230000000000004</v>
      </c>
      <c r="BH528" s="7">
        <v>0.9708</v>
      </c>
      <c r="BI528" s="7">
        <v>0.97919999999999996</v>
      </c>
      <c r="BJ528" s="7">
        <v>0.98750000000000004</v>
      </c>
      <c r="BK528" s="7">
        <v>0.99570000000000003</v>
      </c>
      <c r="BL528" s="7">
        <v>1.0009999999999999</v>
      </c>
      <c r="BM528" s="7">
        <v>1.0009999999999999</v>
      </c>
      <c r="BN528" s="7">
        <v>1.0009999999999999</v>
      </c>
      <c r="BO528" s="7">
        <v>1.0009999999999999</v>
      </c>
      <c r="BP528" s="7">
        <v>1.0009999999999999</v>
      </c>
      <c r="BQ528" s="7">
        <v>1.0009999999999999</v>
      </c>
      <c r="BR528" s="7">
        <v>1.0009999999999999</v>
      </c>
      <c r="BS528" s="7">
        <v>1.0009999999999999</v>
      </c>
      <c r="BT528" s="7">
        <v>1.0009999999999999</v>
      </c>
      <c r="BU528" s="7">
        <v>1.0009999999999999</v>
      </c>
      <c r="BV528" s="7">
        <v>1.0009999999999999</v>
      </c>
      <c r="BW528" s="7">
        <v>1.0009999999999999</v>
      </c>
      <c r="BX528" s="7">
        <v>1.0009999999999999</v>
      </c>
      <c r="BY528" s="7">
        <v>1.0009999999999999</v>
      </c>
      <c r="BZ528" s="7">
        <v>1.0009999999999999</v>
      </c>
      <c r="CA528" s="7">
        <v>1.0009999999999999</v>
      </c>
      <c r="CB528" s="7">
        <v>1.0009999999999999</v>
      </c>
      <c r="CC528" s="7">
        <v>1.0009999999999999</v>
      </c>
      <c r="CD528" s="7">
        <v>1.0009999999999999</v>
      </c>
      <c r="CE528" s="7">
        <v>1.0009999999999999</v>
      </c>
      <c r="CF528" s="7">
        <v>1.0009999999999999</v>
      </c>
      <c r="CG528" s="7">
        <v>1.0009999999999999</v>
      </c>
      <c r="CH528" s="7">
        <v>1.0009999999999999</v>
      </c>
      <c r="CI528" s="7">
        <v>1.0009999999999999</v>
      </c>
      <c r="CJ528" s="7">
        <v>1.0009999999999999</v>
      </c>
      <c r="CK528" s="7">
        <v>1.0009999999999999</v>
      </c>
      <c r="CL528" s="7">
        <v>1.0009999999999999</v>
      </c>
      <c r="CM528" s="7">
        <v>1.0009999999999999</v>
      </c>
      <c r="CN528" s="7">
        <v>1.0009999999999999</v>
      </c>
      <c r="CO528" s="7">
        <v>1.0009999999999999</v>
      </c>
      <c r="CP528" s="7">
        <v>1.0009999999999999</v>
      </c>
      <c r="CQ528" s="7">
        <v>1.0009999999999999</v>
      </c>
      <c r="CR528" s="7">
        <v>1.0009999999999999</v>
      </c>
      <c r="CS528" s="7">
        <v>1.0009999999999999</v>
      </c>
      <c r="CT528" s="7">
        <v>1.0009999999999999</v>
      </c>
      <c r="CU528" s="7">
        <v>1.0009999999999999</v>
      </c>
      <c r="CV528" s="7">
        <v>1.0009999999999999</v>
      </c>
      <c r="CW528" s="7">
        <v>1.0009999999999999</v>
      </c>
      <c r="CX528" s="7">
        <v>1.0009999999999999</v>
      </c>
      <c r="CY528" s="7">
        <v>1.0009999999999999</v>
      </c>
      <c r="CZ528" s="7">
        <v>1.0009999999999999</v>
      </c>
      <c r="DA528" s="7">
        <v>1.0009999999999999</v>
      </c>
      <c r="DB528" s="7">
        <v>1.0009999999999999</v>
      </c>
      <c r="DC528" s="7">
        <v>1.0009999999999999</v>
      </c>
      <c r="DD528" s="7">
        <v>1.0009999999999999</v>
      </c>
      <c r="DE528" s="7">
        <v>1.0009999999999999</v>
      </c>
      <c r="DF528" s="7">
        <v>1.0009999999999999</v>
      </c>
      <c r="DG528" s="7">
        <v>1.0009999999999999</v>
      </c>
      <c r="DH528" s="7">
        <v>1.0009999999999999</v>
      </c>
      <c r="DI528" s="7">
        <v>1.0009999999999999</v>
      </c>
      <c r="DJ528" s="7">
        <v>1.0009999999999999</v>
      </c>
      <c r="DK528" s="7">
        <v>1.0009999999999999</v>
      </c>
      <c r="DL528" s="7">
        <v>1.0009999999999999</v>
      </c>
      <c r="DM528" s="7">
        <v>1.0009999999999999</v>
      </c>
      <c r="DN528" s="7">
        <v>1.0009999999999999</v>
      </c>
      <c r="DO528" s="7">
        <v>1.0009999999999999</v>
      </c>
      <c r="DP528" s="7">
        <v>1.0009999999999999</v>
      </c>
      <c r="DQ528" s="7">
        <v>1.0009999999999999</v>
      </c>
      <c r="DR528" s="7">
        <v>1.0009999999999999</v>
      </c>
      <c r="DS528" s="7">
        <v>1.0009999999999999</v>
      </c>
      <c r="DT528" s="7">
        <v>1.0009999999999999</v>
      </c>
      <c r="DU528" s="7">
        <v>1.0009999999999999</v>
      </c>
      <c r="DV528" s="7">
        <v>1.0009999999999999</v>
      </c>
      <c r="DW528" s="7">
        <v>1.0009999999999999</v>
      </c>
      <c r="DX528" s="7">
        <v>1.0009999999999999</v>
      </c>
      <c r="DY528" s="7">
        <v>1.0009999999999999</v>
      </c>
      <c r="DZ528" s="7">
        <v>1.0009999999999999</v>
      </c>
      <c r="EA528" s="7">
        <v>1.0009999999999999</v>
      </c>
      <c r="EB528" s="7">
        <v>1.0009999999999999</v>
      </c>
      <c r="EC528" s="7">
        <v>1.0009999999999999</v>
      </c>
      <c r="ED528" s="7">
        <v>1.0009999999999999</v>
      </c>
      <c r="EE528" s="7">
        <v>1.0009999999999999</v>
      </c>
      <c r="EF528" s="7">
        <v>1.0009999999999999</v>
      </c>
      <c r="EG528" s="7">
        <v>1.0009999999999999</v>
      </c>
      <c r="EH528" s="7">
        <v>1.0009999999999999</v>
      </c>
      <c r="EI528" s="7">
        <v>1.0009999999999999</v>
      </c>
      <c r="EJ528" s="7">
        <v>1.0009999999999999</v>
      </c>
      <c r="EK528" s="7">
        <v>1.0009999999999999</v>
      </c>
      <c r="EL528" s="7">
        <v>1.0009999999999999</v>
      </c>
      <c r="EM528" s="7">
        <v>1.0009999999999999</v>
      </c>
      <c r="EN528" s="7">
        <v>1.0009999999999999</v>
      </c>
      <c r="EO528" s="7">
        <v>1.0009999999999999</v>
      </c>
      <c r="EP528" s="7">
        <v>1.0009999999999999</v>
      </c>
      <c r="EQ528" s="7">
        <v>1.0009999999999999</v>
      </c>
      <c r="ER528" s="7">
        <v>1.0009999999999999</v>
      </c>
      <c r="ES528" s="7">
        <v>1.0009999999999999</v>
      </c>
      <c r="ET528" s="7">
        <v>1.0009999999999999</v>
      </c>
      <c r="EU528" s="7">
        <v>1.0009999999999999</v>
      </c>
      <c r="EV528" s="7">
        <v>1.0009999999999999</v>
      </c>
      <c r="EW528" s="7">
        <v>1.0009999999999999</v>
      </c>
      <c r="EX528" s="7">
        <v>1.0009999999999999</v>
      </c>
      <c r="EY528" s="7">
        <v>1.0009999999999999</v>
      </c>
      <c r="EZ528" s="7">
        <v>1.0009999999999999</v>
      </c>
      <c r="FA528" s="7">
        <v>1.0009999999999999</v>
      </c>
      <c r="FB528" s="7">
        <v>1.0009999999999999</v>
      </c>
      <c r="FC528" s="7">
        <v>1.0009999999999999</v>
      </c>
      <c r="FE528" s="50">
        <f ca="1">FORECAST(J$39,OFFSET($AX528,0,MATCH(J$39,$AX$527:$FC$527,1)-1,1,2),OFFSET($AX$527,0,MATCH(J$39,$AX$527:$FC$527,1)-1,1,2))</f>
        <v>1.0009999999999999</v>
      </c>
      <c r="FF528" s="50">
        <f ca="1">FORECAST(L$39,OFFSET($AX528,0,MATCH(L$39,$AX$527:$FC$527,1)-1,1,2),OFFSET($AX$527,0,MATCH(L$39,$AX$527:$FC$527,1)-1,1,2))</f>
        <v>1.0009999999999999</v>
      </c>
      <c r="FG528" s="50">
        <f ca="1">FORECAST(N$39,OFFSET($AX528,0,MATCH(N$39,$AX$527:$FC$527,1)-1,1,2),OFFSET($AX$527,0,MATCH(N$39,$AX$527:$FC$527,1)-1,1,2))</f>
        <v>1.0009999999999999</v>
      </c>
      <c r="FH528" s="50">
        <f ca="1">FORECAST(P$39,OFFSET($AX528,0,MATCH(P$39,$AX$527:$FC$527,1)-1,1,2),OFFSET($AX$527,0,MATCH(P$39,$AX$527:$FC$527,1)-1,1,2))</f>
        <v>1.0009999999999999</v>
      </c>
      <c r="FI528" s="50"/>
      <c r="FK528" s="50">
        <f t="shared" ref="FK528:FK559" ca="1" si="58">FORECAST(AN$22,OFFSET($AX528,0,MATCH(AN$22,$AX$527:$FC$527,1)-1,1,2),OFFSET($AX$527,0,MATCH(AN$22,$AX$527:$FC$527,1)-1,1,2))</f>
        <v>1.0009999999999999</v>
      </c>
      <c r="FL528" s="50"/>
      <c r="FM528" s="50"/>
      <c r="FN528" s="50"/>
    </row>
    <row r="529" spans="48:170" hidden="1">
      <c r="AV529" s="599"/>
      <c r="AW529" s="112">
        <v>0.107</v>
      </c>
      <c r="AX529" s="7">
        <v>0.87450000000000006</v>
      </c>
      <c r="AY529" s="7">
        <v>0.88370000000000004</v>
      </c>
      <c r="AZ529" s="7">
        <v>0.89280000000000004</v>
      </c>
      <c r="BA529" s="7">
        <v>0.90180000000000005</v>
      </c>
      <c r="BB529" s="7">
        <v>0.91069999999999995</v>
      </c>
      <c r="BC529" s="7">
        <v>0.91949999999999998</v>
      </c>
      <c r="BD529" s="7">
        <v>0.92830000000000001</v>
      </c>
      <c r="BE529" s="7">
        <v>0.93689999999999996</v>
      </c>
      <c r="BF529" s="7">
        <v>0.94550000000000001</v>
      </c>
      <c r="BG529" s="7">
        <v>0.95389999999999997</v>
      </c>
      <c r="BH529" s="7">
        <v>0.96230000000000004</v>
      </c>
      <c r="BI529" s="7">
        <v>0.97060000000000002</v>
      </c>
      <c r="BJ529" s="7">
        <v>0.97889999999999999</v>
      </c>
      <c r="BK529" s="7">
        <v>0.98699999999999999</v>
      </c>
      <c r="BL529" s="7">
        <v>0.99509999999999998</v>
      </c>
      <c r="BM529" s="7">
        <v>1.0009999999999999</v>
      </c>
      <c r="BN529" s="7">
        <v>1.0009999999999999</v>
      </c>
      <c r="BO529" s="7">
        <v>1.0009999999999999</v>
      </c>
      <c r="BP529" s="7">
        <v>1.0009999999999999</v>
      </c>
      <c r="BQ529" s="7">
        <v>1.0009999999999999</v>
      </c>
      <c r="BR529" s="7">
        <v>1.0009999999999999</v>
      </c>
      <c r="BS529" s="7">
        <v>1.0009999999999999</v>
      </c>
      <c r="BT529" s="7">
        <v>1.0009999999999999</v>
      </c>
      <c r="BU529" s="7">
        <v>1.0009999999999999</v>
      </c>
      <c r="BV529" s="7">
        <v>1.0009999999999999</v>
      </c>
      <c r="BW529" s="7">
        <v>1.0009999999999999</v>
      </c>
      <c r="BX529" s="7">
        <v>1.0009999999999999</v>
      </c>
      <c r="BY529" s="7">
        <v>1.0009999999999999</v>
      </c>
      <c r="BZ529" s="7">
        <v>1.0009999999999999</v>
      </c>
      <c r="CA529" s="7">
        <v>1.0009999999999999</v>
      </c>
      <c r="CB529" s="7">
        <v>1.0009999999999999</v>
      </c>
      <c r="CC529" s="7">
        <v>1.0009999999999999</v>
      </c>
      <c r="CD529" s="7">
        <v>1.0009999999999999</v>
      </c>
      <c r="CE529" s="7">
        <v>1.0009999999999999</v>
      </c>
      <c r="CF529" s="7">
        <v>1.0009999999999999</v>
      </c>
      <c r="CG529" s="7">
        <v>1.0009999999999999</v>
      </c>
      <c r="CH529" s="7">
        <v>1.0009999999999999</v>
      </c>
      <c r="CI529" s="7">
        <v>1.0009999999999999</v>
      </c>
      <c r="CJ529" s="7">
        <v>1.0009999999999999</v>
      </c>
      <c r="CK529" s="7">
        <v>1.0009999999999999</v>
      </c>
      <c r="CL529" s="7">
        <v>1.0009999999999999</v>
      </c>
      <c r="CM529" s="7">
        <v>1.0009999999999999</v>
      </c>
      <c r="CN529" s="7">
        <v>1.0009999999999999</v>
      </c>
      <c r="CO529" s="7">
        <v>1.0009999999999999</v>
      </c>
      <c r="CP529" s="7">
        <v>1.0009999999999999</v>
      </c>
      <c r="CQ529" s="7">
        <v>1.0009999999999999</v>
      </c>
      <c r="CR529" s="7">
        <v>1.0009999999999999</v>
      </c>
      <c r="CS529" s="7">
        <v>1.0009999999999999</v>
      </c>
      <c r="CT529" s="7">
        <v>1.0009999999999999</v>
      </c>
      <c r="CU529" s="7">
        <v>1.0009999999999999</v>
      </c>
      <c r="CV529" s="7">
        <v>1.0009999999999999</v>
      </c>
      <c r="CW529" s="7">
        <v>1.0009999999999999</v>
      </c>
      <c r="CX529" s="7">
        <v>1.0009999999999999</v>
      </c>
      <c r="CY529" s="7">
        <v>1.0009999999999999</v>
      </c>
      <c r="CZ529" s="7">
        <v>1.0009999999999999</v>
      </c>
      <c r="DA529" s="7">
        <v>1.0009999999999999</v>
      </c>
      <c r="DB529" s="7">
        <v>1.0009999999999999</v>
      </c>
      <c r="DC529" s="7">
        <v>1.0009999999999999</v>
      </c>
      <c r="DD529" s="7">
        <v>1.0009999999999999</v>
      </c>
      <c r="DE529" s="7">
        <v>1.0009999999999999</v>
      </c>
      <c r="DF529" s="7">
        <v>1.0009999999999999</v>
      </c>
      <c r="DG529" s="7">
        <v>1.0009999999999999</v>
      </c>
      <c r="DH529" s="7">
        <v>1.0009999999999999</v>
      </c>
      <c r="DI529" s="7">
        <v>1.0009999999999999</v>
      </c>
      <c r="DJ529" s="7">
        <v>1.0009999999999999</v>
      </c>
      <c r="DK529" s="7">
        <v>1.0009999999999999</v>
      </c>
      <c r="DL529" s="7">
        <v>1.0009999999999999</v>
      </c>
      <c r="DM529" s="7">
        <v>1.0009999999999999</v>
      </c>
      <c r="DN529" s="7">
        <v>1.0009999999999999</v>
      </c>
      <c r="DO529" s="7">
        <v>1.0009999999999999</v>
      </c>
      <c r="DP529" s="7">
        <v>1.0009999999999999</v>
      </c>
      <c r="DQ529" s="7">
        <v>1.0009999999999999</v>
      </c>
      <c r="DR529" s="7">
        <v>1.0009999999999999</v>
      </c>
      <c r="DS529" s="7">
        <v>1.0009999999999999</v>
      </c>
      <c r="DT529" s="7">
        <v>1.0009999999999999</v>
      </c>
      <c r="DU529" s="7">
        <v>1.0009999999999999</v>
      </c>
      <c r="DV529" s="7">
        <v>1.0009999999999999</v>
      </c>
      <c r="DW529" s="7">
        <v>1.0009999999999999</v>
      </c>
      <c r="DX529" s="7">
        <v>1.0009999999999999</v>
      </c>
      <c r="DY529" s="7">
        <v>1.0009999999999999</v>
      </c>
      <c r="DZ529" s="7">
        <v>1.0009999999999999</v>
      </c>
      <c r="EA529" s="7">
        <v>1.0009999999999999</v>
      </c>
      <c r="EB529" s="7">
        <v>1.0009999999999999</v>
      </c>
      <c r="EC529" s="7">
        <v>1.0009999999999999</v>
      </c>
      <c r="ED529" s="7">
        <v>1.0009999999999999</v>
      </c>
      <c r="EE529" s="7">
        <v>1.0009999999999999</v>
      </c>
      <c r="EF529" s="7">
        <v>1.0009999999999999</v>
      </c>
      <c r="EG529" s="7">
        <v>1.0009999999999999</v>
      </c>
      <c r="EH529" s="7">
        <v>1.0009999999999999</v>
      </c>
      <c r="EI529" s="7">
        <v>1.0009999999999999</v>
      </c>
      <c r="EJ529" s="7">
        <v>1.0009999999999999</v>
      </c>
      <c r="EK529" s="7">
        <v>1.0009999999999999</v>
      </c>
      <c r="EL529" s="7">
        <v>1.0009999999999999</v>
      </c>
      <c r="EM529" s="7">
        <v>1.0009999999999999</v>
      </c>
      <c r="EN529" s="7">
        <v>1.0009999999999999</v>
      </c>
      <c r="EO529" s="7">
        <v>1.0009999999999999</v>
      </c>
      <c r="EP529" s="7">
        <v>1.0009999999999999</v>
      </c>
      <c r="EQ529" s="7">
        <v>1.0009999999999999</v>
      </c>
      <c r="ER529" s="7">
        <v>1.0009999999999999</v>
      </c>
      <c r="ES529" s="7">
        <v>1.0009999999999999</v>
      </c>
      <c r="ET529" s="7">
        <v>1.0009999999999999</v>
      </c>
      <c r="EU529" s="7">
        <v>1.0009999999999999</v>
      </c>
      <c r="EV529" s="7">
        <v>1.0009999999999999</v>
      </c>
      <c r="EW529" s="7">
        <v>1.0009999999999999</v>
      </c>
      <c r="EX529" s="7">
        <v>1.0009999999999999</v>
      </c>
      <c r="EY529" s="7">
        <v>1.0009999999999999</v>
      </c>
      <c r="EZ529" s="7">
        <v>1.0009999999999999</v>
      </c>
      <c r="FA529" s="7">
        <v>1.0009999999999999</v>
      </c>
      <c r="FB529" s="7">
        <v>1.0009999999999999</v>
      </c>
      <c r="FC529" s="7">
        <v>1.0009999999999999</v>
      </c>
      <c r="FE529" s="50">
        <f t="shared" ref="FE529:FE592" ca="1" si="59">FORECAST(J$39,OFFSET($AX529,0,MATCH(J$39,$AX$527:$FC$527,1)-1,1,2),OFFSET($AX$527,0,MATCH(J$39,$AX$527:$FC$527,1)-1,1,2))</f>
        <v>1.0009999999999999</v>
      </c>
      <c r="FF529" s="50">
        <f t="shared" ref="FF529:FF592" ca="1" si="60">FORECAST(L$39,OFFSET($AX529,0,MATCH(L$39,$AX$527:$FC$527,1)-1,1,2),OFFSET($AX$527,0,MATCH(L$39,$AX$527:$FC$527,1)-1,1,2))</f>
        <v>1.0009999999999999</v>
      </c>
      <c r="FG529" s="50">
        <f t="shared" ref="FG529:FG592" ca="1" si="61">FORECAST(N$39,OFFSET($AX529,0,MATCH(N$39,$AX$527:$FC$527,1)-1,1,2),OFFSET($AX$527,0,MATCH(N$39,$AX$527:$FC$527,1)-1,1,2))</f>
        <v>1.0009999999999999</v>
      </c>
      <c r="FH529" s="50">
        <f t="shared" ref="FH529:FH592" ca="1" si="62">FORECAST(P$39,OFFSET($AX529,0,MATCH(P$39,$AX$527:$FC$527,1)-1,1,2),OFFSET($AX$527,0,MATCH(P$39,$AX$527:$FC$527,1)-1,1,2))</f>
        <v>1.0009999999999999</v>
      </c>
      <c r="FI529" s="50"/>
      <c r="FK529" s="50">
        <f t="shared" ca="1" si="58"/>
        <v>1.0009999999999999</v>
      </c>
      <c r="FL529" s="50"/>
      <c r="FM529" s="50"/>
      <c r="FN529" s="50"/>
    </row>
    <row r="530" spans="48:170" hidden="1">
      <c r="AV530" s="599"/>
      <c r="AW530" s="112">
        <v>0.115</v>
      </c>
      <c r="AX530" s="7">
        <v>0.86699999999999999</v>
      </c>
      <c r="AY530" s="7">
        <v>0.87609999999999999</v>
      </c>
      <c r="AZ530" s="7">
        <v>0.8851</v>
      </c>
      <c r="BA530" s="7">
        <v>0.89400000000000002</v>
      </c>
      <c r="BB530" s="7">
        <v>0.90290000000000004</v>
      </c>
      <c r="BC530" s="7">
        <v>0.91159999999999997</v>
      </c>
      <c r="BD530" s="7">
        <v>0.92030000000000001</v>
      </c>
      <c r="BE530" s="7">
        <v>0.92889999999999995</v>
      </c>
      <c r="BF530" s="7">
        <v>0.93730000000000002</v>
      </c>
      <c r="BG530" s="7">
        <v>0.94569999999999999</v>
      </c>
      <c r="BH530" s="7">
        <v>0.95409999999999995</v>
      </c>
      <c r="BI530" s="7">
        <v>0.96230000000000004</v>
      </c>
      <c r="BJ530" s="7">
        <v>0.97050000000000003</v>
      </c>
      <c r="BK530" s="7">
        <v>0.97850000000000004</v>
      </c>
      <c r="BL530" s="7">
        <v>0.98660000000000003</v>
      </c>
      <c r="BM530" s="7">
        <v>0.99450000000000005</v>
      </c>
      <c r="BN530" s="7">
        <v>1.0009999999999999</v>
      </c>
      <c r="BO530" s="7">
        <v>1.0009999999999999</v>
      </c>
      <c r="BP530" s="7">
        <v>1.0009999999999999</v>
      </c>
      <c r="BQ530" s="7">
        <v>1.0009999999999999</v>
      </c>
      <c r="BR530" s="7">
        <v>1.0009999999999999</v>
      </c>
      <c r="BS530" s="7">
        <v>1.0009999999999999</v>
      </c>
      <c r="BT530" s="7">
        <v>1.0009999999999999</v>
      </c>
      <c r="BU530" s="7">
        <v>1.0009999999999999</v>
      </c>
      <c r="BV530" s="7">
        <v>1.0009999999999999</v>
      </c>
      <c r="BW530" s="7">
        <v>1.0009999999999999</v>
      </c>
      <c r="BX530" s="7">
        <v>1.0009999999999999</v>
      </c>
      <c r="BY530" s="7">
        <v>1.0009999999999999</v>
      </c>
      <c r="BZ530" s="7">
        <v>1.0009999999999999</v>
      </c>
      <c r="CA530" s="7">
        <v>1.0009999999999999</v>
      </c>
      <c r="CB530" s="7">
        <v>1.0009999999999999</v>
      </c>
      <c r="CC530" s="7">
        <v>1.0009999999999999</v>
      </c>
      <c r="CD530" s="7">
        <v>1.0009999999999999</v>
      </c>
      <c r="CE530" s="7">
        <v>1.0009999999999999</v>
      </c>
      <c r="CF530" s="7">
        <v>1.0009999999999999</v>
      </c>
      <c r="CG530" s="7">
        <v>1.0009999999999999</v>
      </c>
      <c r="CH530" s="7">
        <v>1.0009999999999999</v>
      </c>
      <c r="CI530" s="7">
        <v>1.0009999999999999</v>
      </c>
      <c r="CJ530" s="7">
        <v>1.0009999999999999</v>
      </c>
      <c r="CK530" s="7">
        <v>1.0009999999999999</v>
      </c>
      <c r="CL530" s="7">
        <v>1.0009999999999999</v>
      </c>
      <c r="CM530" s="7">
        <v>1.0009999999999999</v>
      </c>
      <c r="CN530" s="7">
        <v>1.0009999999999999</v>
      </c>
      <c r="CO530" s="7">
        <v>1.0009999999999999</v>
      </c>
      <c r="CP530" s="7">
        <v>1.0009999999999999</v>
      </c>
      <c r="CQ530" s="7">
        <v>1.0009999999999999</v>
      </c>
      <c r="CR530" s="7">
        <v>1.0009999999999999</v>
      </c>
      <c r="CS530" s="7">
        <v>1.0009999999999999</v>
      </c>
      <c r="CT530" s="7">
        <v>1.0009999999999999</v>
      </c>
      <c r="CU530" s="7">
        <v>1.0009999999999999</v>
      </c>
      <c r="CV530" s="7">
        <v>1.0009999999999999</v>
      </c>
      <c r="CW530" s="7">
        <v>1.0009999999999999</v>
      </c>
      <c r="CX530" s="7">
        <v>1.0009999999999999</v>
      </c>
      <c r="CY530" s="7">
        <v>1.0009999999999999</v>
      </c>
      <c r="CZ530" s="7">
        <v>1.0009999999999999</v>
      </c>
      <c r="DA530" s="7">
        <v>1.0009999999999999</v>
      </c>
      <c r="DB530" s="7">
        <v>1.0009999999999999</v>
      </c>
      <c r="DC530" s="7">
        <v>1.0009999999999999</v>
      </c>
      <c r="DD530" s="7">
        <v>1.0009999999999999</v>
      </c>
      <c r="DE530" s="7">
        <v>1.0009999999999999</v>
      </c>
      <c r="DF530" s="7">
        <v>1.0009999999999999</v>
      </c>
      <c r="DG530" s="7">
        <v>1.0009999999999999</v>
      </c>
      <c r="DH530" s="7">
        <v>1.0009999999999999</v>
      </c>
      <c r="DI530" s="7">
        <v>1.0009999999999999</v>
      </c>
      <c r="DJ530" s="7">
        <v>1.0009999999999999</v>
      </c>
      <c r="DK530" s="7">
        <v>1.0009999999999999</v>
      </c>
      <c r="DL530" s="7">
        <v>1.0009999999999999</v>
      </c>
      <c r="DM530" s="7">
        <v>1.0009999999999999</v>
      </c>
      <c r="DN530" s="7">
        <v>1.0009999999999999</v>
      </c>
      <c r="DO530" s="7">
        <v>1.0009999999999999</v>
      </c>
      <c r="DP530" s="7">
        <v>1.0009999999999999</v>
      </c>
      <c r="DQ530" s="7">
        <v>1.0009999999999999</v>
      </c>
      <c r="DR530" s="7">
        <v>1.0009999999999999</v>
      </c>
      <c r="DS530" s="7">
        <v>1.0009999999999999</v>
      </c>
      <c r="DT530" s="7">
        <v>1.0009999999999999</v>
      </c>
      <c r="DU530" s="7">
        <v>1.0009999999999999</v>
      </c>
      <c r="DV530" s="7">
        <v>1.0009999999999999</v>
      </c>
      <c r="DW530" s="7">
        <v>1.0009999999999999</v>
      </c>
      <c r="DX530" s="7">
        <v>1.0009999999999999</v>
      </c>
      <c r="DY530" s="7">
        <v>1.0009999999999999</v>
      </c>
      <c r="DZ530" s="7">
        <v>1.0009999999999999</v>
      </c>
      <c r="EA530" s="7">
        <v>1.0009999999999999</v>
      </c>
      <c r="EB530" s="7">
        <v>1.0009999999999999</v>
      </c>
      <c r="EC530" s="7">
        <v>1.0009999999999999</v>
      </c>
      <c r="ED530" s="7">
        <v>1.0009999999999999</v>
      </c>
      <c r="EE530" s="7">
        <v>1.0009999999999999</v>
      </c>
      <c r="EF530" s="7">
        <v>1.0009999999999999</v>
      </c>
      <c r="EG530" s="7">
        <v>1.0009999999999999</v>
      </c>
      <c r="EH530" s="7">
        <v>1.0009999999999999</v>
      </c>
      <c r="EI530" s="7">
        <v>1.0009999999999999</v>
      </c>
      <c r="EJ530" s="7">
        <v>1.0009999999999999</v>
      </c>
      <c r="EK530" s="7">
        <v>1.0009999999999999</v>
      </c>
      <c r="EL530" s="7">
        <v>1.0009999999999999</v>
      </c>
      <c r="EM530" s="7">
        <v>1.0009999999999999</v>
      </c>
      <c r="EN530" s="7">
        <v>1.0009999999999999</v>
      </c>
      <c r="EO530" s="7">
        <v>1.0009999999999999</v>
      </c>
      <c r="EP530" s="7">
        <v>1.0009999999999999</v>
      </c>
      <c r="EQ530" s="7">
        <v>1.0009999999999999</v>
      </c>
      <c r="ER530" s="7">
        <v>1.0009999999999999</v>
      </c>
      <c r="ES530" s="7">
        <v>1.0009999999999999</v>
      </c>
      <c r="ET530" s="7">
        <v>1.0009999999999999</v>
      </c>
      <c r="EU530" s="7">
        <v>1.0009999999999999</v>
      </c>
      <c r="EV530" s="7">
        <v>1.0009999999999999</v>
      </c>
      <c r="EW530" s="7">
        <v>1.0009999999999999</v>
      </c>
      <c r="EX530" s="7">
        <v>1.0009999999999999</v>
      </c>
      <c r="EY530" s="7">
        <v>1.0009999999999999</v>
      </c>
      <c r="EZ530" s="7">
        <v>1.0009999999999999</v>
      </c>
      <c r="FA530" s="7">
        <v>1.0009999999999999</v>
      </c>
      <c r="FB530" s="7">
        <v>1.0009999999999999</v>
      </c>
      <c r="FC530" s="7">
        <v>1.0009999999999999</v>
      </c>
      <c r="FE530" s="50">
        <f t="shared" ca="1" si="59"/>
        <v>1.0009999999999999</v>
      </c>
      <c r="FF530" s="50">
        <f t="shared" ca="1" si="60"/>
        <v>1.0009999999999999</v>
      </c>
      <c r="FG530" s="50">
        <f t="shared" ca="1" si="61"/>
        <v>1.0009999999999999</v>
      </c>
      <c r="FH530" s="50">
        <f t="shared" ca="1" si="62"/>
        <v>1.0009999999999999</v>
      </c>
      <c r="FI530" s="50"/>
      <c r="FK530" s="50">
        <f t="shared" ca="1" si="58"/>
        <v>1.0009999999999999</v>
      </c>
      <c r="FL530" s="50"/>
      <c r="FM530" s="50"/>
      <c r="FN530" s="50"/>
    </row>
    <row r="531" spans="48:170" hidden="1">
      <c r="AV531" s="599"/>
      <c r="AW531" s="112">
        <v>0.123</v>
      </c>
      <c r="AX531" s="7">
        <v>0.85960000000000003</v>
      </c>
      <c r="AY531" s="7">
        <v>0.86870000000000003</v>
      </c>
      <c r="AZ531" s="7">
        <v>0.87760000000000005</v>
      </c>
      <c r="BA531" s="7">
        <v>0.88649999999999995</v>
      </c>
      <c r="BB531" s="7">
        <v>0.8952</v>
      </c>
      <c r="BC531" s="7">
        <v>0.90390000000000004</v>
      </c>
      <c r="BD531" s="7">
        <v>0.91249999999999998</v>
      </c>
      <c r="BE531" s="7">
        <v>0.92100000000000004</v>
      </c>
      <c r="BF531" s="7">
        <v>0.9294</v>
      </c>
      <c r="BG531" s="7">
        <v>0.93769999999999998</v>
      </c>
      <c r="BH531" s="7">
        <v>0.94599999999999995</v>
      </c>
      <c r="BI531" s="7">
        <v>0.95420000000000005</v>
      </c>
      <c r="BJ531" s="7">
        <v>0.96230000000000004</v>
      </c>
      <c r="BK531" s="7">
        <v>0.97030000000000005</v>
      </c>
      <c r="BL531" s="7">
        <v>0.97819999999999996</v>
      </c>
      <c r="BM531" s="7">
        <v>0.98609999999999998</v>
      </c>
      <c r="BN531" s="7">
        <v>0.99390000000000001</v>
      </c>
      <c r="BO531" s="7">
        <v>1.0009999999999999</v>
      </c>
      <c r="BP531" s="7">
        <v>1.0009999999999999</v>
      </c>
      <c r="BQ531" s="7">
        <v>1.0009999999999999</v>
      </c>
      <c r="BR531" s="7">
        <v>1.0009999999999999</v>
      </c>
      <c r="BS531" s="7">
        <v>1.0009999999999999</v>
      </c>
      <c r="BT531" s="7">
        <v>1.0009999999999999</v>
      </c>
      <c r="BU531" s="7">
        <v>1.0009999999999999</v>
      </c>
      <c r="BV531" s="7">
        <v>1.0009999999999999</v>
      </c>
      <c r="BW531" s="7">
        <v>1.0009999999999999</v>
      </c>
      <c r="BX531" s="7">
        <v>1.0009999999999999</v>
      </c>
      <c r="BY531" s="7">
        <v>1.0009999999999999</v>
      </c>
      <c r="BZ531" s="7">
        <v>1.0009999999999999</v>
      </c>
      <c r="CA531" s="7">
        <v>1.0009999999999999</v>
      </c>
      <c r="CB531" s="7">
        <v>1.0009999999999999</v>
      </c>
      <c r="CC531" s="7">
        <v>1.0009999999999999</v>
      </c>
      <c r="CD531" s="7">
        <v>1.0009999999999999</v>
      </c>
      <c r="CE531" s="7">
        <v>1.0009999999999999</v>
      </c>
      <c r="CF531" s="7">
        <v>1.0009999999999999</v>
      </c>
      <c r="CG531" s="7">
        <v>1.0009999999999999</v>
      </c>
      <c r="CH531" s="7">
        <v>1.0009999999999999</v>
      </c>
      <c r="CI531" s="7">
        <v>1.0009999999999999</v>
      </c>
      <c r="CJ531" s="7">
        <v>1.0009999999999999</v>
      </c>
      <c r="CK531" s="7">
        <v>1.0009999999999999</v>
      </c>
      <c r="CL531" s="7">
        <v>1.0009999999999999</v>
      </c>
      <c r="CM531" s="7">
        <v>1.0009999999999999</v>
      </c>
      <c r="CN531" s="7">
        <v>1.0009999999999999</v>
      </c>
      <c r="CO531" s="7">
        <v>1.0009999999999999</v>
      </c>
      <c r="CP531" s="7">
        <v>1.0009999999999999</v>
      </c>
      <c r="CQ531" s="7">
        <v>1.0009999999999999</v>
      </c>
      <c r="CR531" s="7">
        <v>1.0009999999999999</v>
      </c>
      <c r="CS531" s="7">
        <v>1.0009999999999999</v>
      </c>
      <c r="CT531" s="7">
        <v>1.0009999999999999</v>
      </c>
      <c r="CU531" s="7">
        <v>1.0009999999999999</v>
      </c>
      <c r="CV531" s="7">
        <v>1.0009999999999999</v>
      </c>
      <c r="CW531" s="7">
        <v>1.0009999999999999</v>
      </c>
      <c r="CX531" s="7">
        <v>1.0009999999999999</v>
      </c>
      <c r="CY531" s="7">
        <v>1.0009999999999999</v>
      </c>
      <c r="CZ531" s="7">
        <v>1.0009999999999999</v>
      </c>
      <c r="DA531" s="7">
        <v>1.0009999999999999</v>
      </c>
      <c r="DB531" s="7">
        <v>1.0009999999999999</v>
      </c>
      <c r="DC531" s="7">
        <v>1.0009999999999999</v>
      </c>
      <c r="DD531" s="7">
        <v>1.0009999999999999</v>
      </c>
      <c r="DE531" s="7">
        <v>1.0009999999999999</v>
      </c>
      <c r="DF531" s="7">
        <v>1.0009999999999999</v>
      </c>
      <c r="DG531" s="7">
        <v>1.0009999999999999</v>
      </c>
      <c r="DH531" s="7">
        <v>1.0009999999999999</v>
      </c>
      <c r="DI531" s="7">
        <v>1.0009999999999999</v>
      </c>
      <c r="DJ531" s="7">
        <v>1.0009999999999999</v>
      </c>
      <c r="DK531" s="7">
        <v>1.0009999999999999</v>
      </c>
      <c r="DL531" s="7">
        <v>1.0009999999999999</v>
      </c>
      <c r="DM531" s="7">
        <v>1.0009999999999999</v>
      </c>
      <c r="DN531" s="7">
        <v>1.0009999999999999</v>
      </c>
      <c r="DO531" s="7">
        <v>1.0009999999999999</v>
      </c>
      <c r="DP531" s="7">
        <v>1.0009999999999999</v>
      </c>
      <c r="DQ531" s="7">
        <v>1.0009999999999999</v>
      </c>
      <c r="DR531" s="7">
        <v>1.0009999999999999</v>
      </c>
      <c r="DS531" s="7">
        <v>1.0009999999999999</v>
      </c>
      <c r="DT531" s="7">
        <v>1.0009999999999999</v>
      </c>
      <c r="DU531" s="7">
        <v>1.0009999999999999</v>
      </c>
      <c r="DV531" s="7">
        <v>1.0009999999999999</v>
      </c>
      <c r="DW531" s="7">
        <v>1.0009999999999999</v>
      </c>
      <c r="DX531" s="7">
        <v>1.0009999999999999</v>
      </c>
      <c r="DY531" s="7">
        <v>1.0009999999999999</v>
      </c>
      <c r="DZ531" s="7">
        <v>1.0009999999999999</v>
      </c>
      <c r="EA531" s="7">
        <v>1.0009999999999999</v>
      </c>
      <c r="EB531" s="7">
        <v>1.0009999999999999</v>
      </c>
      <c r="EC531" s="7">
        <v>1.0009999999999999</v>
      </c>
      <c r="ED531" s="7">
        <v>1.0009999999999999</v>
      </c>
      <c r="EE531" s="7">
        <v>1.0009999999999999</v>
      </c>
      <c r="EF531" s="7">
        <v>1.0009999999999999</v>
      </c>
      <c r="EG531" s="7">
        <v>1.0009999999999999</v>
      </c>
      <c r="EH531" s="7">
        <v>1.0009999999999999</v>
      </c>
      <c r="EI531" s="7">
        <v>1.0009999999999999</v>
      </c>
      <c r="EJ531" s="7">
        <v>1.0009999999999999</v>
      </c>
      <c r="EK531" s="7">
        <v>1.0009999999999999</v>
      </c>
      <c r="EL531" s="7">
        <v>1.0009999999999999</v>
      </c>
      <c r="EM531" s="7">
        <v>1.0009999999999999</v>
      </c>
      <c r="EN531" s="7">
        <v>1.0009999999999999</v>
      </c>
      <c r="EO531" s="7">
        <v>1.0009999999999999</v>
      </c>
      <c r="EP531" s="7">
        <v>1.0009999999999999</v>
      </c>
      <c r="EQ531" s="7">
        <v>1.0009999999999999</v>
      </c>
      <c r="ER531" s="7">
        <v>1.0009999999999999</v>
      </c>
      <c r="ES531" s="7">
        <v>1.0009999999999999</v>
      </c>
      <c r="ET531" s="7">
        <v>1.0009999999999999</v>
      </c>
      <c r="EU531" s="7">
        <v>1.0009999999999999</v>
      </c>
      <c r="EV531" s="7">
        <v>1.0009999999999999</v>
      </c>
      <c r="EW531" s="7">
        <v>1.0009999999999999</v>
      </c>
      <c r="EX531" s="7">
        <v>1.0009999999999999</v>
      </c>
      <c r="EY531" s="7">
        <v>1.0009999999999999</v>
      </c>
      <c r="EZ531" s="7">
        <v>1.0009999999999999</v>
      </c>
      <c r="FA531" s="7">
        <v>1.0009999999999999</v>
      </c>
      <c r="FB531" s="7">
        <v>1.0009999999999999</v>
      </c>
      <c r="FC531" s="7">
        <v>1.0009999999999999</v>
      </c>
      <c r="FE531" s="50">
        <f t="shared" ca="1" si="59"/>
        <v>1.0009999999999999</v>
      </c>
      <c r="FF531" s="50">
        <f t="shared" ca="1" si="60"/>
        <v>1.0009999999999999</v>
      </c>
      <c r="FG531" s="50">
        <f t="shared" ca="1" si="61"/>
        <v>1.0009999999999999</v>
      </c>
      <c r="FH531" s="50">
        <f t="shared" ca="1" si="62"/>
        <v>1.0009999999999999</v>
      </c>
      <c r="FI531" s="50"/>
      <c r="FK531" s="50">
        <f t="shared" ca="1" si="58"/>
        <v>1.0009999999999999</v>
      </c>
      <c r="FL531" s="50"/>
      <c r="FM531" s="50"/>
      <c r="FN531" s="50"/>
    </row>
    <row r="532" spans="48:170" hidden="1">
      <c r="AV532" s="599"/>
      <c r="AW532" s="112">
        <v>0.13200000000000001</v>
      </c>
      <c r="AX532" s="7">
        <v>0.85250000000000004</v>
      </c>
      <c r="AY532" s="7">
        <v>0.86140000000000005</v>
      </c>
      <c r="AZ532" s="7">
        <v>0.87029999999999996</v>
      </c>
      <c r="BA532" s="7">
        <v>0.87909999999999999</v>
      </c>
      <c r="BB532" s="7">
        <v>0.88780000000000003</v>
      </c>
      <c r="BC532" s="7">
        <v>0.89639999999999997</v>
      </c>
      <c r="BD532" s="7">
        <v>0.90490000000000004</v>
      </c>
      <c r="BE532" s="7">
        <v>0.9133</v>
      </c>
      <c r="BF532" s="7">
        <v>0.92169999999999996</v>
      </c>
      <c r="BG532" s="7">
        <v>0.92989999999999995</v>
      </c>
      <c r="BH532" s="7">
        <v>0.93810000000000004</v>
      </c>
      <c r="BI532" s="7">
        <v>0.94620000000000004</v>
      </c>
      <c r="BJ532" s="7">
        <v>0.95420000000000005</v>
      </c>
      <c r="BK532" s="7">
        <v>0.96220000000000006</v>
      </c>
      <c r="BL532" s="7">
        <v>0.97009999999999996</v>
      </c>
      <c r="BM532" s="7">
        <v>0.97789999999999999</v>
      </c>
      <c r="BN532" s="7">
        <v>0.98560000000000003</v>
      </c>
      <c r="BO532" s="7">
        <v>0.99319999999999997</v>
      </c>
      <c r="BP532" s="7">
        <v>1.0009999999999999</v>
      </c>
      <c r="BQ532" s="7">
        <v>1.0009999999999999</v>
      </c>
      <c r="BR532" s="7">
        <v>1.0009999999999999</v>
      </c>
      <c r="BS532" s="7">
        <v>1.0009999999999999</v>
      </c>
      <c r="BT532" s="7">
        <v>1.0009999999999999</v>
      </c>
      <c r="BU532" s="7">
        <v>1.0009999999999999</v>
      </c>
      <c r="BV532" s="7">
        <v>1.0009999999999999</v>
      </c>
      <c r="BW532" s="7">
        <v>1.0009999999999999</v>
      </c>
      <c r="BX532" s="7">
        <v>1.0009999999999999</v>
      </c>
      <c r="BY532" s="7">
        <v>1.0009999999999999</v>
      </c>
      <c r="BZ532" s="7">
        <v>1.0009999999999999</v>
      </c>
      <c r="CA532" s="7">
        <v>1.0009999999999999</v>
      </c>
      <c r="CB532" s="7">
        <v>1.0009999999999999</v>
      </c>
      <c r="CC532" s="7">
        <v>1.0009999999999999</v>
      </c>
      <c r="CD532" s="7">
        <v>1.0009999999999999</v>
      </c>
      <c r="CE532" s="7">
        <v>1.0009999999999999</v>
      </c>
      <c r="CF532" s="7">
        <v>1.0009999999999999</v>
      </c>
      <c r="CG532" s="7">
        <v>1.0009999999999999</v>
      </c>
      <c r="CH532" s="7">
        <v>1.0009999999999999</v>
      </c>
      <c r="CI532" s="7">
        <v>1.0009999999999999</v>
      </c>
      <c r="CJ532" s="7">
        <v>1.0009999999999999</v>
      </c>
      <c r="CK532" s="7">
        <v>1.0009999999999999</v>
      </c>
      <c r="CL532" s="7">
        <v>1.0009999999999999</v>
      </c>
      <c r="CM532" s="7">
        <v>1.0009999999999999</v>
      </c>
      <c r="CN532" s="7">
        <v>1.0009999999999999</v>
      </c>
      <c r="CO532" s="7">
        <v>1.0009999999999999</v>
      </c>
      <c r="CP532" s="7">
        <v>1.0009999999999999</v>
      </c>
      <c r="CQ532" s="7">
        <v>1.0009999999999999</v>
      </c>
      <c r="CR532" s="7">
        <v>1.0009999999999999</v>
      </c>
      <c r="CS532" s="7">
        <v>1.0009999999999999</v>
      </c>
      <c r="CT532" s="7">
        <v>1.0009999999999999</v>
      </c>
      <c r="CU532" s="7">
        <v>1.0009999999999999</v>
      </c>
      <c r="CV532" s="7">
        <v>1.0009999999999999</v>
      </c>
      <c r="CW532" s="7">
        <v>1.0009999999999999</v>
      </c>
      <c r="CX532" s="7">
        <v>1.0009999999999999</v>
      </c>
      <c r="CY532" s="7">
        <v>1.0009999999999999</v>
      </c>
      <c r="CZ532" s="7">
        <v>1.0009999999999999</v>
      </c>
      <c r="DA532" s="7">
        <v>1.0009999999999999</v>
      </c>
      <c r="DB532" s="7">
        <v>1.0009999999999999</v>
      </c>
      <c r="DC532" s="7">
        <v>1.0009999999999999</v>
      </c>
      <c r="DD532" s="7">
        <v>1.0009999999999999</v>
      </c>
      <c r="DE532" s="7">
        <v>1.0009999999999999</v>
      </c>
      <c r="DF532" s="7">
        <v>1.0009999999999999</v>
      </c>
      <c r="DG532" s="7">
        <v>1.0009999999999999</v>
      </c>
      <c r="DH532" s="7">
        <v>1.0009999999999999</v>
      </c>
      <c r="DI532" s="7">
        <v>1.0009999999999999</v>
      </c>
      <c r="DJ532" s="7">
        <v>1.0009999999999999</v>
      </c>
      <c r="DK532" s="7">
        <v>1.0009999999999999</v>
      </c>
      <c r="DL532" s="7">
        <v>1.0009999999999999</v>
      </c>
      <c r="DM532" s="7">
        <v>1.0009999999999999</v>
      </c>
      <c r="DN532" s="7">
        <v>1.0009999999999999</v>
      </c>
      <c r="DO532" s="7">
        <v>1.0009999999999999</v>
      </c>
      <c r="DP532" s="7">
        <v>1.0009999999999999</v>
      </c>
      <c r="DQ532" s="7">
        <v>1.0009999999999999</v>
      </c>
      <c r="DR532" s="7">
        <v>1.0009999999999999</v>
      </c>
      <c r="DS532" s="7">
        <v>1.0009999999999999</v>
      </c>
      <c r="DT532" s="7">
        <v>1.0009999999999999</v>
      </c>
      <c r="DU532" s="7">
        <v>1.0009999999999999</v>
      </c>
      <c r="DV532" s="7">
        <v>1.0009999999999999</v>
      </c>
      <c r="DW532" s="7">
        <v>1.0009999999999999</v>
      </c>
      <c r="DX532" s="7">
        <v>1.0009999999999999</v>
      </c>
      <c r="DY532" s="7">
        <v>1.0009999999999999</v>
      </c>
      <c r="DZ532" s="7">
        <v>1.0009999999999999</v>
      </c>
      <c r="EA532" s="7">
        <v>1.0009999999999999</v>
      </c>
      <c r="EB532" s="7">
        <v>1.0009999999999999</v>
      </c>
      <c r="EC532" s="7">
        <v>1.0009999999999999</v>
      </c>
      <c r="ED532" s="7">
        <v>1.0009999999999999</v>
      </c>
      <c r="EE532" s="7">
        <v>1.0009999999999999</v>
      </c>
      <c r="EF532" s="7">
        <v>1.0009999999999999</v>
      </c>
      <c r="EG532" s="7">
        <v>1.0009999999999999</v>
      </c>
      <c r="EH532" s="7">
        <v>1.0009999999999999</v>
      </c>
      <c r="EI532" s="7">
        <v>1.0009999999999999</v>
      </c>
      <c r="EJ532" s="7">
        <v>1.0009999999999999</v>
      </c>
      <c r="EK532" s="7">
        <v>1.0009999999999999</v>
      </c>
      <c r="EL532" s="7">
        <v>1.0009999999999999</v>
      </c>
      <c r="EM532" s="7">
        <v>1.0009999999999999</v>
      </c>
      <c r="EN532" s="7">
        <v>1.0009999999999999</v>
      </c>
      <c r="EO532" s="7">
        <v>1.0009999999999999</v>
      </c>
      <c r="EP532" s="7">
        <v>1.0009999999999999</v>
      </c>
      <c r="EQ532" s="7">
        <v>1.0009999999999999</v>
      </c>
      <c r="ER532" s="7">
        <v>1.0009999999999999</v>
      </c>
      <c r="ES532" s="7">
        <v>1.0009999999999999</v>
      </c>
      <c r="ET532" s="7">
        <v>1.0009999999999999</v>
      </c>
      <c r="EU532" s="7">
        <v>1.0009999999999999</v>
      </c>
      <c r="EV532" s="7">
        <v>1.0009999999999999</v>
      </c>
      <c r="EW532" s="7">
        <v>1.0009999999999999</v>
      </c>
      <c r="EX532" s="7">
        <v>1.0009999999999999</v>
      </c>
      <c r="EY532" s="7">
        <v>1.0009999999999999</v>
      </c>
      <c r="EZ532" s="7">
        <v>1.0009999999999999</v>
      </c>
      <c r="FA532" s="7">
        <v>1.0009999999999999</v>
      </c>
      <c r="FB532" s="7">
        <v>1.0009999999999999</v>
      </c>
      <c r="FC532" s="7">
        <v>1.0009999999999999</v>
      </c>
      <c r="FE532" s="50">
        <f t="shared" ca="1" si="59"/>
        <v>1.0009999999999999</v>
      </c>
      <c r="FF532" s="50">
        <f t="shared" ca="1" si="60"/>
        <v>1.0009999999999999</v>
      </c>
      <c r="FG532" s="50">
        <f t="shared" ca="1" si="61"/>
        <v>1.0009999999999999</v>
      </c>
      <c r="FH532" s="50">
        <f t="shared" ca="1" si="62"/>
        <v>1.0009999999999999</v>
      </c>
      <c r="FI532" s="50"/>
      <c r="FK532" s="50">
        <f t="shared" ca="1" si="58"/>
        <v>1.0009999999999999</v>
      </c>
      <c r="FL532" s="50"/>
      <c r="FM532" s="50"/>
      <c r="FN532" s="50"/>
    </row>
    <row r="533" spans="48:170" hidden="1">
      <c r="AV533" s="599"/>
      <c r="AW533" s="112">
        <v>0.14099999999999999</v>
      </c>
      <c r="AX533" s="7">
        <v>0.84550000000000003</v>
      </c>
      <c r="AY533" s="7">
        <v>0.85440000000000005</v>
      </c>
      <c r="AZ533" s="7">
        <v>0.86319999999999997</v>
      </c>
      <c r="BA533" s="7">
        <v>0.87190000000000001</v>
      </c>
      <c r="BB533" s="7">
        <v>0.88049999999999995</v>
      </c>
      <c r="BC533" s="7">
        <v>0.88900000000000001</v>
      </c>
      <c r="BD533" s="7">
        <v>0.89749999999999996</v>
      </c>
      <c r="BE533" s="7">
        <v>0.90580000000000005</v>
      </c>
      <c r="BF533" s="7">
        <v>0.91410000000000002</v>
      </c>
      <c r="BG533" s="7">
        <v>0.92230000000000001</v>
      </c>
      <c r="BH533" s="7">
        <v>0.9304</v>
      </c>
      <c r="BI533" s="7">
        <v>0.9385</v>
      </c>
      <c r="BJ533" s="7">
        <v>0.94640000000000002</v>
      </c>
      <c r="BK533" s="7">
        <v>0.95430000000000004</v>
      </c>
      <c r="BL533" s="7">
        <v>0.96209999999999996</v>
      </c>
      <c r="BM533" s="7">
        <v>0.9698</v>
      </c>
      <c r="BN533" s="7">
        <v>0.97750000000000004</v>
      </c>
      <c r="BO533" s="7">
        <v>0.98509999999999998</v>
      </c>
      <c r="BP533" s="7">
        <v>0.99260000000000004</v>
      </c>
      <c r="BQ533" s="7">
        <v>1.0009999999999999</v>
      </c>
      <c r="BR533" s="7">
        <v>1.0009999999999999</v>
      </c>
      <c r="BS533" s="7">
        <v>1.0009999999999999</v>
      </c>
      <c r="BT533" s="7">
        <v>1.0009999999999999</v>
      </c>
      <c r="BU533" s="7">
        <v>1.0009999999999999</v>
      </c>
      <c r="BV533" s="7">
        <v>1.0009999999999999</v>
      </c>
      <c r="BW533" s="7">
        <v>1.0009999999999999</v>
      </c>
      <c r="BX533" s="7">
        <v>1.0009999999999999</v>
      </c>
      <c r="BY533" s="7">
        <v>1.0009999999999999</v>
      </c>
      <c r="BZ533" s="7">
        <v>1.0009999999999999</v>
      </c>
      <c r="CA533" s="7">
        <v>1.0009999999999999</v>
      </c>
      <c r="CB533" s="7">
        <v>1.0009999999999999</v>
      </c>
      <c r="CC533" s="7">
        <v>1.0009999999999999</v>
      </c>
      <c r="CD533" s="7">
        <v>1.0009999999999999</v>
      </c>
      <c r="CE533" s="7">
        <v>1.0009999999999999</v>
      </c>
      <c r="CF533" s="7">
        <v>1.0009999999999999</v>
      </c>
      <c r="CG533" s="7">
        <v>1.0009999999999999</v>
      </c>
      <c r="CH533" s="7">
        <v>1.0009999999999999</v>
      </c>
      <c r="CI533" s="7">
        <v>1.0009999999999999</v>
      </c>
      <c r="CJ533" s="7">
        <v>1.0009999999999999</v>
      </c>
      <c r="CK533" s="7">
        <v>1.0009999999999999</v>
      </c>
      <c r="CL533" s="7">
        <v>1.0009999999999999</v>
      </c>
      <c r="CM533" s="7">
        <v>1.0009999999999999</v>
      </c>
      <c r="CN533" s="7">
        <v>1.0009999999999999</v>
      </c>
      <c r="CO533" s="7">
        <v>1.0009999999999999</v>
      </c>
      <c r="CP533" s="7">
        <v>1.0009999999999999</v>
      </c>
      <c r="CQ533" s="7">
        <v>1.0009999999999999</v>
      </c>
      <c r="CR533" s="7">
        <v>1.0009999999999999</v>
      </c>
      <c r="CS533" s="7">
        <v>1.0009999999999999</v>
      </c>
      <c r="CT533" s="7">
        <v>1.0009999999999999</v>
      </c>
      <c r="CU533" s="7">
        <v>1.0009999999999999</v>
      </c>
      <c r="CV533" s="7">
        <v>1.0009999999999999</v>
      </c>
      <c r="CW533" s="7">
        <v>1.0009999999999999</v>
      </c>
      <c r="CX533" s="7">
        <v>1.0009999999999999</v>
      </c>
      <c r="CY533" s="7">
        <v>1.0009999999999999</v>
      </c>
      <c r="CZ533" s="7">
        <v>1.0009999999999999</v>
      </c>
      <c r="DA533" s="7">
        <v>1.0009999999999999</v>
      </c>
      <c r="DB533" s="7">
        <v>1.0009999999999999</v>
      </c>
      <c r="DC533" s="7">
        <v>1.0009999999999999</v>
      </c>
      <c r="DD533" s="7">
        <v>1.0009999999999999</v>
      </c>
      <c r="DE533" s="7">
        <v>1.0009999999999999</v>
      </c>
      <c r="DF533" s="7">
        <v>1.0009999999999999</v>
      </c>
      <c r="DG533" s="7">
        <v>1.0009999999999999</v>
      </c>
      <c r="DH533" s="7">
        <v>1.0009999999999999</v>
      </c>
      <c r="DI533" s="7">
        <v>1.0009999999999999</v>
      </c>
      <c r="DJ533" s="7">
        <v>1.0009999999999999</v>
      </c>
      <c r="DK533" s="7">
        <v>1.0009999999999999</v>
      </c>
      <c r="DL533" s="7">
        <v>1.0009999999999999</v>
      </c>
      <c r="DM533" s="7">
        <v>1.0009999999999999</v>
      </c>
      <c r="DN533" s="7">
        <v>1.0009999999999999</v>
      </c>
      <c r="DO533" s="7">
        <v>1.0009999999999999</v>
      </c>
      <c r="DP533" s="7">
        <v>1.0009999999999999</v>
      </c>
      <c r="DQ533" s="7">
        <v>1.0009999999999999</v>
      </c>
      <c r="DR533" s="7">
        <v>1.0009999999999999</v>
      </c>
      <c r="DS533" s="7">
        <v>1.0009999999999999</v>
      </c>
      <c r="DT533" s="7">
        <v>1.0009999999999999</v>
      </c>
      <c r="DU533" s="7">
        <v>1.0009999999999999</v>
      </c>
      <c r="DV533" s="7">
        <v>1.0009999999999999</v>
      </c>
      <c r="DW533" s="7">
        <v>1.0009999999999999</v>
      </c>
      <c r="DX533" s="7">
        <v>1.0009999999999999</v>
      </c>
      <c r="DY533" s="7">
        <v>1.0009999999999999</v>
      </c>
      <c r="DZ533" s="7">
        <v>1.0009999999999999</v>
      </c>
      <c r="EA533" s="7">
        <v>1.0009999999999999</v>
      </c>
      <c r="EB533" s="7">
        <v>1.0009999999999999</v>
      </c>
      <c r="EC533" s="7">
        <v>1.0009999999999999</v>
      </c>
      <c r="ED533" s="7">
        <v>1.0009999999999999</v>
      </c>
      <c r="EE533" s="7">
        <v>1.0009999999999999</v>
      </c>
      <c r="EF533" s="7">
        <v>1.0009999999999999</v>
      </c>
      <c r="EG533" s="7">
        <v>1.0009999999999999</v>
      </c>
      <c r="EH533" s="7">
        <v>1.0009999999999999</v>
      </c>
      <c r="EI533" s="7">
        <v>1.0009999999999999</v>
      </c>
      <c r="EJ533" s="7">
        <v>1.0009999999999999</v>
      </c>
      <c r="EK533" s="7">
        <v>1.0009999999999999</v>
      </c>
      <c r="EL533" s="7">
        <v>1.0009999999999999</v>
      </c>
      <c r="EM533" s="7">
        <v>1.0009999999999999</v>
      </c>
      <c r="EN533" s="7">
        <v>1.0009999999999999</v>
      </c>
      <c r="EO533" s="7">
        <v>1.0009999999999999</v>
      </c>
      <c r="EP533" s="7">
        <v>1.0009999999999999</v>
      </c>
      <c r="EQ533" s="7">
        <v>1.0009999999999999</v>
      </c>
      <c r="ER533" s="7">
        <v>1.0009999999999999</v>
      </c>
      <c r="ES533" s="7">
        <v>1.0009999999999999</v>
      </c>
      <c r="ET533" s="7">
        <v>1.0009999999999999</v>
      </c>
      <c r="EU533" s="7">
        <v>1.0009999999999999</v>
      </c>
      <c r="EV533" s="7">
        <v>1.0009999999999999</v>
      </c>
      <c r="EW533" s="7">
        <v>1.0009999999999999</v>
      </c>
      <c r="EX533" s="7">
        <v>1.0009999999999999</v>
      </c>
      <c r="EY533" s="7">
        <v>1.0009999999999999</v>
      </c>
      <c r="EZ533" s="7">
        <v>1.0009999999999999</v>
      </c>
      <c r="FA533" s="7">
        <v>1.0009999999999999</v>
      </c>
      <c r="FB533" s="7">
        <v>1.0009999999999999</v>
      </c>
      <c r="FC533" s="7">
        <v>1.0009999999999999</v>
      </c>
      <c r="FE533" s="50">
        <f t="shared" ca="1" si="59"/>
        <v>1.0009999999999999</v>
      </c>
      <c r="FF533" s="50">
        <f t="shared" ca="1" si="60"/>
        <v>1.0009999999999999</v>
      </c>
      <c r="FG533" s="50">
        <f t="shared" ca="1" si="61"/>
        <v>1.0009999999999999</v>
      </c>
      <c r="FH533" s="50">
        <f t="shared" ca="1" si="62"/>
        <v>1.0009999999999999</v>
      </c>
      <c r="FI533" s="50"/>
      <c r="FK533" s="50">
        <f t="shared" ca="1" si="58"/>
        <v>1.0009999999999999</v>
      </c>
      <c r="FL533" s="50"/>
      <c r="FM533" s="50"/>
      <c r="FN533" s="50"/>
    </row>
    <row r="534" spans="48:170" hidden="1">
      <c r="AV534" s="599"/>
      <c r="AW534" s="112">
        <v>0.151</v>
      </c>
      <c r="AX534" s="7">
        <v>0.83860000000000001</v>
      </c>
      <c r="AY534" s="7">
        <v>0.84750000000000003</v>
      </c>
      <c r="AZ534" s="7">
        <v>0.85619999999999996</v>
      </c>
      <c r="BA534" s="7">
        <v>0.86480000000000001</v>
      </c>
      <c r="BB534" s="7">
        <v>0.87339999999999995</v>
      </c>
      <c r="BC534" s="7">
        <v>0.88180000000000003</v>
      </c>
      <c r="BD534" s="7">
        <v>0.89019999999999999</v>
      </c>
      <c r="BE534" s="7">
        <v>0.89849999999999997</v>
      </c>
      <c r="BF534" s="7">
        <v>0.90669999999999995</v>
      </c>
      <c r="BG534" s="7">
        <v>0.91490000000000005</v>
      </c>
      <c r="BH534" s="7">
        <v>0.92290000000000005</v>
      </c>
      <c r="BI534" s="7">
        <v>0.93089999999999995</v>
      </c>
      <c r="BJ534" s="7">
        <v>0.93879999999999997</v>
      </c>
      <c r="BK534" s="7">
        <v>0.9466</v>
      </c>
      <c r="BL534" s="7">
        <v>0.95430000000000004</v>
      </c>
      <c r="BM534" s="7">
        <v>0.96199999999999997</v>
      </c>
      <c r="BN534" s="7">
        <v>0.96960000000000002</v>
      </c>
      <c r="BO534" s="7">
        <v>0.97709999999999997</v>
      </c>
      <c r="BP534" s="7">
        <v>0.98460000000000003</v>
      </c>
      <c r="BQ534" s="7">
        <v>0.99199999999999999</v>
      </c>
      <c r="BR534" s="7">
        <v>0.99929999999999997</v>
      </c>
      <c r="BS534" s="7">
        <v>1.0009999999999999</v>
      </c>
      <c r="BT534" s="7">
        <v>1.0009999999999999</v>
      </c>
      <c r="BU534" s="7">
        <v>1.0009999999999999</v>
      </c>
      <c r="BV534" s="7">
        <v>1.0009999999999999</v>
      </c>
      <c r="BW534" s="7">
        <v>1.0009999999999999</v>
      </c>
      <c r="BX534" s="7">
        <v>1.0009999999999999</v>
      </c>
      <c r="BY534" s="7">
        <v>1.0009999999999999</v>
      </c>
      <c r="BZ534" s="7">
        <v>1.0009999999999999</v>
      </c>
      <c r="CA534" s="7">
        <v>1.0009999999999999</v>
      </c>
      <c r="CB534" s="7">
        <v>1.0009999999999999</v>
      </c>
      <c r="CC534" s="7">
        <v>1.0009999999999999</v>
      </c>
      <c r="CD534" s="7">
        <v>1.0009999999999999</v>
      </c>
      <c r="CE534" s="7">
        <v>1.0009999999999999</v>
      </c>
      <c r="CF534" s="7">
        <v>1.0009999999999999</v>
      </c>
      <c r="CG534" s="7">
        <v>1.0009999999999999</v>
      </c>
      <c r="CH534" s="7">
        <v>1.0009999999999999</v>
      </c>
      <c r="CI534" s="7">
        <v>1.0009999999999999</v>
      </c>
      <c r="CJ534" s="7">
        <v>1.0009999999999999</v>
      </c>
      <c r="CK534" s="7">
        <v>1.0009999999999999</v>
      </c>
      <c r="CL534" s="7">
        <v>1.0009999999999999</v>
      </c>
      <c r="CM534" s="7">
        <v>1.0009999999999999</v>
      </c>
      <c r="CN534" s="7">
        <v>1.0009999999999999</v>
      </c>
      <c r="CO534" s="7">
        <v>1.0009999999999999</v>
      </c>
      <c r="CP534" s="7">
        <v>1.0009999999999999</v>
      </c>
      <c r="CQ534" s="7">
        <v>1.0009999999999999</v>
      </c>
      <c r="CR534" s="7">
        <v>1.0009999999999999</v>
      </c>
      <c r="CS534" s="7">
        <v>1.0009999999999999</v>
      </c>
      <c r="CT534" s="7">
        <v>1.0009999999999999</v>
      </c>
      <c r="CU534" s="7">
        <v>1.0009999999999999</v>
      </c>
      <c r="CV534" s="7">
        <v>1.0009999999999999</v>
      </c>
      <c r="CW534" s="7">
        <v>1.0009999999999999</v>
      </c>
      <c r="CX534" s="7">
        <v>1.0009999999999999</v>
      </c>
      <c r="CY534" s="7">
        <v>1.0009999999999999</v>
      </c>
      <c r="CZ534" s="7">
        <v>1.0009999999999999</v>
      </c>
      <c r="DA534" s="7">
        <v>1.0009999999999999</v>
      </c>
      <c r="DB534" s="7">
        <v>1.0009999999999999</v>
      </c>
      <c r="DC534" s="7">
        <v>1.0009999999999999</v>
      </c>
      <c r="DD534" s="7">
        <v>1.0009999999999999</v>
      </c>
      <c r="DE534" s="7">
        <v>1.0009999999999999</v>
      </c>
      <c r="DF534" s="7">
        <v>1.0009999999999999</v>
      </c>
      <c r="DG534" s="7">
        <v>1.0009999999999999</v>
      </c>
      <c r="DH534" s="7">
        <v>1.0009999999999999</v>
      </c>
      <c r="DI534" s="7">
        <v>1.0009999999999999</v>
      </c>
      <c r="DJ534" s="7">
        <v>1.0009999999999999</v>
      </c>
      <c r="DK534" s="7">
        <v>1.0009999999999999</v>
      </c>
      <c r="DL534" s="7">
        <v>1.0009999999999999</v>
      </c>
      <c r="DM534" s="7">
        <v>1.0009999999999999</v>
      </c>
      <c r="DN534" s="7">
        <v>1.0009999999999999</v>
      </c>
      <c r="DO534" s="7">
        <v>1.0009999999999999</v>
      </c>
      <c r="DP534" s="7">
        <v>1.0009999999999999</v>
      </c>
      <c r="DQ534" s="7">
        <v>1.0009999999999999</v>
      </c>
      <c r="DR534" s="7">
        <v>1.0009999999999999</v>
      </c>
      <c r="DS534" s="7">
        <v>1.0009999999999999</v>
      </c>
      <c r="DT534" s="7">
        <v>1.0009999999999999</v>
      </c>
      <c r="DU534" s="7">
        <v>1.0009999999999999</v>
      </c>
      <c r="DV534" s="7">
        <v>1.0009999999999999</v>
      </c>
      <c r="DW534" s="7">
        <v>1.0009999999999999</v>
      </c>
      <c r="DX534" s="7">
        <v>1.0009999999999999</v>
      </c>
      <c r="DY534" s="7">
        <v>1.0009999999999999</v>
      </c>
      <c r="DZ534" s="7">
        <v>1.0009999999999999</v>
      </c>
      <c r="EA534" s="7">
        <v>1.0009999999999999</v>
      </c>
      <c r="EB534" s="7">
        <v>1.0009999999999999</v>
      </c>
      <c r="EC534" s="7">
        <v>1.0009999999999999</v>
      </c>
      <c r="ED534" s="7">
        <v>1.0009999999999999</v>
      </c>
      <c r="EE534" s="7">
        <v>1.0009999999999999</v>
      </c>
      <c r="EF534" s="7">
        <v>1.0009999999999999</v>
      </c>
      <c r="EG534" s="7">
        <v>1.0009999999999999</v>
      </c>
      <c r="EH534" s="7">
        <v>1.0009999999999999</v>
      </c>
      <c r="EI534" s="7">
        <v>1.0009999999999999</v>
      </c>
      <c r="EJ534" s="7">
        <v>1.0009999999999999</v>
      </c>
      <c r="EK534" s="7">
        <v>1.0009999999999999</v>
      </c>
      <c r="EL534" s="7">
        <v>1.0009999999999999</v>
      </c>
      <c r="EM534" s="7">
        <v>1.0009999999999999</v>
      </c>
      <c r="EN534" s="7">
        <v>1.0009999999999999</v>
      </c>
      <c r="EO534" s="7">
        <v>1.0009999999999999</v>
      </c>
      <c r="EP534" s="7">
        <v>1.0009999999999999</v>
      </c>
      <c r="EQ534" s="7">
        <v>1.0009999999999999</v>
      </c>
      <c r="ER534" s="7">
        <v>1.0009999999999999</v>
      </c>
      <c r="ES534" s="7">
        <v>1.0009999999999999</v>
      </c>
      <c r="ET534" s="7">
        <v>1.0009999999999999</v>
      </c>
      <c r="EU534" s="7">
        <v>1.0009999999999999</v>
      </c>
      <c r="EV534" s="7">
        <v>1.0009999999999999</v>
      </c>
      <c r="EW534" s="7">
        <v>1.0009999999999999</v>
      </c>
      <c r="EX534" s="7">
        <v>1.0009999999999999</v>
      </c>
      <c r="EY534" s="7">
        <v>1.0009999999999999</v>
      </c>
      <c r="EZ534" s="7">
        <v>1.0009999999999999</v>
      </c>
      <c r="FA534" s="7">
        <v>1.0009999999999999</v>
      </c>
      <c r="FB534" s="7">
        <v>1.0009999999999999</v>
      </c>
      <c r="FC534" s="7">
        <v>1.0009999999999999</v>
      </c>
      <c r="FE534" s="50">
        <f t="shared" ca="1" si="59"/>
        <v>1.0009999999999999</v>
      </c>
      <c r="FF534" s="50">
        <f t="shared" ca="1" si="60"/>
        <v>1.0009999999999999</v>
      </c>
      <c r="FG534" s="50">
        <f t="shared" ca="1" si="61"/>
        <v>1.0009999999999999</v>
      </c>
      <c r="FH534" s="50">
        <f t="shared" ca="1" si="62"/>
        <v>1.0009999999999999</v>
      </c>
      <c r="FI534" s="50"/>
      <c r="FK534" s="50">
        <f t="shared" ca="1" si="58"/>
        <v>1.0009999999999999</v>
      </c>
      <c r="FL534" s="50"/>
      <c r="FM534" s="50"/>
      <c r="FN534" s="50"/>
    </row>
    <row r="535" spans="48:170" hidden="1">
      <c r="AV535" s="599"/>
      <c r="AW535" s="112">
        <v>0.16200000000000001</v>
      </c>
      <c r="AX535" s="7">
        <v>0.83199999999999996</v>
      </c>
      <c r="AY535" s="7">
        <v>0.8407</v>
      </c>
      <c r="AZ535" s="7">
        <v>0.84940000000000004</v>
      </c>
      <c r="BA535" s="7">
        <v>0.8579</v>
      </c>
      <c r="BB535" s="7">
        <v>0.86639999999999995</v>
      </c>
      <c r="BC535" s="7">
        <v>0.87480000000000002</v>
      </c>
      <c r="BD535" s="7">
        <v>0.8831</v>
      </c>
      <c r="BE535" s="7">
        <v>0.89139999999999997</v>
      </c>
      <c r="BF535" s="7">
        <v>0.89949999999999997</v>
      </c>
      <c r="BG535" s="7">
        <v>0.90759999999999996</v>
      </c>
      <c r="BH535" s="7">
        <v>0.91559999999999997</v>
      </c>
      <c r="BI535" s="7">
        <v>0.92349999999999999</v>
      </c>
      <c r="BJ535" s="7">
        <v>0.93130000000000002</v>
      </c>
      <c r="BK535" s="7">
        <v>0.93899999999999995</v>
      </c>
      <c r="BL535" s="7">
        <v>0.94669999999999999</v>
      </c>
      <c r="BM535" s="7">
        <v>0.95430000000000004</v>
      </c>
      <c r="BN535" s="7">
        <v>0.96189999999999998</v>
      </c>
      <c r="BO535" s="7">
        <v>0.96940000000000004</v>
      </c>
      <c r="BP535" s="7">
        <v>0.9768</v>
      </c>
      <c r="BQ535" s="7">
        <v>0.98409999999999997</v>
      </c>
      <c r="BR535" s="7">
        <v>0.99139999999999995</v>
      </c>
      <c r="BS535" s="7">
        <v>0.99860000000000004</v>
      </c>
      <c r="BT535" s="7">
        <v>1.0009999999999999</v>
      </c>
      <c r="BU535" s="7">
        <v>1.0009999999999999</v>
      </c>
      <c r="BV535" s="7">
        <v>1.0009999999999999</v>
      </c>
      <c r="BW535" s="7">
        <v>1.0009999999999999</v>
      </c>
      <c r="BX535" s="7">
        <v>1.0009999999999999</v>
      </c>
      <c r="BY535" s="7">
        <v>1.0009999999999999</v>
      </c>
      <c r="BZ535" s="7">
        <v>1.0009999999999999</v>
      </c>
      <c r="CA535" s="7">
        <v>1.0009999999999999</v>
      </c>
      <c r="CB535" s="7">
        <v>1.0009999999999999</v>
      </c>
      <c r="CC535" s="7">
        <v>1.0009999999999999</v>
      </c>
      <c r="CD535" s="7">
        <v>1.0009999999999999</v>
      </c>
      <c r="CE535" s="7">
        <v>1.0009999999999999</v>
      </c>
      <c r="CF535" s="7">
        <v>1.0009999999999999</v>
      </c>
      <c r="CG535" s="7">
        <v>1.0009999999999999</v>
      </c>
      <c r="CH535" s="7">
        <v>1.0009999999999999</v>
      </c>
      <c r="CI535" s="7">
        <v>1.0009999999999999</v>
      </c>
      <c r="CJ535" s="7">
        <v>1.0009999999999999</v>
      </c>
      <c r="CK535" s="7">
        <v>1.0009999999999999</v>
      </c>
      <c r="CL535" s="7">
        <v>1.0009999999999999</v>
      </c>
      <c r="CM535" s="7">
        <v>1.0009999999999999</v>
      </c>
      <c r="CN535" s="7">
        <v>1.0009999999999999</v>
      </c>
      <c r="CO535" s="7">
        <v>1.0009999999999999</v>
      </c>
      <c r="CP535" s="7">
        <v>1.0009999999999999</v>
      </c>
      <c r="CQ535" s="7">
        <v>1.0009999999999999</v>
      </c>
      <c r="CR535" s="7">
        <v>1.0009999999999999</v>
      </c>
      <c r="CS535" s="7">
        <v>1.0009999999999999</v>
      </c>
      <c r="CT535" s="7">
        <v>1.0009999999999999</v>
      </c>
      <c r="CU535" s="7">
        <v>1.0009999999999999</v>
      </c>
      <c r="CV535" s="7">
        <v>1.0009999999999999</v>
      </c>
      <c r="CW535" s="7">
        <v>1.0009999999999999</v>
      </c>
      <c r="CX535" s="7">
        <v>1.0009999999999999</v>
      </c>
      <c r="CY535" s="7">
        <v>1.0009999999999999</v>
      </c>
      <c r="CZ535" s="7">
        <v>1.0009999999999999</v>
      </c>
      <c r="DA535" s="7">
        <v>1.0009999999999999</v>
      </c>
      <c r="DB535" s="7">
        <v>1.0009999999999999</v>
      </c>
      <c r="DC535" s="7">
        <v>1.0009999999999999</v>
      </c>
      <c r="DD535" s="7">
        <v>1.0009999999999999</v>
      </c>
      <c r="DE535" s="7">
        <v>1.0009999999999999</v>
      </c>
      <c r="DF535" s="7">
        <v>1.0009999999999999</v>
      </c>
      <c r="DG535" s="7">
        <v>1.0009999999999999</v>
      </c>
      <c r="DH535" s="7">
        <v>1.0009999999999999</v>
      </c>
      <c r="DI535" s="7">
        <v>1.0009999999999999</v>
      </c>
      <c r="DJ535" s="7">
        <v>1.0009999999999999</v>
      </c>
      <c r="DK535" s="7">
        <v>1.0009999999999999</v>
      </c>
      <c r="DL535" s="7">
        <v>1.0009999999999999</v>
      </c>
      <c r="DM535" s="7">
        <v>1.0009999999999999</v>
      </c>
      <c r="DN535" s="7">
        <v>1.0009999999999999</v>
      </c>
      <c r="DO535" s="7">
        <v>1.0009999999999999</v>
      </c>
      <c r="DP535" s="7">
        <v>1.0009999999999999</v>
      </c>
      <c r="DQ535" s="7">
        <v>1.0009999999999999</v>
      </c>
      <c r="DR535" s="7">
        <v>1.0009999999999999</v>
      </c>
      <c r="DS535" s="7">
        <v>1.0009999999999999</v>
      </c>
      <c r="DT535" s="7">
        <v>1.0009999999999999</v>
      </c>
      <c r="DU535" s="7">
        <v>1.0009999999999999</v>
      </c>
      <c r="DV535" s="7">
        <v>1.0009999999999999</v>
      </c>
      <c r="DW535" s="7">
        <v>1.0009999999999999</v>
      </c>
      <c r="DX535" s="7">
        <v>1.0009999999999999</v>
      </c>
      <c r="DY535" s="7">
        <v>1.0009999999999999</v>
      </c>
      <c r="DZ535" s="7">
        <v>1.0009999999999999</v>
      </c>
      <c r="EA535" s="7">
        <v>1.0009999999999999</v>
      </c>
      <c r="EB535" s="7">
        <v>1.0009999999999999</v>
      </c>
      <c r="EC535" s="7">
        <v>1.0009999999999999</v>
      </c>
      <c r="ED535" s="7">
        <v>1.0009999999999999</v>
      </c>
      <c r="EE535" s="7">
        <v>1.0009999999999999</v>
      </c>
      <c r="EF535" s="7">
        <v>1.0009999999999999</v>
      </c>
      <c r="EG535" s="7">
        <v>1.0009999999999999</v>
      </c>
      <c r="EH535" s="7">
        <v>1.0009999999999999</v>
      </c>
      <c r="EI535" s="7">
        <v>1.0009999999999999</v>
      </c>
      <c r="EJ535" s="7">
        <v>1.0009999999999999</v>
      </c>
      <c r="EK535" s="7">
        <v>1.0009999999999999</v>
      </c>
      <c r="EL535" s="7">
        <v>1.0009999999999999</v>
      </c>
      <c r="EM535" s="7">
        <v>1.0009999999999999</v>
      </c>
      <c r="EN535" s="7">
        <v>1.0009999999999999</v>
      </c>
      <c r="EO535" s="7">
        <v>1.0009999999999999</v>
      </c>
      <c r="EP535" s="7">
        <v>1.0009999999999999</v>
      </c>
      <c r="EQ535" s="7">
        <v>1.0009999999999999</v>
      </c>
      <c r="ER535" s="7">
        <v>1.0009999999999999</v>
      </c>
      <c r="ES535" s="7">
        <v>1.0009999999999999</v>
      </c>
      <c r="ET535" s="7">
        <v>1.0009999999999999</v>
      </c>
      <c r="EU535" s="7">
        <v>1.0009999999999999</v>
      </c>
      <c r="EV535" s="7">
        <v>1.0009999999999999</v>
      </c>
      <c r="EW535" s="7">
        <v>1.0009999999999999</v>
      </c>
      <c r="EX535" s="7">
        <v>1.0009999999999999</v>
      </c>
      <c r="EY535" s="7">
        <v>1.0009999999999999</v>
      </c>
      <c r="EZ535" s="7">
        <v>1.0009999999999999</v>
      </c>
      <c r="FA535" s="7">
        <v>1.0009999999999999</v>
      </c>
      <c r="FB535" s="7">
        <v>1.0009999999999999</v>
      </c>
      <c r="FC535" s="7">
        <v>1.0009999999999999</v>
      </c>
      <c r="FE535" s="50">
        <f t="shared" ca="1" si="59"/>
        <v>1.0009999999999999</v>
      </c>
      <c r="FF535" s="50">
        <f t="shared" ca="1" si="60"/>
        <v>1.0009999999999999</v>
      </c>
      <c r="FG535" s="50">
        <f t="shared" ca="1" si="61"/>
        <v>1.0009999999999999</v>
      </c>
      <c r="FH535" s="50">
        <f t="shared" ca="1" si="62"/>
        <v>1.0009999999999999</v>
      </c>
      <c r="FI535" s="50"/>
      <c r="FK535" s="50">
        <f t="shared" ca="1" si="58"/>
        <v>1.0009999999999999</v>
      </c>
      <c r="FL535" s="50"/>
      <c r="FM535" s="50"/>
      <c r="FN535" s="50"/>
    </row>
    <row r="536" spans="48:170" hidden="1">
      <c r="AV536" s="599"/>
      <c r="AW536" s="112">
        <v>0.17399999999999999</v>
      </c>
      <c r="AX536" s="7">
        <v>0.82540000000000002</v>
      </c>
      <c r="AY536" s="7">
        <v>0.83409999999999995</v>
      </c>
      <c r="AZ536" s="7">
        <v>0.8427</v>
      </c>
      <c r="BA536" s="7">
        <v>0.85119999999999996</v>
      </c>
      <c r="BB536" s="7">
        <v>0.85960000000000003</v>
      </c>
      <c r="BC536" s="7">
        <v>0.86799999999999999</v>
      </c>
      <c r="BD536" s="7">
        <v>0.87619999999999998</v>
      </c>
      <c r="BE536" s="7">
        <v>0.88439999999999996</v>
      </c>
      <c r="BF536" s="7">
        <v>0.89239999999999997</v>
      </c>
      <c r="BG536" s="7">
        <v>0.90039999999999998</v>
      </c>
      <c r="BH536" s="7">
        <v>0.90839999999999999</v>
      </c>
      <c r="BI536" s="7">
        <v>0.91620000000000001</v>
      </c>
      <c r="BJ536" s="7">
        <v>0.92400000000000004</v>
      </c>
      <c r="BK536" s="7">
        <v>0.93169999999999997</v>
      </c>
      <c r="BL536" s="7">
        <v>0.93930000000000002</v>
      </c>
      <c r="BM536" s="7">
        <v>0.94689999999999996</v>
      </c>
      <c r="BN536" s="7">
        <v>0.95430000000000004</v>
      </c>
      <c r="BO536" s="7">
        <v>0.9617</v>
      </c>
      <c r="BP536" s="7">
        <v>0.96909999999999996</v>
      </c>
      <c r="BQ536" s="7">
        <v>0.97640000000000005</v>
      </c>
      <c r="BR536" s="7">
        <v>0.98360000000000003</v>
      </c>
      <c r="BS536" s="7">
        <v>0.99070000000000003</v>
      </c>
      <c r="BT536" s="7">
        <v>0.99780000000000002</v>
      </c>
      <c r="BU536" s="7">
        <v>1.0009999999999999</v>
      </c>
      <c r="BV536" s="7">
        <v>1.0009999999999999</v>
      </c>
      <c r="BW536" s="7">
        <v>1.0009999999999999</v>
      </c>
      <c r="BX536" s="7">
        <v>1.0009999999999999</v>
      </c>
      <c r="BY536" s="7">
        <v>1.0009999999999999</v>
      </c>
      <c r="BZ536" s="7">
        <v>1.0009999999999999</v>
      </c>
      <c r="CA536" s="7">
        <v>1.0009999999999999</v>
      </c>
      <c r="CB536" s="7">
        <v>1.0009999999999999</v>
      </c>
      <c r="CC536" s="7">
        <v>1.0009999999999999</v>
      </c>
      <c r="CD536" s="7">
        <v>1.0009999999999999</v>
      </c>
      <c r="CE536" s="7">
        <v>1.0009999999999999</v>
      </c>
      <c r="CF536" s="7">
        <v>1.0009999999999999</v>
      </c>
      <c r="CG536" s="7">
        <v>1.0009999999999999</v>
      </c>
      <c r="CH536" s="7">
        <v>1.0009999999999999</v>
      </c>
      <c r="CI536" s="7">
        <v>1.0009999999999999</v>
      </c>
      <c r="CJ536" s="7">
        <v>1.0009999999999999</v>
      </c>
      <c r="CK536" s="7">
        <v>1.0009999999999999</v>
      </c>
      <c r="CL536" s="7">
        <v>1.0009999999999999</v>
      </c>
      <c r="CM536" s="7">
        <v>1.0009999999999999</v>
      </c>
      <c r="CN536" s="7">
        <v>1.0009999999999999</v>
      </c>
      <c r="CO536" s="7">
        <v>1.0009999999999999</v>
      </c>
      <c r="CP536" s="7">
        <v>1.0009999999999999</v>
      </c>
      <c r="CQ536" s="7">
        <v>1.0009999999999999</v>
      </c>
      <c r="CR536" s="7">
        <v>1.0009999999999999</v>
      </c>
      <c r="CS536" s="7">
        <v>1.0009999999999999</v>
      </c>
      <c r="CT536" s="7">
        <v>1.0009999999999999</v>
      </c>
      <c r="CU536" s="7">
        <v>1.0009999999999999</v>
      </c>
      <c r="CV536" s="7">
        <v>1.0009999999999999</v>
      </c>
      <c r="CW536" s="7">
        <v>1.0009999999999999</v>
      </c>
      <c r="CX536" s="7">
        <v>1.0009999999999999</v>
      </c>
      <c r="CY536" s="7">
        <v>1.0009999999999999</v>
      </c>
      <c r="CZ536" s="7">
        <v>1.0009999999999999</v>
      </c>
      <c r="DA536" s="7">
        <v>1.0009999999999999</v>
      </c>
      <c r="DB536" s="7">
        <v>1.0009999999999999</v>
      </c>
      <c r="DC536" s="7">
        <v>1.0009999999999999</v>
      </c>
      <c r="DD536" s="7">
        <v>1.0009999999999999</v>
      </c>
      <c r="DE536" s="7">
        <v>1.0009999999999999</v>
      </c>
      <c r="DF536" s="7">
        <v>1.0009999999999999</v>
      </c>
      <c r="DG536" s="7">
        <v>1.0009999999999999</v>
      </c>
      <c r="DH536" s="7">
        <v>1.0009999999999999</v>
      </c>
      <c r="DI536" s="7">
        <v>1.0009999999999999</v>
      </c>
      <c r="DJ536" s="7">
        <v>1.0009999999999999</v>
      </c>
      <c r="DK536" s="7">
        <v>1.0009999999999999</v>
      </c>
      <c r="DL536" s="7">
        <v>1.0009999999999999</v>
      </c>
      <c r="DM536" s="7">
        <v>1.0009999999999999</v>
      </c>
      <c r="DN536" s="7">
        <v>1.0009999999999999</v>
      </c>
      <c r="DO536" s="7">
        <v>1.0009999999999999</v>
      </c>
      <c r="DP536" s="7">
        <v>1.0009999999999999</v>
      </c>
      <c r="DQ536" s="7">
        <v>1.0009999999999999</v>
      </c>
      <c r="DR536" s="7">
        <v>1.0009999999999999</v>
      </c>
      <c r="DS536" s="7">
        <v>1.0009999999999999</v>
      </c>
      <c r="DT536" s="7">
        <v>1.0009999999999999</v>
      </c>
      <c r="DU536" s="7">
        <v>1.0009999999999999</v>
      </c>
      <c r="DV536" s="7">
        <v>1.0009999999999999</v>
      </c>
      <c r="DW536" s="7">
        <v>1.0009999999999999</v>
      </c>
      <c r="DX536" s="7">
        <v>1.0009999999999999</v>
      </c>
      <c r="DY536" s="7">
        <v>1.0009999999999999</v>
      </c>
      <c r="DZ536" s="7">
        <v>1.0009999999999999</v>
      </c>
      <c r="EA536" s="7">
        <v>1.0009999999999999</v>
      </c>
      <c r="EB536" s="7">
        <v>1.0009999999999999</v>
      </c>
      <c r="EC536" s="7">
        <v>1.0009999999999999</v>
      </c>
      <c r="ED536" s="7">
        <v>1.0009999999999999</v>
      </c>
      <c r="EE536" s="7">
        <v>1.0009999999999999</v>
      </c>
      <c r="EF536" s="7">
        <v>1.0009999999999999</v>
      </c>
      <c r="EG536" s="7">
        <v>1.0009999999999999</v>
      </c>
      <c r="EH536" s="7">
        <v>1.0009999999999999</v>
      </c>
      <c r="EI536" s="7">
        <v>1.0009999999999999</v>
      </c>
      <c r="EJ536" s="7">
        <v>1.0009999999999999</v>
      </c>
      <c r="EK536" s="7">
        <v>1.0009999999999999</v>
      </c>
      <c r="EL536" s="7">
        <v>1.0009999999999999</v>
      </c>
      <c r="EM536" s="7">
        <v>1.0009999999999999</v>
      </c>
      <c r="EN536" s="7">
        <v>1.0009999999999999</v>
      </c>
      <c r="EO536" s="7">
        <v>1.0009999999999999</v>
      </c>
      <c r="EP536" s="7">
        <v>1.0009999999999999</v>
      </c>
      <c r="EQ536" s="7">
        <v>1.0009999999999999</v>
      </c>
      <c r="ER536" s="7">
        <v>1.0009999999999999</v>
      </c>
      <c r="ES536" s="7">
        <v>1.0009999999999999</v>
      </c>
      <c r="ET536" s="7">
        <v>1.0009999999999999</v>
      </c>
      <c r="EU536" s="7">
        <v>1.0009999999999999</v>
      </c>
      <c r="EV536" s="7">
        <v>1.0009999999999999</v>
      </c>
      <c r="EW536" s="7">
        <v>1.0009999999999999</v>
      </c>
      <c r="EX536" s="7">
        <v>1.0009999999999999</v>
      </c>
      <c r="EY536" s="7">
        <v>1.0009999999999999</v>
      </c>
      <c r="EZ536" s="7">
        <v>1.0009999999999999</v>
      </c>
      <c r="FA536" s="7">
        <v>1.0009999999999999</v>
      </c>
      <c r="FB536" s="7">
        <v>1.0009999999999999</v>
      </c>
      <c r="FC536" s="7">
        <v>1.0009999999999999</v>
      </c>
      <c r="FE536" s="50">
        <f t="shared" ca="1" si="59"/>
        <v>1.0009999999999999</v>
      </c>
      <c r="FF536" s="50">
        <f t="shared" ca="1" si="60"/>
        <v>1.0009999999999999</v>
      </c>
      <c r="FG536" s="50">
        <f t="shared" ca="1" si="61"/>
        <v>1.0009999999999999</v>
      </c>
      <c r="FH536" s="50">
        <f t="shared" ca="1" si="62"/>
        <v>1.0009999999999999</v>
      </c>
      <c r="FI536" s="50"/>
      <c r="FK536" s="50">
        <f t="shared" ca="1" si="58"/>
        <v>1.0009999999999999</v>
      </c>
      <c r="FL536" s="50"/>
      <c r="FM536" s="50"/>
      <c r="FN536" s="50"/>
    </row>
    <row r="537" spans="48:170" hidden="1">
      <c r="AW537" s="112">
        <v>0.186</v>
      </c>
      <c r="AX537" s="7">
        <v>0.81910000000000005</v>
      </c>
      <c r="AY537" s="7">
        <v>0.82769999999999999</v>
      </c>
      <c r="AZ537" s="7">
        <v>0.83620000000000005</v>
      </c>
      <c r="BA537" s="7">
        <v>0.84460000000000002</v>
      </c>
      <c r="BB537" s="7">
        <v>0.85299999999999998</v>
      </c>
      <c r="BC537" s="7">
        <v>0.86129999999999995</v>
      </c>
      <c r="BD537" s="7">
        <v>0.86939999999999995</v>
      </c>
      <c r="BE537" s="7">
        <v>0.87749999999999995</v>
      </c>
      <c r="BF537" s="7">
        <v>0.88560000000000005</v>
      </c>
      <c r="BG537" s="7">
        <v>0.89349999999999996</v>
      </c>
      <c r="BH537" s="7">
        <v>0.90139999999999998</v>
      </c>
      <c r="BI537" s="7">
        <v>0.90910000000000002</v>
      </c>
      <c r="BJ537" s="7">
        <v>0.91679999999999995</v>
      </c>
      <c r="BK537" s="7">
        <v>0.92449999999999999</v>
      </c>
      <c r="BL537" s="7">
        <v>0.93200000000000005</v>
      </c>
      <c r="BM537" s="7">
        <v>0.9395</v>
      </c>
      <c r="BN537" s="7">
        <v>0.94699999999999995</v>
      </c>
      <c r="BO537" s="7">
        <v>0.95430000000000004</v>
      </c>
      <c r="BP537" s="7">
        <v>0.96160000000000001</v>
      </c>
      <c r="BQ537" s="7">
        <v>0.96879999999999999</v>
      </c>
      <c r="BR537" s="7">
        <v>0.97599999999999998</v>
      </c>
      <c r="BS537" s="7">
        <v>0.98309999999999997</v>
      </c>
      <c r="BT537" s="7">
        <v>0.99009999999999998</v>
      </c>
      <c r="BU537" s="7">
        <v>0.99709999999999999</v>
      </c>
      <c r="BV537" s="7">
        <v>1.0009999999999999</v>
      </c>
      <c r="BW537" s="7">
        <v>1.0009999999999999</v>
      </c>
      <c r="BX537" s="7">
        <v>1.0009999999999999</v>
      </c>
      <c r="BY537" s="7">
        <v>1.0009999999999999</v>
      </c>
      <c r="BZ537" s="7">
        <v>1.0009999999999999</v>
      </c>
      <c r="CA537" s="7">
        <v>1.0009999999999999</v>
      </c>
      <c r="CB537" s="7">
        <v>1.0009999999999999</v>
      </c>
      <c r="CC537" s="7">
        <v>1.0009999999999999</v>
      </c>
      <c r="CD537" s="7">
        <v>1.0009999999999999</v>
      </c>
      <c r="CE537" s="7">
        <v>1.0009999999999999</v>
      </c>
      <c r="CF537" s="7">
        <v>1.0009999999999999</v>
      </c>
      <c r="CG537" s="7">
        <v>1.0009999999999999</v>
      </c>
      <c r="CH537" s="7">
        <v>1.0009999999999999</v>
      </c>
      <c r="CI537" s="7">
        <v>1.0009999999999999</v>
      </c>
      <c r="CJ537" s="7">
        <v>1.0009999999999999</v>
      </c>
      <c r="CK537" s="7">
        <v>1.0009999999999999</v>
      </c>
      <c r="CL537" s="7">
        <v>1.0009999999999999</v>
      </c>
      <c r="CM537" s="7">
        <v>1.0009999999999999</v>
      </c>
      <c r="CN537" s="7">
        <v>1.0009999999999999</v>
      </c>
      <c r="CO537" s="7">
        <v>1.0009999999999999</v>
      </c>
      <c r="CP537" s="7">
        <v>1.0009999999999999</v>
      </c>
      <c r="CQ537" s="7">
        <v>1.0009999999999999</v>
      </c>
      <c r="CR537" s="7">
        <v>1.0009999999999999</v>
      </c>
      <c r="CS537" s="7">
        <v>1.0009999999999999</v>
      </c>
      <c r="CT537" s="7">
        <v>1.0009999999999999</v>
      </c>
      <c r="CU537" s="7">
        <v>1.0009999999999999</v>
      </c>
      <c r="CV537" s="7">
        <v>1.0009999999999999</v>
      </c>
      <c r="CW537" s="7">
        <v>1.0009999999999999</v>
      </c>
      <c r="CX537" s="7">
        <v>1.0009999999999999</v>
      </c>
      <c r="CY537" s="7">
        <v>1.0009999999999999</v>
      </c>
      <c r="CZ537" s="7">
        <v>1.0009999999999999</v>
      </c>
      <c r="DA537" s="7">
        <v>1.0009999999999999</v>
      </c>
      <c r="DB537" s="7">
        <v>1.0009999999999999</v>
      </c>
      <c r="DC537" s="7">
        <v>1.0009999999999999</v>
      </c>
      <c r="DD537" s="7">
        <v>1.0009999999999999</v>
      </c>
      <c r="DE537" s="7">
        <v>1.0009999999999999</v>
      </c>
      <c r="DF537" s="7">
        <v>1.0009999999999999</v>
      </c>
      <c r="DG537" s="7">
        <v>1.0009999999999999</v>
      </c>
      <c r="DH537" s="7">
        <v>1.0009999999999999</v>
      </c>
      <c r="DI537" s="7">
        <v>1.0009999999999999</v>
      </c>
      <c r="DJ537" s="7">
        <v>1.0009999999999999</v>
      </c>
      <c r="DK537" s="7">
        <v>1.0009999999999999</v>
      </c>
      <c r="DL537" s="7">
        <v>1.0009999999999999</v>
      </c>
      <c r="DM537" s="7">
        <v>1.0009999999999999</v>
      </c>
      <c r="DN537" s="7">
        <v>1.0009999999999999</v>
      </c>
      <c r="DO537" s="7">
        <v>1.0009999999999999</v>
      </c>
      <c r="DP537" s="7">
        <v>1.0009999999999999</v>
      </c>
      <c r="DQ537" s="7">
        <v>1.0009999999999999</v>
      </c>
      <c r="DR537" s="7">
        <v>1.0009999999999999</v>
      </c>
      <c r="DS537" s="7">
        <v>1.0009999999999999</v>
      </c>
      <c r="DT537" s="7">
        <v>1.0009999999999999</v>
      </c>
      <c r="DU537" s="7">
        <v>1.0009999999999999</v>
      </c>
      <c r="DV537" s="7">
        <v>1.0009999999999999</v>
      </c>
      <c r="DW537" s="7">
        <v>1.0009999999999999</v>
      </c>
      <c r="DX537" s="7">
        <v>1.0009999999999999</v>
      </c>
      <c r="DY537" s="7">
        <v>1.0009999999999999</v>
      </c>
      <c r="DZ537" s="7">
        <v>1.0009999999999999</v>
      </c>
      <c r="EA537" s="7">
        <v>1.0009999999999999</v>
      </c>
      <c r="EB537" s="7">
        <v>1.0009999999999999</v>
      </c>
      <c r="EC537" s="7">
        <v>1.0009999999999999</v>
      </c>
      <c r="ED537" s="7">
        <v>1.0009999999999999</v>
      </c>
      <c r="EE537" s="7">
        <v>1.0009999999999999</v>
      </c>
      <c r="EF537" s="7">
        <v>1.0009999999999999</v>
      </c>
      <c r="EG537" s="7">
        <v>1.0009999999999999</v>
      </c>
      <c r="EH537" s="7">
        <v>1.0009999999999999</v>
      </c>
      <c r="EI537" s="7">
        <v>1.0009999999999999</v>
      </c>
      <c r="EJ537" s="7">
        <v>1.0009999999999999</v>
      </c>
      <c r="EK537" s="7">
        <v>1.0009999999999999</v>
      </c>
      <c r="EL537" s="7">
        <v>1.0009999999999999</v>
      </c>
      <c r="EM537" s="7">
        <v>1.0009999999999999</v>
      </c>
      <c r="EN537" s="7">
        <v>1.0009999999999999</v>
      </c>
      <c r="EO537" s="7">
        <v>1.0009999999999999</v>
      </c>
      <c r="EP537" s="7">
        <v>1.0009999999999999</v>
      </c>
      <c r="EQ537" s="7">
        <v>1.0009999999999999</v>
      </c>
      <c r="ER537" s="7">
        <v>1.0009999999999999</v>
      </c>
      <c r="ES537" s="7">
        <v>1.0009999999999999</v>
      </c>
      <c r="ET537" s="7">
        <v>1.0009999999999999</v>
      </c>
      <c r="EU537" s="7">
        <v>1.0009999999999999</v>
      </c>
      <c r="EV537" s="7">
        <v>1.0009999999999999</v>
      </c>
      <c r="EW537" s="7">
        <v>1.0009999999999999</v>
      </c>
      <c r="EX537" s="7">
        <v>1.0009999999999999</v>
      </c>
      <c r="EY537" s="7">
        <v>1.0009999999999999</v>
      </c>
      <c r="EZ537" s="7">
        <v>1.0009999999999999</v>
      </c>
      <c r="FA537" s="7">
        <v>1.0009999999999999</v>
      </c>
      <c r="FB537" s="7">
        <v>1.0009999999999999</v>
      </c>
      <c r="FC537" s="7">
        <v>1.0009999999999999</v>
      </c>
      <c r="FE537" s="50">
        <f t="shared" ca="1" si="59"/>
        <v>1.0009999999999999</v>
      </c>
      <c r="FF537" s="50">
        <f t="shared" ca="1" si="60"/>
        <v>1.0009999999999999</v>
      </c>
      <c r="FG537" s="50">
        <f t="shared" ca="1" si="61"/>
        <v>1.0009999999999999</v>
      </c>
      <c r="FH537" s="50">
        <f t="shared" ca="1" si="62"/>
        <v>1.0009999999999999</v>
      </c>
      <c r="FI537" s="50"/>
      <c r="FK537" s="50">
        <f t="shared" ca="1" si="58"/>
        <v>1.0009999999999999</v>
      </c>
      <c r="FL537" s="50"/>
      <c r="FM537" s="50"/>
      <c r="FN537" s="50"/>
    </row>
    <row r="538" spans="48:170" hidden="1">
      <c r="AW538" s="112">
        <v>0.2</v>
      </c>
      <c r="AX538" s="7">
        <v>0.81279999999999997</v>
      </c>
      <c r="AY538" s="7">
        <v>0.82140000000000002</v>
      </c>
      <c r="AZ538" s="7">
        <v>0.82979999999999998</v>
      </c>
      <c r="BA538" s="7">
        <v>0.83819999999999995</v>
      </c>
      <c r="BB538" s="7">
        <v>0.84650000000000003</v>
      </c>
      <c r="BC538" s="7">
        <v>0.85470000000000002</v>
      </c>
      <c r="BD538" s="7">
        <v>0.86280000000000001</v>
      </c>
      <c r="BE538" s="7">
        <v>0.87090000000000001</v>
      </c>
      <c r="BF538" s="7">
        <v>0.87880000000000003</v>
      </c>
      <c r="BG538" s="7">
        <v>0.88670000000000004</v>
      </c>
      <c r="BH538" s="7">
        <v>0.89449999999999996</v>
      </c>
      <c r="BI538" s="7">
        <v>0.9022</v>
      </c>
      <c r="BJ538" s="7">
        <v>0.90990000000000004</v>
      </c>
      <c r="BK538" s="7">
        <v>0.91739999999999999</v>
      </c>
      <c r="BL538" s="7">
        <v>0.92500000000000004</v>
      </c>
      <c r="BM538" s="7">
        <v>0.93240000000000001</v>
      </c>
      <c r="BN538" s="7">
        <v>0.93979999999999997</v>
      </c>
      <c r="BO538" s="7">
        <v>0.94710000000000005</v>
      </c>
      <c r="BP538" s="7">
        <v>0.95430000000000004</v>
      </c>
      <c r="BQ538" s="7">
        <v>0.96150000000000002</v>
      </c>
      <c r="BR538" s="7">
        <v>0.96860000000000002</v>
      </c>
      <c r="BS538" s="7">
        <v>0.97560000000000002</v>
      </c>
      <c r="BT538" s="7">
        <v>0.98260000000000003</v>
      </c>
      <c r="BU538" s="7">
        <v>0.98950000000000005</v>
      </c>
      <c r="BV538" s="7">
        <v>0.99639999999999995</v>
      </c>
      <c r="BW538" s="7">
        <v>1.0009999999999999</v>
      </c>
      <c r="BX538" s="7">
        <v>1.0009999999999999</v>
      </c>
      <c r="BY538" s="7">
        <v>1.0009999999999999</v>
      </c>
      <c r="BZ538" s="7">
        <v>1.0009999999999999</v>
      </c>
      <c r="CA538" s="7">
        <v>1.0009999999999999</v>
      </c>
      <c r="CB538" s="7">
        <v>1.0009999999999999</v>
      </c>
      <c r="CC538" s="7">
        <v>1.0009999999999999</v>
      </c>
      <c r="CD538" s="7">
        <v>1.0009999999999999</v>
      </c>
      <c r="CE538" s="7">
        <v>1.0009999999999999</v>
      </c>
      <c r="CF538" s="7">
        <v>1.0009999999999999</v>
      </c>
      <c r="CG538" s="7">
        <v>1.0009999999999999</v>
      </c>
      <c r="CH538" s="7">
        <v>1.0009999999999999</v>
      </c>
      <c r="CI538" s="7">
        <v>1.0009999999999999</v>
      </c>
      <c r="CJ538" s="7">
        <v>1.0009999999999999</v>
      </c>
      <c r="CK538" s="7">
        <v>1.0009999999999999</v>
      </c>
      <c r="CL538" s="7">
        <v>1.0009999999999999</v>
      </c>
      <c r="CM538" s="7">
        <v>1.0009999999999999</v>
      </c>
      <c r="CN538" s="7">
        <v>1.0009999999999999</v>
      </c>
      <c r="CO538" s="7">
        <v>1.0009999999999999</v>
      </c>
      <c r="CP538" s="7">
        <v>1.0009999999999999</v>
      </c>
      <c r="CQ538" s="7">
        <v>1.0009999999999999</v>
      </c>
      <c r="CR538" s="7">
        <v>1.0009999999999999</v>
      </c>
      <c r="CS538" s="7">
        <v>1.0009999999999999</v>
      </c>
      <c r="CT538" s="7">
        <v>1.0009999999999999</v>
      </c>
      <c r="CU538" s="7">
        <v>1.0009999999999999</v>
      </c>
      <c r="CV538" s="7">
        <v>1.0009999999999999</v>
      </c>
      <c r="CW538" s="7">
        <v>1.0009999999999999</v>
      </c>
      <c r="CX538" s="7">
        <v>1.0009999999999999</v>
      </c>
      <c r="CY538" s="7">
        <v>1.0009999999999999</v>
      </c>
      <c r="CZ538" s="7">
        <v>1.0009999999999999</v>
      </c>
      <c r="DA538" s="7">
        <v>1.0009999999999999</v>
      </c>
      <c r="DB538" s="7">
        <v>1.0009999999999999</v>
      </c>
      <c r="DC538" s="7">
        <v>1.0009999999999999</v>
      </c>
      <c r="DD538" s="7">
        <v>1.0009999999999999</v>
      </c>
      <c r="DE538" s="7">
        <v>1.0009999999999999</v>
      </c>
      <c r="DF538" s="7">
        <v>1.0009999999999999</v>
      </c>
      <c r="DG538" s="7">
        <v>1.0009999999999999</v>
      </c>
      <c r="DH538" s="7">
        <v>1.0009999999999999</v>
      </c>
      <c r="DI538" s="7">
        <v>1.0009999999999999</v>
      </c>
      <c r="DJ538" s="7">
        <v>1.0009999999999999</v>
      </c>
      <c r="DK538" s="7">
        <v>1.0009999999999999</v>
      </c>
      <c r="DL538" s="7">
        <v>1.0009999999999999</v>
      </c>
      <c r="DM538" s="7">
        <v>1.0009999999999999</v>
      </c>
      <c r="DN538" s="7">
        <v>1.0009999999999999</v>
      </c>
      <c r="DO538" s="7">
        <v>1.0009999999999999</v>
      </c>
      <c r="DP538" s="7">
        <v>1.0009999999999999</v>
      </c>
      <c r="DQ538" s="7">
        <v>1.0009999999999999</v>
      </c>
      <c r="DR538" s="7">
        <v>1.0009999999999999</v>
      </c>
      <c r="DS538" s="7">
        <v>1.0009999999999999</v>
      </c>
      <c r="DT538" s="7">
        <v>1.0009999999999999</v>
      </c>
      <c r="DU538" s="7">
        <v>1.0009999999999999</v>
      </c>
      <c r="DV538" s="7">
        <v>1.0009999999999999</v>
      </c>
      <c r="DW538" s="7">
        <v>1.0009999999999999</v>
      </c>
      <c r="DX538" s="7">
        <v>1.0009999999999999</v>
      </c>
      <c r="DY538" s="7">
        <v>1.0009999999999999</v>
      </c>
      <c r="DZ538" s="7">
        <v>1.0009999999999999</v>
      </c>
      <c r="EA538" s="7">
        <v>1.0009999999999999</v>
      </c>
      <c r="EB538" s="7">
        <v>1.0009999999999999</v>
      </c>
      <c r="EC538" s="7">
        <v>1.0009999999999999</v>
      </c>
      <c r="ED538" s="7">
        <v>1.0009999999999999</v>
      </c>
      <c r="EE538" s="7">
        <v>1.0009999999999999</v>
      </c>
      <c r="EF538" s="7">
        <v>1.0009999999999999</v>
      </c>
      <c r="EG538" s="7">
        <v>1.0009999999999999</v>
      </c>
      <c r="EH538" s="7">
        <v>1.0009999999999999</v>
      </c>
      <c r="EI538" s="7">
        <v>1.0009999999999999</v>
      </c>
      <c r="EJ538" s="7">
        <v>1.0009999999999999</v>
      </c>
      <c r="EK538" s="7">
        <v>1.0009999999999999</v>
      </c>
      <c r="EL538" s="7">
        <v>1.0009999999999999</v>
      </c>
      <c r="EM538" s="7">
        <v>1.0009999999999999</v>
      </c>
      <c r="EN538" s="7">
        <v>1.0009999999999999</v>
      </c>
      <c r="EO538" s="7">
        <v>1.0009999999999999</v>
      </c>
      <c r="EP538" s="7">
        <v>1.0009999999999999</v>
      </c>
      <c r="EQ538" s="7">
        <v>1.0009999999999999</v>
      </c>
      <c r="ER538" s="7">
        <v>1.0009999999999999</v>
      </c>
      <c r="ES538" s="7">
        <v>1.0009999999999999</v>
      </c>
      <c r="ET538" s="7">
        <v>1.0009999999999999</v>
      </c>
      <c r="EU538" s="7">
        <v>1.0009999999999999</v>
      </c>
      <c r="EV538" s="7">
        <v>1.0009999999999999</v>
      </c>
      <c r="EW538" s="7">
        <v>1.0009999999999999</v>
      </c>
      <c r="EX538" s="7">
        <v>1.0009999999999999</v>
      </c>
      <c r="EY538" s="7">
        <v>1.0009999999999999</v>
      </c>
      <c r="EZ538" s="7">
        <v>1.0009999999999999</v>
      </c>
      <c r="FA538" s="7">
        <v>1.0009999999999999</v>
      </c>
      <c r="FB538" s="7">
        <v>1.0009999999999999</v>
      </c>
      <c r="FC538" s="7">
        <v>1.0009999999999999</v>
      </c>
      <c r="FE538" s="50">
        <f t="shared" ca="1" si="59"/>
        <v>1.0009999999999999</v>
      </c>
      <c r="FF538" s="50">
        <f t="shared" ca="1" si="60"/>
        <v>1.0009999999999999</v>
      </c>
      <c r="FG538" s="50">
        <f t="shared" ca="1" si="61"/>
        <v>1.0009999999999999</v>
      </c>
      <c r="FH538" s="50">
        <f t="shared" ca="1" si="62"/>
        <v>1.0009999999999999</v>
      </c>
      <c r="FI538" s="50"/>
      <c r="FK538" s="50">
        <f t="shared" ca="1" si="58"/>
        <v>1.0009999999999999</v>
      </c>
      <c r="FL538" s="50"/>
      <c r="FM538" s="50"/>
      <c r="FN538" s="50"/>
    </row>
    <row r="539" spans="48:170" hidden="1">
      <c r="AW539" s="112">
        <v>0.214</v>
      </c>
      <c r="AX539" s="7">
        <v>0.80669999999999997</v>
      </c>
      <c r="AY539" s="7">
        <v>0.81520000000000004</v>
      </c>
      <c r="AZ539" s="7">
        <v>0.8236</v>
      </c>
      <c r="BA539" s="7">
        <v>0.83189999999999997</v>
      </c>
      <c r="BB539" s="7">
        <v>0.84019999999999995</v>
      </c>
      <c r="BC539" s="7">
        <v>0.84830000000000005</v>
      </c>
      <c r="BD539" s="7">
        <v>0.85629999999999995</v>
      </c>
      <c r="BE539" s="7">
        <v>0.86429999999999996</v>
      </c>
      <c r="BF539" s="7">
        <v>0.87219999999999998</v>
      </c>
      <c r="BG539" s="7">
        <v>0.88</v>
      </c>
      <c r="BH539" s="7">
        <v>0.88780000000000003</v>
      </c>
      <c r="BI539" s="7">
        <v>0.89549999999999996</v>
      </c>
      <c r="BJ539" s="7">
        <v>0.90300000000000002</v>
      </c>
      <c r="BK539" s="7">
        <v>0.91059999999999997</v>
      </c>
      <c r="BL539" s="7">
        <v>0.91800000000000004</v>
      </c>
      <c r="BM539" s="7">
        <v>0.9254</v>
      </c>
      <c r="BN539" s="7">
        <v>0.93269999999999997</v>
      </c>
      <c r="BO539" s="7">
        <v>0.94</v>
      </c>
      <c r="BP539" s="7">
        <v>0.94710000000000005</v>
      </c>
      <c r="BQ539" s="7">
        <v>0.95420000000000005</v>
      </c>
      <c r="BR539" s="7">
        <v>0.96130000000000004</v>
      </c>
      <c r="BS539" s="7">
        <v>0.96830000000000005</v>
      </c>
      <c r="BT539" s="7">
        <v>0.97519999999999996</v>
      </c>
      <c r="BU539" s="7">
        <v>0.98209999999999997</v>
      </c>
      <c r="BV539" s="7">
        <v>0.9889</v>
      </c>
      <c r="BW539" s="7">
        <v>0.99570000000000003</v>
      </c>
      <c r="BX539" s="7">
        <v>1.0009999999999999</v>
      </c>
      <c r="BY539" s="7">
        <v>1.0009999999999999</v>
      </c>
      <c r="BZ539" s="7">
        <v>1.0009999999999999</v>
      </c>
      <c r="CA539" s="7">
        <v>1.0009999999999999</v>
      </c>
      <c r="CB539" s="7">
        <v>1.0009999999999999</v>
      </c>
      <c r="CC539" s="7">
        <v>1.0009999999999999</v>
      </c>
      <c r="CD539" s="7">
        <v>1.0009999999999999</v>
      </c>
      <c r="CE539" s="7">
        <v>1.0009999999999999</v>
      </c>
      <c r="CF539" s="7">
        <v>1.0009999999999999</v>
      </c>
      <c r="CG539" s="7">
        <v>1.0009999999999999</v>
      </c>
      <c r="CH539" s="7">
        <v>1.0009999999999999</v>
      </c>
      <c r="CI539" s="7">
        <v>1.0009999999999999</v>
      </c>
      <c r="CJ539" s="7">
        <v>1.0009999999999999</v>
      </c>
      <c r="CK539" s="7">
        <v>1.0009999999999999</v>
      </c>
      <c r="CL539" s="7">
        <v>1.0009999999999999</v>
      </c>
      <c r="CM539" s="7">
        <v>1.0009999999999999</v>
      </c>
      <c r="CN539" s="7">
        <v>1.0009999999999999</v>
      </c>
      <c r="CO539" s="7">
        <v>1.0009999999999999</v>
      </c>
      <c r="CP539" s="7">
        <v>1.0009999999999999</v>
      </c>
      <c r="CQ539" s="7">
        <v>1.0009999999999999</v>
      </c>
      <c r="CR539" s="7">
        <v>1.0009999999999999</v>
      </c>
      <c r="CS539" s="7">
        <v>1.0009999999999999</v>
      </c>
      <c r="CT539" s="7">
        <v>1.0009999999999999</v>
      </c>
      <c r="CU539" s="7">
        <v>1.0009999999999999</v>
      </c>
      <c r="CV539" s="7">
        <v>1.0009999999999999</v>
      </c>
      <c r="CW539" s="7">
        <v>1.0009999999999999</v>
      </c>
      <c r="CX539" s="7">
        <v>1.0009999999999999</v>
      </c>
      <c r="CY539" s="7">
        <v>1.0009999999999999</v>
      </c>
      <c r="CZ539" s="7">
        <v>1.0009999999999999</v>
      </c>
      <c r="DA539" s="7">
        <v>1.0009999999999999</v>
      </c>
      <c r="DB539" s="7">
        <v>1.0009999999999999</v>
      </c>
      <c r="DC539" s="7">
        <v>1.0009999999999999</v>
      </c>
      <c r="DD539" s="7">
        <v>1.0009999999999999</v>
      </c>
      <c r="DE539" s="7">
        <v>1.0009999999999999</v>
      </c>
      <c r="DF539" s="7">
        <v>1.0009999999999999</v>
      </c>
      <c r="DG539" s="7">
        <v>1.0009999999999999</v>
      </c>
      <c r="DH539" s="7">
        <v>1.0009999999999999</v>
      </c>
      <c r="DI539" s="7">
        <v>1.0009999999999999</v>
      </c>
      <c r="DJ539" s="7">
        <v>1.0009999999999999</v>
      </c>
      <c r="DK539" s="7">
        <v>1.0009999999999999</v>
      </c>
      <c r="DL539" s="7">
        <v>1.0009999999999999</v>
      </c>
      <c r="DM539" s="7">
        <v>1.0009999999999999</v>
      </c>
      <c r="DN539" s="7">
        <v>1.0009999999999999</v>
      </c>
      <c r="DO539" s="7">
        <v>1.0009999999999999</v>
      </c>
      <c r="DP539" s="7">
        <v>1.0009999999999999</v>
      </c>
      <c r="DQ539" s="7">
        <v>1.0009999999999999</v>
      </c>
      <c r="DR539" s="7">
        <v>1.0009999999999999</v>
      </c>
      <c r="DS539" s="7">
        <v>1.0009999999999999</v>
      </c>
      <c r="DT539" s="7">
        <v>1.0009999999999999</v>
      </c>
      <c r="DU539" s="7">
        <v>1.0009999999999999</v>
      </c>
      <c r="DV539" s="7">
        <v>1.0009999999999999</v>
      </c>
      <c r="DW539" s="7">
        <v>1.0009999999999999</v>
      </c>
      <c r="DX539" s="7">
        <v>1.0009999999999999</v>
      </c>
      <c r="DY539" s="7">
        <v>1.0009999999999999</v>
      </c>
      <c r="DZ539" s="7">
        <v>1.0009999999999999</v>
      </c>
      <c r="EA539" s="7">
        <v>1.0009999999999999</v>
      </c>
      <c r="EB539" s="7">
        <v>1.0009999999999999</v>
      </c>
      <c r="EC539" s="7">
        <v>1.0009999999999999</v>
      </c>
      <c r="ED539" s="7">
        <v>1.0009999999999999</v>
      </c>
      <c r="EE539" s="7">
        <v>1.0009999999999999</v>
      </c>
      <c r="EF539" s="7">
        <v>1.0009999999999999</v>
      </c>
      <c r="EG539" s="7">
        <v>1.0009999999999999</v>
      </c>
      <c r="EH539" s="7">
        <v>1.0009999999999999</v>
      </c>
      <c r="EI539" s="7">
        <v>1.0009999999999999</v>
      </c>
      <c r="EJ539" s="7">
        <v>1.0009999999999999</v>
      </c>
      <c r="EK539" s="7">
        <v>1.0009999999999999</v>
      </c>
      <c r="EL539" s="7">
        <v>1.0009999999999999</v>
      </c>
      <c r="EM539" s="7">
        <v>1.0009999999999999</v>
      </c>
      <c r="EN539" s="7">
        <v>1.0009999999999999</v>
      </c>
      <c r="EO539" s="7">
        <v>1.0009999999999999</v>
      </c>
      <c r="EP539" s="7">
        <v>1.0009999999999999</v>
      </c>
      <c r="EQ539" s="7">
        <v>1.0009999999999999</v>
      </c>
      <c r="ER539" s="7">
        <v>1.0009999999999999</v>
      </c>
      <c r="ES539" s="7">
        <v>1.0009999999999999</v>
      </c>
      <c r="ET539" s="7">
        <v>1.0009999999999999</v>
      </c>
      <c r="EU539" s="7">
        <v>1.0009999999999999</v>
      </c>
      <c r="EV539" s="7">
        <v>1.0009999999999999</v>
      </c>
      <c r="EW539" s="7">
        <v>1.0009999999999999</v>
      </c>
      <c r="EX539" s="7">
        <v>1.0009999999999999</v>
      </c>
      <c r="EY539" s="7">
        <v>1.0009999999999999</v>
      </c>
      <c r="EZ539" s="7">
        <v>1.0009999999999999</v>
      </c>
      <c r="FA539" s="7">
        <v>1.0009999999999999</v>
      </c>
      <c r="FB539" s="7">
        <v>1.0009999999999999</v>
      </c>
      <c r="FC539" s="7">
        <v>1.0009999999999999</v>
      </c>
      <c r="FE539" s="50">
        <f t="shared" ca="1" si="59"/>
        <v>1.0009999999999999</v>
      </c>
      <c r="FF539" s="50">
        <f t="shared" ca="1" si="60"/>
        <v>1.0009999999999999</v>
      </c>
      <c r="FG539" s="50">
        <f t="shared" ca="1" si="61"/>
        <v>1.0009999999999999</v>
      </c>
      <c r="FH539" s="50">
        <f t="shared" ca="1" si="62"/>
        <v>1.0009999999999999</v>
      </c>
      <c r="FI539" s="50"/>
      <c r="FK539" s="50">
        <f t="shared" ca="1" si="58"/>
        <v>1.0009999999999999</v>
      </c>
      <c r="FL539" s="50"/>
      <c r="FM539" s="50"/>
      <c r="FN539" s="50"/>
    </row>
    <row r="540" spans="48:170" hidden="1">
      <c r="AW540" s="112">
        <v>0.22900000000000001</v>
      </c>
      <c r="AX540" s="7">
        <v>0.80079999999999996</v>
      </c>
      <c r="AY540" s="7">
        <v>0.80920000000000003</v>
      </c>
      <c r="AZ540" s="7">
        <v>0.8175</v>
      </c>
      <c r="BA540" s="7">
        <v>0.82579999999999998</v>
      </c>
      <c r="BB540" s="7">
        <v>0.83389999999999997</v>
      </c>
      <c r="BC540" s="7">
        <v>0.84199999999999997</v>
      </c>
      <c r="BD540" s="7">
        <v>0.85</v>
      </c>
      <c r="BE540" s="7">
        <v>0.8579</v>
      </c>
      <c r="BF540" s="7">
        <v>0.86580000000000001</v>
      </c>
      <c r="BG540" s="7">
        <v>0.87350000000000005</v>
      </c>
      <c r="BH540" s="7">
        <v>0.88119999999999998</v>
      </c>
      <c r="BI540" s="7">
        <v>0.88880000000000003</v>
      </c>
      <c r="BJ540" s="7">
        <v>0.89639999999999997</v>
      </c>
      <c r="BK540" s="7">
        <v>0.90380000000000005</v>
      </c>
      <c r="BL540" s="7">
        <v>0.91120000000000001</v>
      </c>
      <c r="BM540" s="7">
        <v>0.91859999999999997</v>
      </c>
      <c r="BN540" s="7">
        <v>0.92579999999999996</v>
      </c>
      <c r="BO540" s="7">
        <v>0.93300000000000005</v>
      </c>
      <c r="BP540" s="7">
        <v>0.94010000000000005</v>
      </c>
      <c r="BQ540" s="7">
        <v>0.94720000000000004</v>
      </c>
      <c r="BR540" s="7">
        <v>0.95420000000000005</v>
      </c>
      <c r="BS540" s="7">
        <v>0.96109999999999995</v>
      </c>
      <c r="BT540" s="7">
        <v>0.96799999999999997</v>
      </c>
      <c r="BU540" s="7">
        <v>0.9748</v>
      </c>
      <c r="BV540" s="7">
        <v>0.98160000000000003</v>
      </c>
      <c r="BW540" s="7">
        <v>0.98829999999999996</v>
      </c>
      <c r="BX540" s="7">
        <v>0.995</v>
      </c>
      <c r="BY540" s="7">
        <v>1.0009999999999999</v>
      </c>
      <c r="BZ540" s="7">
        <v>1.0009999999999999</v>
      </c>
      <c r="CA540" s="7">
        <v>1.0009999999999999</v>
      </c>
      <c r="CB540" s="7">
        <v>1.0009999999999999</v>
      </c>
      <c r="CC540" s="7">
        <v>1.0009999999999999</v>
      </c>
      <c r="CD540" s="7">
        <v>1.0009999999999999</v>
      </c>
      <c r="CE540" s="7">
        <v>1.0009999999999999</v>
      </c>
      <c r="CF540" s="7">
        <v>1.0009999999999999</v>
      </c>
      <c r="CG540" s="7">
        <v>1.0009999999999999</v>
      </c>
      <c r="CH540" s="7">
        <v>1.0009999999999999</v>
      </c>
      <c r="CI540" s="7">
        <v>1.0009999999999999</v>
      </c>
      <c r="CJ540" s="7">
        <v>1.0009999999999999</v>
      </c>
      <c r="CK540" s="7">
        <v>1.0009999999999999</v>
      </c>
      <c r="CL540" s="7">
        <v>1.0009999999999999</v>
      </c>
      <c r="CM540" s="7">
        <v>1.0009999999999999</v>
      </c>
      <c r="CN540" s="7">
        <v>1.0009999999999999</v>
      </c>
      <c r="CO540" s="7">
        <v>1.0009999999999999</v>
      </c>
      <c r="CP540" s="7">
        <v>1.0009999999999999</v>
      </c>
      <c r="CQ540" s="7">
        <v>1.0009999999999999</v>
      </c>
      <c r="CR540" s="7">
        <v>1.0009999999999999</v>
      </c>
      <c r="CS540" s="7">
        <v>1.0009999999999999</v>
      </c>
      <c r="CT540" s="7">
        <v>1.0009999999999999</v>
      </c>
      <c r="CU540" s="7">
        <v>1.0009999999999999</v>
      </c>
      <c r="CV540" s="7">
        <v>1.0009999999999999</v>
      </c>
      <c r="CW540" s="7">
        <v>1.0009999999999999</v>
      </c>
      <c r="CX540" s="7">
        <v>1.0009999999999999</v>
      </c>
      <c r="CY540" s="7">
        <v>1.0009999999999999</v>
      </c>
      <c r="CZ540" s="7">
        <v>1.0009999999999999</v>
      </c>
      <c r="DA540" s="7">
        <v>1.0009999999999999</v>
      </c>
      <c r="DB540" s="7">
        <v>1.0009999999999999</v>
      </c>
      <c r="DC540" s="7">
        <v>1.0009999999999999</v>
      </c>
      <c r="DD540" s="7">
        <v>1.0009999999999999</v>
      </c>
      <c r="DE540" s="7">
        <v>1.0009999999999999</v>
      </c>
      <c r="DF540" s="7">
        <v>1.0009999999999999</v>
      </c>
      <c r="DG540" s="7">
        <v>1.0009999999999999</v>
      </c>
      <c r="DH540" s="7">
        <v>1.0009999999999999</v>
      </c>
      <c r="DI540" s="7">
        <v>1.0009999999999999</v>
      </c>
      <c r="DJ540" s="7">
        <v>1.0009999999999999</v>
      </c>
      <c r="DK540" s="7">
        <v>1.0009999999999999</v>
      </c>
      <c r="DL540" s="7">
        <v>1.0009999999999999</v>
      </c>
      <c r="DM540" s="7">
        <v>1.0009999999999999</v>
      </c>
      <c r="DN540" s="7">
        <v>1.0009999999999999</v>
      </c>
      <c r="DO540" s="7">
        <v>1.0009999999999999</v>
      </c>
      <c r="DP540" s="7">
        <v>1.0009999999999999</v>
      </c>
      <c r="DQ540" s="7">
        <v>1.0009999999999999</v>
      </c>
      <c r="DR540" s="7">
        <v>1.0009999999999999</v>
      </c>
      <c r="DS540" s="7">
        <v>1.0009999999999999</v>
      </c>
      <c r="DT540" s="7">
        <v>1.0009999999999999</v>
      </c>
      <c r="DU540" s="7">
        <v>1.0009999999999999</v>
      </c>
      <c r="DV540" s="7">
        <v>1.0009999999999999</v>
      </c>
      <c r="DW540" s="7">
        <v>1.0009999999999999</v>
      </c>
      <c r="DX540" s="7">
        <v>1.0009999999999999</v>
      </c>
      <c r="DY540" s="7">
        <v>1.0009999999999999</v>
      </c>
      <c r="DZ540" s="7">
        <v>1.0009999999999999</v>
      </c>
      <c r="EA540" s="7">
        <v>1.0009999999999999</v>
      </c>
      <c r="EB540" s="7">
        <v>1.0009999999999999</v>
      </c>
      <c r="EC540" s="7">
        <v>1.0009999999999999</v>
      </c>
      <c r="ED540" s="7">
        <v>1.0009999999999999</v>
      </c>
      <c r="EE540" s="7">
        <v>1.0009999999999999</v>
      </c>
      <c r="EF540" s="7">
        <v>1.0009999999999999</v>
      </c>
      <c r="EG540" s="7">
        <v>1.0009999999999999</v>
      </c>
      <c r="EH540" s="7">
        <v>1.0009999999999999</v>
      </c>
      <c r="EI540" s="7">
        <v>1.0009999999999999</v>
      </c>
      <c r="EJ540" s="7">
        <v>1.0009999999999999</v>
      </c>
      <c r="EK540" s="7">
        <v>1.0009999999999999</v>
      </c>
      <c r="EL540" s="7">
        <v>1.0009999999999999</v>
      </c>
      <c r="EM540" s="7">
        <v>1.0009999999999999</v>
      </c>
      <c r="EN540" s="7">
        <v>1.0009999999999999</v>
      </c>
      <c r="EO540" s="7">
        <v>1.0009999999999999</v>
      </c>
      <c r="EP540" s="7">
        <v>1.0009999999999999</v>
      </c>
      <c r="EQ540" s="7">
        <v>1.0009999999999999</v>
      </c>
      <c r="ER540" s="7">
        <v>1.0009999999999999</v>
      </c>
      <c r="ES540" s="7">
        <v>1.0009999999999999</v>
      </c>
      <c r="ET540" s="7">
        <v>1.0009999999999999</v>
      </c>
      <c r="EU540" s="7">
        <v>1.0009999999999999</v>
      </c>
      <c r="EV540" s="7">
        <v>1.0009999999999999</v>
      </c>
      <c r="EW540" s="7">
        <v>1.0009999999999999</v>
      </c>
      <c r="EX540" s="7">
        <v>1.0009999999999999</v>
      </c>
      <c r="EY540" s="7">
        <v>1.0009999999999999</v>
      </c>
      <c r="EZ540" s="7">
        <v>1.0009999999999999</v>
      </c>
      <c r="FA540" s="7">
        <v>1.0009999999999999</v>
      </c>
      <c r="FB540" s="7">
        <v>1.0009999999999999</v>
      </c>
      <c r="FC540" s="7">
        <v>1.0009999999999999</v>
      </c>
      <c r="FE540" s="50">
        <f t="shared" ca="1" si="59"/>
        <v>1.0009999999999999</v>
      </c>
      <c r="FF540" s="50">
        <f t="shared" ca="1" si="60"/>
        <v>1.0009999999999999</v>
      </c>
      <c r="FG540" s="50">
        <f t="shared" ca="1" si="61"/>
        <v>1.0009999999999999</v>
      </c>
      <c r="FH540" s="50">
        <f t="shared" ca="1" si="62"/>
        <v>1.0009999999999999</v>
      </c>
      <c r="FI540" s="50"/>
      <c r="FK540" s="50">
        <f t="shared" ca="1" si="58"/>
        <v>1.0009999999999999</v>
      </c>
      <c r="FL540" s="50"/>
      <c r="FM540" s="50"/>
      <c r="FN540" s="50"/>
    </row>
    <row r="541" spans="48:170" hidden="1">
      <c r="AW541" s="112">
        <v>0.245</v>
      </c>
      <c r="AX541" s="7">
        <v>0.79490000000000005</v>
      </c>
      <c r="AY541" s="7">
        <v>0.80330000000000001</v>
      </c>
      <c r="AZ541" s="7">
        <v>0.81159999999999999</v>
      </c>
      <c r="BA541" s="7">
        <v>0.81979999999999997</v>
      </c>
      <c r="BB541" s="7">
        <v>0.82789999999999997</v>
      </c>
      <c r="BC541" s="7">
        <v>0.83589999999999998</v>
      </c>
      <c r="BD541" s="7">
        <v>0.84379999999999999</v>
      </c>
      <c r="BE541" s="7">
        <v>0.85170000000000001</v>
      </c>
      <c r="BF541" s="7">
        <v>0.85950000000000004</v>
      </c>
      <c r="BG541" s="7">
        <v>0.86719999999999997</v>
      </c>
      <c r="BH541" s="7">
        <v>0.87480000000000002</v>
      </c>
      <c r="BI541" s="7">
        <v>0.88239999999999996</v>
      </c>
      <c r="BJ541" s="7">
        <v>0.88990000000000002</v>
      </c>
      <c r="BK541" s="7">
        <v>0.89729999999999999</v>
      </c>
      <c r="BL541" s="7">
        <v>0.90459999999999996</v>
      </c>
      <c r="BM541" s="7">
        <v>0.91190000000000004</v>
      </c>
      <c r="BN541" s="7">
        <v>0.91910000000000003</v>
      </c>
      <c r="BO541" s="7">
        <v>0.92620000000000002</v>
      </c>
      <c r="BP541" s="7">
        <v>0.93330000000000002</v>
      </c>
      <c r="BQ541" s="7">
        <v>0.94030000000000002</v>
      </c>
      <c r="BR541" s="7">
        <v>0.94730000000000003</v>
      </c>
      <c r="BS541" s="7">
        <v>0.95409999999999995</v>
      </c>
      <c r="BT541" s="7">
        <v>0.96099999999999997</v>
      </c>
      <c r="BU541" s="7">
        <v>0.96779999999999999</v>
      </c>
      <c r="BV541" s="7">
        <v>0.97450000000000003</v>
      </c>
      <c r="BW541" s="7">
        <v>0.98109999999999997</v>
      </c>
      <c r="BX541" s="7">
        <v>0.98770000000000002</v>
      </c>
      <c r="BY541" s="7">
        <v>0.99429999999999996</v>
      </c>
      <c r="BZ541" s="7">
        <v>1.0009999999999999</v>
      </c>
      <c r="CA541" s="7">
        <v>1.0009999999999999</v>
      </c>
      <c r="CB541" s="7">
        <v>1.0009999999999999</v>
      </c>
      <c r="CC541" s="7">
        <v>1.0009999999999999</v>
      </c>
      <c r="CD541" s="7">
        <v>1.0009999999999999</v>
      </c>
      <c r="CE541" s="7">
        <v>1.0009999999999999</v>
      </c>
      <c r="CF541" s="7">
        <v>1.0009999999999999</v>
      </c>
      <c r="CG541" s="7">
        <v>1.0009999999999999</v>
      </c>
      <c r="CH541" s="7">
        <v>1.0009999999999999</v>
      </c>
      <c r="CI541" s="7">
        <v>1.0009999999999999</v>
      </c>
      <c r="CJ541" s="7">
        <v>1.0009999999999999</v>
      </c>
      <c r="CK541" s="7">
        <v>1.0009999999999999</v>
      </c>
      <c r="CL541" s="7">
        <v>1.0009999999999999</v>
      </c>
      <c r="CM541" s="7">
        <v>1.0009999999999999</v>
      </c>
      <c r="CN541" s="7">
        <v>1.0009999999999999</v>
      </c>
      <c r="CO541" s="7">
        <v>1.0009999999999999</v>
      </c>
      <c r="CP541" s="7">
        <v>1.0009999999999999</v>
      </c>
      <c r="CQ541" s="7">
        <v>1.0009999999999999</v>
      </c>
      <c r="CR541" s="7">
        <v>1.0009999999999999</v>
      </c>
      <c r="CS541" s="7">
        <v>1.0009999999999999</v>
      </c>
      <c r="CT541" s="7">
        <v>1.0009999999999999</v>
      </c>
      <c r="CU541" s="7">
        <v>1.0009999999999999</v>
      </c>
      <c r="CV541" s="7">
        <v>1.0009999999999999</v>
      </c>
      <c r="CW541" s="7">
        <v>1.0009999999999999</v>
      </c>
      <c r="CX541" s="7">
        <v>1.0009999999999999</v>
      </c>
      <c r="CY541" s="7">
        <v>1.0009999999999999</v>
      </c>
      <c r="CZ541" s="7">
        <v>1.0009999999999999</v>
      </c>
      <c r="DA541" s="7">
        <v>1.0009999999999999</v>
      </c>
      <c r="DB541" s="7">
        <v>1.0009999999999999</v>
      </c>
      <c r="DC541" s="7">
        <v>1.0009999999999999</v>
      </c>
      <c r="DD541" s="7">
        <v>1.0009999999999999</v>
      </c>
      <c r="DE541" s="7">
        <v>1.0009999999999999</v>
      </c>
      <c r="DF541" s="7">
        <v>1.0009999999999999</v>
      </c>
      <c r="DG541" s="7">
        <v>1.0009999999999999</v>
      </c>
      <c r="DH541" s="7">
        <v>1.0009999999999999</v>
      </c>
      <c r="DI541" s="7">
        <v>1.0009999999999999</v>
      </c>
      <c r="DJ541" s="7">
        <v>1.0009999999999999</v>
      </c>
      <c r="DK541" s="7">
        <v>1.0009999999999999</v>
      </c>
      <c r="DL541" s="7">
        <v>1.0009999999999999</v>
      </c>
      <c r="DM541" s="7">
        <v>1.0009999999999999</v>
      </c>
      <c r="DN541" s="7">
        <v>1.0009999999999999</v>
      </c>
      <c r="DO541" s="7">
        <v>1.0009999999999999</v>
      </c>
      <c r="DP541" s="7">
        <v>1.0009999999999999</v>
      </c>
      <c r="DQ541" s="7">
        <v>1.0009999999999999</v>
      </c>
      <c r="DR541" s="7">
        <v>1.0009999999999999</v>
      </c>
      <c r="DS541" s="7">
        <v>1.0009999999999999</v>
      </c>
      <c r="DT541" s="7">
        <v>1.0009999999999999</v>
      </c>
      <c r="DU541" s="7">
        <v>1.0009999999999999</v>
      </c>
      <c r="DV541" s="7">
        <v>1.0009999999999999</v>
      </c>
      <c r="DW541" s="7">
        <v>1.0009999999999999</v>
      </c>
      <c r="DX541" s="7">
        <v>1.0009999999999999</v>
      </c>
      <c r="DY541" s="7">
        <v>1.0009999999999999</v>
      </c>
      <c r="DZ541" s="7">
        <v>1.0009999999999999</v>
      </c>
      <c r="EA541" s="7">
        <v>1.0009999999999999</v>
      </c>
      <c r="EB541" s="7">
        <v>1.0009999999999999</v>
      </c>
      <c r="EC541" s="7">
        <v>1.0009999999999999</v>
      </c>
      <c r="ED541" s="7">
        <v>1.0009999999999999</v>
      </c>
      <c r="EE541" s="7">
        <v>1.0009999999999999</v>
      </c>
      <c r="EF541" s="7">
        <v>1.0009999999999999</v>
      </c>
      <c r="EG541" s="7">
        <v>1.0009999999999999</v>
      </c>
      <c r="EH541" s="7">
        <v>1.0009999999999999</v>
      </c>
      <c r="EI541" s="7">
        <v>1.0009999999999999</v>
      </c>
      <c r="EJ541" s="7">
        <v>1.0009999999999999</v>
      </c>
      <c r="EK541" s="7">
        <v>1.0009999999999999</v>
      </c>
      <c r="EL541" s="7">
        <v>1.0009999999999999</v>
      </c>
      <c r="EM541" s="7">
        <v>1.0009999999999999</v>
      </c>
      <c r="EN541" s="7">
        <v>1.0009999999999999</v>
      </c>
      <c r="EO541" s="7">
        <v>1.0009999999999999</v>
      </c>
      <c r="EP541" s="7">
        <v>1.0009999999999999</v>
      </c>
      <c r="EQ541" s="7">
        <v>1.0009999999999999</v>
      </c>
      <c r="ER541" s="7">
        <v>1.0009999999999999</v>
      </c>
      <c r="ES541" s="7">
        <v>1.0009999999999999</v>
      </c>
      <c r="ET541" s="7">
        <v>1.0009999999999999</v>
      </c>
      <c r="EU541" s="7">
        <v>1.0009999999999999</v>
      </c>
      <c r="EV541" s="7">
        <v>1.0009999999999999</v>
      </c>
      <c r="EW541" s="7">
        <v>1.0009999999999999</v>
      </c>
      <c r="EX541" s="7">
        <v>1.0009999999999999</v>
      </c>
      <c r="EY541" s="7">
        <v>1.0009999999999999</v>
      </c>
      <c r="EZ541" s="7">
        <v>1.0009999999999999</v>
      </c>
      <c r="FA541" s="7">
        <v>1.0009999999999999</v>
      </c>
      <c r="FB541" s="7">
        <v>1.0009999999999999</v>
      </c>
      <c r="FC541" s="7">
        <v>1.0009999999999999</v>
      </c>
      <c r="FE541" s="50">
        <f t="shared" ca="1" si="59"/>
        <v>1.0009999999999999</v>
      </c>
      <c r="FF541" s="50">
        <f t="shared" ca="1" si="60"/>
        <v>1.0009999999999999</v>
      </c>
      <c r="FG541" s="50">
        <f t="shared" ca="1" si="61"/>
        <v>1.0009999999999999</v>
      </c>
      <c r="FH541" s="50">
        <f t="shared" ca="1" si="62"/>
        <v>1.0009999999999999</v>
      </c>
      <c r="FI541" s="50"/>
      <c r="FK541" s="50">
        <f t="shared" ca="1" si="58"/>
        <v>1.0009999999999999</v>
      </c>
      <c r="FL541" s="50"/>
      <c r="FM541" s="50"/>
      <c r="FN541" s="50"/>
    </row>
    <row r="542" spans="48:170" hidden="1">
      <c r="AW542" s="112">
        <v>0.26300000000000001</v>
      </c>
      <c r="AX542" s="7">
        <v>0.78920000000000001</v>
      </c>
      <c r="AY542" s="7">
        <v>0.79759999999999998</v>
      </c>
      <c r="AZ542" s="7">
        <v>0.80579999999999996</v>
      </c>
      <c r="BA542" s="7">
        <v>0.81389999999999996</v>
      </c>
      <c r="BB542" s="7">
        <v>0.82189999999999996</v>
      </c>
      <c r="BC542" s="7">
        <v>0.82989999999999997</v>
      </c>
      <c r="BD542" s="7">
        <v>0.83779999999999999</v>
      </c>
      <c r="BE542" s="7">
        <v>0.84560000000000002</v>
      </c>
      <c r="BF542" s="7">
        <v>0.85329999999999995</v>
      </c>
      <c r="BG542" s="7">
        <v>0.86099999999999999</v>
      </c>
      <c r="BH542" s="7">
        <v>0.86850000000000005</v>
      </c>
      <c r="BI542" s="7">
        <v>0.876</v>
      </c>
      <c r="BJ542" s="7">
        <v>0.88349999999999995</v>
      </c>
      <c r="BK542" s="7">
        <v>0.89080000000000004</v>
      </c>
      <c r="BL542" s="7">
        <v>0.89810000000000001</v>
      </c>
      <c r="BM542" s="7">
        <v>0.90529999999999999</v>
      </c>
      <c r="BN542" s="7">
        <v>0.91249999999999998</v>
      </c>
      <c r="BO542" s="7">
        <v>0.91959999999999997</v>
      </c>
      <c r="BP542" s="7">
        <v>0.92659999999999998</v>
      </c>
      <c r="BQ542" s="7">
        <v>0.93359999999999999</v>
      </c>
      <c r="BR542" s="7">
        <v>0.9405</v>
      </c>
      <c r="BS542" s="7">
        <v>0.94730000000000003</v>
      </c>
      <c r="BT542" s="7">
        <v>0.95409999999999995</v>
      </c>
      <c r="BU542" s="7">
        <v>0.96079999999999999</v>
      </c>
      <c r="BV542" s="7">
        <v>0.96750000000000003</v>
      </c>
      <c r="BW542" s="7">
        <v>0.97409999999999997</v>
      </c>
      <c r="BX542" s="7">
        <v>0.98070000000000002</v>
      </c>
      <c r="BY542" s="7">
        <v>0.98719999999999997</v>
      </c>
      <c r="BZ542" s="7">
        <v>0.99360000000000004</v>
      </c>
      <c r="CA542" s="7">
        <v>1.0009999999999999</v>
      </c>
      <c r="CB542" s="7">
        <v>1.0009999999999999</v>
      </c>
      <c r="CC542" s="7">
        <v>1.0009999999999999</v>
      </c>
      <c r="CD542" s="7">
        <v>1.0009999999999999</v>
      </c>
      <c r="CE542" s="7">
        <v>1.0009999999999999</v>
      </c>
      <c r="CF542" s="7">
        <v>1.0009999999999999</v>
      </c>
      <c r="CG542" s="7">
        <v>1.0009999999999999</v>
      </c>
      <c r="CH542" s="7">
        <v>1.0009999999999999</v>
      </c>
      <c r="CI542" s="7">
        <v>1.0009999999999999</v>
      </c>
      <c r="CJ542" s="7">
        <v>1.0009999999999999</v>
      </c>
      <c r="CK542" s="7">
        <v>1.0009999999999999</v>
      </c>
      <c r="CL542" s="7">
        <v>1.0009999999999999</v>
      </c>
      <c r="CM542" s="7">
        <v>1.0009999999999999</v>
      </c>
      <c r="CN542" s="7">
        <v>1.0009999999999999</v>
      </c>
      <c r="CO542" s="7">
        <v>1.0009999999999999</v>
      </c>
      <c r="CP542" s="7">
        <v>1.0009999999999999</v>
      </c>
      <c r="CQ542" s="7">
        <v>1.0009999999999999</v>
      </c>
      <c r="CR542" s="7">
        <v>1.0009999999999999</v>
      </c>
      <c r="CS542" s="7">
        <v>1.0009999999999999</v>
      </c>
      <c r="CT542" s="7">
        <v>1.0009999999999999</v>
      </c>
      <c r="CU542" s="7">
        <v>1.0009999999999999</v>
      </c>
      <c r="CV542" s="7">
        <v>1.0009999999999999</v>
      </c>
      <c r="CW542" s="7">
        <v>1.0009999999999999</v>
      </c>
      <c r="CX542" s="7">
        <v>1.0009999999999999</v>
      </c>
      <c r="CY542" s="7">
        <v>1.0009999999999999</v>
      </c>
      <c r="CZ542" s="7">
        <v>1.0009999999999999</v>
      </c>
      <c r="DA542" s="7">
        <v>1.0009999999999999</v>
      </c>
      <c r="DB542" s="7">
        <v>1.0009999999999999</v>
      </c>
      <c r="DC542" s="7">
        <v>1.0009999999999999</v>
      </c>
      <c r="DD542" s="7">
        <v>1.0009999999999999</v>
      </c>
      <c r="DE542" s="7">
        <v>1.0009999999999999</v>
      </c>
      <c r="DF542" s="7">
        <v>1.0009999999999999</v>
      </c>
      <c r="DG542" s="7">
        <v>1.0009999999999999</v>
      </c>
      <c r="DH542" s="7">
        <v>1.0009999999999999</v>
      </c>
      <c r="DI542" s="7">
        <v>1.0009999999999999</v>
      </c>
      <c r="DJ542" s="7">
        <v>1.0009999999999999</v>
      </c>
      <c r="DK542" s="7">
        <v>1.0009999999999999</v>
      </c>
      <c r="DL542" s="7">
        <v>1.0009999999999999</v>
      </c>
      <c r="DM542" s="7">
        <v>1.0009999999999999</v>
      </c>
      <c r="DN542" s="7">
        <v>1.0009999999999999</v>
      </c>
      <c r="DO542" s="7">
        <v>1.0009999999999999</v>
      </c>
      <c r="DP542" s="7">
        <v>1.0009999999999999</v>
      </c>
      <c r="DQ542" s="7">
        <v>1.0009999999999999</v>
      </c>
      <c r="DR542" s="7">
        <v>1.0009999999999999</v>
      </c>
      <c r="DS542" s="7">
        <v>1.0009999999999999</v>
      </c>
      <c r="DT542" s="7">
        <v>1.0009999999999999</v>
      </c>
      <c r="DU542" s="7">
        <v>1.0009999999999999</v>
      </c>
      <c r="DV542" s="7">
        <v>1.0009999999999999</v>
      </c>
      <c r="DW542" s="7">
        <v>1.0009999999999999</v>
      </c>
      <c r="DX542" s="7">
        <v>1.0009999999999999</v>
      </c>
      <c r="DY542" s="7">
        <v>1.0009999999999999</v>
      </c>
      <c r="DZ542" s="7">
        <v>1.0009999999999999</v>
      </c>
      <c r="EA542" s="7">
        <v>1.0009999999999999</v>
      </c>
      <c r="EB542" s="7">
        <v>1.0009999999999999</v>
      </c>
      <c r="EC542" s="7">
        <v>1.0009999999999999</v>
      </c>
      <c r="ED542" s="7">
        <v>1.0009999999999999</v>
      </c>
      <c r="EE542" s="7">
        <v>1.0009999999999999</v>
      </c>
      <c r="EF542" s="7">
        <v>1.0009999999999999</v>
      </c>
      <c r="EG542" s="7">
        <v>1.0009999999999999</v>
      </c>
      <c r="EH542" s="7">
        <v>1.0009999999999999</v>
      </c>
      <c r="EI542" s="7">
        <v>1.0009999999999999</v>
      </c>
      <c r="EJ542" s="7">
        <v>1.0009999999999999</v>
      </c>
      <c r="EK542" s="7">
        <v>1.0009999999999999</v>
      </c>
      <c r="EL542" s="7">
        <v>1.0009999999999999</v>
      </c>
      <c r="EM542" s="7">
        <v>1.0009999999999999</v>
      </c>
      <c r="EN542" s="7">
        <v>1.0009999999999999</v>
      </c>
      <c r="EO542" s="7">
        <v>1.0009999999999999</v>
      </c>
      <c r="EP542" s="7">
        <v>1.0009999999999999</v>
      </c>
      <c r="EQ542" s="7">
        <v>1.0009999999999999</v>
      </c>
      <c r="ER542" s="7">
        <v>1.0009999999999999</v>
      </c>
      <c r="ES542" s="7">
        <v>1.0009999999999999</v>
      </c>
      <c r="ET542" s="7">
        <v>1.0009999999999999</v>
      </c>
      <c r="EU542" s="7">
        <v>1.0009999999999999</v>
      </c>
      <c r="EV542" s="7">
        <v>1.0009999999999999</v>
      </c>
      <c r="EW542" s="7">
        <v>1.0009999999999999</v>
      </c>
      <c r="EX542" s="7">
        <v>1.0009999999999999</v>
      </c>
      <c r="EY542" s="7">
        <v>1.0009999999999999</v>
      </c>
      <c r="EZ542" s="7">
        <v>1.0009999999999999</v>
      </c>
      <c r="FA542" s="7">
        <v>1.0009999999999999</v>
      </c>
      <c r="FB542" s="7">
        <v>1.0009999999999999</v>
      </c>
      <c r="FC542" s="7">
        <v>1.0009999999999999</v>
      </c>
      <c r="FE542" s="50">
        <f t="shared" ca="1" si="59"/>
        <v>1.0009999999999999</v>
      </c>
      <c r="FF542" s="50">
        <f t="shared" ca="1" si="60"/>
        <v>1.0009999999999999</v>
      </c>
      <c r="FG542" s="50">
        <f t="shared" ca="1" si="61"/>
        <v>1.0009999999999999</v>
      </c>
      <c r="FH542" s="50">
        <f t="shared" ca="1" si="62"/>
        <v>1.0009999999999999</v>
      </c>
      <c r="FI542" s="50"/>
      <c r="FK542" s="50">
        <f t="shared" ca="1" si="58"/>
        <v>1.0009999999999999</v>
      </c>
      <c r="FL542" s="50"/>
      <c r="FM542" s="50"/>
      <c r="FN542" s="50"/>
    </row>
    <row r="543" spans="48:170" hidden="1">
      <c r="AW543" s="112">
        <v>0.28199999999999997</v>
      </c>
      <c r="AX543" s="7">
        <v>0.78369999999999995</v>
      </c>
      <c r="AY543" s="7">
        <v>0.79190000000000005</v>
      </c>
      <c r="AZ543" s="7">
        <v>0.80010000000000003</v>
      </c>
      <c r="BA543" s="7">
        <v>0.80810000000000004</v>
      </c>
      <c r="BB543" s="7">
        <v>0.81610000000000005</v>
      </c>
      <c r="BC543" s="7">
        <v>0.82399999999999995</v>
      </c>
      <c r="BD543" s="7">
        <v>0.83189999999999997</v>
      </c>
      <c r="BE543" s="7">
        <v>0.83960000000000001</v>
      </c>
      <c r="BF543" s="7">
        <v>0.84730000000000005</v>
      </c>
      <c r="BG543" s="7">
        <v>0.85489999999999999</v>
      </c>
      <c r="BH543" s="7">
        <v>0.86240000000000006</v>
      </c>
      <c r="BI543" s="7">
        <v>0.86990000000000001</v>
      </c>
      <c r="BJ543" s="7">
        <v>0.87719999999999998</v>
      </c>
      <c r="BK543" s="7">
        <v>0.88449999999999995</v>
      </c>
      <c r="BL543" s="7">
        <v>0.89180000000000004</v>
      </c>
      <c r="BM543" s="7">
        <v>0.89890000000000003</v>
      </c>
      <c r="BN543" s="7">
        <v>0.90610000000000002</v>
      </c>
      <c r="BO543" s="7">
        <v>0.91310000000000002</v>
      </c>
      <c r="BP543" s="7">
        <v>0.92010000000000003</v>
      </c>
      <c r="BQ543" s="7">
        <v>0.92700000000000005</v>
      </c>
      <c r="BR543" s="7">
        <v>0.93379999999999996</v>
      </c>
      <c r="BS543" s="7">
        <v>0.94059999999999999</v>
      </c>
      <c r="BT543" s="7">
        <v>0.94740000000000002</v>
      </c>
      <c r="BU543" s="7">
        <v>0.95399999999999996</v>
      </c>
      <c r="BV543" s="7">
        <v>0.9607</v>
      </c>
      <c r="BW543" s="7">
        <v>0.96719999999999995</v>
      </c>
      <c r="BX543" s="7">
        <v>0.97370000000000001</v>
      </c>
      <c r="BY543" s="7">
        <v>0.98019999999999996</v>
      </c>
      <c r="BZ543" s="7">
        <v>0.98660000000000003</v>
      </c>
      <c r="CA543" s="7">
        <v>0.99299999999999999</v>
      </c>
      <c r="CB543" s="7">
        <v>0.99929999999999997</v>
      </c>
      <c r="CC543" s="7">
        <v>1.0009999999999999</v>
      </c>
      <c r="CD543" s="7">
        <v>1.0009999999999999</v>
      </c>
      <c r="CE543" s="7">
        <v>1.0009999999999999</v>
      </c>
      <c r="CF543" s="7">
        <v>1.0009999999999999</v>
      </c>
      <c r="CG543" s="7">
        <v>1.0009999999999999</v>
      </c>
      <c r="CH543" s="7">
        <v>1.0009999999999999</v>
      </c>
      <c r="CI543" s="7">
        <v>1.0009999999999999</v>
      </c>
      <c r="CJ543" s="7">
        <v>1.0009999999999999</v>
      </c>
      <c r="CK543" s="7">
        <v>1.0009999999999999</v>
      </c>
      <c r="CL543" s="7">
        <v>1.0009999999999999</v>
      </c>
      <c r="CM543" s="7">
        <v>1.0009999999999999</v>
      </c>
      <c r="CN543" s="7">
        <v>1.0009999999999999</v>
      </c>
      <c r="CO543" s="7">
        <v>1.0009999999999999</v>
      </c>
      <c r="CP543" s="7">
        <v>1.0009999999999999</v>
      </c>
      <c r="CQ543" s="7">
        <v>1.0009999999999999</v>
      </c>
      <c r="CR543" s="7">
        <v>1.0009999999999999</v>
      </c>
      <c r="CS543" s="7">
        <v>1.0009999999999999</v>
      </c>
      <c r="CT543" s="7">
        <v>1.0009999999999999</v>
      </c>
      <c r="CU543" s="7">
        <v>1.0009999999999999</v>
      </c>
      <c r="CV543" s="7">
        <v>1.0009999999999999</v>
      </c>
      <c r="CW543" s="7">
        <v>1.0009999999999999</v>
      </c>
      <c r="CX543" s="7">
        <v>1.0009999999999999</v>
      </c>
      <c r="CY543" s="7">
        <v>1.0009999999999999</v>
      </c>
      <c r="CZ543" s="7">
        <v>1.0009999999999999</v>
      </c>
      <c r="DA543" s="7">
        <v>1.0009999999999999</v>
      </c>
      <c r="DB543" s="7">
        <v>1.0009999999999999</v>
      </c>
      <c r="DC543" s="7">
        <v>1.0009999999999999</v>
      </c>
      <c r="DD543" s="7">
        <v>1.0009999999999999</v>
      </c>
      <c r="DE543" s="7">
        <v>1.0009999999999999</v>
      </c>
      <c r="DF543" s="7">
        <v>1.0009999999999999</v>
      </c>
      <c r="DG543" s="7">
        <v>1.0009999999999999</v>
      </c>
      <c r="DH543" s="7">
        <v>1.0009999999999999</v>
      </c>
      <c r="DI543" s="7">
        <v>1.0009999999999999</v>
      </c>
      <c r="DJ543" s="7">
        <v>1.0009999999999999</v>
      </c>
      <c r="DK543" s="7">
        <v>1.0009999999999999</v>
      </c>
      <c r="DL543" s="7">
        <v>1.0009999999999999</v>
      </c>
      <c r="DM543" s="7">
        <v>1.0009999999999999</v>
      </c>
      <c r="DN543" s="7">
        <v>1.0009999999999999</v>
      </c>
      <c r="DO543" s="7">
        <v>1.0009999999999999</v>
      </c>
      <c r="DP543" s="7">
        <v>1.0009999999999999</v>
      </c>
      <c r="DQ543" s="7">
        <v>1.0009999999999999</v>
      </c>
      <c r="DR543" s="7">
        <v>1.0009999999999999</v>
      </c>
      <c r="DS543" s="7">
        <v>1.0009999999999999</v>
      </c>
      <c r="DT543" s="7">
        <v>1.0009999999999999</v>
      </c>
      <c r="DU543" s="7">
        <v>1.0009999999999999</v>
      </c>
      <c r="DV543" s="7">
        <v>1.0009999999999999</v>
      </c>
      <c r="DW543" s="7">
        <v>1.0009999999999999</v>
      </c>
      <c r="DX543" s="7">
        <v>1.0009999999999999</v>
      </c>
      <c r="DY543" s="7">
        <v>1.0009999999999999</v>
      </c>
      <c r="DZ543" s="7">
        <v>1.0009999999999999</v>
      </c>
      <c r="EA543" s="7">
        <v>1.0009999999999999</v>
      </c>
      <c r="EB543" s="7">
        <v>1.0009999999999999</v>
      </c>
      <c r="EC543" s="7">
        <v>1.0009999999999999</v>
      </c>
      <c r="ED543" s="7">
        <v>1.0009999999999999</v>
      </c>
      <c r="EE543" s="7">
        <v>1.0009999999999999</v>
      </c>
      <c r="EF543" s="7">
        <v>1.0009999999999999</v>
      </c>
      <c r="EG543" s="7">
        <v>1.0009999999999999</v>
      </c>
      <c r="EH543" s="7">
        <v>1.0009999999999999</v>
      </c>
      <c r="EI543" s="7">
        <v>1.0009999999999999</v>
      </c>
      <c r="EJ543" s="7">
        <v>1.0009999999999999</v>
      </c>
      <c r="EK543" s="7">
        <v>1.0009999999999999</v>
      </c>
      <c r="EL543" s="7">
        <v>1.0009999999999999</v>
      </c>
      <c r="EM543" s="7">
        <v>1.0009999999999999</v>
      </c>
      <c r="EN543" s="7">
        <v>1.0009999999999999</v>
      </c>
      <c r="EO543" s="7">
        <v>1.0009999999999999</v>
      </c>
      <c r="EP543" s="7">
        <v>1.0009999999999999</v>
      </c>
      <c r="EQ543" s="7">
        <v>1.0009999999999999</v>
      </c>
      <c r="ER543" s="7">
        <v>1.0009999999999999</v>
      </c>
      <c r="ES543" s="7">
        <v>1.0009999999999999</v>
      </c>
      <c r="ET543" s="7">
        <v>1.0009999999999999</v>
      </c>
      <c r="EU543" s="7">
        <v>1.0009999999999999</v>
      </c>
      <c r="EV543" s="7">
        <v>1.0009999999999999</v>
      </c>
      <c r="EW543" s="7">
        <v>1.0009999999999999</v>
      </c>
      <c r="EX543" s="7">
        <v>1.0009999999999999</v>
      </c>
      <c r="EY543" s="7">
        <v>1.0009999999999999</v>
      </c>
      <c r="EZ543" s="7">
        <v>1.0009999999999999</v>
      </c>
      <c r="FA543" s="7">
        <v>1.0009999999999999</v>
      </c>
      <c r="FB543" s="7">
        <v>1.0009999999999999</v>
      </c>
      <c r="FC543" s="7">
        <v>1.0009999999999999</v>
      </c>
      <c r="FE543" s="50">
        <f t="shared" ca="1" si="59"/>
        <v>1.0009999999999999</v>
      </c>
      <c r="FF543" s="50">
        <f t="shared" ca="1" si="60"/>
        <v>1.0009999999999999</v>
      </c>
      <c r="FG543" s="50">
        <f t="shared" ca="1" si="61"/>
        <v>1.0009999999999999</v>
      </c>
      <c r="FH543" s="50">
        <f t="shared" ca="1" si="62"/>
        <v>1.0009999999999999</v>
      </c>
      <c r="FI543" s="50"/>
      <c r="FK543" s="50">
        <f t="shared" ca="1" si="58"/>
        <v>1.0009999999999999</v>
      </c>
      <c r="FL543" s="50"/>
      <c r="FM543" s="50"/>
      <c r="FN543" s="50"/>
    </row>
    <row r="544" spans="48:170" hidden="1">
      <c r="AW544" s="112">
        <v>0.30199999999999999</v>
      </c>
      <c r="AX544" s="7">
        <v>0.7782</v>
      </c>
      <c r="AY544" s="7">
        <v>0.78639999999999999</v>
      </c>
      <c r="AZ544" s="7">
        <v>0.79449999999999998</v>
      </c>
      <c r="BA544" s="7">
        <v>0.80249999999999999</v>
      </c>
      <c r="BB544" s="7">
        <v>0.8105</v>
      </c>
      <c r="BC544" s="7">
        <v>0.81830000000000003</v>
      </c>
      <c r="BD544" s="7">
        <v>0.82609999999999995</v>
      </c>
      <c r="BE544" s="7">
        <v>0.83379999999999999</v>
      </c>
      <c r="BF544" s="7">
        <v>0.84140000000000004</v>
      </c>
      <c r="BG544" s="7">
        <v>0.84889999999999999</v>
      </c>
      <c r="BH544" s="7">
        <v>0.85640000000000005</v>
      </c>
      <c r="BI544" s="7">
        <v>0.86380000000000001</v>
      </c>
      <c r="BJ544" s="7">
        <v>0.87109999999999999</v>
      </c>
      <c r="BK544" s="7">
        <v>0.87839999999999996</v>
      </c>
      <c r="BL544" s="7">
        <v>0.88560000000000005</v>
      </c>
      <c r="BM544" s="7">
        <v>0.89270000000000005</v>
      </c>
      <c r="BN544" s="7">
        <v>0.89970000000000006</v>
      </c>
      <c r="BO544" s="7">
        <v>0.90669999999999995</v>
      </c>
      <c r="BP544" s="7">
        <v>0.91369999999999996</v>
      </c>
      <c r="BQ544" s="7">
        <v>0.92049999999999998</v>
      </c>
      <c r="BR544" s="7">
        <v>0.92730000000000001</v>
      </c>
      <c r="BS544" s="7">
        <v>0.93410000000000004</v>
      </c>
      <c r="BT544" s="7">
        <v>0.94079999999999997</v>
      </c>
      <c r="BU544" s="7">
        <v>0.94740000000000002</v>
      </c>
      <c r="BV544" s="7">
        <v>0.95399999999999996</v>
      </c>
      <c r="BW544" s="7">
        <v>0.96050000000000002</v>
      </c>
      <c r="BX544" s="7">
        <v>0.96699999999999997</v>
      </c>
      <c r="BY544" s="7">
        <v>0.97340000000000004</v>
      </c>
      <c r="BZ544" s="7">
        <v>0.9798</v>
      </c>
      <c r="CA544" s="7">
        <v>0.98609999999999998</v>
      </c>
      <c r="CB544" s="7">
        <v>0.99239999999999995</v>
      </c>
      <c r="CC544" s="7">
        <v>0.99860000000000004</v>
      </c>
      <c r="CD544" s="7">
        <v>1.0009999999999999</v>
      </c>
      <c r="CE544" s="7">
        <v>1.0009999999999999</v>
      </c>
      <c r="CF544" s="7">
        <v>1.0009999999999999</v>
      </c>
      <c r="CG544" s="7">
        <v>1.0009999999999999</v>
      </c>
      <c r="CH544" s="7">
        <v>1.0009999999999999</v>
      </c>
      <c r="CI544" s="7">
        <v>1.0009999999999999</v>
      </c>
      <c r="CJ544" s="7">
        <v>1.0009999999999999</v>
      </c>
      <c r="CK544" s="7">
        <v>1.0009999999999999</v>
      </c>
      <c r="CL544" s="7">
        <v>1.0009999999999999</v>
      </c>
      <c r="CM544" s="7">
        <v>1.0009999999999999</v>
      </c>
      <c r="CN544" s="7">
        <v>1.0009999999999999</v>
      </c>
      <c r="CO544" s="7">
        <v>1.0009999999999999</v>
      </c>
      <c r="CP544" s="7">
        <v>1.0009999999999999</v>
      </c>
      <c r="CQ544" s="7">
        <v>1.0009999999999999</v>
      </c>
      <c r="CR544" s="7">
        <v>1.0009999999999999</v>
      </c>
      <c r="CS544" s="7">
        <v>1.0009999999999999</v>
      </c>
      <c r="CT544" s="7">
        <v>1.0009999999999999</v>
      </c>
      <c r="CU544" s="7">
        <v>1.0009999999999999</v>
      </c>
      <c r="CV544" s="7">
        <v>1.0009999999999999</v>
      </c>
      <c r="CW544" s="7">
        <v>1.0009999999999999</v>
      </c>
      <c r="CX544" s="7">
        <v>1.0009999999999999</v>
      </c>
      <c r="CY544" s="7">
        <v>1.0009999999999999</v>
      </c>
      <c r="CZ544" s="7">
        <v>1.0009999999999999</v>
      </c>
      <c r="DA544" s="7">
        <v>1.0009999999999999</v>
      </c>
      <c r="DB544" s="7">
        <v>1.0009999999999999</v>
      </c>
      <c r="DC544" s="7">
        <v>1.0009999999999999</v>
      </c>
      <c r="DD544" s="7">
        <v>1.0009999999999999</v>
      </c>
      <c r="DE544" s="7">
        <v>1.0009999999999999</v>
      </c>
      <c r="DF544" s="7">
        <v>1.0009999999999999</v>
      </c>
      <c r="DG544" s="7">
        <v>1.0009999999999999</v>
      </c>
      <c r="DH544" s="7">
        <v>1.0009999999999999</v>
      </c>
      <c r="DI544" s="7">
        <v>1.0009999999999999</v>
      </c>
      <c r="DJ544" s="7">
        <v>1.0009999999999999</v>
      </c>
      <c r="DK544" s="7">
        <v>1.0009999999999999</v>
      </c>
      <c r="DL544" s="7">
        <v>1.0009999999999999</v>
      </c>
      <c r="DM544" s="7">
        <v>1.0009999999999999</v>
      </c>
      <c r="DN544" s="7">
        <v>1.0009999999999999</v>
      </c>
      <c r="DO544" s="7">
        <v>1.0009999999999999</v>
      </c>
      <c r="DP544" s="7">
        <v>1.0009999999999999</v>
      </c>
      <c r="DQ544" s="7">
        <v>1.0009999999999999</v>
      </c>
      <c r="DR544" s="7">
        <v>1.0009999999999999</v>
      </c>
      <c r="DS544" s="7">
        <v>1.0009999999999999</v>
      </c>
      <c r="DT544" s="7">
        <v>1.0009999999999999</v>
      </c>
      <c r="DU544" s="7">
        <v>1.0009999999999999</v>
      </c>
      <c r="DV544" s="7">
        <v>1.0009999999999999</v>
      </c>
      <c r="DW544" s="7">
        <v>1.0009999999999999</v>
      </c>
      <c r="DX544" s="7">
        <v>1.0009999999999999</v>
      </c>
      <c r="DY544" s="7">
        <v>1.0009999999999999</v>
      </c>
      <c r="DZ544" s="7">
        <v>1.0009999999999999</v>
      </c>
      <c r="EA544" s="7">
        <v>1.0009999999999999</v>
      </c>
      <c r="EB544" s="7">
        <v>1.0009999999999999</v>
      </c>
      <c r="EC544" s="7">
        <v>1.0009999999999999</v>
      </c>
      <c r="ED544" s="7">
        <v>1.0009999999999999</v>
      </c>
      <c r="EE544" s="7">
        <v>1.0009999999999999</v>
      </c>
      <c r="EF544" s="7">
        <v>1.0009999999999999</v>
      </c>
      <c r="EG544" s="7">
        <v>1.0009999999999999</v>
      </c>
      <c r="EH544" s="7">
        <v>1.0009999999999999</v>
      </c>
      <c r="EI544" s="7">
        <v>1.0009999999999999</v>
      </c>
      <c r="EJ544" s="7">
        <v>1.0009999999999999</v>
      </c>
      <c r="EK544" s="7">
        <v>1.0009999999999999</v>
      </c>
      <c r="EL544" s="7">
        <v>1.0009999999999999</v>
      </c>
      <c r="EM544" s="7">
        <v>1.0009999999999999</v>
      </c>
      <c r="EN544" s="7">
        <v>1.0009999999999999</v>
      </c>
      <c r="EO544" s="7">
        <v>1.0009999999999999</v>
      </c>
      <c r="EP544" s="7">
        <v>1.0009999999999999</v>
      </c>
      <c r="EQ544" s="7">
        <v>1.0009999999999999</v>
      </c>
      <c r="ER544" s="7">
        <v>1.0009999999999999</v>
      </c>
      <c r="ES544" s="7">
        <v>1.0009999999999999</v>
      </c>
      <c r="ET544" s="7">
        <v>1.0009999999999999</v>
      </c>
      <c r="EU544" s="7">
        <v>1.0009999999999999</v>
      </c>
      <c r="EV544" s="7">
        <v>1.0009999999999999</v>
      </c>
      <c r="EW544" s="7">
        <v>1.0009999999999999</v>
      </c>
      <c r="EX544" s="7">
        <v>1.0009999999999999</v>
      </c>
      <c r="EY544" s="7">
        <v>1.0009999999999999</v>
      </c>
      <c r="EZ544" s="7">
        <v>1.0009999999999999</v>
      </c>
      <c r="FA544" s="7">
        <v>1.0009999999999999</v>
      </c>
      <c r="FB544" s="7">
        <v>1.0009999999999999</v>
      </c>
      <c r="FC544" s="7">
        <v>1.0009999999999999</v>
      </c>
      <c r="FE544" s="50">
        <f t="shared" ca="1" si="59"/>
        <v>1.0009999999999999</v>
      </c>
      <c r="FF544" s="50">
        <f t="shared" ca="1" si="60"/>
        <v>1.0009999999999999</v>
      </c>
      <c r="FG544" s="50">
        <f t="shared" ca="1" si="61"/>
        <v>1.0009999999999999</v>
      </c>
      <c r="FH544" s="50">
        <f t="shared" ca="1" si="62"/>
        <v>1.0009999999999999</v>
      </c>
      <c r="FI544" s="50"/>
      <c r="FK544" s="50">
        <f t="shared" ca="1" si="58"/>
        <v>1.0009999999999999</v>
      </c>
      <c r="FL544" s="50"/>
      <c r="FM544" s="50"/>
      <c r="FN544" s="50"/>
    </row>
    <row r="545" spans="49:170" hidden="1">
      <c r="AW545" s="112">
        <v>0.32400000000000001</v>
      </c>
      <c r="AX545" s="7">
        <v>0.77290000000000003</v>
      </c>
      <c r="AY545" s="7">
        <v>0.78100000000000003</v>
      </c>
      <c r="AZ545" s="7">
        <v>0.78910000000000002</v>
      </c>
      <c r="BA545" s="7">
        <v>0.79700000000000004</v>
      </c>
      <c r="BB545" s="7">
        <v>0.80489999999999995</v>
      </c>
      <c r="BC545" s="7">
        <v>0.81269999999999998</v>
      </c>
      <c r="BD545" s="7">
        <v>0.82040000000000002</v>
      </c>
      <c r="BE545" s="7">
        <v>0.82809999999999995</v>
      </c>
      <c r="BF545" s="7">
        <v>0.83560000000000001</v>
      </c>
      <c r="BG545" s="7">
        <v>0.84309999999999996</v>
      </c>
      <c r="BH545" s="7">
        <v>0.85050000000000003</v>
      </c>
      <c r="BI545" s="7">
        <v>0.8579</v>
      </c>
      <c r="BJ545" s="7">
        <v>0.86519999999999997</v>
      </c>
      <c r="BK545" s="7">
        <v>0.87239999999999995</v>
      </c>
      <c r="BL545" s="7">
        <v>0.87949999999999995</v>
      </c>
      <c r="BM545" s="7">
        <v>0.88660000000000005</v>
      </c>
      <c r="BN545" s="7">
        <v>0.89359999999999995</v>
      </c>
      <c r="BO545" s="7">
        <v>0.90049999999999997</v>
      </c>
      <c r="BP545" s="7">
        <v>0.90739999999999998</v>
      </c>
      <c r="BQ545" s="7">
        <v>0.91420000000000001</v>
      </c>
      <c r="BR545" s="7">
        <v>0.92100000000000004</v>
      </c>
      <c r="BS545" s="7">
        <v>0.92769999999999997</v>
      </c>
      <c r="BT545" s="7">
        <v>0.93430000000000002</v>
      </c>
      <c r="BU545" s="7">
        <v>0.94089999999999996</v>
      </c>
      <c r="BV545" s="7">
        <v>0.94740000000000002</v>
      </c>
      <c r="BW545" s="7">
        <v>0.95389999999999997</v>
      </c>
      <c r="BX545" s="7">
        <v>0.96030000000000004</v>
      </c>
      <c r="BY545" s="7">
        <v>0.9667</v>
      </c>
      <c r="BZ545" s="7">
        <v>0.97299999999999998</v>
      </c>
      <c r="CA545" s="7">
        <v>0.97929999999999995</v>
      </c>
      <c r="CB545" s="7">
        <v>0.98560000000000003</v>
      </c>
      <c r="CC545" s="7">
        <v>0.99180000000000001</v>
      </c>
      <c r="CD545" s="7">
        <v>0.99790000000000001</v>
      </c>
      <c r="CE545" s="7">
        <v>1.0009999999999999</v>
      </c>
      <c r="CF545" s="7">
        <v>1.0009999999999999</v>
      </c>
      <c r="CG545" s="7">
        <v>1.0009999999999999</v>
      </c>
      <c r="CH545" s="7">
        <v>1.0009999999999999</v>
      </c>
      <c r="CI545" s="7">
        <v>1.0009999999999999</v>
      </c>
      <c r="CJ545" s="7">
        <v>1.0009999999999999</v>
      </c>
      <c r="CK545" s="7">
        <v>1.0009999999999999</v>
      </c>
      <c r="CL545" s="7">
        <v>1.0009999999999999</v>
      </c>
      <c r="CM545" s="7">
        <v>1.0009999999999999</v>
      </c>
      <c r="CN545" s="7">
        <v>1.0009999999999999</v>
      </c>
      <c r="CO545" s="7">
        <v>1.0009999999999999</v>
      </c>
      <c r="CP545" s="7">
        <v>1.0009999999999999</v>
      </c>
      <c r="CQ545" s="7">
        <v>1.0009999999999999</v>
      </c>
      <c r="CR545" s="7">
        <v>1.0009999999999999</v>
      </c>
      <c r="CS545" s="7">
        <v>1.0009999999999999</v>
      </c>
      <c r="CT545" s="7">
        <v>1.0009999999999999</v>
      </c>
      <c r="CU545" s="7">
        <v>1.0009999999999999</v>
      </c>
      <c r="CV545" s="7">
        <v>1.0009999999999999</v>
      </c>
      <c r="CW545" s="7">
        <v>1.0009999999999999</v>
      </c>
      <c r="CX545" s="7">
        <v>1.0009999999999999</v>
      </c>
      <c r="CY545" s="7">
        <v>1.0009999999999999</v>
      </c>
      <c r="CZ545" s="7">
        <v>1.0009999999999999</v>
      </c>
      <c r="DA545" s="7">
        <v>1.0009999999999999</v>
      </c>
      <c r="DB545" s="7">
        <v>1.0009999999999999</v>
      </c>
      <c r="DC545" s="7">
        <v>1.0009999999999999</v>
      </c>
      <c r="DD545" s="7">
        <v>1.0009999999999999</v>
      </c>
      <c r="DE545" s="7">
        <v>1.0009999999999999</v>
      </c>
      <c r="DF545" s="7">
        <v>1.0009999999999999</v>
      </c>
      <c r="DG545" s="7">
        <v>1.0009999999999999</v>
      </c>
      <c r="DH545" s="7">
        <v>1.0009999999999999</v>
      </c>
      <c r="DI545" s="7">
        <v>1.0009999999999999</v>
      </c>
      <c r="DJ545" s="7">
        <v>1.0009999999999999</v>
      </c>
      <c r="DK545" s="7">
        <v>1.0009999999999999</v>
      </c>
      <c r="DL545" s="7">
        <v>1.0009999999999999</v>
      </c>
      <c r="DM545" s="7">
        <v>1.0009999999999999</v>
      </c>
      <c r="DN545" s="7">
        <v>1.0009999999999999</v>
      </c>
      <c r="DO545" s="7">
        <v>1.0009999999999999</v>
      </c>
      <c r="DP545" s="7">
        <v>1.0009999999999999</v>
      </c>
      <c r="DQ545" s="7">
        <v>1.0009999999999999</v>
      </c>
      <c r="DR545" s="7">
        <v>1.0009999999999999</v>
      </c>
      <c r="DS545" s="7">
        <v>1.0009999999999999</v>
      </c>
      <c r="DT545" s="7">
        <v>1.0009999999999999</v>
      </c>
      <c r="DU545" s="7">
        <v>1.0009999999999999</v>
      </c>
      <c r="DV545" s="7">
        <v>1.0009999999999999</v>
      </c>
      <c r="DW545" s="7">
        <v>1.0009999999999999</v>
      </c>
      <c r="DX545" s="7">
        <v>1.0009999999999999</v>
      </c>
      <c r="DY545" s="7">
        <v>1.0009999999999999</v>
      </c>
      <c r="DZ545" s="7">
        <v>1.0009999999999999</v>
      </c>
      <c r="EA545" s="7">
        <v>1.0009999999999999</v>
      </c>
      <c r="EB545" s="7">
        <v>1.0009999999999999</v>
      </c>
      <c r="EC545" s="7">
        <v>1.0009999999999999</v>
      </c>
      <c r="ED545" s="7">
        <v>1.0009999999999999</v>
      </c>
      <c r="EE545" s="7">
        <v>1.0009999999999999</v>
      </c>
      <c r="EF545" s="7">
        <v>1.0009999999999999</v>
      </c>
      <c r="EG545" s="7">
        <v>1.0009999999999999</v>
      </c>
      <c r="EH545" s="7">
        <v>1.0009999999999999</v>
      </c>
      <c r="EI545" s="7">
        <v>1.0009999999999999</v>
      </c>
      <c r="EJ545" s="7">
        <v>1.0009999999999999</v>
      </c>
      <c r="EK545" s="7">
        <v>1.0009999999999999</v>
      </c>
      <c r="EL545" s="7">
        <v>1.0009999999999999</v>
      </c>
      <c r="EM545" s="7">
        <v>1.0009999999999999</v>
      </c>
      <c r="EN545" s="7">
        <v>1.0009999999999999</v>
      </c>
      <c r="EO545" s="7">
        <v>1.0009999999999999</v>
      </c>
      <c r="EP545" s="7">
        <v>1.0009999999999999</v>
      </c>
      <c r="EQ545" s="7">
        <v>1.0009999999999999</v>
      </c>
      <c r="ER545" s="7">
        <v>1.0009999999999999</v>
      </c>
      <c r="ES545" s="7">
        <v>1.0009999999999999</v>
      </c>
      <c r="ET545" s="7">
        <v>1.0009999999999999</v>
      </c>
      <c r="EU545" s="7">
        <v>1.0009999999999999</v>
      </c>
      <c r="EV545" s="7">
        <v>1.0009999999999999</v>
      </c>
      <c r="EW545" s="7">
        <v>1.0009999999999999</v>
      </c>
      <c r="EX545" s="7">
        <v>1.0009999999999999</v>
      </c>
      <c r="EY545" s="7">
        <v>1.0009999999999999</v>
      </c>
      <c r="EZ545" s="7">
        <v>1.0009999999999999</v>
      </c>
      <c r="FA545" s="7">
        <v>1.0009999999999999</v>
      </c>
      <c r="FB545" s="7">
        <v>1.0009999999999999</v>
      </c>
      <c r="FC545" s="7">
        <v>1.0009999999999999</v>
      </c>
      <c r="FE545" s="50">
        <f t="shared" ca="1" si="59"/>
        <v>1.0009999999999999</v>
      </c>
      <c r="FF545" s="50">
        <f t="shared" ca="1" si="60"/>
        <v>1.0009999999999999</v>
      </c>
      <c r="FG545" s="50">
        <f t="shared" ca="1" si="61"/>
        <v>1.0009999999999999</v>
      </c>
      <c r="FH545" s="50">
        <f t="shared" ca="1" si="62"/>
        <v>1.0009999999999999</v>
      </c>
      <c r="FI545" s="50"/>
      <c r="FK545" s="50">
        <f t="shared" ca="1" si="58"/>
        <v>1.0009999999999999</v>
      </c>
      <c r="FL545" s="50"/>
      <c r="FM545" s="50"/>
      <c r="FN545" s="50"/>
    </row>
    <row r="546" spans="49:170" hidden="1">
      <c r="AW546" s="112">
        <v>0.34699999999999998</v>
      </c>
      <c r="AX546" s="7">
        <v>0.76770000000000005</v>
      </c>
      <c r="AY546" s="7">
        <v>0.77569999999999995</v>
      </c>
      <c r="AZ546" s="7">
        <v>0.78369999999999995</v>
      </c>
      <c r="BA546" s="7">
        <v>0.79159999999999997</v>
      </c>
      <c r="BB546" s="7">
        <v>0.79949999999999999</v>
      </c>
      <c r="BC546" s="7">
        <v>0.80720000000000003</v>
      </c>
      <c r="BD546" s="7">
        <v>0.81489999999999996</v>
      </c>
      <c r="BE546" s="7">
        <v>0.82250000000000001</v>
      </c>
      <c r="BF546" s="7">
        <v>0.83</v>
      </c>
      <c r="BG546" s="7">
        <v>0.83740000000000003</v>
      </c>
      <c r="BH546" s="7">
        <v>0.8448</v>
      </c>
      <c r="BI546" s="7">
        <v>0.85209999999999997</v>
      </c>
      <c r="BJ546" s="7">
        <v>0.85929999999999995</v>
      </c>
      <c r="BK546" s="7">
        <v>0.86650000000000005</v>
      </c>
      <c r="BL546" s="7">
        <v>0.87360000000000004</v>
      </c>
      <c r="BM546" s="7">
        <v>0.88060000000000005</v>
      </c>
      <c r="BN546" s="7">
        <v>0.88749999999999996</v>
      </c>
      <c r="BO546" s="7">
        <v>0.89439999999999997</v>
      </c>
      <c r="BP546" s="7">
        <v>0.90129999999999999</v>
      </c>
      <c r="BQ546" s="7">
        <v>0.90800000000000003</v>
      </c>
      <c r="BR546" s="7">
        <v>0.91479999999999995</v>
      </c>
      <c r="BS546" s="7">
        <v>0.9214</v>
      </c>
      <c r="BT546" s="7">
        <v>0.92800000000000005</v>
      </c>
      <c r="BU546" s="7">
        <v>0.9345</v>
      </c>
      <c r="BV546" s="7">
        <v>0.94099999999999995</v>
      </c>
      <c r="BW546" s="7">
        <v>0.94750000000000001</v>
      </c>
      <c r="BX546" s="7">
        <v>0.95389999999999997</v>
      </c>
      <c r="BY546" s="7">
        <v>0.96020000000000005</v>
      </c>
      <c r="BZ546" s="7">
        <v>0.96650000000000003</v>
      </c>
      <c r="CA546" s="7">
        <v>0.97270000000000001</v>
      </c>
      <c r="CB546" s="7">
        <v>0.97889999999999999</v>
      </c>
      <c r="CC546" s="7">
        <v>0.98509999999999998</v>
      </c>
      <c r="CD546" s="7">
        <v>0.99119999999999997</v>
      </c>
      <c r="CE546" s="7">
        <v>0.99719999999999998</v>
      </c>
      <c r="CF546" s="7">
        <v>1.0009999999999999</v>
      </c>
      <c r="CG546" s="7">
        <v>1.0009999999999999</v>
      </c>
      <c r="CH546" s="7">
        <v>1.0009999999999999</v>
      </c>
      <c r="CI546" s="7">
        <v>1.0009999999999999</v>
      </c>
      <c r="CJ546" s="7">
        <v>1.0009999999999999</v>
      </c>
      <c r="CK546" s="7">
        <v>1.0009999999999999</v>
      </c>
      <c r="CL546" s="7">
        <v>1.0009999999999999</v>
      </c>
      <c r="CM546" s="7">
        <v>1.0009999999999999</v>
      </c>
      <c r="CN546" s="7">
        <v>1.0009999999999999</v>
      </c>
      <c r="CO546" s="7">
        <v>1.0009999999999999</v>
      </c>
      <c r="CP546" s="7">
        <v>1.0009999999999999</v>
      </c>
      <c r="CQ546" s="7">
        <v>1.0009999999999999</v>
      </c>
      <c r="CR546" s="7">
        <v>1.0009999999999999</v>
      </c>
      <c r="CS546" s="7">
        <v>1.0009999999999999</v>
      </c>
      <c r="CT546" s="7">
        <v>1.0009999999999999</v>
      </c>
      <c r="CU546" s="7">
        <v>1.0009999999999999</v>
      </c>
      <c r="CV546" s="7">
        <v>1.0009999999999999</v>
      </c>
      <c r="CW546" s="7">
        <v>1.0009999999999999</v>
      </c>
      <c r="CX546" s="7">
        <v>1.0009999999999999</v>
      </c>
      <c r="CY546" s="7">
        <v>1.0009999999999999</v>
      </c>
      <c r="CZ546" s="7">
        <v>1.0009999999999999</v>
      </c>
      <c r="DA546" s="7">
        <v>1.0009999999999999</v>
      </c>
      <c r="DB546" s="7">
        <v>1.0009999999999999</v>
      </c>
      <c r="DC546" s="7">
        <v>1.0009999999999999</v>
      </c>
      <c r="DD546" s="7">
        <v>1.0009999999999999</v>
      </c>
      <c r="DE546" s="7">
        <v>1.0009999999999999</v>
      </c>
      <c r="DF546" s="7">
        <v>1.0009999999999999</v>
      </c>
      <c r="DG546" s="7">
        <v>1.0009999999999999</v>
      </c>
      <c r="DH546" s="7">
        <v>1.0009999999999999</v>
      </c>
      <c r="DI546" s="7">
        <v>1.0009999999999999</v>
      </c>
      <c r="DJ546" s="7">
        <v>1.0009999999999999</v>
      </c>
      <c r="DK546" s="7">
        <v>1.0009999999999999</v>
      </c>
      <c r="DL546" s="7">
        <v>1.0009999999999999</v>
      </c>
      <c r="DM546" s="7">
        <v>1.0009999999999999</v>
      </c>
      <c r="DN546" s="7">
        <v>1.0009999999999999</v>
      </c>
      <c r="DO546" s="7">
        <v>1.0009999999999999</v>
      </c>
      <c r="DP546" s="7">
        <v>1.0009999999999999</v>
      </c>
      <c r="DQ546" s="7">
        <v>1.0009999999999999</v>
      </c>
      <c r="DR546" s="7">
        <v>1.0009999999999999</v>
      </c>
      <c r="DS546" s="7">
        <v>1.0009999999999999</v>
      </c>
      <c r="DT546" s="7">
        <v>1.0009999999999999</v>
      </c>
      <c r="DU546" s="7">
        <v>1.0009999999999999</v>
      </c>
      <c r="DV546" s="7">
        <v>1.0009999999999999</v>
      </c>
      <c r="DW546" s="7">
        <v>1.0009999999999999</v>
      </c>
      <c r="DX546" s="7">
        <v>1.0009999999999999</v>
      </c>
      <c r="DY546" s="7">
        <v>1.0009999999999999</v>
      </c>
      <c r="DZ546" s="7">
        <v>1.0009999999999999</v>
      </c>
      <c r="EA546" s="7">
        <v>1.0009999999999999</v>
      </c>
      <c r="EB546" s="7">
        <v>1.0009999999999999</v>
      </c>
      <c r="EC546" s="7">
        <v>1.0009999999999999</v>
      </c>
      <c r="ED546" s="7">
        <v>1.0009999999999999</v>
      </c>
      <c r="EE546" s="7">
        <v>1.0009999999999999</v>
      </c>
      <c r="EF546" s="7">
        <v>1.0009999999999999</v>
      </c>
      <c r="EG546" s="7">
        <v>1.0009999999999999</v>
      </c>
      <c r="EH546" s="7">
        <v>1.0009999999999999</v>
      </c>
      <c r="EI546" s="7">
        <v>1.0009999999999999</v>
      </c>
      <c r="EJ546" s="7">
        <v>1.0009999999999999</v>
      </c>
      <c r="EK546" s="7">
        <v>1.0009999999999999</v>
      </c>
      <c r="EL546" s="7">
        <v>1.0009999999999999</v>
      </c>
      <c r="EM546" s="7">
        <v>1.0009999999999999</v>
      </c>
      <c r="EN546" s="7">
        <v>1.0009999999999999</v>
      </c>
      <c r="EO546" s="7">
        <v>1.0009999999999999</v>
      </c>
      <c r="EP546" s="7">
        <v>1.0009999999999999</v>
      </c>
      <c r="EQ546" s="7">
        <v>1.0009999999999999</v>
      </c>
      <c r="ER546" s="7">
        <v>1.0009999999999999</v>
      </c>
      <c r="ES546" s="7">
        <v>1.0009999999999999</v>
      </c>
      <c r="ET546" s="7">
        <v>1.0009999999999999</v>
      </c>
      <c r="EU546" s="7">
        <v>1.0009999999999999</v>
      </c>
      <c r="EV546" s="7">
        <v>1.0009999999999999</v>
      </c>
      <c r="EW546" s="7">
        <v>1.0009999999999999</v>
      </c>
      <c r="EX546" s="7">
        <v>1.0009999999999999</v>
      </c>
      <c r="EY546" s="7">
        <v>1.0009999999999999</v>
      </c>
      <c r="EZ546" s="7">
        <v>1.0009999999999999</v>
      </c>
      <c r="FA546" s="7">
        <v>1.0009999999999999</v>
      </c>
      <c r="FB546" s="7">
        <v>1.0009999999999999</v>
      </c>
      <c r="FC546" s="7">
        <v>1.0009999999999999</v>
      </c>
      <c r="FE546" s="50">
        <f t="shared" ca="1" si="59"/>
        <v>1.0009999999999999</v>
      </c>
      <c r="FF546" s="50">
        <f t="shared" ca="1" si="60"/>
        <v>1.0009999999999999</v>
      </c>
      <c r="FG546" s="50">
        <f t="shared" ca="1" si="61"/>
        <v>1.0009999999999999</v>
      </c>
      <c r="FH546" s="50">
        <f t="shared" ca="1" si="62"/>
        <v>1.0009999999999999</v>
      </c>
      <c r="FI546" s="50"/>
      <c r="FK546" s="50">
        <f t="shared" ca="1" si="58"/>
        <v>1.0009999999999999</v>
      </c>
      <c r="FL546" s="50"/>
      <c r="FM546" s="50"/>
      <c r="FN546" s="50"/>
    </row>
    <row r="547" spans="49:170" hidden="1">
      <c r="AW547" s="112">
        <v>0.372</v>
      </c>
      <c r="AX547" s="7">
        <v>0.76259999999999994</v>
      </c>
      <c r="AY547" s="7">
        <v>0.77059999999999995</v>
      </c>
      <c r="AZ547" s="7">
        <v>0.77849999999999997</v>
      </c>
      <c r="BA547" s="7">
        <v>0.78639999999999999</v>
      </c>
      <c r="BB547" s="7">
        <v>0.79410000000000003</v>
      </c>
      <c r="BC547" s="7">
        <v>0.80179999999999996</v>
      </c>
      <c r="BD547" s="7">
        <v>0.8095</v>
      </c>
      <c r="BE547" s="7">
        <v>0.81699999999999995</v>
      </c>
      <c r="BF547" s="7">
        <v>0.82450000000000001</v>
      </c>
      <c r="BG547" s="7">
        <v>0.83189999999999997</v>
      </c>
      <c r="BH547" s="7">
        <v>0.83919999999999995</v>
      </c>
      <c r="BI547" s="7">
        <v>0.84640000000000004</v>
      </c>
      <c r="BJ547" s="7">
        <v>0.85360000000000003</v>
      </c>
      <c r="BK547" s="7">
        <v>0.86070000000000002</v>
      </c>
      <c r="BL547" s="7">
        <v>0.86780000000000002</v>
      </c>
      <c r="BM547" s="7">
        <v>0.87470000000000003</v>
      </c>
      <c r="BN547" s="7">
        <v>0.88160000000000005</v>
      </c>
      <c r="BO547" s="7">
        <v>0.88849999999999996</v>
      </c>
      <c r="BP547" s="7">
        <v>0.89529999999999998</v>
      </c>
      <c r="BQ547" s="7">
        <v>0.90200000000000002</v>
      </c>
      <c r="BR547" s="7">
        <v>0.90869999999999995</v>
      </c>
      <c r="BS547" s="7">
        <v>0.9153</v>
      </c>
      <c r="BT547" s="7">
        <v>0.92179999999999995</v>
      </c>
      <c r="BU547" s="7">
        <v>0.92830000000000001</v>
      </c>
      <c r="BV547" s="7">
        <v>0.93479999999999996</v>
      </c>
      <c r="BW547" s="7">
        <v>0.94120000000000004</v>
      </c>
      <c r="BX547" s="7">
        <v>0.94750000000000001</v>
      </c>
      <c r="BY547" s="7">
        <v>0.95379999999999998</v>
      </c>
      <c r="BZ547" s="7">
        <v>0.96</v>
      </c>
      <c r="CA547" s="7">
        <v>0.96619999999999995</v>
      </c>
      <c r="CB547" s="7">
        <v>0.97240000000000004</v>
      </c>
      <c r="CC547" s="7">
        <v>0.97850000000000004</v>
      </c>
      <c r="CD547" s="7">
        <v>0.98460000000000003</v>
      </c>
      <c r="CE547" s="7">
        <v>0.99060000000000004</v>
      </c>
      <c r="CF547" s="7">
        <v>0.99660000000000004</v>
      </c>
      <c r="CG547" s="7">
        <v>1.0009999999999999</v>
      </c>
      <c r="CH547" s="7">
        <v>1.0009999999999999</v>
      </c>
      <c r="CI547" s="7">
        <v>1.0009999999999999</v>
      </c>
      <c r="CJ547" s="7">
        <v>1.0009999999999999</v>
      </c>
      <c r="CK547" s="7">
        <v>1.0009999999999999</v>
      </c>
      <c r="CL547" s="7">
        <v>1.0009999999999999</v>
      </c>
      <c r="CM547" s="7">
        <v>1.0009999999999999</v>
      </c>
      <c r="CN547" s="7">
        <v>1.0009999999999999</v>
      </c>
      <c r="CO547" s="7">
        <v>1.0009999999999999</v>
      </c>
      <c r="CP547" s="7">
        <v>1.0009999999999999</v>
      </c>
      <c r="CQ547" s="7">
        <v>1.0009999999999999</v>
      </c>
      <c r="CR547" s="7">
        <v>1.0009999999999999</v>
      </c>
      <c r="CS547" s="7">
        <v>1.0009999999999999</v>
      </c>
      <c r="CT547" s="7">
        <v>1.0009999999999999</v>
      </c>
      <c r="CU547" s="7">
        <v>1.0009999999999999</v>
      </c>
      <c r="CV547" s="7">
        <v>1.0009999999999999</v>
      </c>
      <c r="CW547" s="7">
        <v>1.0009999999999999</v>
      </c>
      <c r="CX547" s="7">
        <v>1.0009999999999999</v>
      </c>
      <c r="CY547" s="7">
        <v>1.0009999999999999</v>
      </c>
      <c r="CZ547" s="7">
        <v>1.0009999999999999</v>
      </c>
      <c r="DA547" s="7">
        <v>1.0009999999999999</v>
      </c>
      <c r="DB547" s="7">
        <v>1.0009999999999999</v>
      </c>
      <c r="DC547" s="7">
        <v>1.0009999999999999</v>
      </c>
      <c r="DD547" s="7">
        <v>1.0009999999999999</v>
      </c>
      <c r="DE547" s="7">
        <v>1.0009999999999999</v>
      </c>
      <c r="DF547" s="7">
        <v>1.0009999999999999</v>
      </c>
      <c r="DG547" s="7">
        <v>1.0009999999999999</v>
      </c>
      <c r="DH547" s="7">
        <v>1.0009999999999999</v>
      </c>
      <c r="DI547" s="7">
        <v>1.0009999999999999</v>
      </c>
      <c r="DJ547" s="7">
        <v>1.0009999999999999</v>
      </c>
      <c r="DK547" s="7">
        <v>1.0009999999999999</v>
      </c>
      <c r="DL547" s="7">
        <v>1.0009999999999999</v>
      </c>
      <c r="DM547" s="7">
        <v>1.0009999999999999</v>
      </c>
      <c r="DN547" s="7">
        <v>1.0009999999999999</v>
      </c>
      <c r="DO547" s="7">
        <v>1.0009999999999999</v>
      </c>
      <c r="DP547" s="7">
        <v>1.0009999999999999</v>
      </c>
      <c r="DQ547" s="7">
        <v>1.0009999999999999</v>
      </c>
      <c r="DR547" s="7">
        <v>1.0009999999999999</v>
      </c>
      <c r="DS547" s="7">
        <v>1.0009999999999999</v>
      </c>
      <c r="DT547" s="7">
        <v>1.0009999999999999</v>
      </c>
      <c r="DU547" s="7">
        <v>1.0009999999999999</v>
      </c>
      <c r="DV547" s="7">
        <v>1.0009999999999999</v>
      </c>
      <c r="DW547" s="7">
        <v>1.0009999999999999</v>
      </c>
      <c r="DX547" s="7">
        <v>1.0009999999999999</v>
      </c>
      <c r="DY547" s="7">
        <v>1.0009999999999999</v>
      </c>
      <c r="DZ547" s="7">
        <v>1.0009999999999999</v>
      </c>
      <c r="EA547" s="7">
        <v>1.0009999999999999</v>
      </c>
      <c r="EB547" s="7">
        <v>1.0009999999999999</v>
      </c>
      <c r="EC547" s="7">
        <v>1.0009999999999999</v>
      </c>
      <c r="ED547" s="7">
        <v>1.0009999999999999</v>
      </c>
      <c r="EE547" s="7">
        <v>1.0009999999999999</v>
      </c>
      <c r="EF547" s="7">
        <v>1.0009999999999999</v>
      </c>
      <c r="EG547" s="7">
        <v>1.0009999999999999</v>
      </c>
      <c r="EH547" s="7">
        <v>1.0009999999999999</v>
      </c>
      <c r="EI547" s="7">
        <v>1.0009999999999999</v>
      </c>
      <c r="EJ547" s="7">
        <v>1.0009999999999999</v>
      </c>
      <c r="EK547" s="7">
        <v>1.0009999999999999</v>
      </c>
      <c r="EL547" s="7">
        <v>1.0009999999999999</v>
      </c>
      <c r="EM547" s="7">
        <v>1.0009999999999999</v>
      </c>
      <c r="EN547" s="7">
        <v>1.0009999999999999</v>
      </c>
      <c r="EO547" s="7">
        <v>1.0009999999999999</v>
      </c>
      <c r="EP547" s="7">
        <v>1.0009999999999999</v>
      </c>
      <c r="EQ547" s="7">
        <v>1.0009999999999999</v>
      </c>
      <c r="ER547" s="7">
        <v>1.0009999999999999</v>
      </c>
      <c r="ES547" s="7">
        <v>1.0009999999999999</v>
      </c>
      <c r="ET547" s="7">
        <v>1.0009999999999999</v>
      </c>
      <c r="EU547" s="7">
        <v>1.0009999999999999</v>
      </c>
      <c r="EV547" s="7">
        <v>1.0009999999999999</v>
      </c>
      <c r="EW547" s="7">
        <v>1.0009999999999999</v>
      </c>
      <c r="EX547" s="7">
        <v>1.0009999999999999</v>
      </c>
      <c r="EY547" s="7">
        <v>1.0009999999999999</v>
      </c>
      <c r="EZ547" s="7">
        <v>1.0009999999999999</v>
      </c>
      <c r="FA547" s="7">
        <v>1.0009999999999999</v>
      </c>
      <c r="FB547" s="7">
        <v>1.0009999999999999</v>
      </c>
      <c r="FC547" s="7">
        <v>1.0009999999999999</v>
      </c>
      <c r="FE547" s="50">
        <f t="shared" ca="1" si="59"/>
        <v>1.0009999999999999</v>
      </c>
      <c r="FF547" s="50">
        <f t="shared" ca="1" si="60"/>
        <v>1.0009999999999999</v>
      </c>
      <c r="FG547" s="50">
        <f t="shared" ca="1" si="61"/>
        <v>1.0009999999999999</v>
      </c>
      <c r="FH547" s="50">
        <f t="shared" ca="1" si="62"/>
        <v>1.0009999999999999</v>
      </c>
      <c r="FI547" s="50"/>
      <c r="FK547" s="50">
        <f t="shared" ca="1" si="58"/>
        <v>1.0009999999999999</v>
      </c>
      <c r="FL547" s="50"/>
      <c r="FM547" s="50"/>
      <c r="FN547" s="50"/>
    </row>
    <row r="548" spans="49:170" hidden="1">
      <c r="AW548" s="112">
        <v>0.39800000000000002</v>
      </c>
      <c r="AX548" s="7">
        <v>0.75760000000000005</v>
      </c>
      <c r="AY548" s="7">
        <v>0.76549999999999996</v>
      </c>
      <c r="AZ548" s="7">
        <v>0.77339999999999998</v>
      </c>
      <c r="BA548" s="7">
        <v>0.78120000000000001</v>
      </c>
      <c r="BB548" s="7">
        <v>0.78890000000000005</v>
      </c>
      <c r="BC548" s="7">
        <v>0.79659999999999997</v>
      </c>
      <c r="BD548" s="7">
        <v>0.80420000000000003</v>
      </c>
      <c r="BE548" s="7">
        <v>0.81159999999999999</v>
      </c>
      <c r="BF548" s="7">
        <v>0.81910000000000005</v>
      </c>
      <c r="BG548" s="7">
        <v>0.82640000000000002</v>
      </c>
      <c r="BH548" s="7">
        <v>0.8337</v>
      </c>
      <c r="BI548" s="7">
        <v>0.84089999999999998</v>
      </c>
      <c r="BJ548" s="7">
        <v>0.84799999999999998</v>
      </c>
      <c r="BK548" s="7">
        <v>0.85509999999999997</v>
      </c>
      <c r="BL548" s="7">
        <v>0.86209999999999998</v>
      </c>
      <c r="BM548" s="7">
        <v>0.86899999999999999</v>
      </c>
      <c r="BN548" s="7">
        <v>0.87590000000000001</v>
      </c>
      <c r="BO548" s="7">
        <v>0.88270000000000004</v>
      </c>
      <c r="BP548" s="7">
        <v>0.88939999999999997</v>
      </c>
      <c r="BQ548" s="7">
        <v>0.89610000000000001</v>
      </c>
      <c r="BR548" s="7">
        <v>0.90269999999999995</v>
      </c>
      <c r="BS548" s="7">
        <v>0.9093</v>
      </c>
      <c r="BT548" s="7">
        <v>0.91579999999999995</v>
      </c>
      <c r="BU548" s="7">
        <v>0.92220000000000002</v>
      </c>
      <c r="BV548" s="7">
        <v>0.92859999999999998</v>
      </c>
      <c r="BW548" s="7">
        <v>0.93500000000000005</v>
      </c>
      <c r="BX548" s="7">
        <v>0.94130000000000003</v>
      </c>
      <c r="BY548" s="7">
        <v>0.94750000000000001</v>
      </c>
      <c r="BZ548" s="7">
        <v>0.95379999999999998</v>
      </c>
      <c r="CA548" s="7">
        <v>0.95989999999999998</v>
      </c>
      <c r="CB548" s="7">
        <v>0.96599999999999997</v>
      </c>
      <c r="CC548" s="7">
        <v>0.97209999999999996</v>
      </c>
      <c r="CD548" s="7">
        <v>0.97809999999999997</v>
      </c>
      <c r="CE548" s="7">
        <v>0.98409999999999997</v>
      </c>
      <c r="CF548" s="7">
        <v>0.99</v>
      </c>
      <c r="CG548" s="7">
        <v>0.996</v>
      </c>
      <c r="CH548" s="7">
        <v>1.0009999999999999</v>
      </c>
      <c r="CI548" s="7">
        <v>1.0009999999999999</v>
      </c>
      <c r="CJ548" s="7">
        <v>1.0009999999999999</v>
      </c>
      <c r="CK548" s="7">
        <v>1.0009999999999999</v>
      </c>
      <c r="CL548" s="7">
        <v>1.0009999999999999</v>
      </c>
      <c r="CM548" s="7">
        <v>1.0009999999999999</v>
      </c>
      <c r="CN548" s="7">
        <v>1.0009999999999999</v>
      </c>
      <c r="CO548" s="7">
        <v>1.0009999999999999</v>
      </c>
      <c r="CP548" s="7">
        <v>1.0009999999999999</v>
      </c>
      <c r="CQ548" s="7">
        <v>1.0009999999999999</v>
      </c>
      <c r="CR548" s="7">
        <v>1.0009999999999999</v>
      </c>
      <c r="CS548" s="7">
        <v>1.0009999999999999</v>
      </c>
      <c r="CT548" s="7">
        <v>1.0009999999999999</v>
      </c>
      <c r="CU548" s="7">
        <v>1.0009999999999999</v>
      </c>
      <c r="CV548" s="7">
        <v>1.0009999999999999</v>
      </c>
      <c r="CW548" s="7">
        <v>1.0009999999999999</v>
      </c>
      <c r="CX548" s="7">
        <v>1.0009999999999999</v>
      </c>
      <c r="CY548" s="7">
        <v>1.0009999999999999</v>
      </c>
      <c r="CZ548" s="7">
        <v>1.0009999999999999</v>
      </c>
      <c r="DA548" s="7">
        <v>1.0009999999999999</v>
      </c>
      <c r="DB548" s="7">
        <v>1.0009999999999999</v>
      </c>
      <c r="DC548" s="7">
        <v>1.0009999999999999</v>
      </c>
      <c r="DD548" s="7">
        <v>1.0009999999999999</v>
      </c>
      <c r="DE548" s="7">
        <v>1.0009999999999999</v>
      </c>
      <c r="DF548" s="7">
        <v>1.0009999999999999</v>
      </c>
      <c r="DG548" s="7">
        <v>1.0009999999999999</v>
      </c>
      <c r="DH548" s="7">
        <v>1.0009999999999999</v>
      </c>
      <c r="DI548" s="7">
        <v>1.0009999999999999</v>
      </c>
      <c r="DJ548" s="7">
        <v>1.0009999999999999</v>
      </c>
      <c r="DK548" s="7">
        <v>1.0009999999999999</v>
      </c>
      <c r="DL548" s="7">
        <v>1.0009999999999999</v>
      </c>
      <c r="DM548" s="7">
        <v>1.0009999999999999</v>
      </c>
      <c r="DN548" s="7">
        <v>1.0009999999999999</v>
      </c>
      <c r="DO548" s="7">
        <v>1.0009999999999999</v>
      </c>
      <c r="DP548" s="7">
        <v>1.0009999999999999</v>
      </c>
      <c r="DQ548" s="7">
        <v>1.0009999999999999</v>
      </c>
      <c r="DR548" s="7">
        <v>1.0009999999999999</v>
      </c>
      <c r="DS548" s="7">
        <v>1.0009999999999999</v>
      </c>
      <c r="DT548" s="7">
        <v>1.0009999999999999</v>
      </c>
      <c r="DU548" s="7">
        <v>1.0009999999999999</v>
      </c>
      <c r="DV548" s="7">
        <v>1.0009999999999999</v>
      </c>
      <c r="DW548" s="7">
        <v>1.0009999999999999</v>
      </c>
      <c r="DX548" s="7">
        <v>1.0009999999999999</v>
      </c>
      <c r="DY548" s="7">
        <v>1.0009999999999999</v>
      </c>
      <c r="DZ548" s="7">
        <v>1.0009999999999999</v>
      </c>
      <c r="EA548" s="7">
        <v>1.0009999999999999</v>
      </c>
      <c r="EB548" s="7">
        <v>1.0009999999999999</v>
      </c>
      <c r="EC548" s="7">
        <v>1.0009999999999999</v>
      </c>
      <c r="ED548" s="7">
        <v>1.0009999999999999</v>
      </c>
      <c r="EE548" s="7">
        <v>1.0009999999999999</v>
      </c>
      <c r="EF548" s="7">
        <v>1.0009999999999999</v>
      </c>
      <c r="EG548" s="7">
        <v>1.0009999999999999</v>
      </c>
      <c r="EH548" s="7">
        <v>1.0009999999999999</v>
      </c>
      <c r="EI548" s="7">
        <v>1.0009999999999999</v>
      </c>
      <c r="EJ548" s="7">
        <v>1.0009999999999999</v>
      </c>
      <c r="EK548" s="7">
        <v>1.0009999999999999</v>
      </c>
      <c r="EL548" s="7">
        <v>1.0009999999999999</v>
      </c>
      <c r="EM548" s="7">
        <v>1.0009999999999999</v>
      </c>
      <c r="EN548" s="7">
        <v>1.0009999999999999</v>
      </c>
      <c r="EO548" s="7">
        <v>1.0009999999999999</v>
      </c>
      <c r="EP548" s="7">
        <v>1.0009999999999999</v>
      </c>
      <c r="EQ548" s="7">
        <v>1.0009999999999999</v>
      </c>
      <c r="ER548" s="7">
        <v>1.0009999999999999</v>
      </c>
      <c r="ES548" s="7">
        <v>1.0009999999999999</v>
      </c>
      <c r="ET548" s="7">
        <v>1.0009999999999999</v>
      </c>
      <c r="EU548" s="7">
        <v>1.0009999999999999</v>
      </c>
      <c r="EV548" s="7">
        <v>1.0009999999999999</v>
      </c>
      <c r="EW548" s="7">
        <v>1.0009999999999999</v>
      </c>
      <c r="EX548" s="7">
        <v>1.0009999999999999</v>
      </c>
      <c r="EY548" s="7">
        <v>1.0009999999999999</v>
      </c>
      <c r="EZ548" s="7">
        <v>1.0009999999999999</v>
      </c>
      <c r="FA548" s="7">
        <v>1.0009999999999999</v>
      </c>
      <c r="FB548" s="7">
        <v>1.0009999999999999</v>
      </c>
      <c r="FC548" s="7">
        <v>1.0009999999999999</v>
      </c>
      <c r="FE548" s="50">
        <f t="shared" ca="1" si="59"/>
        <v>1.0009999999999999</v>
      </c>
      <c r="FF548" s="50">
        <f t="shared" ca="1" si="60"/>
        <v>1.0009999999999999</v>
      </c>
      <c r="FG548" s="50">
        <f t="shared" ca="1" si="61"/>
        <v>1.0009999999999999</v>
      </c>
      <c r="FH548" s="50">
        <f t="shared" ca="1" si="62"/>
        <v>1.0009999999999999</v>
      </c>
      <c r="FI548" s="50"/>
      <c r="FK548" s="50">
        <f t="shared" ca="1" si="58"/>
        <v>1.0009999999999999</v>
      </c>
      <c r="FL548" s="50"/>
      <c r="FM548" s="50"/>
      <c r="FN548" s="50"/>
    </row>
    <row r="549" spans="49:170" hidden="1">
      <c r="AW549" s="112">
        <v>0.42699999999999999</v>
      </c>
      <c r="AX549" s="7">
        <v>0.75270000000000004</v>
      </c>
      <c r="AY549" s="7">
        <v>0.76060000000000005</v>
      </c>
      <c r="AZ549" s="7">
        <v>0.76839999999999997</v>
      </c>
      <c r="BA549" s="7">
        <v>0.7762</v>
      </c>
      <c r="BB549" s="7">
        <v>0.78380000000000005</v>
      </c>
      <c r="BC549" s="7">
        <v>0.79139999999999999</v>
      </c>
      <c r="BD549" s="7">
        <v>0.79900000000000004</v>
      </c>
      <c r="BE549" s="7">
        <v>0.80640000000000001</v>
      </c>
      <c r="BF549" s="7">
        <v>0.81379999999999997</v>
      </c>
      <c r="BG549" s="7">
        <v>0.82110000000000005</v>
      </c>
      <c r="BH549" s="7">
        <v>0.82830000000000004</v>
      </c>
      <c r="BI549" s="7">
        <v>0.83540000000000003</v>
      </c>
      <c r="BJ549" s="7">
        <v>0.84250000000000003</v>
      </c>
      <c r="BK549" s="7">
        <v>0.84950000000000003</v>
      </c>
      <c r="BL549" s="7">
        <v>0.85650000000000004</v>
      </c>
      <c r="BM549" s="7">
        <v>0.86339999999999995</v>
      </c>
      <c r="BN549" s="7">
        <v>0.87019999999999997</v>
      </c>
      <c r="BO549" s="7">
        <v>0.877</v>
      </c>
      <c r="BP549" s="7">
        <v>0.88370000000000004</v>
      </c>
      <c r="BQ549" s="7">
        <v>0.89029999999999998</v>
      </c>
      <c r="BR549" s="7">
        <v>0.89690000000000003</v>
      </c>
      <c r="BS549" s="7">
        <v>0.90339999999999998</v>
      </c>
      <c r="BT549" s="7">
        <v>0.90990000000000004</v>
      </c>
      <c r="BU549" s="7">
        <v>0.9163</v>
      </c>
      <c r="BV549" s="7">
        <v>0.92259999999999998</v>
      </c>
      <c r="BW549" s="7">
        <v>0.92900000000000005</v>
      </c>
      <c r="BX549" s="7">
        <v>0.93520000000000003</v>
      </c>
      <c r="BY549" s="7">
        <v>0.94140000000000001</v>
      </c>
      <c r="BZ549" s="7">
        <v>0.9476</v>
      </c>
      <c r="CA549" s="7">
        <v>0.95369999999999999</v>
      </c>
      <c r="CB549" s="7">
        <v>0.95979999999999999</v>
      </c>
      <c r="CC549" s="7">
        <v>0.96579999999999999</v>
      </c>
      <c r="CD549" s="7">
        <v>0.9718</v>
      </c>
      <c r="CE549" s="7">
        <v>0.97770000000000001</v>
      </c>
      <c r="CF549" s="7">
        <v>0.98360000000000003</v>
      </c>
      <c r="CG549" s="7">
        <v>0.98950000000000005</v>
      </c>
      <c r="CH549" s="7">
        <v>0.99539999999999995</v>
      </c>
      <c r="CI549" s="7">
        <v>1.0009999999999999</v>
      </c>
      <c r="CJ549" s="7">
        <v>1.0009999999999999</v>
      </c>
      <c r="CK549" s="7">
        <v>1.0009999999999999</v>
      </c>
      <c r="CL549" s="7">
        <v>1.0009999999999999</v>
      </c>
      <c r="CM549" s="7">
        <v>1.0009999999999999</v>
      </c>
      <c r="CN549" s="7">
        <v>1.0009999999999999</v>
      </c>
      <c r="CO549" s="7">
        <v>1.0009999999999999</v>
      </c>
      <c r="CP549" s="7">
        <v>1.0009999999999999</v>
      </c>
      <c r="CQ549" s="7">
        <v>1.0009999999999999</v>
      </c>
      <c r="CR549" s="7">
        <v>1.0009999999999999</v>
      </c>
      <c r="CS549" s="7">
        <v>1.0009999999999999</v>
      </c>
      <c r="CT549" s="7">
        <v>1.0009999999999999</v>
      </c>
      <c r="CU549" s="7">
        <v>1.0009999999999999</v>
      </c>
      <c r="CV549" s="7">
        <v>1.0009999999999999</v>
      </c>
      <c r="CW549" s="7">
        <v>1.0009999999999999</v>
      </c>
      <c r="CX549" s="7">
        <v>1.0009999999999999</v>
      </c>
      <c r="CY549" s="7">
        <v>1.0009999999999999</v>
      </c>
      <c r="CZ549" s="7">
        <v>1.0009999999999999</v>
      </c>
      <c r="DA549" s="7">
        <v>1.0009999999999999</v>
      </c>
      <c r="DB549" s="7">
        <v>1.0009999999999999</v>
      </c>
      <c r="DC549" s="7">
        <v>1.0009999999999999</v>
      </c>
      <c r="DD549" s="7">
        <v>1.0009999999999999</v>
      </c>
      <c r="DE549" s="7">
        <v>1.0009999999999999</v>
      </c>
      <c r="DF549" s="7">
        <v>1.0009999999999999</v>
      </c>
      <c r="DG549" s="7">
        <v>1.0009999999999999</v>
      </c>
      <c r="DH549" s="7">
        <v>1.0009999999999999</v>
      </c>
      <c r="DI549" s="7">
        <v>1.0009999999999999</v>
      </c>
      <c r="DJ549" s="7">
        <v>1.0009999999999999</v>
      </c>
      <c r="DK549" s="7">
        <v>1.0009999999999999</v>
      </c>
      <c r="DL549" s="7">
        <v>1.0009999999999999</v>
      </c>
      <c r="DM549" s="7">
        <v>1.0009999999999999</v>
      </c>
      <c r="DN549" s="7">
        <v>1.0009999999999999</v>
      </c>
      <c r="DO549" s="7">
        <v>1.0009999999999999</v>
      </c>
      <c r="DP549" s="7">
        <v>1.0009999999999999</v>
      </c>
      <c r="DQ549" s="7">
        <v>1.0009999999999999</v>
      </c>
      <c r="DR549" s="7">
        <v>1.0009999999999999</v>
      </c>
      <c r="DS549" s="7">
        <v>1.0009999999999999</v>
      </c>
      <c r="DT549" s="7">
        <v>1.0009999999999999</v>
      </c>
      <c r="DU549" s="7">
        <v>1.0009999999999999</v>
      </c>
      <c r="DV549" s="7">
        <v>1.0009999999999999</v>
      </c>
      <c r="DW549" s="7">
        <v>1.0009999999999999</v>
      </c>
      <c r="DX549" s="7">
        <v>1.0009999999999999</v>
      </c>
      <c r="DY549" s="7">
        <v>1.0009999999999999</v>
      </c>
      <c r="DZ549" s="7">
        <v>1.0009999999999999</v>
      </c>
      <c r="EA549" s="7">
        <v>1.0009999999999999</v>
      </c>
      <c r="EB549" s="7">
        <v>1.0009999999999999</v>
      </c>
      <c r="EC549" s="7">
        <v>1.0009999999999999</v>
      </c>
      <c r="ED549" s="7">
        <v>1.0009999999999999</v>
      </c>
      <c r="EE549" s="7">
        <v>1.0009999999999999</v>
      </c>
      <c r="EF549" s="7">
        <v>1.0009999999999999</v>
      </c>
      <c r="EG549" s="7">
        <v>1.0009999999999999</v>
      </c>
      <c r="EH549" s="7">
        <v>1.0009999999999999</v>
      </c>
      <c r="EI549" s="7">
        <v>1.0009999999999999</v>
      </c>
      <c r="EJ549" s="7">
        <v>1.0009999999999999</v>
      </c>
      <c r="EK549" s="7">
        <v>1.0009999999999999</v>
      </c>
      <c r="EL549" s="7">
        <v>1.0009999999999999</v>
      </c>
      <c r="EM549" s="7">
        <v>1.0009999999999999</v>
      </c>
      <c r="EN549" s="7">
        <v>1.0009999999999999</v>
      </c>
      <c r="EO549" s="7">
        <v>1.0009999999999999</v>
      </c>
      <c r="EP549" s="7">
        <v>1.0009999999999999</v>
      </c>
      <c r="EQ549" s="7">
        <v>1.0009999999999999</v>
      </c>
      <c r="ER549" s="7">
        <v>1.0009999999999999</v>
      </c>
      <c r="ES549" s="7">
        <v>1.0009999999999999</v>
      </c>
      <c r="ET549" s="7">
        <v>1.0009999999999999</v>
      </c>
      <c r="EU549" s="7">
        <v>1.0009999999999999</v>
      </c>
      <c r="EV549" s="7">
        <v>1.0009999999999999</v>
      </c>
      <c r="EW549" s="7">
        <v>1.0009999999999999</v>
      </c>
      <c r="EX549" s="7">
        <v>1.0009999999999999</v>
      </c>
      <c r="EY549" s="7">
        <v>1.0009999999999999</v>
      </c>
      <c r="EZ549" s="7">
        <v>1.0009999999999999</v>
      </c>
      <c r="FA549" s="7">
        <v>1.0009999999999999</v>
      </c>
      <c r="FB549" s="7">
        <v>1.0009999999999999</v>
      </c>
      <c r="FC549" s="7">
        <v>1.0009999999999999</v>
      </c>
      <c r="FE549" s="50">
        <f t="shared" ca="1" si="59"/>
        <v>1.0009999999999999</v>
      </c>
      <c r="FF549" s="50">
        <f t="shared" ca="1" si="60"/>
        <v>1.0009999999999999</v>
      </c>
      <c r="FG549" s="50">
        <f t="shared" ca="1" si="61"/>
        <v>1.0009999999999999</v>
      </c>
      <c r="FH549" s="50">
        <f t="shared" ca="1" si="62"/>
        <v>1.0009999999999999</v>
      </c>
      <c r="FI549" s="50"/>
      <c r="FK549" s="50">
        <f t="shared" ca="1" si="58"/>
        <v>1.0009999999999999</v>
      </c>
      <c r="FL549" s="50"/>
      <c r="FM549" s="50"/>
      <c r="FN549" s="50"/>
    </row>
    <row r="550" spans="49:170" hidden="1">
      <c r="AW550" s="112">
        <v>0.45700000000000002</v>
      </c>
      <c r="AX550" s="7">
        <v>0.74790000000000001</v>
      </c>
      <c r="AY550" s="7">
        <v>0.75570000000000004</v>
      </c>
      <c r="AZ550" s="7">
        <v>0.76349999999999996</v>
      </c>
      <c r="BA550" s="7">
        <v>0.7712</v>
      </c>
      <c r="BB550" s="7">
        <v>0.77890000000000004</v>
      </c>
      <c r="BC550" s="7">
        <v>0.78639999999999999</v>
      </c>
      <c r="BD550" s="7">
        <v>0.79390000000000005</v>
      </c>
      <c r="BE550" s="7">
        <v>0.80130000000000001</v>
      </c>
      <c r="BF550" s="7">
        <v>0.80859999999999999</v>
      </c>
      <c r="BG550" s="7">
        <v>0.81579999999999997</v>
      </c>
      <c r="BH550" s="7">
        <v>0.82299999999999995</v>
      </c>
      <c r="BI550" s="7">
        <v>0.83009999999999995</v>
      </c>
      <c r="BJ550" s="7">
        <v>0.83720000000000006</v>
      </c>
      <c r="BK550" s="7">
        <v>0.84409999999999996</v>
      </c>
      <c r="BL550" s="7">
        <v>0.85099999999999998</v>
      </c>
      <c r="BM550" s="7">
        <v>0.8579</v>
      </c>
      <c r="BN550" s="7">
        <v>0.86470000000000002</v>
      </c>
      <c r="BO550" s="7">
        <v>0.87139999999999995</v>
      </c>
      <c r="BP550" s="7">
        <v>0.878</v>
      </c>
      <c r="BQ550" s="7">
        <v>0.88460000000000005</v>
      </c>
      <c r="BR550" s="7">
        <v>0.89119999999999999</v>
      </c>
      <c r="BS550" s="7">
        <v>0.89770000000000005</v>
      </c>
      <c r="BT550" s="7">
        <v>0.90410000000000001</v>
      </c>
      <c r="BU550" s="7">
        <v>0.91049999999999998</v>
      </c>
      <c r="BV550" s="7">
        <v>0.91679999999999995</v>
      </c>
      <c r="BW550" s="7">
        <v>0.92300000000000004</v>
      </c>
      <c r="BX550" s="7">
        <v>0.92930000000000001</v>
      </c>
      <c r="BY550" s="7">
        <v>0.93540000000000001</v>
      </c>
      <c r="BZ550" s="7">
        <v>0.94159999999999999</v>
      </c>
      <c r="CA550" s="7">
        <v>0.9476</v>
      </c>
      <c r="CB550" s="7">
        <v>0.95369999999999999</v>
      </c>
      <c r="CC550" s="7">
        <v>0.9597</v>
      </c>
      <c r="CD550" s="7">
        <v>0.96560000000000001</v>
      </c>
      <c r="CE550" s="7">
        <v>0.97150000000000003</v>
      </c>
      <c r="CF550" s="7">
        <v>0.97740000000000005</v>
      </c>
      <c r="CG550" s="7">
        <v>0.98319999999999996</v>
      </c>
      <c r="CH550" s="7">
        <v>0.98899999999999999</v>
      </c>
      <c r="CI550" s="7">
        <v>0.99480000000000002</v>
      </c>
      <c r="CJ550" s="7">
        <v>1.0009999999999999</v>
      </c>
      <c r="CK550" s="7">
        <v>1.0009999999999999</v>
      </c>
      <c r="CL550" s="7">
        <v>1.0009999999999999</v>
      </c>
      <c r="CM550" s="7">
        <v>1.0009999999999999</v>
      </c>
      <c r="CN550" s="7">
        <v>1.0009999999999999</v>
      </c>
      <c r="CO550" s="7">
        <v>1.0009999999999999</v>
      </c>
      <c r="CP550" s="7">
        <v>1.0009999999999999</v>
      </c>
      <c r="CQ550" s="7">
        <v>1.0009999999999999</v>
      </c>
      <c r="CR550" s="7">
        <v>1.0009999999999999</v>
      </c>
      <c r="CS550" s="7">
        <v>1.0009999999999999</v>
      </c>
      <c r="CT550" s="7">
        <v>1.0009999999999999</v>
      </c>
      <c r="CU550" s="7">
        <v>1.0009999999999999</v>
      </c>
      <c r="CV550" s="7">
        <v>1.0009999999999999</v>
      </c>
      <c r="CW550" s="7">
        <v>1.0009999999999999</v>
      </c>
      <c r="CX550" s="7">
        <v>1.0009999999999999</v>
      </c>
      <c r="CY550" s="7">
        <v>1.0009999999999999</v>
      </c>
      <c r="CZ550" s="7">
        <v>1.0009999999999999</v>
      </c>
      <c r="DA550" s="7">
        <v>1.0009999999999999</v>
      </c>
      <c r="DB550" s="7">
        <v>1.0009999999999999</v>
      </c>
      <c r="DC550" s="7">
        <v>1.0009999999999999</v>
      </c>
      <c r="DD550" s="7">
        <v>1.0009999999999999</v>
      </c>
      <c r="DE550" s="7">
        <v>1.0009999999999999</v>
      </c>
      <c r="DF550" s="7">
        <v>1.0009999999999999</v>
      </c>
      <c r="DG550" s="7">
        <v>1.0009999999999999</v>
      </c>
      <c r="DH550" s="7">
        <v>1.0009999999999999</v>
      </c>
      <c r="DI550" s="7">
        <v>1.0009999999999999</v>
      </c>
      <c r="DJ550" s="7">
        <v>1.0009999999999999</v>
      </c>
      <c r="DK550" s="7">
        <v>1.0009999999999999</v>
      </c>
      <c r="DL550" s="7">
        <v>1.0009999999999999</v>
      </c>
      <c r="DM550" s="7">
        <v>1.0009999999999999</v>
      </c>
      <c r="DN550" s="7">
        <v>1.0009999999999999</v>
      </c>
      <c r="DO550" s="7">
        <v>1.0009999999999999</v>
      </c>
      <c r="DP550" s="7">
        <v>1.0009999999999999</v>
      </c>
      <c r="DQ550" s="7">
        <v>1.0009999999999999</v>
      </c>
      <c r="DR550" s="7">
        <v>1.0009999999999999</v>
      </c>
      <c r="DS550" s="7">
        <v>1.0009999999999999</v>
      </c>
      <c r="DT550" s="7">
        <v>1.0009999999999999</v>
      </c>
      <c r="DU550" s="7">
        <v>1.0009999999999999</v>
      </c>
      <c r="DV550" s="7">
        <v>1.0009999999999999</v>
      </c>
      <c r="DW550" s="7">
        <v>1.0009999999999999</v>
      </c>
      <c r="DX550" s="7">
        <v>1.0009999999999999</v>
      </c>
      <c r="DY550" s="7">
        <v>1.0009999999999999</v>
      </c>
      <c r="DZ550" s="7">
        <v>1.0009999999999999</v>
      </c>
      <c r="EA550" s="7">
        <v>1.0009999999999999</v>
      </c>
      <c r="EB550" s="7">
        <v>1.0009999999999999</v>
      </c>
      <c r="EC550" s="7">
        <v>1.0009999999999999</v>
      </c>
      <c r="ED550" s="7">
        <v>1.0009999999999999</v>
      </c>
      <c r="EE550" s="7">
        <v>1.0009999999999999</v>
      </c>
      <c r="EF550" s="7">
        <v>1.0009999999999999</v>
      </c>
      <c r="EG550" s="7">
        <v>1.0009999999999999</v>
      </c>
      <c r="EH550" s="7">
        <v>1.0009999999999999</v>
      </c>
      <c r="EI550" s="7">
        <v>1.0009999999999999</v>
      </c>
      <c r="EJ550" s="7">
        <v>1.0009999999999999</v>
      </c>
      <c r="EK550" s="7">
        <v>1.0009999999999999</v>
      </c>
      <c r="EL550" s="7">
        <v>1.0009999999999999</v>
      </c>
      <c r="EM550" s="7">
        <v>1.0009999999999999</v>
      </c>
      <c r="EN550" s="7">
        <v>1.0009999999999999</v>
      </c>
      <c r="EO550" s="7">
        <v>1.0009999999999999</v>
      </c>
      <c r="EP550" s="7">
        <v>1.0009999999999999</v>
      </c>
      <c r="EQ550" s="7">
        <v>1.0009999999999999</v>
      </c>
      <c r="ER550" s="7">
        <v>1.0009999999999999</v>
      </c>
      <c r="ES550" s="7">
        <v>1.0009999999999999</v>
      </c>
      <c r="ET550" s="7">
        <v>1.0009999999999999</v>
      </c>
      <c r="EU550" s="7">
        <v>1.0009999999999999</v>
      </c>
      <c r="EV550" s="7">
        <v>1.0009999999999999</v>
      </c>
      <c r="EW550" s="7">
        <v>1.0009999999999999</v>
      </c>
      <c r="EX550" s="7">
        <v>1.0009999999999999</v>
      </c>
      <c r="EY550" s="7">
        <v>1.0009999999999999</v>
      </c>
      <c r="EZ550" s="7">
        <v>1.0009999999999999</v>
      </c>
      <c r="FA550" s="7">
        <v>1.0009999999999999</v>
      </c>
      <c r="FB550" s="7">
        <v>1.0009999999999999</v>
      </c>
      <c r="FC550" s="7">
        <v>1.0009999999999999</v>
      </c>
      <c r="FE550" s="50">
        <f t="shared" ca="1" si="59"/>
        <v>1.0009999999999999</v>
      </c>
      <c r="FF550" s="50">
        <f t="shared" ca="1" si="60"/>
        <v>1.0009999999999999</v>
      </c>
      <c r="FG550" s="50">
        <f t="shared" ca="1" si="61"/>
        <v>1.0009999999999999</v>
      </c>
      <c r="FH550" s="50">
        <f t="shared" ca="1" si="62"/>
        <v>1.0009999999999999</v>
      </c>
      <c r="FI550" s="50"/>
      <c r="FK550" s="50">
        <f t="shared" ca="1" si="58"/>
        <v>1.0009999999999999</v>
      </c>
      <c r="FL550" s="50"/>
      <c r="FM550" s="50"/>
      <c r="FN550" s="50"/>
    </row>
    <row r="551" spans="49:170" hidden="1">
      <c r="AW551" s="112">
        <v>0.49</v>
      </c>
      <c r="AX551" s="7">
        <v>0.74319999999999997</v>
      </c>
      <c r="AY551" s="7">
        <v>0.751</v>
      </c>
      <c r="AZ551" s="7">
        <v>0.75870000000000004</v>
      </c>
      <c r="BA551" s="7">
        <v>0.76639999999999997</v>
      </c>
      <c r="BB551" s="7">
        <v>0.77400000000000002</v>
      </c>
      <c r="BC551" s="7">
        <v>0.78149999999999997</v>
      </c>
      <c r="BD551" s="7">
        <v>0.78890000000000005</v>
      </c>
      <c r="BE551" s="7">
        <v>0.79620000000000002</v>
      </c>
      <c r="BF551" s="7">
        <v>0.80349999999999999</v>
      </c>
      <c r="BG551" s="7">
        <v>0.81069999999999998</v>
      </c>
      <c r="BH551" s="7">
        <v>0.81789999999999996</v>
      </c>
      <c r="BI551" s="7">
        <v>0.82489999999999997</v>
      </c>
      <c r="BJ551" s="7">
        <v>0.83189999999999997</v>
      </c>
      <c r="BK551" s="7">
        <v>0.83879999999999999</v>
      </c>
      <c r="BL551" s="7">
        <v>0.84570000000000001</v>
      </c>
      <c r="BM551" s="7">
        <v>0.85250000000000004</v>
      </c>
      <c r="BN551" s="7">
        <v>0.85919999999999996</v>
      </c>
      <c r="BO551" s="7">
        <v>0.8659</v>
      </c>
      <c r="BP551" s="7">
        <v>0.87250000000000005</v>
      </c>
      <c r="BQ551" s="7">
        <v>0.87909999999999999</v>
      </c>
      <c r="BR551" s="7">
        <v>0.88560000000000005</v>
      </c>
      <c r="BS551" s="7">
        <v>0.89200000000000002</v>
      </c>
      <c r="BT551" s="7">
        <v>0.89839999999999998</v>
      </c>
      <c r="BU551" s="7">
        <v>0.90469999999999995</v>
      </c>
      <c r="BV551" s="7">
        <v>0.91100000000000003</v>
      </c>
      <c r="BW551" s="7">
        <v>0.9173</v>
      </c>
      <c r="BX551" s="7">
        <v>0.9234</v>
      </c>
      <c r="BY551" s="7">
        <v>0.92959999999999998</v>
      </c>
      <c r="BZ551" s="7">
        <v>0.93569999999999998</v>
      </c>
      <c r="CA551" s="7">
        <v>0.94169999999999998</v>
      </c>
      <c r="CB551" s="7">
        <v>0.94769999999999999</v>
      </c>
      <c r="CC551" s="7">
        <v>0.9536</v>
      </c>
      <c r="CD551" s="7">
        <v>0.95960000000000001</v>
      </c>
      <c r="CE551" s="7">
        <v>0.96540000000000004</v>
      </c>
      <c r="CF551" s="7">
        <v>0.97130000000000005</v>
      </c>
      <c r="CG551" s="7">
        <v>0.97709999999999997</v>
      </c>
      <c r="CH551" s="7">
        <v>0.98280000000000001</v>
      </c>
      <c r="CI551" s="7">
        <v>0.98850000000000005</v>
      </c>
      <c r="CJ551" s="7">
        <v>0.99419999999999997</v>
      </c>
      <c r="CK551" s="7">
        <v>0.99990000000000001</v>
      </c>
      <c r="CL551" s="7">
        <v>1.0009999999999999</v>
      </c>
      <c r="CM551" s="7">
        <v>1.0009999999999999</v>
      </c>
      <c r="CN551" s="7">
        <v>1.0009999999999999</v>
      </c>
      <c r="CO551" s="7">
        <v>1.0009999999999999</v>
      </c>
      <c r="CP551" s="7">
        <v>1.0009999999999999</v>
      </c>
      <c r="CQ551" s="7">
        <v>1.0009999999999999</v>
      </c>
      <c r="CR551" s="7">
        <v>1.0009999999999999</v>
      </c>
      <c r="CS551" s="7">
        <v>1.0009999999999999</v>
      </c>
      <c r="CT551" s="7">
        <v>1.0009999999999999</v>
      </c>
      <c r="CU551" s="7">
        <v>1.0009999999999999</v>
      </c>
      <c r="CV551" s="7">
        <v>1.0009999999999999</v>
      </c>
      <c r="CW551" s="7">
        <v>1.0009999999999999</v>
      </c>
      <c r="CX551" s="7">
        <v>1.0009999999999999</v>
      </c>
      <c r="CY551" s="7">
        <v>1.0009999999999999</v>
      </c>
      <c r="CZ551" s="7">
        <v>1.0009999999999999</v>
      </c>
      <c r="DA551" s="7">
        <v>1.0009999999999999</v>
      </c>
      <c r="DB551" s="7">
        <v>1.0009999999999999</v>
      </c>
      <c r="DC551" s="7">
        <v>1.0009999999999999</v>
      </c>
      <c r="DD551" s="7">
        <v>1.0009999999999999</v>
      </c>
      <c r="DE551" s="7">
        <v>1.0009999999999999</v>
      </c>
      <c r="DF551" s="7">
        <v>1.0009999999999999</v>
      </c>
      <c r="DG551" s="7">
        <v>1.0009999999999999</v>
      </c>
      <c r="DH551" s="7">
        <v>1.0009999999999999</v>
      </c>
      <c r="DI551" s="7">
        <v>1.0009999999999999</v>
      </c>
      <c r="DJ551" s="7">
        <v>1.0009999999999999</v>
      </c>
      <c r="DK551" s="7">
        <v>1.0009999999999999</v>
      </c>
      <c r="DL551" s="7">
        <v>1.0009999999999999</v>
      </c>
      <c r="DM551" s="7">
        <v>1.0009999999999999</v>
      </c>
      <c r="DN551" s="7">
        <v>1.0009999999999999</v>
      </c>
      <c r="DO551" s="7">
        <v>1.0009999999999999</v>
      </c>
      <c r="DP551" s="7">
        <v>1.0009999999999999</v>
      </c>
      <c r="DQ551" s="7">
        <v>1.0009999999999999</v>
      </c>
      <c r="DR551" s="7">
        <v>1.0009999999999999</v>
      </c>
      <c r="DS551" s="7">
        <v>1.0009999999999999</v>
      </c>
      <c r="DT551" s="7">
        <v>1.0009999999999999</v>
      </c>
      <c r="DU551" s="7">
        <v>1.0009999999999999</v>
      </c>
      <c r="DV551" s="7">
        <v>1.0009999999999999</v>
      </c>
      <c r="DW551" s="7">
        <v>1.0009999999999999</v>
      </c>
      <c r="DX551" s="7">
        <v>1.0009999999999999</v>
      </c>
      <c r="DY551" s="7">
        <v>1.0009999999999999</v>
      </c>
      <c r="DZ551" s="7">
        <v>1.0009999999999999</v>
      </c>
      <c r="EA551" s="7">
        <v>1.0009999999999999</v>
      </c>
      <c r="EB551" s="7">
        <v>1.0009999999999999</v>
      </c>
      <c r="EC551" s="7">
        <v>1.0009999999999999</v>
      </c>
      <c r="ED551" s="7">
        <v>1.0009999999999999</v>
      </c>
      <c r="EE551" s="7">
        <v>1.0009999999999999</v>
      </c>
      <c r="EF551" s="7">
        <v>1.0009999999999999</v>
      </c>
      <c r="EG551" s="7">
        <v>1.0009999999999999</v>
      </c>
      <c r="EH551" s="7">
        <v>1.0009999999999999</v>
      </c>
      <c r="EI551" s="7">
        <v>1.0009999999999999</v>
      </c>
      <c r="EJ551" s="7">
        <v>1.0009999999999999</v>
      </c>
      <c r="EK551" s="7">
        <v>1.0009999999999999</v>
      </c>
      <c r="EL551" s="7">
        <v>1.0009999999999999</v>
      </c>
      <c r="EM551" s="7">
        <v>1.0009999999999999</v>
      </c>
      <c r="EN551" s="7">
        <v>1.0009999999999999</v>
      </c>
      <c r="EO551" s="7">
        <v>1.0009999999999999</v>
      </c>
      <c r="EP551" s="7">
        <v>1.0009999999999999</v>
      </c>
      <c r="EQ551" s="7">
        <v>1.0009999999999999</v>
      </c>
      <c r="ER551" s="7">
        <v>1.0009999999999999</v>
      </c>
      <c r="ES551" s="7">
        <v>1.0009999999999999</v>
      </c>
      <c r="ET551" s="7">
        <v>1.0009999999999999</v>
      </c>
      <c r="EU551" s="7">
        <v>1.0009999999999999</v>
      </c>
      <c r="EV551" s="7">
        <v>1.0009999999999999</v>
      </c>
      <c r="EW551" s="7">
        <v>1.0009999999999999</v>
      </c>
      <c r="EX551" s="7">
        <v>1.0009999999999999</v>
      </c>
      <c r="EY551" s="7">
        <v>1.0009999999999999</v>
      </c>
      <c r="EZ551" s="7">
        <v>1.0009999999999999</v>
      </c>
      <c r="FA551" s="7">
        <v>1.0009999999999999</v>
      </c>
      <c r="FB551" s="7">
        <v>1.0009999999999999</v>
      </c>
      <c r="FC551" s="7">
        <v>1.0009999999999999</v>
      </c>
      <c r="FE551" s="50">
        <f t="shared" ca="1" si="59"/>
        <v>1.0009999999999999</v>
      </c>
      <c r="FF551" s="50">
        <f t="shared" ca="1" si="60"/>
        <v>1.0009999999999999</v>
      </c>
      <c r="FG551" s="50">
        <f t="shared" ca="1" si="61"/>
        <v>1.0009999999999999</v>
      </c>
      <c r="FH551" s="50">
        <f t="shared" ca="1" si="62"/>
        <v>1.0009999999999999</v>
      </c>
      <c r="FI551" s="50"/>
      <c r="FK551" s="50">
        <f t="shared" ca="1" si="58"/>
        <v>1.0009999999999999</v>
      </c>
      <c r="FL551" s="50"/>
      <c r="FM551" s="50"/>
      <c r="FN551" s="50"/>
    </row>
    <row r="552" spans="49:170" hidden="1">
      <c r="AW552" s="112">
        <v>0.52500000000000002</v>
      </c>
      <c r="AX552" s="7">
        <v>0.73860000000000003</v>
      </c>
      <c r="AY552" s="7">
        <v>0.74639999999999995</v>
      </c>
      <c r="AZ552" s="7">
        <v>0.754</v>
      </c>
      <c r="BA552" s="7">
        <v>0.76170000000000004</v>
      </c>
      <c r="BB552" s="7">
        <v>0.76919999999999999</v>
      </c>
      <c r="BC552" s="7">
        <v>0.77659999999999996</v>
      </c>
      <c r="BD552" s="7">
        <v>0.78400000000000003</v>
      </c>
      <c r="BE552" s="7">
        <v>0.7913</v>
      </c>
      <c r="BF552" s="7">
        <v>0.79859999999999998</v>
      </c>
      <c r="BG552" s="7">
        <v>0.80569999999999997</v>
      </c>
      <c r="BH552" s="7">
        <v>0.81279999999999997</v>
      </c>
      <c r="BI552" s="7">
        <v>0.81979999999999997</v>
      </c>
      <c r="BJ552" s="7">
        <v>0.82679999999999998</v>
      </c>
      <c r="BK552" s="7">
        <v>0.8337</v>
      </c>
      <c r="BL552" s="7">
        <v>0.84050000000000002</v>
      </c>
      <c r="BM552" s="7">
        <v>0.84719999999999995</v>
      </c>
      <c r="BN552" s="7">
        <v>0.85389999999999999</v>
      </c>
      <c r="BO552" s="7">
        <v>0.86060000000000003</v>
      </c>
      <c r="BP552" s="7">
        <v>0.86709999999999998</v>
      </c>
      <c r="BQ552" s="7">
        <v>0.87360000000000004</v>
      </c>
      <c r="BR552" s="7">
        <v>0.88009999999999999</v>
      </c>
      <c r="BS552" s="7">
        <v>0.88649999999999995</v>
      </c>
      <c r="BT552" s="7">
        <v>0.89290000000000003</v>
      </c>
      <c r="BU552" s="7">
        <v>0.89910000000000001</v>
      </c>
      <c r="BV552" s="7">
        <v>0.90539999999999998</v>
      </c>
      <c r="BW552" s="7">
        <v>0.91159999999999997</v>
      </c>
      <c r="BX552" s="7">
        <v>0.91769999999999996</v>
      </c>
      <c r="BY552" s="7">
        <v>0.92379999999999995</v>
      </c>
      <c r="BZ552" s="7">
        <v>0.92989999999999995</v>
      </c>
      <c r="CA552" s="7">
        <v>0.93589999999999995</v>
      </c>
      <c r="CB552" s="7">
        <v>0.94179999999999997</v>
      </c>
      <c r="CC552" s="7">
        <v>0.94769999999999999</v>
      </c>
      <c r="CD552" s="7">
        <v>0.9536</v>
      </c>
      <c r="CE552" s="7">
        <v>0.95950000000000002</v>
      </c>
      <c r="CF552" s="7">
        <v>0.96530000000000005</v>
      </c>
      <c r="CG552" s="7">
        <v>0.97099999999999997</v>
      </c>
      <c r="CH552" s="7">
        <v>0.97670000000000001</v>
      </c>
      <c r="CI552" s="7">
        <v>0.98240000000000005</v>
      </c>
      <c r="CJ552" s="7">
        <v>0.98809999999999998</v>
      </c>
      <c r="CK552" s="7">
        <v>0.99370000000000003</v>
      </c>
      <c r="CL552" s="7">
        <v>0.99929999999999997</v>
      </c>
      <c r="CM552" s="7">
        <v>1.0009999999999999</v>
      </c>
      <c r="CN552" s="7">
        <v>1.0009999999999999</v>
      </c>
      <c r="CO552" s="7">
        <v>1.0009999999999999</v>
      </c>
      <c r="CP552" s="7">
        <v>1.0009999999999999</v>
      </c>
      <c r="CQ552" s="7">
        <v>1.0009999999999999</v>
      </c>
      <c r="CR552" s="7">
        <v>1.0009999999999999</v>
      </c>
      <c r="CS552" s="7">
        <v>1.0009999999999999</v>
      </c>
      <c r="CT552" s="7">
        <v>1.0009999999999999</v>
      </c>
      <c r="CU552" s="7">
        <v>1.0009999999999999</v>
      </c>
      <c r="CV552" s="7">
        <v>1.0009999999999999</v>
      </c>
      <c r="CW552" s="7">
        <v>1.0009999999999999</v>
      </c>
      <c r="CX552" s="7">
        <v>1.0009999999999999</v>
      </c>
      <c r="CY552" s="7">
        <v>1.0009999999999999</v>
      </c>
      <c r="CZ552" s="7">
        <v>1.0009999999999999</v>
      </c>
      <c r="DA552" s="7">
        <v>1.0009999999999999</v>
      </c>
      <c r="DB552" s="7">
        <v>1.0009999999999999</v>
      </c>
      <c r="DC552" s="7">
        <v>1.0009999999999999</v>
      </c>
      <c r="DD552" s="7">
        <v>1.0009999999999999</v>
      </c>
      <c r="DE552" s="7">
        <v>1.0009999999999999</v>
      </c>
      <c r="DF552" s="7">
        <v>1.0009999999999999</v>
      </c>
      <c r="DG552" s="7">
        <v>1.0009999999999999</v>
      </c>
      <c r="DH552" s="7">
        <v>1.0009999999999999</v>
      </c>
      <c r="DI552" s="7">
        <v>1.0009999999999999</v>
      </c>
      <c r="DJ552" s="7">
        <v>1.0009999999999999</v>
      </c>
      <c r="DK552" s="7">
        <v>1.0009999999999999</v>
      </c>
      <c r="DL552" s="7">
        <v>1.0009999999999999</v>
      </c>
      <c r="DM552" s="7">
        <v>1.0009999999999999</v>
      </c>
      <c r="DN552" s="7">
        <v>1.0009999999999999</v>
      </c>
      <c r="DO552" s="7">
        <v>1.0009999999999999</v>
      </c>
      <c r="DP552" s="7">
        <v>1.0009999999999999</v>
      </c>
      <c r="DQ552" s="7">
        <v>1.0009999999999999</v>
      </c>
      <c r="DR552" s="7">
        <v>1.0009999999999999</v>
      </c>
      <c r="DS552" s="7">
        <v>1.0009999999999999</v>
      </c>
      <c r="DT552" s="7">
        <v>1.0009999999999999</v>
      </c>
      <c r="DU552" s="7">
        <v>1.0009999999999999</v>
      </c>
      <c r="DV552" s="7">
        <v>1.0009999999999999</v>
      </c>
      <c r="DW552" s="7">
        <v>1.0009999999999999</v>
      </c>
      <c r="DX552" s="7">
        <v>1.0009999999999999</v>
      </c>
      <c r="DY552" s="7">
        <v>1.0009999999999999</v>
      </c>
      <c r="DZ552" s="7">
        <v>1.0009999999999999</v>
      </c>
      <c r="EA552" s="7">
        <v>1.0009999999999999</v>
      </c>
      <c r="EB552" s="7">
        <v>1.0009999999999999</v>
      </c>
      <c r="EC552" s="7">
        <v>1.0009999999999999</v>
      </c>
      <c r="ED552" s="7">
        <v>1.0009999999999999</v>
      </c>
      <c r="EE552" s="7">
        <v>1.0009999999999999</v>
      </c>
      <c r="EF552" s="7">
        <v>1.0009999999999999</v>
      </c>
      <c r="EG552" s="7">
        <v>1.0009999999999999</v>
      </c>
      <c r="EH552" s="7">
        <v>1.0009999999999999</v>
      </c>
      <c r="EI552" s="7">
        <v>1.0009999999999999</v>
      </c>
      <c r="EJ552" s="7">
        <v>1.0009999999999999</v>
      </c>
      <c r="EK552" s="7">
        <v>1.0009999999999999</v>
      </c>
      <c r="EL552" s="7">
        <v>1.0009999999999999</v>
      </c>
      <c r="EM552" s="7">
        <v>1.0009999999999999</v>
      </c>
      <c r="EN552" s="7">
        <v>1.0009999999999999</v>
      </c>
      <c r="EO552" s="7">
        <v>1.0009999999999999</v>
      </c>
      <c r="EP552" s="7">
        <v>1.0009999999999999</v>
      </c>
      <c r="EQ552" s="7">
        <v>1.0009999999999999</v>
      </c>
      <c r="ER552" s="7">
        <v>1.0009999999999999</v>
      </c>
      <c r="ES552" s="7">
        <v>1.0009999999999999</v>
      </c>
      <c r="ET552" s="7">
        <v>1.0009999999999999</v>
      </c>
      <c r="EU552" s="7">
        <v>1.0009999999999999</v>
      </c>
      <c r="EV552" s="7">
        <v>1.0009999999999999</v>
      </c>
      <c r="EW552" s="7">
        <v>1.0009999999999999</v>
      </c>
      <c r="EX552" s="7">
        <v>1.0009999999999999</v>
      </c>
      <c r="EY552" s="7">
        <v>1.0009999999999999</v>
      </c>
      <c r="EZ552" s="7">
        <v>1.0009999999999999</v>
      </c>
      <c r="FA552" s="7">
        <v>1.0009999999999999</v>
      </c>
      <c r="FB552" s="7">
        <v>1.0009999999999999</v>
      </c>
      <c r="FC552" s="7">
        <v>1.0009999999999999</v>
      </c>
      <c r="FE552" s="50">
        <f t="shared" ca="1" si="59"/>
        <v>1.0009999999999999</v>
      </c>
      <c r="FF552" s="50">
        <f t="shared" ca="1" si="60"/>
        <v>1.0009999999999999</v>
      </c>
      <c r="FG552" s="50">
        <f t="shared" ca="1" si="61"/>
        <v>1.0009999999999999</v>
      </c>
      <c r="FH552" s="50">
        <f t="shared" ca="1" si="62"/>
        <v>1.0009999999999999</v>
      </c>
      <c r="FI552" s="50"/>
      <c r="FK552" s="50">
        <f t="shared" ca="1" si="58"/>
        <v>1.0009999999999999</v>
      </c>
      <c r="FL552" s="50"/>
      <c r="FM552" s="50"/>
      <c r="FN552" s="50"/>
    </row>
    <row r="553" spans="49:170" hidden="1">
      <c r="AW553" s="112">
        <v>0.56200000000000006</v>
      </c>
      <c r="AX553" s="7">
        <v>0.73409999999999997</v>
      </c>
      <c r="AY553" s="7">
        <v>0.74180000000000001</v>
      </c>
      <c r="AZ553" s="7">
        <v>0.74950000000000006</v>
      </c>
      <c r="BA553" s="7">
        <v>0.75700000000000001</v>
      </c>
      <c r="BB553" s="7">
        <v>0.76449999999999996</v>
      </c>
      <c r="BC553" s="7">
        <v>0.77190000000000003</v>
      </c>
      <c r="BD553" s="7">
        <v>0.7792</v>
      </c>
      <c r="BE553" s="7">
        <v>0.78649999999999998</v>
      </c>
      <c r="BF553" s="7">
        <v>0.79369999999999996</v>
      </c>
      <c r="BG553" s="7">
        <v>0.80079999999999996</v>
      </c>
      <c r="BH553" s="7">
        <v>0.80779999999999996</v>
      </c>
      <c r="BI553" s="7">
        <v>0.81479999999999997</v>
      </c>
      <c r="BJ553" s="7">
        <v>0.82169999999999999</v>
      </c>
      <c r="BK553" s="7">
        <v>0.8286</v>
      </c>
      <c r="BL553" s="7">
        <v>0.83540000000000003</v>
      </c>
      <c r="BM553" s="7">
        <v>0.84209999999999996</v>
      </c>
      <c r="BN553" s="7">
        <v>0.84870000000000001</v>
      </c>
      <c r="BO553" s="7">
        <v>0.85529999999999995</v>
      </c>
      <c r="BP553" s="7">
        <v>0.86180000000000001</v>
      </c>
      <c r="BQ553" s="7">
        <v>0.86829999999999996</v>
      </c>
      <c r="BR553" s="7">
        <v>0.87470000000000003</v>
      </c>
      <c r="BS553" s="7">
        <v>0.88109999999999999</v>
      </c>
      <c r="BT553" s="7">
        <v>0.88739999999999997</v>
      </c>
      <c r="BU553" s="7">
        <v>0.89370000000000005</v>
      </c>
      <c r="BV553" s="7">
        <v>0.89990000000000003</v>
      </c>
      <c r="BW553" s="7">
        <v>0.90600000000000003</v>
      </c>
      <c r="BX553" s="7">
        <v>0.91210000000000002</v>
      </c>
      <c r="BY553" s="7">
        <v>0.91820000000000002</v>
      </c>
      <c r="BZ553" s="7">
        <v>0.92420000000000002</v>
      </c>
      <c r="CA553" s="7">
        <v>0.93020000000000003</v>
      </c>
      <c r="CB553" s="7">
        <v>0.93610000000000004</v>
      </c>
      <c r="CC553" s="7">
        <v>0.94199999999999995</v>
      </c>
      <c r="CD553" s="7">
        <v>0.94779999999999998</v>
      </c>
      <c r="CE553" s="7">
        <v>0.9536</v>
      </c>
      <c r="CF553" s="7">
        <v>0.95940000000000003</v>
      </c>
      <c r="CG553" s="7">
        <v>0.96509999999999996</v>
      </c>
      <c r="CH553" s="7">
        <v>0.9708</v>
      </c>
      <c r="CI553" s="7">
        <v>0.97640000000000005</v>
      </c>
      <c r="CJ553" s="7">
        <v>0.98209999999999997</v>
      </c>
      <c r="CK553" s="7">
        <v>0.98760000000000003</v>
      </c>
      <c r="CL553" s="7">
        <v>0.99319999999999997</v>
      </c>
      <c r="CM553" s="7">
        <v>0.99870000000000003</v>
      </c>
      <c r="CN553" s="7">
        <v>1.0009999999999999</v>
      </c>
      <c r="CO553" s="7">
        <v>1.0009999999999999</v>
      </c>
      <c r="CP553" s="7">
        <v>1.0009999999999999</v>
      </c>
      <c r="CQ553" s="7">
        <v>1.0009999999999999</v>
      </c>
      <c r="CR553" s="7">
        <v>1.0009999999999999</v>
      </c>
      <c r="CS553" s="7">
        <v>1.0009999999999999</v>
      </c>
      <c r="CT553" s="7">
        <v>1.0009999999999999</v>
      </c>
      <c r="CU553" s="7">
        <v>1.0009999999999999</v>
      </c>
      <c r="CV553" s="7">
        <v>1.0009999999999999</v>
      </c>
      <c r="CW553" s="7">
        <v>1.0009999999999999</v>
      </c>
      <c r="CX553" s="7">
        <v>1.0009999999999999</v>
      </c>
      <c r="CY553" s="7">
        <v>1.0009999999999999</v>
      </c>
      <c r="CZ553" s="7">
        <v>1.0009999999999999</v>
      </c>
      <c r="DA553" s="7">
        <v>1.0009999999999999</v>
      </c>
      <c r="DB553" s="7">
        <v>1.0009999999999999</v>
      </c>
      <c r="DC553" s="7">
        <v>1.0009999999999999</v>
      </c>
      <c r="DD553" s="7">
        <v>1.0009999999999999</v>
      </c>
      <c r="DE553" s="7">
        <v>1.0009999999999999</v>
      </c>
      <c r="DF553" s="7">
        <v>1.0009999999999999</v>
      </c>
      <c r="DG553" s="7">
        <v>1.0009999999999999</v>
      </c>
      <c r="DH553" s="7">
        <v>1.0009999999999999</v>
      </c>
      <c r="DI553" s="7">
        <v>1.0009999999999999</v>
      </c>
      <c r="DJ553" s="7">
        <v>1.0009999999999999</v>
      </c>
      <c r="DK553" s="7">
        <v>1.0009999999999999</v>
      </c>
      <c r="DL553" s="7">
        <v>1.0009999999999999</v>
      </c>
      <c r="DM553" s="7">
        <v>1.0009999999999999</v>
      </c>
      <c r="DN553" s="7">
        <v>1.0009999999999999</v>
      </c>
      <c r="DO553" s="7">
        <v>1.0009999999999999</v>
      </c>
      <c r="DP553" s="7">
        <v>1.0009999999999999</v>
      </c>
      <c r="DQ553" s="7">
        <v>1.0009999999999999</v>
      </c>
      <c r="DR553" s="7">
        <v>1.0009999999999999</v>
      </c>
      <c r="DS553" s="7">
        <v>1.0009999999999999</v>
      </c>
      <c r="DT553" s="7">
        <v>1.0009999999999999</v>
      </c>
      <c r="DU553" s="7">
        <v>1.0009999999999999</v>
      </c>
      <c r="DV553" s="7">
        <v>1.0009999999999999</v>
      </c>
      <c r="DW553" s="7">
        <v>1.0009999999999999</v>
      </c>
      <c r="DX553" s="7">
        <v>1.0009999999999999</v>
      </c>
      <c r="DY553" s="7">
        <v>1.0009999999999999</v>
      </c>
      <c r="DZ553" s="7">
        <v>1.0009999999999999</v>
      </c>
      <c r="EA553" s="7">
        <v>1.0009999999999999</v>
      </c>
      <c r="EB553" s="7">
        <v>1.0009999999999999</v>
      </c>
      <c r="EC553" s="7">
        <v>1.0009999999999999</v>
      </c>
      <c r="ED553" s="7">
        <v>1.0009999999999999</v>
      </c>
      <c r="EE553" s="7">
        <v>1.0009999999999999</v>
      </c>
      <c r="EF553" s="7">
        <v>1.0009999999999999</v>
      </c>
      <c r="EG553" s="7">
        <v>1.0009999999999999</v>
      </c>
      <c r="EH553" s="7">
        <v>1.0009999999999999</v>
      </c>
      <c r="EI553" s="7">
        <v>1.0009999999999999</v>
      </c>
      <c r="EJ553" s="7">
        <v>1.0009999999999999</v>
      </c>
      <c r="EK553" s="7">
        <v>1.0009999999999999</v>
      </c>
      <c r="EL553" s="7">
        <v>1.0009999999999999</v>
      </c>
      <c r="EM553" s="7">
        <v>1.0009999999999999</v>
      </c>
      <c r="EN553" s="7">
        <v>1.0009999999999999</v>
      </c>
      <c r="EO553" s="7">
        <v>1.0009999999999999</v>
      </c>
      <c r="EP553" s="7">
        <v>1.0009999999999999</v>
      </c>
      <c r="EQ553" s="7">
        <v>1.0009999999999999</v>
      </c>
      <c r="ER553" s="7">
        <v>1.0009999999999999</v>
      </c>
      <c r="ES553" s="7">
        <v>1.0009999999999999</v>
      </c>
      <c r="ET553" s="7">
        <v>1.0009999999999999</v>
      </c>
      <c r="EU553" s="7">
        <v>1.0009999999999999</v>
      </c>
      <c r="EV553" s="7">
        <v>1.0009999999999999</v>
      </c>
      <c r="EW553" s="7">
        <v>1.0009999999999999</v>
      </c>
      <c r="EX553" s="7">
        <v>1.0009999999999999</v>
      </c>
      <c r="EY553" s="7">
        <v>1.0009999999999999</v>
      </c>
      <c r="EZ553" s="7">
        <v>1.0009999999999999</v>
      </c>
      <c r="FA553" s="7">
        <v>1.0009999999999999</v>
      </c>
      <c r="FB553" s="7">
        <v>1.0009999999999999</v>
      </c>
      <c r="FC553" s="7">
        <v>1.0009999999999999</v>
      </c>
      <c r="FE553" s="50">
        <f t="shared" ca="1" si="59"/>
        <v>1.0009999999999999</v>
      </c>
      <c r="FF553" s="50">
        <f t="shared" ca="1" si="60"/>
        <v>1.0009999999999999</v>
      </c>
      <c r="FG553" s="50">
        <f t="shared" ca="1" si="61"/>
        <v>1.0009999999999999</v>
      </c>
      <c r="FH553" s="50">
        <f t="shared" ca="1" si="62"/>
        <v>1.0009999999999999</v>
      </c>
      <c r="FI553" s="50"/>
      <c r="FK553" s="50">
        <f t="shared" ca="1" si="58"/>
        <v>1.0009999999999999</v>
      </c>
      <c r="FL553" s="50"/>
      <c r="FM553" s="50"/>
      <c r="FN553" s="50"/>
    </row>
    <row r="554" spans="49:170" hidden="1">
      <c r="AW554" s="112">
        <v>0.60299999999999998</v>
      </c>
      <c r="AX554" s="7">
        <v>0.72970000000000002</v>
      </c>
      <c r="AY554" s="7">
        <v>0.73740000000000006</v>
      </c>
      <c r="AZ554" s="7">
        <v>0.745</v>
      </c>
      <c r="BA554" s="7">
        <v>0.75249999999999995</v>
      </c>
      <c r="BB554" s="7">
        <v>0.75990000000000002</v>
      </c>
      <c r="BC554" s="7">
        <v>0.76729999999999998</v>
      </c>
      <c r="BD554" s="7">
        <v>0.77459999999999996</v>
      </c>
      <c r="BE554" s="7">
        <v>0.78180000000000005</v>
      </c>
      <c r="BF554" s="7">
        <v>0.78890000000000005</v>
      </c>
      <c r="BG554" s="7">
        <v>0.79600000000000004</v>
      </c>
      <c r="BH554" s="7">
        <v>0.80300000000000005</v>
      </c>
      <c r="BI554" s="7">
        <v>0.80989999999999995</v>
      </c>
      <c r="BJ554" s="7">
        <v>0.81679999999999997</v>
      </c>
      <c r="BK554" s="7">
        <v>0.8236</v>
      </c>
      <c r="BL554" s="7">
        <v>0.83030000000000004</v>
      </c>
      <c r="BM554" s="7">
        <v>0.83699999999999997</v>
      </c>
      <c r="BN554" s="7">
        <v>0.84360000000000002</v>
      </c>
      <c r="BO554" s="7">
        <v>0.85019999999999996</v>
      </c>
      <c r="BP554" s="7">
        <v>0.85670000000000002</v>
      </c>
      <c r="BQ554" s="7">
        <v>0.86309999999999998</v>
      </c>
      <c r="BR554" s="7">
        <v>0.86950000000000005</v>
      </c>
      <c r="BS554" s="7">
        <v>0.87580000000000002</v>
      </c>
      <c r="BT554" s="7">
        <v>0.8821</v>
      </c>
      <c r="BU554" s="7">
        <v>0.88829999999999998</v>
      </c>
      <c r="BV554" s="7">
        <v>0.89449999999999996</v>
      </c>
      <c r="BW554" s="7">
        <v>0.90059999999999996</v>
      </c>
      <c r="BX554" s="7">
        <v>0.90669999999999995</v>
      </c>
      <c r="BY554" s="7">
        <v>0.91269999999999996</v>
      </c>
      <c r="BZ554" s="7">
        <v>0.91869999999999996</v>
      </c>
      <c r="CA554" s="7">
        <v>0.92459999999999998</v>
      </c>
      <c r="CB554" s="7">
        <v>0.93049999999999999</v>
      </c>
      <c r="CC554" s="7">
        <v>0.93630000000000002</v>
      </c>
      <c r="CD554" s="7">
        <v>0.94210000000000005</v>
      </c>
      <c r="CE554" s="7">
        <v>0.94789999999999996</v>
      </c>
      <c r="CF554" s="7">
        <v>0.9536</v>
      </c>
      <c r="CG554" s="7">
        <v>0.95930000000000004</v>
      </c>
      <c r="CH554" s="7">
        <v>0.96499999999999997</v>
      </c>
      <c r="CI554" s="7">
        <v>0.97060000000000002</v>
      </c>
      <c r="CJ554" s="7">
        <v>0.97619999999999996</v>
      </c>
      <c r="CK554" s="7">
        <v>0.98170000000000002</v>
      </c>
      <c r="CL554" s="7">
        <v>0.98719999999999997</v>
      </c>
      <c r="CM554" s="7">
        <v>0.99270000000000003</v>
      </c>
      <c r="CN554" s="7">
        <v>0.99819999999999998</v>
      </c>
      <c r="CO554" s="7">
        <v>1.0009999999999999</v>
      </c>
      <c r="CP554" s="7">
        <v>1.0009999999999999</v>
      </c>
      <c r="CQ554" s="7">
        <v>1.0009999999999999</v>
      </c>
      <c r="CR554" s="7">
        <v>1.0009999999999999</v>
      </c>
      <c r="CS554" s="7">
        <v>1.0009999999999999</v>
      </c>
      <c r="CT554" s="7">
        <v>1.0009999999999999</v>
      </c>
      <c r="CU554" s="7">
        <v>1.0009999999999999</v>
      </c>
      <c r="CV554" s="7">
        <v>1.0009999999999999</v>
      </c>
      <c r="CW554" s="7">
        <v>1.0009999999999999</v>
      </c>
      <c r="CX554" s="7">
        <v>1.0009999999999999</v>
      </c>
      <c r="CY554" s="7">
        <v>1.0009999999999999</v>
      </c>
      <c r="CZ554" s="7">
        <v>1.0009999999999999</v>
      </c>
      <c r="DA554" s="7">
        <v>1.0009999999999999</v>
      </c>
      <c r="DB554" s="7">
        <v>1.0009999999999999</v>
      </c>
      <c r="DC554" s="7">
        <v>1.0009999999999999</v>
      </c>
      <c r="DD554" s="7">
        <v>1.0009999999999999</v>
      </c>
      <c r="DE554" s="7">
        <v>1.0009999999999999</v>
      </c>
      <c r="DF554" s="7">
        <v>1.0009999999999999</v>
      </c>
      <c r="DG554" s="7">
        <v>1.0009999999999999</v>
      </c>
      <c r="DH554" s="7">
        <v>1.0009999999999999</v>
      </c>
      <c r="DI554" s="7">
        <v>1.0009999999999999</v>
      </c>
      <c r="DJ554" s="7">
        <v>1.0009999999999999</v>
      </c>
      <c r="DK554" s="7">
        <v>1.0009999999999999</v>
      </c>
      <c r="DL554" s="7">
        <v>1.0009999999999999</v>
      </c>
      <c r="DM554" s="7">
        <v>1.0009999999999999</v>
      </c>
      <c r="DN554" s="7">
        <v>1.0009999999999999</v>
      </c>
      <c r="DO554" s="7">
        <v>1.0009999999999999</v>
      </c>
      <c r="DP554" s="7">
        <v>1.0009999999999999</v>
      </c>
      <c r="DQ554" s="7">
        <v>1.0009999999999999</v>
      </c>
      <c r="DR554" s="7">
        <v>1.0009999999999999</v>
      </c>
      <c r="DS554" s="7">
        <v>1.0009999999999999</v>
      </c>
      <c r="DT554" s="7">
        <v>1.0009999999999999</v>
      </c>
      <c r="DU554" s="7">
        <v>1.0009999999999999</v>
      </c>
      <c r="DV554" s="7">
        <v>1.0009999999999999</v>
      </c>
      <c r="DW554" s="7">
        <v>1.0009999999999999</v>
      </c>
      <c r="DX554" s="7">
        <v>1.0009999999999999</v>
      </c>
      <c r="DY554" s="7">
        <v>1.0009999999999999</v>
      </c>
      <c r="DZ554" s="7">
        <v>1.0009999999999999</v>
      </c>
      <c r="EA554" s="7">
        <v>1.0009999999999999</v>
      </c>
      <c r="EB554" s="7">
        <v>1.0009999999999999</v>
      </c>
      <c r="EC554" s="7">
        <v>1.0009999999999999</v>
      </c>
      <c r="ED554" s="7">
        <v>1.0009999999999999</v>
      </c>
      <c r="EE554" s="7">
        <v>1.0009999999999999</v>
      </c>
      <c r="EF554" s="7">
        <v>1.0009999999999999</v>
      </c>
      <c r="EG554" s="7">
        <v>1.0009999999999999</v>
      </c>
      <c r="EH554" s="7">
        <v>1.0009999999999999</v>
      </c>
      <c r="EI554" s="7">
        <v>1.0009999999999999</v>
      </c>
      <c r="EJ554" s="7">
        <v>1.0009999999999999</v>
      </c>
      <c r="EK554" s="7">
        <v>1.0009999999999999</v>
      </c>
      <c r="EL554" s="7">
        <v>1.0009999999999999</v>
      </c>
      <c r="EM554" s="7">
        <v>1.0009999999999999</v>
      </c>
      <c r="EN554" s="7">
        <v>1.0009999999999999</v>
      </c>
      <c r="EO554" s="7">
        <v>1.0009999999999999</v>
      </c>
      <c r="EP554" s="7">
        <v>1.0009999999999999</v>
      </c>
      <c r="EQ554" s="7">
        <v>1.0009999999999999</v>
      </c>
      <c r="ER554" s="7">
        <v>1.0009999999999999</v>
      </c>
      <c r="ES554" s="7">
        <v>1.0009999999999999</v>
      </c>
      <c r="ET554" s="7">
        <v>1.0009999999999999</v>
      </c>
      <c r="EU554" s="7">
        <v>1.0009999999999999</v>
      </c>
      <c r="EV554" s="7">
        <v>1.0009999999999999</v>
      </c>
      <c r="EW554" s="7">
        <v>1.0009999999999999</v>
      </c>
      <c r="EX554" s="7">
        <v>1.0009999999999999</v>
      </c>
      <c r="EY554" s="7">
        <v>1.0009999999999999</v>
      </c>
      <c r="EZ554" s="7">
        <v>1.0009999999999999</v>
      </c>
      <c r="FA554" s="7">
        <v>1.0009999999999999</v>
      </c>
      <c r="FB554" s="7">
        <v>1.0009999999999999</v>
      </c>
      <c r="FC554" s="7">
        <v>1.0009999999999999</v>
      </c>
      <c r="FE554" s="50">
        <f t="shared" ca="1" si="59"/>
        <v>1.0009999999999999</v>
      </c>
      <c r="FF554" s="50">
        <f t="shared" ca="1" si="60"/>
        <v>1.0009999999999999</v>
      </c>
      <c r="FG554" s="50">
        <f t="shared" ca="1" si="61"/>
        <v>1.0009999999999999</v>
      </c>
      <c r="FH554" s="50">
        <f t="shared" ca="1" si="62"/>
        <v>1.0009999999999999</v>
      </c>
      <c r="FI554" s="50"/>
      <c r="FK554" s="50">
        <f t="shared" ca="1" si="58"/>
        <v>1.0009999999999999</v>
      </c>
      <c r="FL554" s="50"/>
      <c r="FM554" s="50"/>
      <c r="FN554" s="50"/>
    </row>
    <row r="555" spans="49:170" hidden="1">
      <c r="AW555" s="112">
        <v>0.64600000000000002</v>
      </c>
      <c r="AX555" s="7">
        <v>0.72540000000000004</v>
      </c>
      <c r="AY555" s="7">
        <v>0.73299999999999998</v>
      </c>
      <c r="AZ555" s="7">
        <v>0.74050000000000005</v>
      </c>
      <c r="BA555" s="7">
        <v>0.748</v>
      </c>
      <c r="BB555" s="7">
        <v>0.75539999999999996</v>
      </c>
      <c r="BC555" s="7">
        <v>0.76270000000000004</v>
      </c>
      <c r="BD555" s="7">
        <v>0.77</v>
      </c>
      <c r="BE555" s="7">
        <v>0.77710000000000001</v>
      </c>
      <c r="BF555" s="7">
        <v>0.78420000000000001</v>
      </c>
      <c r="BG555" s="7">
        <v>0.7913</v>
      </c>
      <c r="BH555" s="7">
        <v>0.79820000000000002</v>
      </c>
      <c r="BI555" s="7">
        <v>0.80510000000000004</v>
      </c>
      <c r="BJ555" s="7">
        <v>0.81200000000000006</v>
      </c>
      <c r="BK555" s="7">
        <v>0.81869999999999998</v>
      </c>
      <c r="BL555" s="7">
        <v>0.82540000000000002</v>
      </c>
      <c r="BM555" s="7">
        <v>0.83209999999999995</v>
      </c>
      <c r="BN555" s="7">
        <v>0.83860000000000001</v>
      </c>
      <c r="BO555" s="7">
        <v>0.84509999999999996</v>
      </c>
      <c r="BP555" s="7">
        <v>0.85160000000000002</v>
      </c>
      <c r="BQ555" s="7">
        <v>0.85799999999999998</v>
      </c>
      <c r="BR555" s="7">
        <v>0.86429999999999996</v>
      </c>
      <c r="BS555" s="7">
        <v>0.87060000000000004</v>
      </c>
      <c r="BT555" s="7">
        <v>0.87690000000000001</v>
      </c>
      <c r="BU555" s="7">
        <v>0.88300000000000001</v>
      </c>
      <c r="BV555" s="7">
        <v>0.88919999999999999</v>
      </c>
      <c r="BW555" s="7">
        <v>0.89529999999999998</v>
      </c>
      <c r="BX555" s="7">
        <v>0.90129999999999999</v>
      </c>
      <c r="BY555" s="7">
        <v>0.9073</v>
      </c>
      <c r="BZ555" s="7">
        <v>0.91320000000000001</v>
      </c>
      <c r="CA555" s="7">
        <v>0.91910000000000003</v>
      </c>
      <c r="CB555" s="7">
        <v>0.92500000000000004</v>
      </c>
      <c r="CC555" s="7">
        <v>0.93079999999999996</v>
      </c>
      <c r="CD555" s="7">
        <v>0.9365</v>
      </c>
      <c r="CE555" s="7">
        <v>0.94230000000000003</v>
      </c>
      <c r="CF555" s="7">
        <v>0.94799999999999995</v>
      </c>
      <c r="CG555" s="7">
        <v>0.9536</v>
      </c>
      <c r="CH555" s="7">
        <v>0.95920000000000005</v>
      </c>
      <c r="CI555" s="7">
        <v>0.96479999999999999</v>
      </c>
      <c r="CJ555" s="7">
        <v>0.97040000000000004</v>
      </c>
      <c r="CK555" s="7">
        <v>0.97589999999999999</v>
      </c>
      <c r="CL555" s="7">
        <v>0.98140000000000005</v>
      </c>
      <c r="CM555" s="7">
        <v>0.9869</v>
      </c>
      <c r="CN555" s="7">
        <v>0.99229999999999996</v>
      </c>
      <c r="CO555" s="7">
        <v>0.99770000000000003</v>
      </c>
      <c r="CP555" s="7">
        <v>1.0009999999999999</v>
      </c>
      <c r="CQ555" s="7">
        <v>1.0009999999999999</v>
      </c>
      <c r="CR555" s="7">
        <v>1.0009999999999999</v>
      </c>
      <c r="CS555" s="7">
        <v>1.0009999999999999</v>
      </c>
      <c r="CT555" s="7">
        <v>1.0009999999999999</v>
      </c>
      <c r="CU555" s="7">
        <v>1.0009999999999999</v>
      </c>
      <c r="CV555" s="7">
        <v>1.0009999999999999</v>
      </c>
      <c r="CW555" s="7">
        <v>1.0009999999999999</v>
      </c>
      <c r="CX555" s="7">
        <v>1.0009999999999999</v>
      </c>
      <c r="CY555" s="7">
        <v>1.0009999999999999</v>
      </c>
      <c r="CZ555" s="7">
        <v>1.0009999999999999</v>
      </c>
      <c r="DA555" s="7">
        <v>1.0009999999999999</v>
      </c>
      <c r="DB555" s="7">
        <v>1.0009999999999999</v>
      </c>
      <c r="DC555" s="7">
        <v>1.0009999999999999</v>
      </c>
      <c r="DD555" s="7">
        <v>1.0009999999999999</v>
      </c>
      <c r="DE555" s="7">
        <v>1.0009999999999999</v>
      </c>
      <c r="DF555" s="7">
        <v>1.0009999999999999</v>
      </c>
      <c r="DG555" s="7">
        <v>1.0009999999999999</v>
      </c>
      <c r="DH555" s="7">
        <v>1.0009999999999999</v>
      </c>
      <c r="DI555" s="7">
        <v>1.0009999999999999</v>
      </c>
      <c r="DJ555" s="7">
        <v>1.0009999999999999</v>
      </c>
      <c r="DK555" s="7">
        <v>1.0009999999999999</v>
      </c>
      <c r="DL555" s="7">
        <v>1.0009999999999999</v>
      </c>
      <c r="DM555" s="7">
        <v>1.0009999999999999</v>
      </c>
      <c r="DN555" s="7">
        <v>1.0009999999999999</v>
      </c>
      <c r="DO555" s="7">
        <v>1.0009999999999999</v>
      </c>
      <c r="DP555" s="7">
        <v>1.0009999999999999</v>
      </c>
      <c r="DQ555" s="7">
        <v>1.0009999999999999</v>
      </c>
      <c r="DR555" s="7">
        <v>1.0009999999999999</v>
      </c>
      <c r="DS555" s="7">
        <v>1.0009999999999999</v>
      </c>
      <c r="DT555" s="7">
        <v>1.0009999999999999</v>
      </c>
      <c r="DU555" s="7">
        <v>1.0009999999999999</v>
      </c>
      <c r="DV555" s="7">
        <v>1.0009999999999999</v>
      </c>
      <c r="DW555" s="7">
        <v>1.0009999999999999</v>
      </c>
      <c r="DX555" s="7">
        <v>1.0009999999999999</v>
      </c>
      <c r="DY555" s="7">
        <v>1.0009999999999999</v>
      </c>
      <c r="DZ555" s="7">
        <v>1.0009999999999999</v>
      </c>
      <c r="EA555" s="7">
        <v>1.0009999999999999</v>
      </c>
      <c r="EB555" s="7">
        <v>1.0009999999999999</v>
      </c>
      <c r="EC555" s="7">
        <v>1.0009999999999999</v>
      </c>
      <c r="ED555" s="7">
        <v>1.0009999999999999</v>
      </c>
      <c r="EE555" s="7">
        <v>1.0009999999999999</v>
      </c>
      <c r="EF555" s="7">
        <v>1.0009999999999999</v>
      </c>
      <c r="EG555" s="7">
        <v>1.0009999999999999</v>
      </c>
      <c r="EH555" s="7">
        <v>1.0009999999999999</v>
      </c>
      <c r="EI555" s="7">
        <v>1.0009999999999999</v>
      </c>
      <c r="EJ555" s="7">
        <v>1.0009999999999999</v>
      </c>
      <c r="EK555" s="7">
        <v>1.0009999999999999</v>
      </c>
      <c r="EL555" s="7">
        <v>1.0009999999999999</v>
      </c>
      <c r="EM555" s="7">
        <v>1.0009999999999999</v>
      </c>
      <c r="EN555" s="7">
        <v>1.0009999999999999</v>
      </c>
      <c r="EO555" s="7">
        <v>1.0009999999999999</v>
      </c>
      <c r="EP555" s="7">
        <v>1.0009999999999999</v>
      </c>
      <c r="EQ555" s="7">
        <v>1.0009999999999999</v>
      </c>
      <c r="ER555" s="7">
        <v>1.0009999999999999</v>
      </c>
      <c r="ES555" s="7">
        <v>1.0009999999999999</v>
      </c>
      <c r="ET555" s="7">
        <v>1.0009999999999999</v>
      </c>
      <c r="EU555" s="7">
        <v>1.0009999999999999</v>
      </c>
      <c r="EV555" s="7">
        <v>1.0009999999999999</v>
      </c>
      <c r="EW555" s="7">
        <v>1.0009999999999999</v>
      </c>
      <c r="EX555" s="7">
        <v>1.0009999999999999</v>
      </c>
      <c r="EY555" s="7">
        <v>1.0009999999999999</v>
      </c>
      <c r="EZ555" s="7">
        <v>1.0009999999999999</v>
      </c>
      <c r="FA555" s="7">
        <v>1.0009999999999999</v>
      </c>
      <c r="FB555" s="7">
        <v>1.0009999999999999</v>
      </c>
      <c r="FC555" s="7">
        <v>1.0009999999999999</v>
      </c>
      <c r="FE555" s="50">
        <f t="shared" ca="1" si="59"/>
        <v>1.0009999999999999</v>
      </c>
      <c r="FF555" s="50">
        <f t="shared" ca="1" si="60"/>
        <v>1.0009999999999999</v>
      </c>
      <c r="FG555" s="50">
        <f t="shared" ca="1" si="61"/>
        <v>1.0009999999999999</v>
      </c>
      <c r="FH555" s="50">
        <f t="shared" ca="1" si="62"/>
        <v>1.0009999999999999</v>
      </c>
      <c r="FI555" s="50"/>
      <c r="FK555" s="50">
        <f t="shared" ca="1" si="58"/>
        <v>1.0009999999999999</v>
      </c>
      <c r="FL555" s="50"/>
      <c r="FM555" s="50"/>
      <c r="FN555" s="50"/>
    </row>
    <row r="556" spans="49:170" hidden="1">
      <c r="AW556" s="112">
        <v>0.69199999999999995</v>
      </c>
      <c r="AX556" s="7">
        <v>0.72109999999999996</v>
      </c>
      <c r="AY556" s="7">
        <v>0.72870000000000001</v>
      </c>
      <c r="AZ556" s="7">
        <v>0.73619999999999997</v>
      </c>
      <c r="BA556" s="7">
        <v>0.74370000000000003</v>
      </c>
      <c r="BB556" s="7">
        <v>0.751</v>
      </c>
      <c r="BC556" s="7">
        <v>0.75829999999999997</v>
      </c>
      <c r="BD556" s="7">
        <v>0.76549999999999996</v>
      </c>
      <c r="BE556" s="7">
        <v>0.77259999999999995</v>
      </c>
      <c r="BF556" s="7">
        <v>0.77969999999999995</v>
      </c>
      <c r="BG556" s="7">
        <v>0.78669999999999995</v>
      </c>
      <c r="BH556" s="7">
        <v>0.79359999999999997</v>
      </c>
      <c r="BI556" s="7">
        <v>0.8004</v>
      </c>
      <c r="BJ556" s="7">
        <v>0.80720000000000003</v>
      </c>
      <c r="BK556" s="7">
        <v>0.81389999999999996</v>
      </c>
      <c r="BL556" s="7">
        <v>0.8206</v>
      </c>
      <c r="BM556" s="7">
        <v>0.82720000000000005</v>
      </c>
      <c r="BN556" s="7">
        <v>0.8337</v>
      </c>
      <c r="BO556" s="7">
        <v>0.84019999999999995</v>
      </c>
      <c r="BP556" s="7">
        <v>0.84660000000000002</v>
      </c>
      <c r="BQ556" s="7">
        <v>0.85299999999999998</v>
      </c>
      <c r="BR556" s="7">
        <v>0.85929999999999995</v>
      </c>
      <c r="BS556" s="7">
        <v>0.86560000000000004</v>
      </c>
      <c r="BT556" s="7">
        <v>0.87170000000000003</v>
      </c>
      <c r="BU556" s="7">
        <v>0.87790000000000001</v>
      </c>
      <c r="BV556" s="7">
        <v>0.88400000000000001</v>
      </c>
      <c r="BW556" s="7">
        <v>0.89</v>
      </c>
      <c r="BX556" s="7">
        <v>0.89600000000000002</v>
      </c>
      <c r="BY556" s="7">
        <v>0.90200000000000002</v>
      </c>
      <c r="BZ556" s="7">
        <v>0.90790000000000004</v>
      </c>
      <c r="CA556" s="7">
        <v>0.91369999999999996</v>
      </c>
      <c r="CB556" s="7">
        <v>0.91959999999999997</v>
      </c>
      <c r="CC556" s="7">
        <v>0.92530000000000001</v>
      </c>
      <c r="CD556" s="7">
        <v>0.93110000000000004</v>
      </c>
      <c r="CE556" s="7">
        <v>0.93679999999999997</v>
      </c>
      <c r="CF556" s="7">
        <v>0.94240000000000002</v>
      </c>
      <c r="CG556" s="7">
        <v>0.94810000000000005</v>
      </c>
      <c r="CH556" s="7">
        <v>0.9536</v>
      </c>
      <c r="CI556" s="7">
        <v>0.95920000000000005</v>
      </c>
      <c r="CJ556" s="7">
        <v>0.9647</v>
      </c>
      <c r="CK556" s="7">
        <v>0.97019999999999995</v>
      </c>
      <c r="CL556" s="7">
        <v>0.97570000000000001</v>
      </c>
      <c r="CM556" s="7">
        <v>0.98109999999999997</v>
      </c>
      <c r="CN556" s="7">
        <v>0.98650000000000004</v>
      </c>
      <c r="CO556" s="7">
        <v>0.9919</v>
      </c>
      <c r="CP556" s="7">
        <v>0.99729999999999996</v>
      </c>
      <c r="CQ556" s="7">
        <v>1.0009999999999999</v>
      </c>
      <c r="CR556" s="7">
        <v>1.0009999999999999</v>
      </c>
      <c r="CS556" s="7">
        <v>1.0009999999999999</v>
      </c>
      <c r="CT556" s="7">
        <v>1.0009999999999999</v>
      </c>
      <c r="CU556" s="7">
        <v>1.0009999999999999</v>
      </c>
      <c r="CV556" s="7">
        <v>1.0009999999999999</v>
      </c>
      <c r="CW556" s="7">
        <v>1.0009999999999999</v>
      </c>
      <c r="CX556" s="7">
        <v>1.0009999999999999</v>
      </c>
      <c r="CY556" s="7">
        <v>1.0009999999999999</v>
      </c>
      <c r="CZ556" s="7">
        <v>1.0009999999999999</v>
      </c>
      <c r="DA556" s="7">
        <v>1.0009999999999999</v>
      </c>
      <c r="DB556" s="7">
        <v>1.0009999999999999</v>
      </c>
      <c r="DC556" s="7">
        <v>1.0009999999999999</v>
      </c>
      <c r="DD556" s="7">
        <v>1.0009999999999999</v>
      </c>
      <c r="DE556" s="7">
        <v>1.0009999999999999</v>
      </c>
      <c r="DF556" s="7">
        <v>1.0009999999999999</v>
      </c>
      <c r="DG556" s="7">
        <v>1.0009999999999999</v>
      </c>
      <c r="DH556" s="7">
        <v>1.0009999999999999</v>
      </c>
      <c r="DI556" s="7">
        <v>1.0009999999999999</v>
      </c>
      <c r="DJ556" s="7">
        <v>1.0009999999999999</v>
      </c>
      <c r="DK556" s="7">
        <v>1.0009999999999999</v>
      </c>
      <c r="DL556" s="7">
        <v>1.0009999999999999</v>
      </c>
      <c r="DM556" s="7">
        <v>1.0009999999999999</v>
      </c>
      <c r="DN556" s="7">
        <v>1.0009999999999999</v>
      </c>
      <c r="DO556" s="7">
        <v>1.0009999999999999</v>
      </c>
      <c r="DP556" s="7">
        <v>1.0009999999999999</v>
      </c>
      <c r="DQ556" s="7">
        <v>1.0009999999999999</v>
      </c>
      <c r="DR556" s="7">
        <v>1.0009999999999999</v>
      </c>
      <c r="DS556" s="7">
        <v>1.0009999999999999</v>
      </c>
      <c r="DT556" s="7">
        <v>1.0009999999999999</v>
      </c>
      <c r="DU556" s="7">
        <v>1.0009999999999999</v>
      </c>
      <c r="DV556" s="7">
        <v>1.0009999999999999</v>
      </c>
      <c r="DW556" s="7">
        <v>1.0009999999999999</v>
      </c>
      <c r="DX556" s="7">
        <v>1.0009999999999999</v>
      </c>
      <c r="DY556" s="7">
        <v>1.0009999999999999</v>
      </c>
      <c r="DZ556" s="7">
        <v>1.0009999999999999</v>
      </c>
      <c r="EA556" s="7">
        <v>1.0009999999999999</v>
      </c>
      <c r="EB556" s="7">
        <v>1.0009999999999999</v>
      </c>
      <c r="EC556" s="7">
        <v>1.0009999999999999</v>
      </c>
      <c r="ED556" s="7">
        <v>1.0009999999999999</v>
      </c>
      <c r="EE556" s="7">
        <v>1.0009999999999999</v>
      </c>
      <c r="EF556" s="7">
        <v>1.0009999999999999</v>
      </c>
      <c r="EG556" s="7">
        <v>1.0009999999999999</v>
      </c>
      <c r="EH556" s="7">
        <v>1.0009999999999999</v>
      </c>
      <c r="EI556" s="7">
        <v>1.0009999999999999</v>
      </c>
      <c r="EJ556" s="7">
        <v>1.0009999999999999</v>
      </c>
      <c r="EK556" s="7">
        <v>1.0009999999999999</v>
      </c>
      <c r="EL556" s="7">
        <v>1.0009999999999999</v>
      </c>
      <c r="EM556" s="7">
        <v>1.0009999999999999</v>
      </c>
      <c r="EN556" s="7">
        <v>1.0009999999999999</v>
      </c>
      <c r="EO556" s="7">
        <v>1.0009999999999999</v>
      </c>
      <c r="EP556" s="7">
        <v>1.0009999999999999</v>
      </c>
      <c r="EQ556" s="7">
        <v>1.0009999999999999</v>
      </c>
      <c r="ER556" s="7">
        <v>1.0009999999999999</v>
      </c>
      <c r="ES556" s="7">
        <v>1.0009999999999999</v>
      </c>
      <c r="ET556" s="7">
        <v>1.0009999999999999</v>
      </c>
      <c r="EU556" s="7">
        <v>1.0009999999999999</v>
      </c>
      <c r="EV556" s="7">
        <v>1.0009999999999999</v>
      </c>
      <c r="EW556" s="7">
        <v>1.0009999999999999</v>
      </c>
      <c r="EX556" s="7">
        <v>1.0009999999999999</v>
      </c>
      <c r="EY556" s="7">
        <v>1.0009999999999999</v>
      </c>
      <c r="EZ556" s="7">
        <v>1.0009999999999999</v>
      </c>
      <c r="FA556" s="7">
        <v>1.0009999999999999</v>
      </c>
      <c r="FB556" s="7">
        <v>1.0009999999999999</v>
      </c>
      <c r="FC556" s="7">
        <v>1.0009999999999999</v>
      </c>
      <c r="FE556" s="50">
        <f t="shared" ca="1" si="59"/>
        <v>1.0009999999999999</v>
      </c>
      <c r="FF556" s="50">
        <f t="shared" ca="1" si="60"/>
        <v>1.0009999999999999</v>
      </c>
      <c r="FG556" s="50">
        <f t="shared" ca="1" si="61"/>
        <v>1.0009999999999999</v>
      </c>
      <c r="FH556" s="50">
        <f t="shared" ca="1" si="62"/>
        <v>1.0009999999999999</v>
      </c>
      <c r="FI556" s="50"/>
      <c r="FK556" s="50">
        <f t="shared" ca="1" si="58"/>
        <v>1.0009999999999999</v>
      </c>
      <c r="FL556" s="50"/>
      <c r="FM556" s="50"/>
      <c r="FN556" s="50"/>
    </row>
    <row r="557" spans="49:170" hidden="1">
      <c r="AW557" s="112">
        <v>0.74099999999999999</v>
      </c>
      <c r="AX557" s="7">
        <v>0.71699999999999997</v>
      </c>
      <c r="AY557" s="7">
        <v>0.72450000000000003</v>
      </c>
      <c r="AZ557" s="7">
        <v>0.73199999999999998</v>
      </c>
      <c r="BA557" s="7">
        <v>0.73939999999999995</v>
      </c>
      <c r="BB557" s="7">
        <v>0.74670000000000003</v>
      </c>
      <c r="BC557" s="7">
        <v>0.75390000000000001</v>
      </c>
      <c r="BD557" s="7">
        <v>0.7611</v>
      </c>
      <c r="BE557" s="7">
        <v>0.76819999999999999</v>
      </c>
      <c r="BF557" s="7">
        <v>0.7752</v>
      </c>
      <c r="BG557" s="7">
        <v>0.78210000000000002</v>
      </c>
      <c r="BH557" s="7">
        <v>0.78900000000000003</v>
      </c>
      <c r="BI557" s="7">
        <v>0.79579999999999995</v>
      </c>
      <c r="BJ557" s="7">
        <v>0.80259999999999998</v>
      </c>
      <c r="BK557" s="7">
        <v>0.80930000000000002</v>
      </c>
      <c r="BL557" s="7">
        <v>0.81589999999999996</v>
      </c>
      <c r="BM557" s="7">
        <v>0.82240000000000002</v>
      </c>
      <c r="BN557" s="7">
        <v>0.82889999999999997</v>
      </c>
      <c r="BO557" s="7">
        <v>0.83540000000000003</v>
      </c>
      <c r="BP557" s="7">
        <v>0.84179999999999999</v>
      </c>
      <c r="BQ557" s="7">
        <v>0.84809999999999997</v>
      </c>
      <c r="BR557" s="7">
        <v>0.85440000000000005</v>
      </c>
      <c r="BS557" s="7">
        <v>0.86060000000000003</v>
      </c>
      <c r="BT557" s="7">
        <v>0.86670000000000003</v>
      </c>
      <c r="BU557" s="7">
        <v>0.87280000000000002</v>
      </c>
      <c r="BV557" s="7">
        <v>0.87890000000000001</v>
      </c>
      <c r="BW557" s="7">
        <v>0.88490000000000002</v>
      </c>
      <c r="BX557" s="7">
        <v>0.89090000000000003</v>
      </c>
      <c r="BY557" s="7">
        <v>0.89680000000000004</v>
      </c>
      <c r="BZ557" s="7">
        <v>0.90269999999999995</v>
      </c>
      <c r="CA557" s="7">
        <v>0.90849999999999997</v>
      </c>
      <c r="CB557" s="7">
        <v>0.9143</v>
      </c>
      <c r="CC557" s="7">
        <v>0.92</v>
      </c>
      <c r="CD557" s="7">
        <v>0.92569999999999997</v>
      </c>
      <c r="CE557" s="7">
        <v>0.93140000000000001</v>
      </c>
      <c r="CF557" s="7">
        <v>0.93700000000000006</v>
      </c>
      <c r="CG557" s="7">
        <v>0.94259999999999999</v>
      </c>
      <c r="CH557" s="7">
        <v>0.94820000000000004</v>
      </c>
      <c r="CI557" s="7">
        <v>0.95369999999999999</v>
      </c>
      <c r="CJ557" s="7">
        <v>0.95920000000000005</v>
      </c>
      <c r="CK557" s="7">
        <v>0.96460000000000001</v>
      </c>
      <c r="CL557" s="7">
        <v>0.97009999999999996</v>
      </c>
      <c r="CM557" s="7">
        <v>0.97550000000000003</v>
      </c>
      <c r="CN557" s="7">
        <v>0.98080000000000001</v>
      </c>
      <c r="CO557" s="7">
        <v>0.98619999999999997</v>
      </c>
      <c r="CP557" s="7">
        <v>0.99150000000000005</v>
      </c>
      <c r="CQ557" s="7">
        <v>0.99680000000000002</v>
      </c>
      <c r="CR557" s="7">
        <v>1.0009999999999999</v>
      </c>
      <c r="CS557" s="7">
        <v>1.0009999999999999</v>
      </c>
      <c r="CT557" s="7">
        <v>1.0009999999999999</v>
      </c>
      <c r="CU557" s="7">
        <v>1.0009999999999999</v>
      </c>
      <c r="CV557" s="7">
        <v>1.0009999999999999</v>
      </c>
      <c r="CW557" s="7">
        <v>1.0009999999999999</v>
      </c>
      <c r="CX557" s="7">
        <v>1.0009999999999999</v>
      </c>
      <c r="CY557" s="7">
        <v>1.0009999999999999</v>
      </c>
      <c r="CZ557" s="7">
        <v>1.0009999999999999</v>
      </c>
      <c r="DA557" s="7">
        <v>1.0009999999999999</v>
      </c>
      <c r="DB557" s="7">
        <v>1.0009999999999999</v>
      </c>
      <c r="DC557" s="7">
        <v>1.0009999999999999</v>
      </c>
      <c r="DD557" s="7">
        <v>1.0009999999999999</v>
      </c>
      <c r="DE557" s="7">
        <v>1.0009999999999999</v>
      </c>
      <c r="DF557" s="7">
        <v>1.0009999999999999</v>
      </c>
      <c r="DG557" s="7">
        <v>1.0009999999999999</v>
      </c>
      <c r="DH557" s="7">
        <v>1.0009999999999999</v>
      </c>
      <c r="DI557" s="7">
        <v>1.0009999999999999</v>
      </c>
      <c r="DJ557" s="7">
        <v>1.0009999999999999</v>
      </c>
      <c r="DK557" s="7">
        <v>1.0009999999999999</v>
      </c>
      <c r="DL557" s="7">
        <v>1.0009999999999999</v>
      </c>
      <c r="DM557" s="7">
        <v>1.0009999999999999</v>
      </c>
      <c r="DN557" s="7">
        <v>1.0009999999999999</v>
      </c>
      <c r="DO557" s="7">
        <v>1.0009999999999999</v>
      </c>
      <c r="DP557" s="7">
        <v>1.0009999999999999</v>
      </c>
      <c r="DQ557" s="7">
        <v>1.0009999999999999</v>
      </c>
      <c r="DR557" s="7">
        <v>1.0009999999999999</v>
      </c>
      <c r="DS557" s="7">
        <v>1.0009999999999999</v>
      </c>
      <c r="DT557" s="7">
        <v>1.0009999999999999</v>
      </c>
      <c r="DU557" s="7">
        <v>1.0009999999999999</v>
      </c>
      <c r="DV557" s="7">
        <v>1.0009999999999999</v>
      </c>
      <c r="DW557" s="7">
        <v>1.0009999999999999</v>
      </c>
      <c r="DX557" s="7">
        <v>1.0009999999999999</v>
      </c>
      <c r="DY557" s="7">
        <v>1.0009999999999999</v>
      </c>
      <c r="DZ557" s="7">
        <v>1.0009999999999999</v>
      </c>
      <c r="EA557" s="7">
        <v>1.0009999999999999</v>
      </c>
      <c r="EB557" s="7">
        <v>1.0009999999999999</v>
      </c>
      <c r="EC557" s="7">
        <v>1.0009999999999999</v>
      </c>
      <c r="ED557" s="7">
        <v>1.0009999999999999</v>
      </c>
      <c r="EE557" s="7">
        <v>1.0009999999999999</v>
      </c>
      <c r="EF557" s="7">
        <v>1.0009999999999999</v>
      </c>
      <c r="EG557" s="7">
        <v>1.0009999999999999</v>
      </c>
      <c r="EH557" s="7">
        <v>1.0009999999999999</v>
      </c>
      <c r="EI557" s="7">
        <v>1.0009999999999999</v>
      </c>
      <c r="EJ557" s="7">
        <v>1.0009999999999999</v>
      </c>
      <c r="EK557" s="7">
        <v>1.0009999999999999</v>
      </c>
      <c r="EL557" s="7">
        <v>1.0009999999999999</v>
      </c>
      <c r="EM557" s="7">
        <v>1.0009999999999999</v>
      </c>
      <c r="EN557" s="7">
        <v>1.0009999999999999</v>
      </c>
      <c r="EO557" s="7">
        <v>1.0009999999999999</v>
      </c>
      <c r="EP557" s="7">
        <v>1.0009999999999999</v>
      </c>
      <c r="EQ557" s="7">
        <v>1.0009999999999999</v>
      </c>
      <c r="ER557" s="7">
        <v>1.0009999999999999</v>
      </c>
      <c r="ES557" s="7">
        <v>1.0009999999999999</v>
      </c>
      <c r="ET557" s="7">
        <v>1.0009999999999999</v>
      </c>
      <c r="EU557" s="7">
        <v>1.0009999999999999</v>
      </c>
      <c r="EV557" s="7">
        <v>1.0009999999999999</v>
      </c>
      <c r="EW557" s="7">
        <v>1.0009999999999999</v>
      </c>
      <c r="EX557" s="7">
        <v>1.0009999999999999</v>
      </c>
      <c r="EY557" s="7">
        <v>1.0009999999999999</v>
      </c>
      <c r="EZ557" s="7">
        <v>1.0009999999999999</v>
      </c>
      <c r="FA557" s="7">
        <v>1.0009999999999999</v>
      </c>
      <c r="FB557" s="7">
        <v>1.0009999999999999</v>
      </c>
      <c r="FC557" s="7">
        <v>1.0009999999999999</v>
      </c>
      <c r="FE557" s="50">
        <f t="shared" ca="1" si="59"/>
        <v>1.0009999999999999</v>
      </c>
      <c r="FF557" s="50">
        <f t="shared" ca="1" si="60"/>
        <v>1.0009999999999999</v>
      </c>
      <c r="FG557" s="50">
        <f t="shared" ca="1" si="61"/>
        <v>1.0009999999999999</v>
      </c>
      <c r="FH557" s="50">
        <f t="shared" ca="1" si="62"/>
        <v>1.0009999999999999</v>
      </c>
      <c r="FI557" s="50"/>
      <c r="FK557" s="50">
        <f t="shared" ca="1" si="58"/>
        <v>1.0009999999999999</v>
      </c>
      <c r="FL557" s="50"/>
      <c r="FM557" s="50"/>
      <c r="FN557" s="50"/>
    </row>
    <row r="558" spans="49:170" hidden="1">
      <c r="AW558" s="112">
        <v>0.79400000000000004</v>
      </c>
      <c r="AX558" s="7">
        <v>0.71289999999999998</v>
      </c>
      <c r="AY558" s="7">
        <v>0.72040000000000004</v>
      </c>
      <c r="AZ558" s="7">
        <v>0.7278</v>
      </c>
      <c r="BA558" s="7">
        <v>0.73519999999999996</v>
      </c>
      <c r="BB558" s="7">
        <v>0.74250000000000005</v>
      </c>
      <c r="BC558" s="7">
        <v>0.74960000000000004</v>
      </c>
      <c r="BD558" s="7">
        <v>0.75680000000000003</v>
      </c>
      <c r="BE558" s="7">
        <v>0.76380000000000003</v>
      </c>
      <c r="BF558" s="7">
        <v>0.77080000000000004</v>
      </c>
      <c r="BG558" s="7">
        <v>0.77769999999999995</v>
      </c>
      <c r="BH558" s="7">
        <v>0.78459999999999996</v>
      </c>
      <c r="BI558" s="7">
        <v>0.7913</v>
      </c>
      <c r="BJ558" s="7">
        <v>0.79800000000000004</v>
      </c>
      <c r="BK558" s="7">
        <v>0.80469999999999997</v>
      </c>
      <c r="BL558" s="7">
        <v>0.81130000000000002</v>
      </c>
      <c r="BM558" s="7">
        <v>0.81779999999999997</v>
      </c>
      <c r="BN558" s="7">
        <v>0.82420000000000004</v>
      </c>
      <c r="BO558" s="7">
        <v>0.83069999999999999</v>
      </c>
      <c r="BP558" s="7">
        <v>0.83699999999999997</v>
      </c>
      <c r="BQ558" s="7">
        <v>0.84330000000000005</v>
      </c>
      <c r="BR558" s="7">
        <v>0.84950000000000003</v>
      </c>
      <c r="BS558" s="7">
        <v>0.85570000000000002</v>
      </c>
      <c r="BT558" s="7">
        <v>0.86180000000000001</v>
      </c>
      <c r="BU558" s="7">
        <v>0.8679</v>
      </c>
      <c r="BV558" s="7">
        <v>0.87390000000000001</v>
      </c>
      <c r="BW558" s="7">
        <v>0.87990000000000002</v>
      </c>
      <c r="BX558" s="7">
        <v>0.88580000000000003</v>
      </c>
      <c r="BY558" s="7">
        <v>0.89170000000000005</v>
      </c>
      <c r="BZ558" s="7">
        <v>0.89759999999999995</v>
      </c>
      <c r="CA558" s="7">
        <v>0.90329999999999999</v>
      </c>
      <c r="CB558" s="7">
        <v>0.90910000000000002</v>
      </c>
      <c r="CC558" s="7">
        <v>0.91479999999999995</v>
      </c>
      <c r="CD558" s="7">
        <v>0.92049999999999998</v>
      </c>
      <c r="CE558" s="7">
        <v>0.92610000000000003</v>
      </c>
      <c r="CF558" s="7">
        <v>0.93169999999999997</v>
      </c>
      <c r="CG558" s="7">
        <v>0.93730000000000002</v>
      </c>
      <c r="CH558" s="7">
        <v>0.94279999999999997</v>
      </c>
      <c r="CI558" s="7">
        <v>0.94830000000000003</v>
      </c>
      <c r="CJ558" s="7">
        <v>0.95369999999999999</v>
      </c>
      <c r="CK558" s="7">
        <v>0.95920000000000005</v>
      </c>
      <c r="CL558" s="7">
        <v>0.96460000000000001</v>
      </c>
      <c r="CM558" s="7">
        <v>0.96989999999999998</v>
      </c>
      <c r="CN558" s="7">
        <v>0.97529999999999994</v>
      </c>
      <c r="CO558" s="7">
        <v>0.98060000000000003</v>
      </c>
      <c r="CP558" s="7">
        <v>0.9859</v>
      </c>
      <c r="CQ558" s="7">
        <v>0.99119999999999997</v>
      </c>
      <c r="CR558" s="7">
        <v>0.99639999999999995</v>
      </c>
      <c r="CS558" s="7">
        <v>1.0009999999999999</v>
      </c>
      <c r="CT558" s="7">
        <v>1.0009999999999999</v>
      </c>
      <c r="CU558" s="7">
        <v>1.0009999999999999</v>
      </c>
      <c r="CV558" s="7">
        <v>1.0009999999999999</v>
      </c>
      <c r="CW558" s="7">
        <v>1.0009999999999999</v>
      </c>
      <c r="CX558" s="7">
        <v>1.0009999999999999</v>
      </c>
      <c r="CY558" s="7">
        <v>1.0009999999999999</v>
      </c>
      <c r="CZ558" s="7">
        <v>1.0009999999999999</v>
      </c>
      <c r="DA558" s="7">
        <v>1.0009999999999999</v>
      </c>
      <c r="DB558" s="7">
        <v>1.0009999999999999</v>
      </c>
      <c r="DC558" s="7">
        <v>1.0009999999999999</v>
      </c>
      <c r="DD558" s="7">
        <v>1.0009999999999999</v>
      </c>
      <c r="DE558" s="7">
        <v>1.0009999999999999</v>
      </c>
      <c r="DF558" s="7">
        <v>1.0009999999999999</v>
      </c>
      <c r="DG558" s="7">
        <v>1.0009999999999999</v>
      </c>
      <c r="DH558" s="7">
        <v>1.0009999999999999</v>
      </c>
      <c r="DI558" s="7">
        <v>1.0009999999999999</v>
      </c>
      <c r="DJ558" s="7">
        <v>1.0009999999999999</v>
      </c>
      <c r="DK558" s="7">
        <v>1.0009999999999999</v>
      </c>
      <c r="DL558" s="7">
        <v>1.0009999999999999</v>
      </c>
      <c r="DM558" s="7">
        <v>1.0009999999999999</v>
      </c>
      <c r="DN558" s="7">
        <v>1.0009999999999999</v>
      </c>
      <c r="DO558" s="7">
        <v>1.0009999999999999</v>
      </c>
      <c r="DP558" s="7">
        <v>1.0009999999999999</v>
      </c>
      <c r="DQ558" s="7">
        <v>1.0009999999999999</v>
      </c>
      <c r="DR558" s="7">
        <v>1.0009999999999999</v>
      </c>
      <c r="DS558" s="7">
        <v>1.0009999999999999</v>
      </c>
      <c r="DT558" s="7">
        <v>1.0009999999999999</v>
      </c>
      <c r="DU558" s="7">
        <v>1.0009999999999999</v>
      </c>
      <c r="DV558" s="7">
        <v>1.0009999999999999</v>
      </c>
      <c r="DW558" s="7">
        <v>1.0009999999999999</v>
      </c>
      <c r="DX558" s="7">
        <v>1.0009999999999999</v>
      </c>
      <c r="DY558" s="7">
        <v>1.0009999999999999</v>
      </c>
      <c r="DZ558" s="7">
        <v>1.0009999999999999</v>
      </c>
      <c r="EA558" s="7">
        <v>1.0009999999999999</v>
      </c>
      <c r="EB558" s="7">
        <v>1.0009999999999999</v>
      </c>
      <c r="EC558" s="7">
        <v>1.0009999999999999</v>
      </c>
      <c r="ED558" s="7">
        <v>1.0009999999999999</v>
      </c>
      <c r="EE558" s="7">
        <v>1.0009999999999999</v>
      </c>
      <c r="EF558" s="7">
        <v>1.0009999999999999</v>
      </c>
      <c r="EG558" s="7">
        <v>1.0009999999999999</v>
      </c>
      <c r="EH558" s="7">
        <v>1.0009999999999999</v>
      </c>
      <c r="EI558" s="7">
        <v>1.0009999999999999</v>
      </c>
      <c r="EJ558" s="7">
        <v>1.0009999999999999</v>
      </c>
      <c r="EK558" s="7">
        <v>1.0009999999999999</v>
      </c>
      <c r="EL558" s="7">
        <v>1.0009999999999999</v>
      </c>
      <c r="EM558" s="7">
        <v>1.0009999999999999</v>
      </c>
      <c r="EN558" s="7">
        <v>1.0009999999999999</v>
      </c>
      <c r="EO558" s="7">
        <v>1.0009999999999999</v>
      </c>
      <c r="EP558" s="7">
        <v>1.0009999999999999</v>
      </c>
      <c r="EQ558" s="7">
        <v>1.0009999999999999</v>
      </c>
      <c r="ER558" s="7">
        <v>1.0009999999999999</v>
      </c>
      <c r="ES558" s="7">
        <v>1.0009999999999999</v>
      </c>
      <c r="ET558" s="7">
        <v>1.0009999999999999</v>
      </c>
      <c r="EU558" s="7">
        <v>1.0009999999999999</v>
      </c>
      <c r="EV558" s="7">
        <v>1.0009999999999999</v>
      </c>
      <c r="EW558" s="7">
        <v>1.0009999999999999</v>
      </c>
      <c r="EX558" s="7">
        <v>1.0009999999999999</v>
      </c>
      <c r="EY558" s="7">
        <v>1.0009999999999999</v>
      </c>
      <c r="EZ558" s="7">
        <v>1.0009999999999999</v>
      </c>
      <c r="FA558" s="7">
        <v>1.0009999999999999</v>
      </c>
      <c r="FB558" s="7">
        <v>1.0009999999999999</v>
      </c>
      <c r="FC558" s="7">
        <v>1.0009999999999999</v>
      </c>
      <c r="FE558" s="50">
        <f t="shared" ca="1" si="59"/>
        <v>1.0009999999999999</v>
      </c>
      <c r="FF558" s="50">
        <f t="shared" ca="1" si="60"/>
        <v>1.0009999999999999</v>
      </c>
      <c r="FG558" s="50">
        <f t="shared" ca="1" si="61"/>
        <v>1.0009999999999999</v>
      </c>
      <c r="FH558" s="50">
        <f t="shared" ca="1" si="62"/>
        <v>1.0009999999999999</v>
      </c>
      <c r="FI558" s="50"/>
      <c r="FK558" s="50">
        <f t="shared" ca="1" si="58"/>
        <v>1.0009999999999999</v>
      </c>
      <c r="FL558" s="50"/>
      <c r="FM558" s="50"/>
      <c r="FN558" s="50"/>
    </row>
    <row r="559" spans="49:170" hidden="1">
      <c r="AW559" s="112">
        <v>0.85099999999999998</v>
      </c>
      <c r="AX559" s="7">
        <v>0.70889999999999997</v>
      </c>
      <c r="AY559" s="7">
        <v>0.71640000000000004</v>
      </c>
      <c r="AZ559" s="7">
        <v>0.7238</v>
      </c>
      <c r="BA559" s="7">
        <v>0.73109999999999997</v>
      </c>
      <c r="BB559" s="7">
        <v>0.73829999999999996</v>
      </c>
      <c r="BC559" s="7">
        <v>0.74550000000000005</v>
      </c>
      <c r="BD559" s="7">
        <v>0.75249999999999995</v>
      </c>
      <c r="BE559" s="7">
        <v>0.75960000000000005</v>
      </c>
      <c r="BF559" s="7">
        <v>0.76649999999999996</v>
      </c>
      <c r="BG559" s="7">
        <v>0.77339999999999998</v>
      </c>
      <c r="BH559" s="7">
        <v>0.7802</v>
      </c>
      <c r="BI559" s="7">
        <v>0.78690000000000004</v>
      </c>
      <c r="BJ559" s="7">
        <v>0.79359999999999997</v>
      </c>
      <c r="BK559" s="7">
        <v>0.80020000000000002</v>
      </c>
      <c r="BL559" s="7">
        <v>0.80669999999999997</v>
      </c>
      <c r="BM559" s="7">
        <v>0.81320000000000003</v>
      </c>
      <c r="BN559" s="7">
        <v>0.8196</v>
      </c>
      <c r="BO559" s="7">
        <v>0.82599999999999996</v>
      </c>
      <c r="BP559" s="7">
        <v>0.83230000000000004</v>
      </c>
      <c r="BQ559" s="7">
        <v>0.83860000000000001</v>
      </c>
      <c r="BR559" s="7">
        <v>0.8448</v>
      </c>
      <c r="BS559" s="7">
        <v>0.85089999999999999</v>
      </c>
      <c r="BT559" s="7">
        <v>0.85699999999999998</v>
      </c>
      <c r="BU559" s="7">
        <v>0.86299999999999999</v>
      </c>
      <c r="BV559" s="7">
        <v>0.86899999999999999</v>
      </c>
      <c r="BW559" s="7">
        <v>0.875</v>
      </c>
      <c r="BX559" s="7">
        <v>0.88090000000000002</v>
      </c>
      <c r="BY559" s="7">
        <v>0.88670000000000004</v>
      </c>
      <c r="BZ559" s="7">
        <v>0.89249999999999996</v>
      </c>
      <c r="CA559" s="7">
        <v>0.89829999999999999</v>
      </c>
      <c r="CB559" s="7">
        <v>0.90400000000000003</v>
      </c>
      <c r="CC559" s="7">
        <v>0.90969999999999995</v>
      </c>
      <c r="CD559" s="7">
        <v>0.9153</v>
      </c>
      <c r="CE559" s="7">
        <v>0.92090000000000005</v>
      </c>
      <c r="CF559" s="7">
        <v>0.92649999999999999</v>
      </c>
      <c r="CG559" s="7">
        <v>0.93200000000000005</v>
      </c>
      <c r="CH559" s="7">
        <v>0.9375</v>
      </c>
      <c r="CI559" s="7">
        <v>0.94299999999999995</v>
      </c>
      <c r="CJ559" s="7">
        <v>0.94840000000000002</v>
      </c>
      <c r="CK559" s="7">
        <v>0.95379999999999998</v>
      </c>
      <c r="CL559" s="7">
        <v>0.95920000000000005</v>
      </c>
      <c r="CM559" s="7">
        <v>0.96450000000000002</v>
      </c>
      <c r="CN559" s="7">
        <v>0.9698</v>
      </c>
      <c r="CO559" s="7">
        <v>0.97509999999999997</v>
      </c>
      <c r="CP559" s="7">
        <v>0.98040000000000005</v>
      </c>
      <c r="CQ559" s="7">
        <v>0.98560000000000003</v>
      </c>
      <c r="CR559" s="7">
        <v>0.9909</v>
      </c>
      <c r="CS559" s="7">
        <v>0.99609999999999999</v>
      </c>
      <c r="CT559" s="7">
        <v>1.0009999999999999</v>
      </c>
      <c r="CU559" s="7">
        <v>1.0009999999999999</v>
      </c>
      <c r="CV559" s="7">
        <v>1.0009999999999999</v>
      </c>
      <c r="CW559" s="7">
        <v>1.0009999999999999</v>
      </c>
      <c r="CX559" s="7">
        <v>1.0009999999999999</v>
      </c>
      <c r="CY559" s="7">
        <v>1.0009999999999999</v>
      </c>
      <c r="CZ559" s="7">
        <v>1.0009999999999999</v>
      </c>
      <c r="DA559" s="7">
        <v>1.0009999999999999</v>
      </c>
      <c r="DB559" s="7">
        <v>1.0009999999999999</v>
      </c>
      <c r="DC559" s="7">
        <v>1.0009999999999999</v>
      </c>
      <c r="DD559" s="7">
        <v>1.0009999999999999</v>
      </c>
      <c r="DE559" s="7">
        <v>1.0009999999999999</v>
      </c>
      <c r="DF559" s="7">
        <v>1.0009999999999999</v>
      </c>
      <c r="DG559" s="7">
        <v>1.0009999999999999</v>
      </c>
      <c r="DH559" s="7">
        <v>1.0009999999999999</v>
      </c>
      <c r="DI559" s="7">
        <v>1.0009999999999999</v>
      </c>
      <c r="DJ559" s="7">
        <v>1.0009999999999999</v>
      </c>
      <c r="DK559" s="7">
        <v>1.0009999999999999</v>
      </c>
      <c r="DL559" s="7">
        <v>1.0009999999999999</v>
      </c>
      <c r="DM559" s="7">
        <v>1.0009999999999999</v>
      </c>
      <c r="DN559" s="7">
        <v>1.0009999999999999</v>
      </c>
      <c r="DO559" s="7">
        <v>1.0009999999999999</v>
      </c>
      <c r="DP559" s="7">
        <v>1.0009999999999999</v>
      </c>
      <c r="DQ559" s="7">
        <v>1.0009999999999999</v>
      </c>
      <c r="DR559" s="7">
        <v>1.0009999999999999</v>
      </c>
      <c r="DS559" s="7">
        <v>1.0009999999999999</v>
      </c>
      <c r="DT559" s="7">
        <v>1.0009999999999999</v>
      </c>
      <c r="DU559" s="7">
        <v>1.0009999999999999</v>
      </c>
      <c r="DV559" s="7">
        <v>1.0009999999999999</v>
      </c>
      <c r="DW559" s="7">
        <v>1.0009999999999999</v>
      </c>
      <c r="DX559" s="7">
        <v>1.0009999999999999</v>
      </c>
      <c r="DY559" s="7">
        <v>1.0009999999999999</v>
      </c>
      <c r="DZ559" s="7">
        <v>1.0009999999999999</v>
      </c>
      <c r="EA559" s="7">
        <v>1.0009999999999999</v>
      </c>
      <c r="EB559" s="7">
        <v>1.0009999999999999</v>
      </c>
      <c r="EC559" s="7">
        <v>1.0009999999999999</v>
      </c>
      <c r="ED559" s="7">
        <v>1.0009999999999999</v>
      </c>
      <c r="EE559" s="7">
        <v>1.0009999999999999</v>
      </c>
      <c r="EF559" s="7">
        <v>1.0009999999999999</v>
      </c>
      <c r="EG559" s="7">
        <v>1.0009999999999999</v>
      </c>
      <c r="EH559" s="7">
        <v>1.0009999999999999</v>
      </c>
      <c r="EI559" s="7">
        <v>1.0009999999999999</v>
      </c>
      <c r="EJ559" s="7">
        <v>1.0009999999999999</v>
      </c>
      <c r="EK559" s="7">
        <v>1.0009999999999999</v>
      </c>
      <c r="EL559" s="7">
        <v>1.0009999999999999</v>
      </c>
      <c r="EM559" s="7">
        <v>1.0009999999999999</v>
      </c>
      <c r="EN559" s="7">
        <v>1.0009999999999999</v>
      </c>
      <c r="EO559" s="7">
        <v>1.0009999999999999</v>
      </c>
      <c r="EP559" s="7">
        <v>1.0009999999999999</v>
      </c>
      <c r="EQ559" s="7">
        <v>1.0009999999999999</v>
      </c>
      <c r="ER559" s="7">
        <v>1.0009999999999999</v>
      </c>
      <c r="ES559" s="7">
        <v>1.0009999999999999</v>
      </c>
      <c r="ET559" s="7">
        <v>1.0009999999999999</v>
      </c>
      <c r="EU559" s="7">
        <v>1.0009999999999999</v>
      </c>
      <c r="EV559" s="7">
        <v>1.0009999999999999</v>
      </c>
      <c r="EW559" s="7">
        <v>1.0009999999999999</v>
      </c>
      <c r="EX559" s="7">
        <v>1.0009999999999999</v>
      </c>
      <c r="EY559" s="7">
        <v>1.0009999999999999</v>
      </c>
      <c r="EZ559" s="7">
        <v>1.0009999999999999</v>
      </c>
      <c r="FA559" s="7">
        <v>1.0009999999999999</v>
      </c>
      <c r="FB559" s="7">
        <v>1.0009999999999999</v>
      </c>
      <c r="FC559" s="7">
        <v>1.0009999999999999</v>
      </c>
      <c r="FE559" s="50">
        <f t="shared" ca="1" si="59"/>
        <v>1.0009999999999999</v>
      </c>
      <c r="FF559" s="50">
        <f t="shared" ca="1" si="60"/>
        <v>1.0009999999999999</v>
      </c>
      <c r="FG559" s="50">
        <f t="shared" ca="1" si="61"/>
        <v>1.0009999999999999</v>
      </c>
      <c r="FH559" s="50">
        <f t="shared" ca="1" si="62"/>
        <v>1.0009999999999999</v>
      </c>
      <c r="FI559" s="50"/>
      <c r="FK559" s="50">
        <f t="shared" ca="1" si="58"/>
        <v>1.0009999999999999</v>
      </c>
      <c r="FL559" s="50"/>
      <c r="FM559" s="50"/>
      <c r="FN559" s="50"/>
    </row>
    <row r="560" spans="49:170" hidden="1">
      <c r="AW560" s="112">
        <v>0.91200000000000003</v>
      </c>
      <c r="AX560" s="7">
        <v>0.70499999999999996</v>
      </c>
      <c r="AY560" s="7">
        <v>0.71240000000000003</v>
      </c>
      <c r="AZ560" s="7">
        <v>0.7198</v>
      </c>
      <c r="BA560" s="7">
        <v>0.72709999999999997</v>
      </c>
      <c r="BB560" s="7">
        <v>0.73419999999999996</v>
      </c>
      <c r="BC560" s="7">
        <v>0.74139999999999995</v>
      </c>
      <c r="BD560" s="7">
        <v>0.74839999999999995</v>
      </c>
      <c r="BE560" s="7">
        <v>0.75539999999999996</v>
      </c>
      <c r="BF560" s="7">
        <v>0.76229999999999998</v>
      </c>
      <c r="BG560" s="7">
        <v>0.76910000000000001</v>
      </c>
      <c r="BH560" s="7">
        <v>0.77590000000000003</v>
      </c>
      <c r="BI560" s="7">
        <v>0.78259999999999996</v>
      </c>
      <c r="BJ560" s="7">
        <v>0.78920000000000001</v>
      </c>
      <c r="BK560" s="7">
        <v>0.79579999999999995</v>
      </c>
      <c r="BL560" s="7">
        <v>0.80230000000000001</v>
      </c>
      <c r="BM560" s="7">
        <v>0.80869999999999997</v>
      </c>
      <c r="BN560" s="7">
        <v>0.81510000000000005</v>
      </c>
      <c r="BO560" s="7">
        <v>0.82150000000000001</v>
      </c>
      <c r="BP560" s="7">
        <v>0.82769999999999999</v>
      </c>
      <c r="BQ560" s="7">
        <v>0.83399999999999996</v>
      </c>
      <c r="BR560" s="7">
        <v>0.84009999999999996</v>
      </c>
      <c r="BS560" s="7">
        <v>0.84619999999999995</v>
      </c>
      <c r="BT560" s="7">
        <v>0.85229999999999995</v>
      </c>
      <c r="BU560" s="7">
        <v>0.85829999999999995</v>
      </c>
      <c r="BV560" s="7">
        <v>0.86429999999999996</v>
      </c>
      <c r="BW560" s="7">
        <v>0.87019999999999997</v>
      </c>
      <c r="BX560" s="7">
        <v>0.876</v>
      </c>
      <c r="BY560" s="7">
        <v>0.88180000000000003</v>
      </c>
      <c r="BZ560" s="7">
        <v>0.88759999999999994</v>
      </c>
      <c r="CA560" s="7">
        <v>0.89329999999999998</v>
      </c>
      <c r="CB560" s="7">
        <v>0.89900000000000002</v>
      </c>
      <c r="CC560" s="7">
        <v>0.90469999999999995</v>
      </c>
      <c r="CD560" s="7">
        <v>0.9103</v>
      </c>
      <c r="CE560" s="7">
        <v>0.91590000000000005</v>
      </c>
      <c r="CF560" s="7">
        <v>0.9214</v>
      </c>
      <c r="CG560" s="7">
        <v>0.92689999999999995</v>
      </c>
      <c r="CH560" s="7">
        <v>0.93240000000000001</v>
      </c>
      <c r="CI560" s="7">
        <v>0.93779999999999997</v>
      </c>
      <c r="CJ560" s="7">
        <v>0.94320000000000004</v>
      </c>
      <c r="CK560" s="7">
        <v>0.9486</v>
      </c>
      <c r="CL560" s="7">
        <v>0.95389999999999997</v>
      </c>
      <c r="CM560" s="7">
        <v>0.95920000000000005</v>
      </c>
      <c r="CN560" s="7">
        <v>0.96450000000000002</v>
      </c>
      <c r="CO560" s="7">
        <v>0.9698</v>
      </c>
      <c r="CP560" s="7">
        <v>0.97499999999999998</v>
      </c>
      <c r="CQ560" s="7">
        <v>0.98019999999999996</v>
      </c>
      <c r="CR560" s="7">
        <v>0.98540000000000005</v>
      </c>
      <c r="CS560" s="7">
        <v>0.99060000000000004</v>
      </c>
      <c r="CT560" s="7">
        <v>0.99570000000000003</v>
      </c>
      <c r="CU560" s="7">
        <v>1.0009999999999999</v>
      </c>
      <c r="CV560" s="7">
        <v>1.0009999999999999</v>
      </c>
      <c r="CW560" s="7">
        <v>1.0009999999999999</v>
      </c>
      <c r="CX560" s="7">
        <v>1.0009999999999999</v>
      </c>
      <c r="CY560" s="7">
        <v>1.0009999999999999</v>
      </c>
      <c r="CZ560" s="7">
        <v>1.0009999999999999</v>
      </c>
      <c r="DA560" s="7">
        <v>1.0009999999999999</v>
      </c>
      <c r="DB560" s="7">
        <v>1.0009999999999999</v>
      </c>
      <c r="DC560" s="7">
        <v>1.0009999999999999</v>
      </c>
      <c r="DD560" s="7">
        <v>1.0009999999999999</v>
      </c>
      <c r="DE560" s="7">
        <v>1.0009999999999999</v>
      </c>
      <c r="DF560" s="7">
        <v>1.0009999999999999</v>
      </c>
      <c r="DG560" s="7">
        <v>1.0009999999999999</v>
      </c>
      <c r="DH560" s="7">
        <v>1.0009999999999999</v>
      </c>
      <c r="DI560" s="7">
        <v>1.0009999999999999</v>
      </c>
      <c r="DJ560" s="7">
        <v>1.0009999999999999</v>
      </c>
      <c r="DK560" s="7">
        <v>1.0009999999999999</v>
      </c>
      <c r="DL560" s="7">
        <v>1.0009999999999999</v>
      </c>
      <c r="DM560" s="7">
        <v>1.0009999999999999</v>
      </c>
      <c r="DN560" s="7">
        <v>1.0009999999999999</v>
      </c>
      <c r="DO560" s="7">
        <v>1.0009999999999999</v>
      </c>
      <c r="DP560" s="7">
        <v>1.0009999999999999</v>
      </c>
      <c r="DQ560" s="7">
        <v>1.0009999999999999</v>
      </c>
      <c r="DR560" s="7">
        <v>1.0009999999999999</v>
      </c>
      <c r="DS560" s="7">
        <v>1.0009999999999999</v>
      </c>
      <c r="DT560" s="7">
        <v>1.0009999999999999</v>
      </c>
      <c r="DU560" s="7">
        <v>1.0009999999999999</v>
      </c>
      <c r="DV560" s="7">
        <v>1.0009999999999999</v>
      </c>
      <c r="DW560" s="7">
        <v>1.0009999999999999</v>
      </c>
      <c r="DX560" s="7">
        <v>1.0009999999999999</v>
      </c>
      <c r="DY560" s="7">
        <v>1.0009999999999999</v>
      </c>
      <c r="DZ560" s="7">
        <v>1.0009999999999999</v>
      </c>
      <c r="EA560" s="7">
        <v>1.0009999999999999</v>
      </c>
      <c r="EB560" s="7">
        <v>1.0009999999999999</v>
      </c>
      <c r="EC560" s="7">
        <v>1.0009999999999999</v>
      </c>
      <c r="ED560" s="7">
        <v>1.0009999999999999</v>
      </c>
      <c r="EE560" s="7">
        <v>1.0009999999999999</v>
      </c>
      <c r="EF560" s="7">
        <v>1.0009999999999999</v>
      </c>
      <c r="EG560" s="7">
        <v>1.0009999999999999</v>
      </c>
      <c r="EH560" s="7">
        <v>1.0009999999999999</v>
      </c>
      <c r="EI560" s="7">
        <v>1.0009999999999999</v>
      </c>
      <c r="EJ560" s="7">
        <v>1.0009999999999999</v>
      </c>
      <c r="EK560" s="7">
        <v>1.0009999999999999</v>
      </c>
      <c r="EL560" s="7">
        <v>1.0009999999999999</v>
      </c>
      <c r="EM560" s="7">
        <v>1.0009999999999999</v>
      </c>
      <c r="EN560" s="7">
        <v>1.0009999999999999</v>
      </c>
      <c r="EO560" s="7">
        <v>1.0009999999999999</v>
      </c>
      <c r="EP560" s="7">
        <v>1.0009999999999999</v>
      </c>
      <c r="EQ560" s="7">
        <v>1.0009999999999999</v>
      </c>
      <c r="ER560" s="7">
        <v>1.0009999999999999</v>
      </c>
      <c r="ES560" s="7">
        <v>1.0009999999999999</v>
      </c>
      <c r="ET560" s="7">
        <v>1.0009999999999999</v>
      </c>
      <c r="EU560" s="7">
        <v>1.0009999999999999</v>
      </c>
      <c r="EV560" s="7">
        <v>1.0009999999999999</v>
      </c>
      <c r="EW560" s="7">
        <v>1.0009999999999999</v>
      </c>
      <c r="EX560" s="7">
        <v>1.0009999999999999</v>
      </c>
      <c r="EY560" s="7">
        <v>1.0009999999999999</v>
      </c>
      <c r="EZ560" s="7">
        <v>1.0009999999999999</v>
      </c>
      <c r="FA560" s="7">
        <v>1.0009999999999999</v>
      </c>
      <c r="FB560" s="7">
        <v>1.0009999999999999</v>
      </c>
      <c r="FC560" s="7">
        <v>1.0009999999999999</v>
      </c>
      <c r="FE560" s="50">
        <f t="shared" ca="1" si="59"/>
        <v>1.0009999999999999</v>
      </c>
      <c r="FF560" s="50">
        <f t="shared" ca="1" si="60"/>
        <v>1.0009999999999999</v>
      </c>
      <c r="FG560" s="50">
        <f t="shared" ca="1" si="61"/>
        <v>1.0009999999999999</v>
      </c>
      <c r="FH560" s="50">
        <f t="shared" ca="1" si="62"/>
        <v>1.0009999999999999</v>
      </c>
      <c r="FI560" s="50"/>
      <c r="FK560" s="50">
        <f t="shared" ref="FK560:FK591" ca="1" si="63">FORECAST(AN$22,OFFSET($AX560,0,MATCH(AN$22,$AX$527:$FC$527,1)-1,1,2),OFFSET($AX$527,0,MATCH(AN$22,$AX$527:$FC$527,1)-1,1,2))</f>
        <v>1.0009999999999999</v>
      </c>
      <c r="FL560" s="50"/>
      <c r="FM560" s="50"/>
      <c r="FN560" s="50"/>
    </row>
    <row r="561" spans="49:170" hidden="1">
      <c r="AW561" s="112">
        <v>0.97699999999999998</v>
      </c>
      <c r="AX561" s="7">
        <v>0.70120000000000005</v>
      </c>
      <c r="AY561" s="7">
        <v>0.70860000000000001</v>
      </c>
      <c r="AZ561" s="7">
        <v>0.71589999999999998</v>
      </c>
      <c r="BA561" s="7">
        <v>0.72309999999999997</v>
      </c>
      <c r="BB561" s="7">
        <v>0.73029999999999995</v>
      </c>
      <c r="BC561" s="7">
        <v>0.73729999999999996</v>
      </c>
      <c r="BD561" s="7">
        <v>0.74429999999999996</v>
      </c>
      <c r="BE561" s="7">
        <v>0.75129999999999997</v>
      </c>
      <c r="BF561" s="7">
        <v>0.7581</v>
      </c>
      <c r="BG561" s="7">
        <v>0.76490000000000002</v>
      </c>
      <c r="BH561" s="7">
        <v>0.77170000000000005</v>
      </c>
      <c r="BI561" s="7">
        <v>0.77829999999999999</v>
      </c>
      <c r="BJ561" s="7">
        <v>0.78490000000000004</v>
      </c>
      <c r="BK561" s="7">
        <v>0.79149999999999998</v>
      </c>
      <c r="BL561" s="7">
        <v>0.79790000000000005</v>
      </c>
      <c r="BM561" s="7">
        <v>0.80430000000000001</v>
      </c>
      <c r="BN561" s="7">
        <v>0.81069999999999998</v>
      </c>
      <c r="BO561" s="7">
        <v>0.81699999999999995</v>
      </c>
      <c r="BP561" s="7">
        <v>0.82320000000000004</v>
      </c>
      <c r="BQ561" s="7">
        <v>0.82940000000000003</v>
      </c>
      <c r="BR561" s="7">
        <v>0.83560000000000001</v>
      </c>
      <c r="BS561" s="7">
        <v>0.84160000000000001</v>
      </c>
      <c r="BT561" s="7">
        <v>0.84770000000000001</v>
      </c>
      <c r="BU561" s="7">
        <v>0.85360000000000003</v>
      </c>
      <c r="BV561" s="7">
        <v>0.85960000000000003</v>
      </c>
      <c r="BW561" s="7">
        <v>0.86539999999999995</v>
      </c>
      <c r="BX561" s="7">
        <v>0.87129999999999996</v>
      </c>
      <c r="BY561" s="7">
        <v>0.87709999999999999</v>
      </c>
      <c r="BZ561" s="7">
        <v>0.88280000000000003</v>
      </c>
      <c r="CA561" s="7">
        <v>0.88849999999999996</v>
      </c>
      <c r="CB561" s="7">
        <v>0.89419999999999999</v>
      </c>
      <c r="CC561" s="7">
        <v>0.89980000000000004</v>
      </c>
      <c r="CD561" s="7">
        <v>0.90529999999999999</v>
      </c>
      <c r="CE561" s="7">
        <v>0.91090000000000004</v>
      </c>
      <c r="CF561" s="7">
        <v>0.91639999999999999</v>
      </c>
      <c r="CG561" s="7">
        <v>0.92190000000000005</v>
      </c>
      <c r="CH561" s="7">
        <v>0.92730000000000001</v>
      </c>
      <c r="CI561" s="7">
        <v>0.93269999999999997</v>
      </c>
      <c r="CJ561" s="7">
        <v>0.93810000000000004</v>
      </c>
      <c r="CK561" s="7">
        <v>0.94340000000000002</v>
      </c>
      <c r="CL561" s="7">
        <v>0.94869999999999999</v>
      </c>
      <c r="CM561" s="7">
        <v>0.95399999999999996</v>
      </c>
      <c r="CN561" s="7">
        <v>0.95930000000000004</v>
      </c>
      <c r="CO561" s="7">
        <v>0.96450000000000002</v>
      </c>
      <c r="CP561" s="7">
        <v>0.96970000000000001</v>
      </c>
      <c r="CQ561" s="7">
        <v>0.97489999999999999</v>
      </c>
      <c r="CR561" s="7">
        <v>0.98009999999999997</v>
      </c>
      <c r="CS561" s="7">
        <v>0.98519999999999996</v>
      </c>
      <c r="CT561" s="7">
        <v>0.99029999999999996</v>
      </c>
      <c r="CU561" s="7">
        <v>0.99539999999999995</v>
      </c>
      <c r="CV561" s="7">
        <v>1.0009999999999999</v>
      </c>
      <c r="CW561" s="7">
        <v>1.0009999999999999</v>
      </c>
      <c r="CX561" s="7">
        <v>1.0009999999999999</v>
      </c>
      <c r="CY561" s="7">
        <v>1.0009999999999999</v>
      </c>
      <c r="CZ561" s="7">
        <v>1.0009999999999999</v>
      </c>
      <c r="DA561" s="7">
        <v>1.0009999999999999</v>
      </c>
      <c r="DB561" s="7">
        <v>1.0009999999999999</v>
      </c>
      <c r="DC561" s="7">
        <v>1.0009999999999999</v>
      </c>
      <c r="DD561" s="7">
        <v>1.0009999999999999</v>
      </c>
      <c r="DE561" s="7">
        <v>1.0009999999999999</v>
      </c>
      <c r="DF561" s="7">
        <v>1.0009999999999999</v>
      </c>
      <c r="DG561" s="7">
        <v>1.0009999999999999</v>
      </c>
      <c r="DH561" s="7">
        <v>1.0009999999999999</v>
      </c>
      <c r="DI561" s="7">
        <v>1.0009999999999999</v>
      </c>
      <c r="DJ561" s="7">
        <v>1.0009999999999999</v>
      </c>
      <c r="DK561" s="7">
        <v>1.0009999999999999</v>
      </c>
      <c r="DL561" s="7">
        <v>1.0009999999999999</v>
      </c>
      <c r="DM561" s="7">
        <v>1.0009999999999999</v>
      </c>
      <c r="DN561" s="7">
        <v>1.0009999999999999</v>
      </c>
      <c r="DO561" s="7">
        <v>1.0009999999999999</v>
      </c>
      <c r="DP561" s="7">
        <v>1.0009999999999999</v>
      </c>
      <c r="DQ561" s="7">
        <v>1.0009999999999999</v>
      </c>
      <c r="DR561" s="7">
        <v>1.0009999999999999</v>
      </c>
      <c r="DS561" s="7">
        <v>1.0009999999999999</v>
      </c>
      <c r="DT561" s="7">
        <v>1.0009999999999999</v>
      </c>
      <c r="DU561" s="7">
        <v>1.0009999999999999</v>
      </c>
      <c r="DV561" s="7">
        <v>1.0009999999999999</v>
      </c>
      <c r="DW561" s="7">
        <v>1.0009999999999999</v>
      </c>
      <c r="DX561" s="7">
        <v>1.0009999999999999</v>
      </c>
      <c r="DY561" s="7">
        <v>1.0009999999999999</v>
      </c>
      <c r="DZ561" s="7">
        <v>1.0009999999999999</v>
      </c>
      <c r="EA561" s="7">
        <v>1.0009999999999999</v>
      </c>
      <c r="EB561" s="7">
        <v>1.0009999999999999</v>
      </c>
      <c r="EC561" s="7">
        <v>1.0009999999999999</v>
      </c>
      <c r="ED561" s="7">
        <v>1.0009999999999999</v>
      </c>
      <c r="EE561" s="7">
        <v>1.0009999999999999</v>
      </c>
      <c r="EF561" s="7">
        <v>1.0009999999999999</v>
      </c>
      <c r="EG561" s="7">
        <v>1.0009999999999999</v>
      </c>
      <c r="EH561" s="7">
        <v>1.0009999999999999</v>
      </c>
      <c r="EI561" s="7">
        <v>1.0009999999999999</v>
      </c>
      <c r="EJ561" s="7">
        <v>1.0009999999999999</v>
      </c>
      <c r="EK561" s="7">
        <v>1.0009999999999999</v>
      </c>
      <c r="EL561" s="7">
        <v>1.0009999999999999</v>
      </c>
      <c r="EM561" s="7">
        <v>1.0009999999999999</v>
      </c>
      <c r="EN561" s="7">
        <v>1.0009999999999999</v>
      </c>
      <c r="EO561" s="7">
        <v>1.0009999999999999</v>
      </c>
      <c r="EP561" s="7">
        <v>1.0009999999999999</v>
      </c>
      <c r="EQ561" s="7">
        <v>1.0009999999999999</v>
      </c>
      <c r="ER561" s="7">
        <v>1.0009999999999999</v>
      </c>
      <c r="ES561" s="7">
        <v>1.0009999999999999</v>
      </c>
      <c r="ET561" s="7">
        <v>1.0009999999999999</v>
      </c>
      <c r="EU561" s="7">
        <v>1.0009999999999999</v>
      </c>
      <c r="EV561" s="7">
        <v>1.0009999999999999</v>
      </c>
      <c r="EW561" s="7">
        <v>1.0009999999999999</v>
      </c>
      <c r="EX561" s="7">
        <v>1.0009999999999999</v>
      </c>
      <c r="EY561" s="7">
        <v>1.0009999999999999</v>
      </c>
      <c r="EZ561" s="7">
        <v>1.0009999999999999</v>
      </c>
      <c r="FA561" s="7">
        <v>1.0009999999999999</v>
      </c>
      <c r="FB561" s="7">
        <v>1.0009999999999999</v>
      </c>
      <c r="FC561" s="7">
        <v>1.0009999999999999</v>
      </c>
      <c r="FE561" s="50">
        <f t="shared" ca="1" si="59"/>
        <v>1.0009999999999999</v>
      </c>
      <c r="FF561" s="50">
        <f t="shared" ca="1" si="60"/>
        <v>1.0009999999999999</v>
      </c>
      <c r="FG561" s="50">
        <f t="shared" ca="1" si="61"/>
        <v>1.0009999999999999</v>
      </c>
      <c r="FH561" s="50">
        <f t="shared" ca="1" si="62"/>
        <v>1.0009999999999999</v>
      </c>
      <c r="FI561" s="50"/>
      <c r="FK561" s="50">
        <f t="shared" ca="1" si="63"/>
        <v>1.0009999999999999</v>
      </c>
      <c r="FL561" s="50"/>
      <c r="FM561" s="50"/>
      <c r="FN561" s="50"/>
    </row>
    <row r="562" spans="49:170" hidden="1">
      <c r="AW562" s="112">
        <v>1.0469999999999999</v>
      </c>
      <c r="AX562" s="7">
        <v>0.69740000000000002</v>
      </c>
      <c r="AY562" s="7">
        <v>0.70479999999999998</v>
      </c>
      <c r="AZ562" s="7">
        <v>0.71199999999999997</v>
      </c>
      <c r="BA562" s="7">
        <v>0.71919999999999995</v>
      </c>
      <c r="BB562" s="7">
        <v>0.72629999999999995</v>
      </c>
      <c r="BC562" s="7">
        <v>0.73340000000000005</v>
      </c>
      <c r="BD562" s="7">
        <v>0.74029999999999996</v>
      </c>
      <c r="BE562" s="7">
        <v>0.74719999999999998</v>
      </c>
      <c r="BF562" s="7">
        <v>0.75409999999999999</v>
      </c>
      <c r="BG562" s="7">
        <v>0.76080000000000003</v>
      </c>
      <c r="BH562" s="7">
        <v>0.76749999999999996</v>
      </c>
      <c r="BI562" s="7">
        <v>0.7742</v>
      </c>
      <c r="BJ562" s="7">
        <v>0.78069999999999995</v>
      </c>
      <c r="BK562" s="7">
        <v>0.78720000000000001</v>
      </c>
      <c r="BL562" s="7">
        <v>0.79369999999999996</v>
      </c>
      <c r="BM562" s="7">
        <v>0.8</v>
      </c>
      <c r="BN562" s="7">
        <v>0.80640000000000001</v>
      </c>
      <c r="BO562" s="7">
        <v>0.81259999999999999</v>
      </c>
      <c r="BP562" s="7">
        <v>0.81879999999999997</v>
      </c>
      <c r="BQ562" s="7">
        <v>0.82499999999999996</v>
      </c>
      <c r="BR562" s="7">
        <v>0.83109999999999995</v>
      </c>
      <c r="BS562" s="7">
        <v>0.83709999999999996</v>
      </c>
      <c r="BT562" s="7">
        <v>0.84309999999999996</v>
      </c>
      <c r="BU562" s="7">
        <v>0.84909999999999997</v>
      </c>
      <c r="BV562" s="7">
        <v>0.85499999999999998</v>
      </c>
      <c r="BW562" s="7">
        <v>0.86080000000000001</v>
      </c>
      <c r="BX562" s="7">
        <v>0.86660000000000004</v>
      </c>
      <c r="BY562" s="7">
        <v>0.87239999999999995</v>
      </c>
      <c r="BZ562" s="7">
        <v>0.87809999999999999</v>
      </c>
      <c r="CA562" s="7">
        <v>0.88370000000000004</v>
      </c>
      <c r="CB562" s="7">
        <v>0.88939999999999997</v>
      </c>
      <c r="CC562" s="7">
        <v>0.89500000000000002</v>
      </c>
      <c r="CD562" s="7">
        <v>0.90049999999999997</v>
      </c>
      <c r="CE562" s="7">
        <v>0.90600000000000003</v>
      </c>
      <c r="CF562" s="7">
        <v>0.91149999999999998</v>
      </c>
      <c r="CG562" s="7">
        <v>0.91690000000000005</v>
      </c>
      <c r="CH562" s="7">
        <v>0.92230000000000001</v>
      </c>
      <c r="CI562" s="7">
        <v>0.92769999999999997</v>
      </c>
      <c r="CJ562" s="7">
        <v>0.93300000000000005</v>
      </c>
      <c r="CK562" s="7">
        <v>0.93840000000000001</v>
      </c>
      <c r="CL562" s="7">
        <v>0.94359999999999999</v>
      </c>
      <c r="CM562" s="7">
        <v>0.94889999999999997</v>
      </c>
      <c r="CN562" s="7">
        <v>0.95409999999999995</v>
      </c>
      <c r="CO562" s="7">
        <v>0.95930000000000004</v>
      </c>
      <c r="CP562" s="7">
        <v>0.96450000000000002</v>
      </c>
      <c r="CQ562" s="7">
        <v>0.96970000000000001</v>
      </c>
      <c r="CR562" s="7">
        <v>0.9748</v>
      </c>
      <c r="CS562" s="7">
        <v>0.97989999999999999</v>
      </c>
      <c r="CT562" s="7">
        <v>0.98499999999999999</v>
      </c>
      <c r="CU562" s="7">
        <v>0.99009999999999998</v>
      </c>
      <c r="CV562" s="7">
        <v>0.99519999999999997</v>
      </c>
      <c r="CW562" s="7">
        <v>1.0009999999999999</v>
      </c>
      <c r="CX562" s="7">
        <v>1.0009999999999999</v>
      </c>
      <c r="CY562" s="7">
        <v>1.0009999999999999</v>
      </c>
      <c r="CZ562" s="7">
        <v>1.0009999999999999</v>
      </c>
      <c r="DA562" s="7">
        <v>1.0009999999999999</v>
      </c>
      <c r="DB562" s="7">
        <v>1.0009999999999999</v>
      </c>
      <c r="DC562" s="7">
        <v>1.0009999999999999</v>
      </c>
      <c r="DD562" s="7">
        <v>1.0009999999999999</v>
      </c>
      <c r="DE562" s="7">
        <v>1.0009999999999999</v>
      </c>
      <c r="DF562" s="7">
        <v>1.0009999999999999</v>
      </c>
      <c r="DG562" s="7">
        <v>1.0009999999999999</v>
      </c>
      <c r="DH562" s="7">
        <v>1.0009999999999999</v>
      </c>
      <c r="DI562" s="7">
        <v>1.0009999999999999</v>
      </c>
      <c r="DJ562" s="7">
        <v>1.0009999999999999</v>
      </c>
      <c r="DK562" s="7">
        <v>1.0009999999999999</v>
      </c>
      <c r="DL562" s="7">
        <v>1.0009999999999999</v>
      </c>
      <c r="DM562" s="7">
        <v>1.0009999999999999</v>
      </c>
      <c r="DN562" s="7">
        <v>1.0009999999999999</v>
      </c>
      <c r="DO562" s="7">
        <v>1.0009999999999999</v>
      </c>
      <c r="DP562" s="7">
        <v>1.0009999999999999</v>
      </c>
      <c r="DQ562" s="7">
        <v>1.0009999999999999</v>
      </c>
      <c r="DR562" s="7">
        <v>1.0009999999999999</v>
      </c>
      <c r="DS562" s="7">
        <v>1.0009999999999999</v>
      </c>
      <c r="DT562" s="7">
        <v>1.0009999999999999</v>
      </c>
      <c r="DU562" s="7">
        <v>1.0009999999999999</v>
      </c>
      <c r="DV562" s="7">
        <v>1.0009999999999999</v>
      </c>
      <c r="DW562" s="7">
        <v>1.0009999999999999</v>
      </c>
      <c r="DX562" s="7">
        <v>1.0009999999999999</v>
      </c>
      <c r="DY562" s="7">
        <v>1.0009999999999999</v>
      </c>
      <c r="DZ562" s="7">
        <v>1.0009999999999999</v>
      </c>
      <c r="EA562" s="7">
        <v>1.0009999999999999</v>
      </c>
      <c r="EB562" s="7">
        <v>1.0009999999999999</v>
      </c>
      <c r="EC562" s="7">
        <v>1.0009999999999999</v>
      </c>
      <c r="ED562" s="7">
        <v>1.0009999999999999</v>
      </c>
      <c r="EE562" s="7">
        <v>1.0009999999999999</v>
      </c>
      <c r="EF562" s="7">
        <v>1.0009999999999999</v>
      </c>
      <c r="EG562" s="7">
        <v>1.0009999999999999</v>
      </c>
      <c r="EH562" s="7">
        <v>1.0009999999999999</v>
      </c>
      <c r="EI562" s="7">
        <v>1.0009999999999999</v>
      </c>
      <c r="EJ562" s="7">
        <v>1.0009999999999999</v>
      </c>
      <c r="EK562" s="7">
        <v>1.0009999999999999</v>
      </c>
      <c r="EL562" s="7">
        <v>1.0009999999999999</v>
      </c>
      <c r="EM562" s="7">
        <v>1.0009999999999999</v>
      </c>
      <c r="EN562" s="7">
        <v>1.0009999999999999</v>
      </c>
      <c r="EO562" s="7">
        <v>1.0009999999999999</v>
      </c>
      <c r="EP562" s="7">
        <v>1.0009999999999999</v>
      </c>
      <c r="EQ562" s="7">
        <v>1.0009999999999999</v>
      </c>
      <c r="ER562" s="7">
        <v>1.0009999999999999</v>
      </c>
      <c r="ES562" s="7">
        <v>1.0009999999999999</v>
      </c>
      <c r="ET562" s="7">
        <v>1.0009999999999999</v>
      </c>
      <c r="EU562" s="7">
        <v>1.0009999999999999</v>
      </c>
      <c r="EV562" s="7">
        <v>1.0009999999999999</v>
      </c>
      <c r="EW562" s="7">
        <v>1.0009999999999999</v>
      </c>
      <c r="EX562" s="7">
        <v>1.0009999999999999</v>
      </c>
      <c r="EY562" s="7">
        <v>1.0009999999999999</v>
      </c>
      <c r="EZ562" s="7">
        <v>1.0009999999999999</v>
      </c>
      <c r="FA562" s="7">
        <v>1.0009999999999999</v>
      </c>
      <c r="FB562" s="7">
        <v>1.0009999999999999</v>
      </c>
      <c r="FC562" s="7">
        <v>1.0009999999999999</v>
      </c>
      <c r="FE562" s="50">
        <f t="shared" ca="1" si="59"/>
        <v>1.0009999999999999</v>
      </c>
      <c r="FF562" s="50">
        <f t="shared" ca="1" si="60"/>
        <v>1.0009999999999999</v>
      </c>
      <c r="FG562" s="50">
        <f t="shared" ca="1" si="61"/>
        <v>1.0009999999999999</v>
      </c>
      <c r="FH562" s="50">
        <f t="shared" ca="1" si="62"/>
        <v>1.0009999999999999</v>
      </c>
      <c r="FI562" s="50"/>
      <c r="FK562" s="50">
        <f t="shared" ca="1" si="63"/>
        <v>1.0009999999999999</v>
      </c>
      <c r="FL562" s="50"/>
      <c r="FM562" s="50"/>
      <c r="FN562" s="50"/>
    </row>
    <row r="563" spans="49:170" hidden="1">
      <c r="AW563" s="112">
        <v>1.1220000000000001</v>
      </c>
      <c r="AX563" s="7">
        <v>0.69379999999999997</v>
      </c>
      <c r="AY563" s="7">
        <v>0.70109999999999995</v>
      </c>
      <c r="AZ563" s="7">
        <v>0.70830000000000004</v>
      </c>
      <c r="BA563" s="7">
        <v>0.71540000000000004</v>
      </c>
      <c r="BB563" s="7">
        <v>0.72250000000000003</v>
      </c>
      <c r="BC563" s="7">
        <v>0.72950000000000004</v>
      </c>
      <c r="BD563" s="7">
        <v>0.73640000000000005</v>
      </c>
      <c r="BE563" s="7">
        <v>0.74329999999999996</v>
      </c>
      <c r="BF563" s="7">
        <v>0.75009999999999999</v>
      </c>
      <c r="BG563" s="7">
        <v>0.75680000000000003</v>
      </c>
      <c r="BH563" s="7">
        <v>0.76349999999999996</v>
      </c>
      <c r="BI563" s="7">
        <v>0.77010000000000001</v>
      </c>
      <c r="BJ563" s="7">
        <v>0.77659999999999996</v>
      </c>
      <c r="BK563" s="7">
        <v>0.78310000000000002</v>
      </c>
      <c r="BL563" s="7">
        <v>0.78949999999999998</v>
      </c>
      <c r="BM563" s="7">
        <v>0.79579999999999995</v>
      </c>
      <c r="BN563" s="7">
        <v>0.80210000000000004</v>
      </c>
      <c r="BO563" s="7">
        <v>0.80830000000000002</v>
      </c>
      <c r="BP563" s="7">
        <v>0.8145</v>
      </c>
      <c r="BQ563" s="7">
        <v>0.8206</v>
      </c>
      <c r="BR563" s="7">
        <v>0.82669999999999999</v>
      </c>
      <c r="BS563" s="7">
        <v>0.8327</v>
      </c>
      <c r="BT563" s="7">
        <v>0.8387</v>
      </c>
      <c r="BU563" s="7">
        <v>0.84460000000000002</v>
      </c>
      <c r="BV563" s="7">
        <v>0.85040000000000004</v>
      </c>
      <c r="BW563" s="7">
        <v>0.85629999999999995</v>
      </c>
      <c r="BX563" s="7">
        <v>0.86199999999999999</v>
      </c>
      <c r="BY563" s="7">
        <v>0.86780000000000002</v>
      </c>
      <c r="BZ563" s="7">
        <v>0.87339999999999995</v>
      </c>
      <c r="CA563" s="7">
        <v>0.87909999999999999</v>
      </c>
      <c r="CB563" s="7">
        <v>0.88470000000000004</v>
      </c>
      <c r="CC563" s="7">
        <v>0.89019999999999999</v>
      </c>
      <c r="CD563" s="7">
        <v>0.89570000000000005</v>
      </c>
      <c r="CE563" s="7">
        <v>0.9012</v>
      </c>
      <c r="CF563" s="7">
        <v>0.90669999999999995</v>
      </c>
      <c r="CG563" s="7">
        <v>0.91210000000000002</v>
      </c>
      <c r="CH563" s="7">
        <v>0.91749999999999998</v>
      </c>
      <c r="CI563" s="7">
        <v>0.92279999999999995</v>
      </c>
      <c r="CJ563" s="7">
        <v>0.92810000000000004</v>
      </c>
      <c r="CK563" s="7">
        <v>0.93340000000000001</v>
      </c>
      <c r="CL563" s="7">
        <v>0.93869999999999998</v>
      </c>
      <c r="CM563" s="7">
        <v>0.94389999999999996</v>
      </c>
      <c r="CN563" s="7">
        <v>0.94910000000000005</v>
      </c>
      <c r="CO563" s="7">
        <v>0.95430000000000004</v>
      </c>
      <c r="CP563" s="7">
        <v>0.95940000000000003</v>
      </c>
      <c r="CQ563" s="7">
        <v>0.96450000000000002</v>
      </c>
      <c r="CR563" s="7">
        <v>0.96970000000000001</v>
      </c>
      <c r="CS563" s="7">
        <v>0.97470000000000001</v>
      </c>
      <c r="CT563" s="7">
        <v>0.9798</v>
      </c>
      <c r="CU563" s="7">
        <v>0.9849</v>
      </c>
      <c r="CV563" s="7">
        <v>0.9899</v>
      </c>
      <c r="CW563" s="7">
        <v>0.995</v>
      </c>
      <c r="CX563" s="7">
        <v>1.0009999999999999</v>
      </c>
      <c r="CY563" s="7">
        <v>1.0009999999999999</v>
      </c>
      <c r="CZ563" s="7">
        <v>1.0009999999999999</v>
      </c>
      <c r="DA563" s="7">
        <v>1.0009999999999999</v>
      </c>
      <c r="DB563" s="7">
        <v>1.0009999999999999</v>
      </c>
      <c r="DC563" s="7">
        <v>1.0009999999999999</v>
      </c>
      <c r="DD563" s="7">
        <v>1.0009999999999999</v>
      </c>
      <c r="DE563" s="7">
        <v>1.0009999999999999</v>
      </c>
      <c r="DF563" s="7">
        <v>1.0009999999999999</v>
      </c>
      <c r="DG563" s="7">
        <v>1.0009999999999999</v>
      </c>
      <c r="DH563" s="7">
        <v>1.0009999999999999</v>
      </c>
      <c r="DI563" s="7">
        <v>1.0009999999999999</v>
      </c>
      <c r="DJ563" s="7">
        <v>1.0009999999999999</v>
      </c>
      <c r="DK563" s="7">
        <v>1.0009999999999999</v>
      </c>
      <c r="DL563" s="7">
        <v>1.0009999999999999</v>
      </c>
      <c r="DM563" s="7">
        <v>1.0009999999999999</v>
      </c>
      <c r="DN563" s="7">
        <v>1.0009999999999999</v>
      </c>
      <c r="DO563" s="7">
        <v>1.0009999999999999</v>
      </c>
      <c r="DP563" s="7">
        <v>1.0009999999999999</v>
      </c>
      <c r="DQ563" s="7">
        <v>1.0009999999999999</v>
      </c>
      <c r="DR563" s="7">
        <v>1.0009999999999999</v>
      </c>
      <c r="DS563" s="7">
        <v>1.0009999999999999</v>
      </c>
      <c r="DT563" s="7">
        <v>1.0009999999999999</v>
      </c>
      <c r="DU563" s="7">
        <v>1.0009999999999999</v>
      </c>
      <c r="DV563" s="7">
        <v>1.0009999999999999</v>
      </c>
      <c r="DW563" s="7">
        <v>1.0009999999999999</v>
      </c>
      <c r="DX563" s="7">
        <v>1.0009999999999999</v>
      </c>
      <c r="DY563" s="7">
        <v>1.0009999999999999</v>
      </c>
      <c r="DZ563" s="7">
        <v>1.0009999999999999</v>
      </c>
      <c r="EA563" s="7">
        <v>1.0009999999999999</v>
      </c>
      <c r="EB563" s="7">
        <v>1.0009999999999999</v>
      </c>
      <c r="EC563" s="7">
        <v>1.0009999999999999</v>
      </c>
      <c r="ED563" s="7">
        <v>1.0009999999999999</v>
      </c>
      <c r="EE563" s="7">
        <v>1.0009999999999999</v>
      </c>
      <c r="EF563" s="7">
        <v>1.0009999999999999</v>
      </c>
      <c r="EG563" s="7">
        <v>1.0009999999999999</v>
      </c>
      <c r="EH563" s="7">
        <v>1.0009999999999999</v>
      </c>
      <c r="EI563" s="7">
        <v>1.0009999999999999</v>
      </c>
      <c r="EJ563" s="7">
        <v>1.0009999999999999</v>
      </c>
      <c r="EK563" s="7">
        <v>1.0009999999999999</v>
      </c>
      <c r="EL563" s="7">
        <v>1.0009999999999999</v>
      </c>
      <c r="EM563" s="7">
        <v>1.0009999999999999</v>
      </c>
      <c r="EN563" s="7">
        <v>1.0009999999999999</v>
      </c>
      <c r="EO563" s="7">
        <v>1.0009999999999999</v>
      </c>
      <c r="EP563" s="7">
        <v>1.0009999999999999</v>
      </c>
      <c r="EQ563" s="7">
        <v>1.0009999999999999</v>
      </c>
      <c r="ER563" s="7">
        <v>1.0009999999999999</v>
      </c>
      <c r="ES563" s="7">
        <v>1.0009999999999999</v>
      </c>
      <c r="ET563" s="7">
        <v>1.0009999999999999</v>
      </c>
      <c r="EU563" s="7">
        <v>1.0009999999999999</v>
      </c>
      <c r="EV563" s="7">
        <v>1.0009999999999999</v>
      </c>
      <c r="EW563" s="7">
        <v>1.0009999999999999</v>
      </c>
      <c r="EX563" s="7">
        <v>1.0009999999999999</v>
      </c>
      <c r="EY563" s="7">
        <v>1.0009999999999999</v>
      </c>
      <c r="EZ563" s="7">
        <v>1.0009999999999999</v>
      </c>
      <c r="FA563" s="7">
        <v>1.0009999999999999</v>
      </c>
      <c r="FB563" s="7">
        <v>1.0009999999999999</v>
      </c>
      <c r="FC563" s="7">
        <v>1.0009999999999999</v>
      </c>
      <c r="FE563" s="50">
        <f t="shared" ca="1" si="59"/>
        <v>1.0009999999999999</v>
      </c>
      <c r="FF563" s="50">
        <f t="shared" ca="1" si="60"/>
        <v>1.0009999999999999</v>
      </c>
      <c r="FG563" s="50">
        <f t="shared" ca="1" si="61"/>
        <v>1.0009999999999999</v>
      </c>
      <c r="FH563" s="50">
        <f t="shared" ca="1" si="62"/>
        <v>1.0009999999999999</v>
      </c>
      <c r="FI563" s="50"/>
      <c r="FK563" s="50">
        <f t="shared" ca="1" si="63"/>
        <v>1.0009999999999999</v>
      </c>
      <c r="FL563" s="50"/>
      <c r="FM563" s="50"/>
      <c r="FN563" s="50"/>
    </row>
    <row r="564" spans="49:170" hidden="1">
      <c r="AW564" s="112">
        <v>1.202</v>
      </c>
      <c r="AX564" s="7">
        <v>0.69020000000000004</v>
      </c>
      <c r="AY564" s="7">
        <v>0.69740000000000002</v>
      </c>
      <c r="AZ564" s="7">
        <v>0.7046</v>
      </c>
      <c r="BA564" s="7">
        <v>0.7117</v>
      </c>
      <c r="BB564" s="7">
        <v>0.71870000000000001</v>
      </c>
      <c r="BC564" s="7">
        <v>0.72570000000000001</v>
      </c>
      <c r="BD564" s="7">
        <v>0.73260000000000003</v>
      </c>
      <c r="BE564" s="7">
        <v>0.73939999999999995</v>
      </c>
      <c r="BF564" s="7">
        <v>0.74619999999999997</v>
      </c>
      <c r="BG564" s="7">
        <v>0.75290000000000001</v>
      </c>
      <c r="BH564" s="7">
        <v>0.75949999999999995</v>
      </c>
      <c r="BI564" s="7">
        <v>0.7661</v>
      </c>
      <c r="BJ564" s="7">
        <v>0.77259999999999995</v>
      </c>
      <c r="BK564" s="7">
        <v>0.77900000000000003</v>
      </c>
      <c r="BL564" s="7">
        <v>0.78539999999999999</v>
      </c>
      <c r="BM564" s="7">
        <v>0.79169999999999996</v>
      </c>
      <c r="BN564" s="7">
        <v>0.79790000000000005</v>
      </c>
      <c r="BO564" s="7">
        <v>0.80410000000000004</v>
      </c>
      <c r="BP564" s="7">
        <v>0.81030000000000002</v>
      </c>
      <c r="BQ564" s="7">
        <v>0.81640000000000001</v>
      </c>
      <c r="BR564" s="7">
        <v>0.82240000000000002</v>
      </c>
      <c r="BS564" s="7">
        <v>0.82840000000000003</v>
      </c>
      <c r="BT564" s="7">
        <v>0.83430000000000004</v>
      </c>
      <c r="BU564" s="7">
        <v>0.84019999999999995</v>
      </c>
      <c r="BV564" s="7">
        <v>0.84599999999999997</v>
      </c>
      <c r="BW564" s="7">
        <v>0.8518</v>
      </c>
      <c r="BX564" s="7">
        <v>0.85750000000000004</v>
      </c>
      <c r="BY564" s="7">
        <v>0.86319999999999997</v>
      </c>
      <c r="BZ564" s="7">
        <v>0.86890000000000001</v>
      </c>
      <c r="CA564" s="7">
        <v>0.87450000000000006</v>
      </c>
      <c r="CB564" s="7">
        <v>0.88009999999999999</v>
      </c>
      <c r="CC564" s="7">
        <v>0.88560000000000005</v>
      </c>
      <c r="CD564" s="7">
        <v>0.8911</v>
      </c>
      <c r="CE564" s="7">
        <v>0.89649999999999996</v>
      </c>
      <c r="CF564" s="7">
        <v>0.90200000000000002</v>
      </c>
      <c r="CG564" s="7">
        <v>0.9073</v>
      </c>
      <c r="CH564" s="7">
        <v>0.91269999999999996</v>
      </c>
      <c r="CI564" s="7">
        <v>0.91800000000000004</v>
      </c>
      <c r="CJ564" s="7">
        <v>0.92330000000000001</v>
      </c>
      <c r="CK564" s="7">
        <v>0.92849999999999999</v>
      </c>
      <c r="CL564" s="7">
        <v>0.93379999999999996</v>
      </c>
      <c r="CM564" s="7">
        <v>0.93899999999999995</v>
      </c>
      <c r="CN564" s="7">
        <v>0.94410000000000005</v>
      </c>
      <c r="CO564" s="7">
        <v>0.94930000000000003</v>
      </c>
      <c r="CP564" s="7">
        <v>0.95440000000000003</v>
      </c>
      <c r="CQ564" s="7">
        <v>0.95950000000000002</v>
      </c>
      <c r="CR564" s="7">
        <v>0.96460000000000001</v>
      </c>
      <c r="CS564" s="7">
        <v>0.96970000000000001</v>
      </c>
      <c r="CT564" s="7">
        <v>0.97470000000000001</v>
      </c>
      <c r="CU564" s="7">
        <v>0.9798</v>
      </c>
      <c r="CV564" s="7">
        <v>0.98480000000000001</v>
      </c>
      <c r="CW564" s="7">
        <v>0.98980000000000001</v>
      </c>
      <c r="CX564" s="7">
        <v>0.99480000000000002</v>
      </c>
      <c r="CY564" s="7">
        <v>0.99970000000000003</v>
      </c>
      <c r="CZ564" s="7">
        <v>1.0009999999999999</v>
      </c>
      <c r="DA564" s="7">
        <v>1.0009999999999999</v>
      </c>
      <c r="DB564" s="7">
        <v>1.0009999999999999</v>
      </c>
      <c r="DC564" s="7">
        <v>1.0009999999999999</v>
      </c>
      <c r="DD564" s="7">
        <v>1.0009999999999999</v>
      </c>
      <c r="DE564" s="7">
        <v>1.0009999999999999</v>
      </c>
      <c r="DF564" s="7">
        <v>1.0009999999999999</v>
      </c>
      <c r="DG564" s="7">
        <v>1.0009999999999999</v>
      </c>
      <c r="DH564" s="7">
        <v>1.0009999999999999</v>
      </c>
      <c r="DI564" s="7">
        <v>1.0009999999999999</v>
      </c>
      <c r="DJ564" s="7">
        <v>1.0009999999999999</v>
      </c>
      <c r="DK564" s="7">
        <v>1.0009999999999999</v>
      </c>
      <c r="DL564" s="7">
        <v>1.0009999999999999</v>
      </c>
      <c r="DM564" s="7">
        <v>1.0009999999999999</v>
      </c>
      <c r="DN564" s="7">
        <v>1.0009999999999999</v>
      </c>
      <c r="DO564" s="7">
        <v>1.0009999999999999</v>
      </c>
      <c r="DP564" s="7">
        <v>1.0009999999999999</v>
      </c>
      <c r="DQ564" s="7">
        <v>1.0009999999999999</v>
      </c>
      <c r="DR564" s="7">
        <v>1.0009999999999999</v>
      </c>
      <c r="DS564" s="7">
        <v>1.0009999999999999</v>
      </c>
      <c r="DT564" s="7">
        <v>1.0009999999999999</v>
      </c>
      <c r="DU564" s="7">
        <v>1.0009999999999999</v>
      </c>
      <c r="DV564" s="7">
        <v>1.0009999999999999</v>
      </c>
      <c r="DW564" s="7">
        <v>1.0009999999999999</v>
      </c>
      <c r="DX564" s="7">
        <v>1.0009999999999999</v>
      </c>
      <c r="DY564" s="7">
        <v>1.0009999999999999</v>
      </c>
      <c r="DZ564" s="7">
        <v>1.0009999999999999</v>
      </c>
      <c r="EA564" s="7">
        <v>1.0009999999999999</v>
      </c>
      <c r="EB564" s="7">
        <v>1.0009999999999999</v>
      </c>
      <c r="EC564" s="7">
        <v>1.0009999999999999</v>
      </c>
      <c r="ED564" s="7">
        <v>1.0009999999999999</v>
      </c>
      <c r="EE564" s="7">
        <v>1.0009999999999999</v>
      </c>
      <c r="EF564" s="7">
        <v>1.0009999999999999</v>
      </c>
      <c r="EG564" s="7">
        <v>1.0009999999999999</v>
      </c>
      <c r="EH564" s="7">
        <v>1.0009999999999999</v>
      </c>
      <c r="EI564" s="7">
        <v>1.0009999999999999</v>
      </c>
      <c r="EJ564" s="7">
        <v>1.0009999999999999</v>
      </c>
      <c r="EK564" s="7">
        <v>1.0009999999999999</v>
      </c>
      <c r="EL564" s="7">
        <v>1.0009999999999999</v>
      </c>
      <c r="EM564" s="7">
        <v>1.0009999999999999</v>
      </c>
      <c r="EN564" s="7">
        <v>1.0009999999999999</v>
      </c>
      <c r="EO564" s="7">
        <v>1.0009999999999999</v>
      </c>
      <c r="EP564" s="7">
        <v>1.0009999999999999</v>
      </c>
      <c r="EQ564" s="7">
        <v>1.0009999999999999</v>
      </c>
      <c r="ER564" s="7">
        <v>1.0009999999999999</v>
      </c>
      <c r="ES564" s="7">
        <v>1.0009999999999999</v>
      </c>
      <c r="ET564" s="7">
        <v>1.0009999999999999</v>
      </c>
      <c r="EU564" s="7">
        <v>1.0009999999999999</v>
      </c>
      <c r="EV564" s="7">
        <v>1.0009999999999999</v>
      </c>
      <c r="EW564" s="7">
        <v>1.0009999999999999</v>
      </c>
      <c r="EX564" s="7">
        <v>1.0009999999999999</v>
      </c>
      <c r="EY564" s="7">
        <v>1.0009999999999999</v>
      </c>
      <c r="EZ564" s="7">
        <v>1.0009999999999999</v>
      </c>
      <c r="FA564" s="7">
        <v>1.0009999999999999</v>
      </c>
      <c r="FB564" s="7">
        <v>1.0009999999999999</v>
      </c>
      <c r="FC564" s="7">
        <v>1.0009999999999999</v>
      </c>
      <c r="FE564" s="50">
        <f t="shared" ca="1" si="59"/>
        <v>1.0009999999999999</v>
      </c>
      <c r="FF564" s="50">
        <f t="shared" ca="1" si="60"/>
        <v>1.0009999999999999</v>
      </c>
      <c r="FG564" s="50">
        <f t="shared" ca="1" si="61"/>
        <v>1.0009999999999999</v>
      </c>
      <c r="FH564" s="50">
        <f t="shared" ca="1" si="62"/>
        <v>1.0009999999999999</v>
      </c>
      <c r="FI564" s="50"/>
      <c r="FK564" s="50">
        <f t="shared" ca="1" si="63"/>
        <v>1.0009999999999999</v>
      </c>
      <c r="FL564" s="50"/>
      <c r="FM564" s="50"/>
      <c r="FN564" s="50"/>
    </row>
    <row r="565" spans="49:170" hidden="1">
      <c r="AW565" s="112">
        <v>1.288</v>
      </c>
      <c r="AX565" s="7">
        <v>0.68659999999999999</v>
      </c>
      <c r="AY565" s="7">
        <v>0.69379999999999997</v>
      </c>
      <c r="AZ565" s="7">
        <v>0.70099999999999996</v>
      </c>
      <c r="BA565" s="7">
        <v>0.70809999999999995</v>
      </c>
      <c r="BB565" s="7">
        <v>0.71509999999999996</v>
      </c>
      <c r="BC565" s="7">
        <v>0.72199999999999998</v>
      </c>
      <c r="BD565" s="7">
        <v>0.7288</v>
      </c>
      <c r="BE565" s="7">
        <v>0.73560000000000003</v>
      </c>
      <c r="BF565" s="7">
        <v>0.74239999999999995</v>
      </c>
      <c r="BG565" s="7">
        <v>0.749</v>
      </c>
      <c r="BH565" s="7">
        <v>0.75560000000000005</v>
      </c>
      <c r="BI565" s="7">
        <v>0.7621</v>
      </c>
      <c r="BJ565" s="7">
        <v>0.76859999999999995</v>
      </c>
      <c r="BK565" s="7">
        <v>0.77500000000000002</v>
      </c>
      <c r="BL565" s="7">
        <v>0.78129999999999999</v>
      </c>
      <c r="BM565" s="7">
        <v>0.78759999999999997</v>
      </c>
      <c r="BN565" s="7">
        <v>0.79379999999999995</v>
      </c>
      <c r="BO565" s="7">
        <v>0.8</v>
      </c>
      <c r="BP565" s="7">
        <v>0.80610000000000004</v>
      </c>
      <c r="BQ565" s="7">
        <v>0.81220000000000003</v>
      </c>
      <c r="BR565" s="7">
        <v>0.81820000000000004</v>
      </c>
      <c r="BS565" s="7">
        <v>0.82410000000000005</v>
      </c>
      <c r="BT565" s="7">
        <v>0.83</v>
      </c>
      <c r="BU565" s="7">
        <v>0.83589999999999998</v>
      </c>
      <c r="BV565" s="7">
        <v>0.8417</v>
      </c>
      <c r="BW565" s="7">
        <v>0.84740000000000004</v>
      </c>
      <c r="BX565" s="7">
        <v>0.85309999999999997</v>
      </c>
      <c r="BY565" s="7">
        <v>0.85880000000000001</v>
      </c>
      <c r="BZ565" s="7">
        <v>0.86439999999999995</v>
      </c>
      <c r="CA565" s="7">
        <v>0.87</v>
      </c>
      <c r="CB565" s="7">
        <v>0.87549999999999994</v>
      </c>
      <c r="CC565" s="7">
        <v>0.88100000000000001</v>
      </c>
      <c r="CD565" s="7">
        <v>0.88649999999999995</v>
      </c>
      <c r="CE565" s="7">
        <v>0.89190000000000003</v>
      </c>
      <c r="CF565" s="7">
        <v>0.89729999999999999</v>
      </c>
      <c r="CG565" s="7">
        <v>0.90269999999999995</v>
      </c>
      <c r="CH565" s="7">
        <v>0.90800000000000003</v>
      </c>
      <c r="CI565" s="7">
        <v>0.9133</v>
      </c>
      <c r="CJ565" s="7">
        <v>0.91849999999999998</v>
      </c>
      <c r="CK565" s="7">
        <v>0.92379999999999995</v>
      </c>
      <c r="CL565" s="7">
        <v>0.92900000000000005</v>
      </c>
      <c r="CM565" s="7">
        <v>0.93410000000000004</v>
      </c>
      <c r="CN565" s="7">
        <v>0.93930000000000002</v>
      </c>
      <c r="CO565" s="7">
        <v>0.94440000000000002</v>
      </c>
      <c r="CP565" s="7">
        <v>0.94950000000000001</v>
      </c>
      <c r="CQ565" s="7">
        <v>0.9546</v>
      </c>
      <c r="CR565" s="7">
        <v>0.9597</v>
      </c>
      <c r="CS565" s="7">
        <v>0.9647</v>
      </c>
      <c r="CT565" s="7">
        <v>0.96970000000000001</v>
      </c>
      <c r="CU565" s="7">
        <v>0.97470000000000001</v>
      </c>
      <c r="CV565" s="7">
        <v>0.97970000000000002</v>
      </c>
      <c r="CW565" s="7">
        <v>0.98470000000000002</v>
      </c>
      <c r="CX565" s="7">
        <v>0.98970000000000002</v>
      </c>
      <c r="CY565" s="7">
        <v>0.99460000000000004</v>
      </c>
      <c r="CZ565" s="7">
        <v>0.99950000000000006</v>
      </c>
      <c r="DA565" s="7">
        <v>1.0009999999999999</v>
      </c>
      <c r="DB565" s="7">
        <v>1.0009999999999999</v>
      </c>
      <c r="DC565" s="7">
        <v>1.0009999999999999</v>
      </c>
      <c r="DD565" s="7">
        <v>1.0009999999999999</v>
      </c>
      <c r="DE565" s="7">
        <v>1.0009999999999999</v>
      </c>
      <c r="DF565" s="7">
        <v>1.0009999999999999</v>
      </c>
      <c r="DG565" s="7">
        <v>1.0009999999999999</v>
      </c>
      <c r="DH565" s="7">
        <v>1.0009999999999999</v>
      </c>
      <c r="DI565" s="7">
        <v>1.0009999999999999</v>
      </c>
      <c r="DJ565" s="7">
        <v>1.0009999999999999</v>
      </c>
      <c r="DK565" s="7">
        <v>1.0009999999999999</v>
      </c>
      <c r="DL565" s="7">
        <v>1.0009999999999999</v>
      </c>
      <c r="DM565" s="7">
        <v>1.0009999999999999</v>
      </c>
      <c r="DN565" s="7">
        <v>1.0009999999999999</v>
      </c>
      <c r="DO565" s="7">
        <v>1.0009999999999999</v>
      </c>
      <c r="DP565" s="7">
        <v>1.0009999999999999</v>
      </c>
      <c r="DQ565" s="7">
        <v>1.0009999999999999</v>
      </c>
      <c r="DR565" s="7">
        <v>1.0009999999999999</v>
      </c>
      <c r="DS565" s="7">
        <v>1.0009999999999999</v>
      </c>
      <c r="DT565" s="7">
        <v>1.0009999999999999</v>
      </c>
      <c r="DU565" s="7">
        <v>1.0009999999999999</v>
      </c>
      <c r="DV565" s="7">
        <v>1.0009999999999999</v>
      </c>
      <c r="DW565" s="7">
        <v>1.0009999999999999</v>
      </c>
      <c r="DX565" s="7">
        <v>1.0009999999999999</v>
      </c>
      <c r="DY565" s="7">
        <v>1.0009999999999999</v>
      </c>
      <c r="DZ565" s="7">
        <v>1.0009999999999999</v>
      </c>
      <c r="EA565" s="7">
        <v>1.0009999999999999</v>
      </c>
      <c r="EB565" s="7">
        <v>1.0009999999999999</v>
      </c>
      <c r="EC565" s="7">
        <v>1.0009999999999999</v>
      </c>
      <c r="ED565" s="7">
        <v>1.0009999999999999</v>
      </c>
      <c r="EE565" s="7">
        <v>1.0009999999999999</v>
      </c>
      <c r="EF565" s="7">
        <v>1.0009999999999999</v>
      </c>
      <c r="EG565" s="7">
        <v>1.0009999999999999</v>
      </c>
      <c r="EH565" s="7">
        <v>1.0009999999999999</v>
      </c>
      <c r="EI565" s="7">
        <v>1.0009999999999999</v>
      </c>
      <c r="EJ565" s="7">
        <v>1.0009999999999999</v>
      </c>
      <c r="EK565" s="7">
        <v>1.0009999999999999</v>
      </c>
      <c r="EL565" s="7">
        <v>1.0009999999999999</v>
      </c>
      <c r="EM565" s="7">
        <v>1.0009999999999999</v>
      </c>
      <c r="EN565" s="7">
        <v>1.0009999999999999</v>
      </c>
      <c r="EO565" s="7">
        <v>1.0009999999999999</v>
      </c>
      <c r="EP565" s="7">
        <v>1.0009999999999999</v>
      </c>
      <c r="EQ565" s="7">
        <v>1.0009999999999999</v>
      </c>
      <c r="ER565" s="7">
        <v>1.0009999999999999</v>
      </c>
      <c r="ES565" s="7">
        <v>1.0009999999999999</v>
      </c>
      <c r="ET565" s="7">
        <v>1.0009999999999999</v>
      </c>
      <c r="EU565" s="7">
        <v>1.0009999999999999</v>
      </c>
      <c r="EV565" s="7">
        <v>1.0009999999999999</v>
      </c>
      <c r="EW565" s="7">
        <v>1.0009999999999999</v>
      </c>
      <c r="EX565" s="7">
        <v>1.0009999999999999</v>
      </c>
      <c r="EY565" s="7">
        <v>1.0009999999999999</v>
      </c>
      <c r="EZ565" s="7">
        <v>1.0009999999999999</v>
      </c>
      <c r="FA565" s="7">
        <v>1.0009999999999999</v>
      </c>
      <c r="FB565" s="7">
        <v>1.0009999999999999</v>
      </c>
      <c r="FC565" s="7">
        <v>1.0009999999999999</v>
      </c>
      <c r="FE565" s="50">
        <f t="shared" ca="1" si="59"/>
        <v>1.0009999999999999</v>
      </c>
      <c r="FF565" s="50">
        <f t="shared" ca="1" si="60"/>
        <v>1.0009999999999999</v>
      </c>
      <c r="FG565" s="50">
        <f t="shared" ca="1" si="61"/>
        <v>1.0009999999999999</v>
      </c>
      <c r="FH565" s="50">
        <f t="shared" ca="1" si="62"/>
        <v>1.0009999999999999</v>
      </c>
      <c r="FI565" s="50"/>
      <c r="FK565" s="50">
        <f t="shared" ca="1" si="63"/>
        <v>1.0009999999999999</v>
      </c>
      <c r="FL565" s="50"/>
      <c r="FM565" s="50"/>
      <c r="FN565" s="50"/>
    </row>
    <row r="566" spans="49:170" hidden="1">
      <c r="AW566" s="112">
        <v>1.38</v>
      </c>
      <c r="AX566" s="7">
        <v>0.68310000000000004</v>
      </c>
      <c r="AY566" s="7">
        <v>0.69030000000000002</v>
      </c>
      <c r="AZ566" s="7">
        <v>0.69740000000000002</v>
      </c>
      <c r="BA566" s="7">
        <v>0.70450000000000002</v>
      </c>
      <c r="BB566" s="7">
        <v>0.71140000000000003</v>
      </c>
      <c r="BC566" s="7">
        <v>0.71830000000000005</v>
      </c>
      <c r="BD566" s="7">
        <v>0.72519999999999996</v>
      </c>
      <c r="BE566" s="7">
        <v>0.7319</v>
      </c>
      <c r="BF566" s="7">
        <v>0.73860000000000003</v>
      </c>
      <c r="BG566" s="7">
        <v>0.74519999999999997</v>
      </c>
      <c r="BH566" s="7">
        <v>0.75180000000000002</v>
      </c>
      <c r="BI566" s="7">
        <v>0.75829999999999997</v>
      </c>
      <c r="BJ566" s="7">
        <v>0.76470000000000005</v>
      </c>
      <c r="BK566" s="7">
        <v>0.77110000000000001</v>
      </c>
      <c r="BL566" s="7">
        <v>0.77739999999999998</v>
      </c>
      <c r="BM566" s="7">
        <v>0.78359999999999996</v>
      </c>
      <c r="BN566" s="7">
        <v>0.78979999999999995</v>
      </c>
      <c r="BO566" s="7">
        <v>0.79590000000000005</v>
      </c>
      <c r="BP566" s="7">
        <v>0.80200000000000005</v>
      </c>
      <c r="BQ566" s="7">
        <v>0.80810000000000004</v>
      </c>
      <c r="BR566" s="7">
        <v>0.81399999999999995</v>
      </c>
      <c r="BS566" s="7">
        <v>0.81989999999999996</v>
      </c>
      <c r="BT566" s="7">
        <v>0.82579999999999998</v>
      </c>
      <c r="BU566" s="7">
        <v>0.83160000000000001</v>
      </c>
      <c r="BV566" s="7">
        <v>0.83740000000000003</v>
      </c>
      <c r="BW566" s="7">
        <v>0.84309999999999996</v>
      </c>
      <c r="BX566" s="7">
        <v>0.8488</v>
      </c>
      <c r="BY566" s="7">
        <v>0.85450000000000004</v>
      </c>
      <c r="BZ566" s="7">
        <v>0.86</v>
      </c>
      <c r="CA566" s="7">
        <v>0.86560000000000004</v>
      </c>
      <c r="CB566" s="7">
        <v>0.87109999999999999</v>
      </c>
      <c r="CC566" s="7">
        <v>0.87660000000000005</v>
      </c>
      <c r="CD566" s="7">
        <v>0.88200000000000001</v>
      </c>
      <c r="CE566" s="7">
        <v>0.88739999999999997</v>
      </c>
      <c r="CF566" s="7">
        <v>0.89280000000000004</v>
      </c>
      <c r="CG566" s="7">
        <v>0.89810000000000001</v>
      </c>
      <c r="CH566" s="7">
        <v>0.90339999999999998</v>
      </c>
      <c r="CI566" s="7">
        <v>0.90869999999999995</v>
      </c>
      <c r="CJ566" s="7">
        <v>0.91390000000000005</v>
      </c>
      <c r="CK566" s="7">
        <v>0.91910000000000003</v>
      </c>
      <c r="CL566" s="7">
        <v>0.92430000000000001</v>
      </c>
      <c r="CM566" s="7">
        <v>0.9294</v>
      </c>
      <c r="CN566" s="7">
        <v>0.9345</v>
      </c>
      <c r="CO566" s="7">
        <v>0.93959999999999999</v>
      </c>
      <c r="CP566" s="7">
        <v>0.94469999999999998</v>
      </c>
      <c r="CQ566" s="7">
        <v>0.94979999999999998</v>
      </c>
      <c r="CR566" s="7">
        <v>0.95479999999999998</v>
      </c>
      <c r="CS566" s="7">
        <v>0.95979999999999999</v>
      </c>
      <c r="CT566" s="7">
        <v>0.96479999999999999</v>
      </c>
      <c r="CU566" s="7">
        <v>0.9698</v>
      </c>
      <c r="CV566" s="7">
        <v>0.9748</v>
      </c>
      <c r="CW566" s="7">
        <v>0.97970000000000002</v>
      </c>
      <c r="CX566" s="7">
        <v>0.98460000000000003</v>
      </c>
      <c r="CY566" s="7">
        <v>0.98960000000000004</v>
      </c>
      <c r="CZ566" s="7">
        <v>0.99450000000000005</v>
      </c>
      <c r="DA566" s="7">
        <v>0.99939999999999996</v>
      </c>
      <c r="DB566" s="7">
        <v>1.0009999999999999</v>
      </c>
      <c r="DC566" s="7">
        <v>1.0009999999999999</v>
      </c>
      <c r="DD566" s="7">
        <v>1.0009999999999999</v>
      </c>
      <c r="DE566" s="7">
        <v>1.0009999999999999</v>
      </c>
      <c r="DF566" s="7">
        <v>1.0009999999999999</v>
      </c>
      <c r="DG566" s="7">
        <v>1.0009999999999999</v>
      </c>
      <c r="DH566" s="7">
        <v>1.0009999999999999</v>
      </c>
      <c r="DI566" s="7">
        <v>1.0009999999999999</v>
      </c>
      <c r="DJ566" s="7">
        <v>1.0009999999999999</v>
      </c>
      <c r="DK566" s="7">
        <v>1.0009999999999999</v>
      </c>
      <c r="DL566" s="7">
        <v>1.0009999999999999</v>
      </c>
      <c r="DM566" s="7">
        <v>1.0009999999999999</v>
      </c>
      <c r="DN566" s="7">
        <v>1.0009999999999999</v>
      </c>
      <c r="DO566" s="7">
        <v>1.0009999999999999</v>
      </c>
      <c r="DP566" s="7">
        <v>1.0009999999999999</v>
      </c>
      <c r="DQ566" s="7">
        <v>1.0009999999999999</v>
      </c>
      <c r="DR566" s="7">
        <v>1.0009999999999999</v>
      </c>
      <c r="DS566" s="7">
        <v>1.0009999999999999</v>
      </c>
      <c r="DT566" s="7">
        <v>1.0009999999999999</v>
      </c>
      <c r="DU566" s="7">
        <v>1.0009999999999999</v>
      </c>
      <c r="DV566" s="7">
        <v>1.0009999999999999</v>
      </c>
      <c r="DW566" s="7">
        <v>1.0009999999999999</v>
      </c>
      <c r="DX566" s="7">
        <v>1.0009999999999999</v>
      </c>
      <c r="DY566" s="7">
        <v>1.0009999999999999</v>
      </c>
      <c r="DZ566" s="7">
        <v>1.0009999999999999</v>
      </c>
      <c r="EA566" s="7">
        <v>1.0009999999999999</v>
      </c>
      <c r="EB566" s="7">
        <v>1.0009999999999999</v>
      </c>
      <c r="EC566" s="7">
        <v>1.0009999999999999</v>
      </c>
      <c r="ED566" s="7">
        <v>1.0009999999999999</v>
      </c>
      <c r="EE566" s="7">
        <v>1.0009999999999999</v>
      </c>
      <c r="EF566" s="7">
        <v>1.0009999999999999</v>
      </c>
      <c r="EG566" s="7">
        <v>1.0009999999999999</v>
      </c>
      <c r="EH566" s="7">
        <v>1.0009999999999999</v>
      </c>
      <c r="EI566" s="7">
        <v>1.0009999999999999</v>
      </c>
      <c r="EJ566" s="7">
        <v>1.0009999999999999</v>
      </c>
      <c r="EK566" s="7">
        <v>1.0009999999999999</v>
      </c>
      <c r="EL566" s="7">
        <v>1.0009999999999999</v>
      </c>
      <c r="EM566" s="7">
        <v>1.0009999999999999</v>
      </c>
      <c r="EN566" s="7">
        <v>1.0009999999999999</v>
      </c>
      <c r="EO566" s="7">
        <v>1.0009999999999999</v>
      </c>
      <c r="EP566" s="7">
        <v>1.0009999999999999</v>
      </c>
      <c r="EQ566" s="7">
        <v>1.0009999999999999</v>
      </c>
      <c r="ER566" s="7">
        <v>1.0009999999999999</v>
      </c>
      <c r="ES566" s="7">
        <v>1.0009999999999999</v>
      </c>
      <c r="ET566" s="7">
        <v>1.0009999999999999</v>
      </c>
      <c r="EU566" s="7">
        <v>1.0009999999999999</v>
      </c>
      <c r="EV566" s="7">
        <v>1.0009999999999999</v>
      </c>
      <c r="EW566" s="7">
        <v>1.0009999999999999</v>
      </c>
      <c r="EX566" s="7">
        <v>1.0009999999999999</v>
      </c>
      <c r="EY566" s="7">
        <v>1.0009999999999999</v>
      </c>
      <c r="EZ566" s="7">
        <v>1.0009999999999999</v>
      </c>
      <c r="FA566" s="7">
        <v>1.0009999999999999</v>
      </c>
      <c r="FB566" s="7">
        <v>1.0009999999999999</v>
      </c>
      <c r="FC566" s="7">
        <v>1.0009999999999999</v>
      </c>
      <c r="FE566" s="50">
        <f t="shared" ca="1" si="59"/>
        <v>1.0009999999999999</v>
      </c>
      <c r="FF566" s="50">
        <f t="shared" ca="1" si="60"/>
        <v>1.0009999999999999</v>
      </c>
      <c r="FG566" s="50">
        <f t="shared" ca="1" si="61"/>
        <v>1.0009999999999999</v>
      </c>
      <c r="FH566" s="50">
        <f t="shared" ca="1" si="62"/>
        <v>1.0009999999999999</v>
      </c>
      <c r="FI566" s="50"/>
      <c r="FK566" s="50">
        <f t="shared" ca="1" si="63"/>
        <v>1.0009999999999999</v>
      </c>
      <c r="FL566" s="50"/>
      <c r="FM566" s="50"/>
      <c r="FN566" s="50"/>
    </row>
    <row r="567" spans="49:170" hidden="1">
      <c r="AW567" s="112">
        <v>1.4790000000000001</v>
      </c>
      <c r="AX567" s="7">
        <v>0.67969999999999997</v>
      </c>
      <c r="AY567" s="7">
        <v>0.68689999999999996</v>
      </c>
      <c r="AZ567" s="7">
        <v>0.69389999999999996</v>
      </c>
      <c r="BA567" s="7">
        <v>0.70099999999999996</v>
      </c>
      <c r="BB567" s="7">
        <v>0.70789999999999997</v>
      </c>
      <c r="BC567" s="7">
        <v>0.7147</v>
      </c>
      <c r="BD567" s="7">
        <v>0.72150000000000003</v>
      </c>
      <c r="BE567" s="7">
        <v>0.72829999999999995</v>
      </c>
      <c r="BF567" s="7">
        <v>0.7349</v>
      </c>
      <c r="BG567" s="7">
        <v>0.74150000000000005</v>
      </c>
      <c r="BH567" s="7">
        <v>0.748</v>
      </c>
      <c r="BI567" s="7">
        <v>0.75449999999999995</v>
      </c>
      <c r="BJ567" s="7">
        <v>0.76090000000000002</v>
      </c>
      <c r="BK567" s="7">
        <v>0.76719999999999999</v>
      </c>
      <c r="BL567" s="7">
        <v>0.77349999999999997</v>
      </c>
      <c r="BM567" s="7">
        <v>0.77969999999999995</v>
      </c>
      <c r="BN567" s="7">
        <v>0.78590000000000004</v>
      </c>
      <c r="BO567" s="7">
        <v>0.79200000000000004</v>
      </c>
      <c r="BP567" s="7">
        <v>0.79800000000000004</v>
      </c>
      <c r="BQ567" s="7">
        <v>0.80400000000000005</v>
      </c>
      <c r="BR567" s="7">
        <v>0.81</v>
      </c>
      <c r="BS567" s="7">
        <v>0.81589999999999996</v>
      </c>
      <c r="BT567" s="7">
        <v>0.82169999999999999</v>
      </c>
      <c r="BU567" s="7">
        <v>0.82750000000000001</v>
      </c>
      <c r="BV567" s="7">
        <v>0.83320000000000005</v>
      </c>
      <c r="BW567" s="7">
        <v>0.83889999999999998</v>
      </c>
      <c r="BX567" s="7">
        <v>0.84460000000000002</v>
      </c>
      <c r="BY567" s="7">
        <v>0.85019999999999996</v>
      </c>
      <c r="BZ567" s="7">
        <v>0.85580000000000001</v>
      </c>
      <c r="CA567" s="7">
        <v>0.86129999999999995</v>
      </c>
      <c r="CB567" s="7">
        <v>0.86680000000000001</v>
      </c>
      <c r="CC567" s="7">
        <v>0.87219999999999998</v>
      </c>
      <c r="CD567" s="7">
        <v>0.87760000000000005</v>
      </c>
      <c r="CE567" s="7">
        <v>0.88300000000000001</v>
      </c>
      <c r="CF567" s="7">
        <v>0.88829999999999998</v>
      </c>
      <c r="CG567" s="7">
        <v>0.89359999999999995</v>
      </c>
      <c r="CH567" s="7">
        <v>0.89890000000000003</v>
      </c>
      <c r="CI567" s="7">
        <v>0.90410000000000001</v>
      </c>
      <c r="CJ567" s="7">
        <v>0.9093</v>
      </c>
      <c r="CK567" s="7">
        <v>0.91449999999999998</v>
      </c>
      <c r="CL567" s="7">
        <v>0.91969999999999996</v>
      </c>
      <c r="CM567" s="7">
        <v>0.92479999999999996</v>
      </c>
      <c r="CN567" s="7">
        <v>0.92989999999999995</v>
      </c>
      <c r="CO567" s="7">
        <v>0.93489999999999995</v>
      </c>
      <c r="CP567" s="7">
        <v>0.94</v>
      </c>
      <c r="CQ567" s="7">
        <v>0.94499999999999995</v>
      </c>
      <c r="CR567" s="7">
        <v>0.95</v>
      </c>
      <c r="CS567" s="7">
        <v>0.95499999999999996</v>
      </c>
      <c r="CT567" s="7">
        <v>0.96</v>
      </c>
      <c r="CU567" s="7">
        <v>0.96489999999999998</v>
      </c>
      <c r="CV567" s="7">
        <v>0.96989999999999998</v>
      </c>
      <c r="CW567" s="7">
        <v>0.9748</v>
      </c>
      <c r="CX567" s="7">
        <v>0.97970000000000002</v>
      </c>
      <c r="CY567" s="7">
        <v>0.98460000000000003</v>
      </c>
      <c r="CZ567" s="7">
        <v>0.98950000000000005</v>
      </c>
      <c r="DA567" s="7">
        <v>0.99439999999999995</v>
      </c>
      <c r="DB567" s="7">
        <v>0.99929999999999997</v>
      </c>
      <c r="DC567" s="7">
        <v>1.0009999999999999</v>
      </c>
      <c r="DD567" s="7">
        <v>1.0009999999999999</v>
      </c>
      <c r="DE567" s="7">
        <v>1.0009999999999999</v>
      </c>
      <c r="DF567" s="7">
        <v>1.0009999999999999</v>
      </c>
      <c r="DG567" s="7">
        <v>1.0009999999999999</v>
      </c>
      <c r="DH567" s="7">
        <v>1.0009999999999999</v>
      </c>
      <c r="DI567" s="7">
        <v>1.0009999999999999</v>
      </c>
      <c r="DJ567" s="7">
        <v>1.0009999999999999</v>
      </c>
      <c r="DK567" s="7">
        <v>1.0009999999999999</v>
      </c>
      <c r="DL567" s="7">
        <v>1.0009999999999999</v>
      </c>
      <c r="DM567" s="7">
        <v>1.0009999999999999</v>
      </c>
      <c r="DN567" s="7">
        <v>1.0009999999999999</v>
      </c>
      <c r="DO567" s="7">
        <v>1.0009999999999999</v>
      </c>
      <c r="DP567" s="7">
        <v>1.0009999999999999</v>
      </c>
      <c r="DQ567" s="7">
        <v>1.0009999999999999</v>
      </c>
      <c r="DR567" s="7">
        <v>1.0009999999999999</v>
      </c>
      <c r="DS567" s="7">
        <v>1.0009999999999999</v>
      </c>
      <c r="DT567" s="7">
        <v>1.0009999999999999</v>
      </c>
      <c r="DU567" s="7">
        <v>1.0009999999999999</v>
      </c>
      <c r="DV567" s="7">
        <v>1.0009999999999999</v>
      </c>
      <c r="DW567" s="7">
        <v>1.0009999999999999</v>
      </c>
      <c r="DX567" s="7">
        <v>1.0009999999999999</v>
      </c>
      <c r="DY567" s="7">
        <v>1.0009999999999999</v>
      </c>
      <c r="DZ567" s="7">
        <v>1.0009999999999999</v>
      </c>
      <c r="EA567" s="7">
        <v>1.0009999999999999</v>
      </c>
      <c r="EB567" s="7">
        <v>1.0009999999999999</v>
      </c>
      <c r="EC567" s="7">
        <v>1.0009999999999999</v>
      </c>
      <c r="ED567" s="7">
        <v>1.0009999999999999</v>
      </c>
      <c r="EE567" s="7">
        <v>1.0009999999999999</v>
      </c>
      <c r="EF567" s="7">
        <v>1.0009999999999999</v>
      </c>
      <c r="EG567" s="7">
        <v>1.0009999999999999</v>
      </c>
      <c r="EH567" s="7">
        <v>1.0009999999999999</v>
      </c>
      <c r="EI567" s="7">
        <v>1.0009999999999999</v>
      </c>
      <c r="EJ567" s="7">
        <v>1.0009999999999999</v>
      </c>
      <c r="EK567" s="7">
        <v>1.0009999999999999</v>
      </c>
      <c r="EL567" s="7">
        <v>1.0009999999999999</v>
      </c>
      <c r="EM567" s="7">
        <v>1.0009999999999999</v>
      </c>
      <c r="EN567" s="7">
        <v>1.0009999999999999</v>
      </c>
      <c r="EO567" s="7">
        <v>1.0009999999999999</v>
      </c>
      <c r="EP567" s="7">
        <v>1.0009999999999999</v>
      </c>
      <c r="EQ567" s="7">
        <v>1.0009999999999999</v>
      </c>
      <c r="ER567" s="7">
        <v>1.0009999999999999</v>
      </c>
      <c r="ES567" s="7">
        <v>1.0009999999999999</v>
      </c>
      <c r="ET567" s="7">
        <v>1.0009999999999999</v>
      </c>
      <c r="EU567" s="7">
        <v>1.0009999999999999</v>
      </c>
      <c r="EV567" s="7">
        <v>1.0009999999999999</v>
      </c>
      <c r="EW567" s="7">
        <v>1.0009999999999999</v>
      </c>
      <c r="EX567" s="7">
        <v>1.0009999999999999</v>
      </c>
      <c r="EY567" s="7">
        <v>1.0009999999999999</v>
      </c>
      <c r="EZ567" s="7">
        <v>1.0009999999999999</v>
      </c>
      <c r="FA567" s="7">
        <v>1.0009999999999999</v>
      </c>
      <c r="FB567" s="7">
        <v>1.0009999999999999</v>
      </c>
      <c r="FC567" s="7">
        <v>1.0009999999999999</v>
      </c>
      <c r="FE567" s="50">
        <f t="shared" ca="1" si="59"/>
        <v>1.0009999999999999</v>
      </c>
      <c r="FF567" s="50">
        <f t="shared" ca="1" si="60"/>
        <v>1.0009999999999999</v>
      </c>
      <c r="FG567" s="50">
        <f t="shared" ca="1" si="61"/>
        <v>1.0009999999999999</v>
      </c>
      <c r="FH567" s="50">
        <f t="shared" ca="1" si="62"/>
        <v>1.0009999999999999</v>
      </c>
      <c r="FI567" s="50"/>
      <c r="FK567" s="50">
        <f t="shared" ca="1" si="63"/>
        <v>1.0009999999999999</v>
      </c>
      <c r="FL567" s="50"/>
      <c r="FM567" s="50"/>
      <c r="FN567" s="50"/>
    </row>
    <row r="568" spans="49:170" hidden="1">
      <c r="AW568" s="112">
        <v>1.585</v>
      </c>
      <c r="AX568" s="7">
        <v>0.6764</v>
      </c>
      <c r="AY568" s="7">
        <v>0.6835</v>
      </c>
      <c r="AZ568" s="7">
        <v>0.6905</v>
      </c>
      <c r="BA568" s="7">
        <v>0.69750000000000001</v>
      </c>
      <c r="BB568" s="7">
        <v>0.70440000000000003</v>
      </c>
      <c r="BC568" s="7">
        <v>0.71120000000000005</v>
      </c>
      <c r="BD568" s="7">
        <v>0.71799999999999997</v>
      </c>
      <c r="BE568" s="7">
        <v>0.72470000000000001</v>
      </c>
      <c r="BF568" s="7">
        <v>0.73129999999999995</v>
      </c>
      <c r="BG568" s="7">
        <v>0.73780000000000001</v>
      </c>
      <c r="BH568" s="7">
        <v>0.74429999999999996</v>
      </c>
      <c r="BI568" s="7">
        <v>0.75080000000000002</v>
      </c>
      <c r="BJ568" s="7">
        <v>0.7571</v>
      </c>
      <c r="BK568" s="7">
        <v>0.76339999999999997</v>
      </c>
      <c r="BL568" s="7">
        <v>0.76970000000000005</v>
      </c>
      <c r="BM568" s="7">
        <v>0.77590000000000003</v>
      </c>
      <c r="BN568" s="7">
        <v>0.78200000000000003</v>
      </c>
      <c r="BO568" s="7">
        <v>0.78810000000000002</v>
      </c>
      <c r="BP568" s="7">
        <v>0.79410000000000003</v>
      </c>
      <c r="BQ568" s="7">
        <v>0.80010000000000003</v>
      </c>
      <c r="BR568" s="7">
        <v>0.80600000000000005</v>
      </c>
      <c r="BS568" s="7">
        <v>0.81179999999999997</v>
      </c>
      <c r="BT568" s="7">
        <v>0.81759999999999999</v>
      </c>
      <c r="BU568" s="7">
        <v>0.82340000000000002</v>
      </c>
      <c r="BV568" s="7">
        <v>0.82909999999999995</v>
      </c>
      <c r="BW568" s="7">
        <v>0.83479999999999999</v>
      </c>
      <c r="BX568" s="7">
        <v>0.84040000000000004</v>
      </c>
      <c r="BY568" s="7">
        <v>0.84599999999999997</v>
      </c>
      <c r="BZ568" s="7">
        <v>0.85150000000000003</v>
      </c>
      <c r="CA568" s="7">
        <v>0.85699999999999998</v>
      </c>
      <c r="CB568" s="7">
        <v>0.86250000000000004</v>
      </c>
      <c r="CC568" s="7">
        <v>0.8679</v>
      </c>
      <c r="CD568" s="7">
        <v>0.87329999999999997</v>
      </c>
      <c r="CE568" s="7">
        <v>0.87860000000000005</v>
      </c>
      <c r="CF568" s="7">
        <v>0.88390000000000002</v>
      </c>
      <c r="CG568" s="7">
        <v>0.88919999999999999</v>
      </c>
      <c r="CH568" s="7">
        <v>0.89449999999999996</v>
      </c>
      <c r="CI568" s="7">
        <v>0.89970000000000006</v>
      </c>
      <c r="CJ568" s="7">
        <v>0.90490000000000004</v>
      </c>
      <c r="CK568" s="7">
        <v>0.91</v>
      </c>
      <c r="CL568" s="7">
        <v>0.91510000000000002</v>
      </c>
      <c r="CM568" s="7">
        <v>0.92020000000000002</v>
      </c>
      <c r="CN568" s="7">
        <v>0.92530000000000001</v>
      </c>
      <c r="CO568" s="7">
        <v>0.93030000000000002</v>
      </c>
      <c r="CP568" s="7">
        <v>0.93540000000000001</v>
      </c>
      <c r="CQ568" s="7">
        <v>0.94040000000000001</v>
      </c>
      <c r="CR568" s="7">
        <v>0.94540000000000002</v>
      </c>
      <c r="CS568" s="7">
        <v>0.95030000000000003</v>
      </c>
      <c r="CT568" s="7">
        <v>0.95530000000000004</v>
      </c>
      <c r="CU568" s="7">
        <v>0.96020000000000005</v>
      </c>
      <c r="CV568" s="7">
        <v>0.96509999999999996</v>
      </c>
      <c r="CW568" s="7">
        <v>0.97</v>
      </c>
      <c r="CX568" s="7">
        <v>0.97489999999999999</v>
      </c>
      <c r="CY568" s="7">
        <v>0.9798</v>
      </c>
      <c r="CZ568" s="7">
        <v>0.98460000000000003</v>
      </c>
      <c r="DA568" s="7">
        <v>0.98950000000000005</v>
      </c>
      <c r="DB568" s="7">
        <v>0.99439999999999995</v>
      </c>
      <c r="DC568" s="7">
        <v>0.99919999999999998</v>
      </c>
      <c r="DD568" s="7">
        <v>1.0009999999999999</v>
      </c>
      <c r="DE568" s="7">
        <v>1.0009999999999999</v>
      </c>
      <c r="DF568" s="7">
        <v>1.0009999999999999</v>
      </c>
      <c r="DG568" s="7">
        <v>1.0009999999999999</v>
      </c>
      <c r="DH568" s="7">
        <v>1.0009999999999999</v>
      </c>
      <c r="DI568" s="7">
        <v>1.0009999999999999</v>
      </c>
      <c r="DJ568" s="7">
        <v>1.0009999999999999</v>
      </c>
      <c r="DK568" s="7">
        <v>1.0009999999999999</v>
      </c>
      <c r="DL568" s="7">
        <v>1.0009999999999999</v>
      </c>
      <c r="DM568" s="7">
        <v>1.0009999999999999</v>
      </c>
      <c r="DN568" s="7">
        <v>1.0009999999999999</v>
      </c>
      <c r="DO568" s="7">
        <v>1.0009999999999999</v>
      </c>
      <c r="DP568" s="7">
        <v>1.0009999999999999</v>
      </c>
      <c r="DQ568" s="7">
        <v>1.0009999999999999</v>
      </c>
      <c r="DR568" s="7">
        <v>1.0009999999999999</v>
      </c>
      <c r="DS568" s="7">
        <v>1.0009999999999999</v>
      </c>
      <c r="DT568" s="7">
        <v>1.0009999999999999</v>
      </c>
      <c r="DU568" s="7">
        <v>1.0009999999999999</v>
      </c>
      <c r="DV568" s="7">
        <v>1.0009999999999999</v>
      </c>
      <c r="DW568" s="7">
        <v>1.0009999999999999</v>
      </c>
      <c r="DX568" s="7">
        <v>1.0009999999999999</v>
      </c>
      <c r="DY568" s="7">
        <v>1.0009999999999999</v>
      </c>
      <c r="DZ568" s="7">
        <v>1.0009999999999999</v>
      </c>
      <c r="EA568" s="7">
        <v>1.0009999999999999</v>
      </c>
      <c r="EB568" s="7">
        <v>1.0009999999999999</v>
      </c>
      <c r="EC568" s="7">
        <v>1.0009999999999999</v>
      </c>
      <c r="ED568" s="7">
        <v>1.0009999999999999</v>
      </c>
      <c r="EE568" s="7">
        <v>1.0009999999999999</v>
      </c>
      <c r="EF568" s="7">
        <v>1.0009999999999999</v>
      </c>
      <c r="EG568" s="7">
        <v>1.0009999999999999</v>
      </c>
      <c r="EH568" s="7">
        <v>1.0009999999999999</v>
      </c>
      <c r="EI568" s="7">
        <v>1.0009999999999999</v>
      </c>
      <c r="EJ568" s="7">
        <v>1.0009999999999999</v>
      </c>
      <c r="EK568" s="7">
        <v>1.0009999999999999</v>
      </c>
      <c r="EL568" s="7">
        <v>1.0009999999999999</v>
      </c>
      <c r="EM568" s="7">
        <v>1.0009999999999999</v>
      </c>
      <c r="EN568" s="7">
        <v>1.0009999999999999</v>
      </c>
      <c r="EO568" s="7">
        <v>1.0009999999999999</v>
      </c>
      <c r="EP568" s="7">
        <v>1.0009999999999999</v>
      </c>
      <c r="EQ568" s="7">
        <v>1.0009999999999999</v>
      </c>
      <c r="ER568" s="7">
        <v>1.0009999999999999</v>
      </c>
      <c r="ES568" s="7">
        <v>1.0009999999999999</v>
      </c>
      <c r="ET568" s="7">
        <v>1.0009999999999999</v>
      </c>
      <c r="EU568" s="7">
        <v>1.0009999999999999</v>
      </c>
      <c r="EV568" s="7">
        <v>1.0009999999999999</v>
      </c>
      <c r="EW568" s="7">
        <v>1.0009999999999999</v>
      </c>
      <c r="EX568" s="7">
        <v>1.0009999999999999</v>
      </c>
      <c r="EY568" s="7">
        <v>1.0009999999999999</v>
      </c>
      <c r="EZ568" s="7">
        <v>1.0009999999999999</v>
      </c>
      <c r="FA568" s="7">
        <v>1.0009999999999999</v>
      </c>
      <c r="FB568" s="7">
        <v>1.0009999999999999</v>
      </c>
      <c r="FC568" s="7">
        <v>1.0009999999999999</v>
      </c>
      <c r="FE568" s="50">
        <f t="shared" ca="1" si="59"/>
        <v>1.0009999999999999</v>
      </c>
      <c r="FF568" s="50">
        <f t="shared" ca="1" si="60"/>
        <v>1.0009999999999999</v>
      </c>
      <c r="FG568" s="50">
        <f t="shared" ca="1" si="61"/>
        <v>1.0009999999999999</v>
      </c>
      <c r="FH568" s="50">
        <f t="shared" ca="1" si="62"/>
        <v>1.0009999999999999</v>
      </c>
      <c r="FI568" s="50"/>
      <c r="FK568" s="50">
        <f t="shared" ca="1" si="63"/>
        <v>1.0009999999999999</v>
      </c>
      <c r="FL568" s="50"/>
      <c r="FM568" s="50"/>
      <c r="FN568" s="50"/>
    </row>
    <row r="569" spans="49:170" hidden="1">
      <c r="AW569" s="112">
        <v>1.698</v>
      </c>
      <c r="AX569" s="7">
        <v>0.67310000000000003</v>
      </c>
      <c r="AY569" s="7">
        <v>0.68020000000000003</v>
      </c>
      <c r="AZ569" s="7">
        <v>0.68720000000000003</v>
      </c>
      <c r="BA569" s="7">
        <v>0.69410000000000005</v>
      </c>
      <c r="BB569" s="7">
        <v>0.70099999999999996</v>
      </c>
      <c r="BC569" s="7">
        <v>0.70779999999999998</v>
      </c>
      <c r="BD569" s="7">
        <v>0.71450000000000002</v>
      </c>
      <c r="BE569" s="7">
        <v>0.72109999999999996</v>
      </c>
      <c r="BF569" s="7">
        <v>0.72770000000000001</v>
      </c>
      <c r="BG569" s="7">
        <v>0.73429999999999995</v>
      </c>
      <c r="BH569" s="7">
        <v>0.74070000000000003</v>
      </c>
      <c r="BI569" s="7">
        <v>0.74709999999999999</v>
      </c>
      <c r="BJ569" s="7">
        <v>0.75339999999999996</v>
      </c>
      <c r="BK569" s="7">
        <v>0.75970000000000004</v>
      </c>
      <c r="BL569" s="7">
        <v>0.76590000000000003</v>
      </c>
      <c r="BM569" s="7">
        <v>0.77210000000000001</v>
      </c>
      <c r="BN569" s="7">
        <v>0.7782</v>
      </c>
      <c r="BO569" s="7">
        <v>0.78420000000000001</v>
      </c>
      <c r="BP569" s="7">
        <v>0.79020000000000001</v>
      </c>
      <c r="BQ569" s="7">
        <v>0.79620000000000002</v>
      </c>
      <c r="BR569" s="7">
        <v>0.80210000000000004</v>
      </c>
      <c r="BS569" s="7">
        <v>0.80789999999999995</v>
      </c>
      <c r="BT569" s="7">
        <v>0.81369999999999998</v>
      </c>
      <c r="BU569" s="7">
        <v>0.81940000000000002</v>
      </c>
      <c r="BV569" s="7">
        <v>0.82509999999999994</v>
      </c>
      <c r="BW569" s="7">
        <v>0.83069999999999999</v>
      </c>
      <c r="BX569" s="7">
        <v>0.83630000000000004</v>
      </c>
      <c r="BY569" s="7">
        <v>0.84189999999999998</v>
      </c>
      <c r="BZ569" s="7">
        <v>0.84740000000000004</v>
      </c>
      <c r="CA569" s="7">
        <v>0.85289999999999999</v>
      </c>
      <c r="CB569" s="7">
        <v>0.85829999999999995</v>
      </c>
      <c r="CC569" s="7">
        <v>0.86370000000000002</v>
      </c>
      <c r="CD569" s="7">
        <v>0.86909999999999998</v>
      </c>
      <c r="CE569" s="7">
        <v>0.87439999999999996</v>
      </c>
      <c r="CF569" s="7">
        <v>0.87970000000000004</v>
      </c>
      <c r="CG569" s="7">
        <v>0.88490000000000002</v>
      </c>
      <c r="CH569" s="7">
        <v>0.8901</v>
      </c>
      <c r="CI569" s="7">
        <v>0.89529999999999998</v>
      </c>
      <c r="CJ569" s="7">
        <v>0.90049999999999997</v>
      </c>
      <c r="CK569" s="7">
        <v>0.90559999999999996</v>
      </c>
      <c r="CL569" s="7">
        <v>0.91069999999999995</v>
      </c>
      <c r="CM569" s="7">
        <v>0.91579999999999995</v>
      </c>
      <c r="CN569" s="7">
        <v>0.92079999999999995</v>
      </c>
      <c r="CO569" s="7">
        <v>0.92579999999999996</v>
      </c>
      <c r="CP569" s="7">
        <v>0.93079999999999996</v>
      </c>
      <c r="CQ569" s="7">
        <v>0.93579999999999997</v>
      </c>
      <c r="CR569" s="7">
        <v>0.94079999999999997</v>
      </c>
      <c r="CS569" s="7">
        <v>0.94569999999999999</v>
      </c>
      <c r="CT569" s="7">
        <v>0.9506</v>
      </c>
      <c r="CU569" s="7">
        <v>0.95550000000000002</v>
      </c>
      <c r="CV569" s="7">
        <v>0.96040000000000003</v>
      </c>
      <c r="CW569" s="7">
        <v>0.96530000000000005</v>
      </c>
      <c r="CX569" s="7">
        <v>0.97019999999999995</v>
      </c>
      <c r="CY569" s="7">
        <v>0.97499999999999998</v>
      </c>
      <c r="CZ569" s="7">
        <v>0.97989999999999999</v>
      </c>
      <c r="DA569" s="7">
        <v>0.98470000000000002</v>
      </c>
      <c r="DB569" s="7">
        <v>0.98950000000000005</v>
      </c>
      <c r="DC569" s="7">
        <v>0.99429999999999996</v>
      </c>
      <c r="DD569" s="7">
        <v>0.99919999999999998</v>
      </c>
      <c r="DE569" s="7">
        <v>1.0009999999999999</v>
      </c>
      <c r="DF569" s="7">
        <v>1.0009999999999999</v>
      </c>
      <c r="DG569" s="7">
        <v>1.0009999999999999</v>
      </c>
      <c r="DH569" s="7">
        <v>1.0009999999999999</v>
      </c>
      <c r="DI569" s="7">
        <v>1.0009999999999999</v>
      </c>
      <c r="DJ569" s="7">
        <v>1.0009999999999999</v>
      </c>
      <c r="DK569" s="7">
        <v>1.0009999999999999</v>
      </c>
      <c r="DL569" s="7">
        <v>1.0009999999999999</v>
      </c>
      <c r="DM569" s="7">
        <v>1.0009999999999999</v>
      </c>
      <c r="DN569" s="7">
        <v>1.0009999999999999</v>
      </c>
      <c r="DO569" s="7">
        <v>1.0009999999999999</v>
      </c>
      <c r="DP569" s="7">
        <v>1.0009999999999999</v>
      </c>
      <c r="DQ569" s="7">
        <v>1.0009999999999999</v>
      </c>
      <c r="DR569" s="7">
        <v>1.0009999999999999</v>
      </c>
      <c r="DS569" s="7">
        <v>1.0009999999999999</v>
      </c>
      <c r="DT569" s="7">
        <v>1.0009999999999999</v>
      </c>
      <c r="DU569" s="7">
        <v>1.0009999999999999</v>
      </c>
      <c r="DV569" s="7">
        <v>1.0009999999999999</v>
      </c>
      <c r="DW569" s="7">
        <v>1.0009999999999999</v>
      </c>
      <c r="DX569" s="7">
        <v>1.0009999999999999</v>
      </c>
      <c r="DY569" s="7">
        <v>1.0009999999999999</v>
      </c>
      <c r="DZ569" s="7">
        <v>1.0009999999999999</v>
      </c>
      <c r="EA569" s="7">
        <v>1.0009999999999999</v>
      </c>
      <c r="EB569" s="7">
        <v>1.0009999999999999</v>
      </c>
      <c r="EC569" s="7">
        <v>1.0009999999999999</v>
      </c>
      <c r="ED569" s="7">
        <v>1.0009999999999999</v>
      </c>
      <c r="EE569" s="7">
        <v>1.0009999999999999</v>
      </c>
      <c r="EF569" s="7">
        <v>1.0009999999999999</v>
      </c>
      <c r="EG569" s="7">
        <v>1.0009999999999999</v>
      </c>
      <c r="EH569" s="7">
        <v>1.0009999999999999</v>
      </c>
      <c r="EI569" s="7">
        <v>1.0009999999999999</v>
      </c>
      <c r="EJ569" s="7">
        <v>1.0009999999999999</v>
      </c>
      <c r="EK569" s="7">
        <v>1.0009999999999999</v>
      </c>
      <c r="EL569" s="7">
        <v>1.0009999999999999</v>
      </c>
      <c r="EM569" s="7">
        <v>1.0009999999999999</v>
      </c>
      <c r="EN569" s="7">
        <v>1.0009999999999999</v>
      </c>
      <c r="EO569" s="7">
        <v>1.0009999999999999</v>
      </c>
      <c r="EP569" s="7">
        <v>1.0009999999999999</v>
      </c>
      <c r="EQ569" s="7">
        <v>1.0009999999999999</v>
      </c>
      <c r="ER569" s="7">
        <v>1.0009999999999999</v>
      </c>
      <c r="ES569" s="7">
        <v>1.0009999999999999</v>
      </c>
      <c r="ET569" s="7">
        <v>1.0009999999999999</v>
      </c>
      <c r="EU569" s="7">
        <v>1.0009999999999999</v>
      </c>
      <c r="EV569" s="7">
        <v>1.0009999999999999</v>
      </c>
      <c r="EW569" s="7">
        <v>1.0009999999999999</v>
      </c>
      <c r="EX569" s="7">
        <v>1.0009999999999999</v>
      </c>
      <c r="EY569" s="7">
        <v>1.0009999999999999</v>
      </c>
      <c r="EZ569" s="7">
        <v>1.0009999999999999</v>
      </c>
      <c r="FA569" s="7">
        <v>1.0009999999999999</v>
      </c>
      <c r="FB569" s="7">
        <v>1.0009999999999999</v>
      </c>
      <c r="FC569" s="7">
        <v>1.0009999999999999</v>
      </c>
      <c r="FE569" s="50">
        <f t="shared" ca="1" si="59"/>
        <v>1.0009999999999999</v>
      </c>
      <c r="FF569" s="50">
        <f t="shared" ca="1" si="60"/>
        <v>1.0009999999999999</v>
      </c>
      <c r="FG569" s="50">
        <f t="shared" ca="1" si="61"/>
        <v>1.0009999999999999</v>
      </c>
      <c r="FH569" s="50">
        <f t="shared" ca="1" si="62"/>
        <v>1.0009999999999999</v>
      </c>
      <c r="FI569" s="50"/>
      <c r="FK569" s="50">
        <f t="shared" ca="1" si="63"/>
        <v>1.0009999999999999</v>
      </c>
      <c r="FL569" s="50"/>
      <c r="FM569" s="50"/>
      <c r="FN569" s="50"/>
    </row>
    <row r="570" spans="49:170" hidden="1">
      <c r="AW570" s="112">
        <v>1.82</v>
      </c>
      <c r="AX570" s="7">
        <v>0.66990000000000005</v>
      </c>
      <c r="AY570" s="7">
        <v>0.67689999999999995</v>
      </c>
      <c r="AZ570" s="7">
        <v>0.68389999999999995</v>
      </c>
      <c r="BA570" s="7">
        <v>0.69079999999999997</v>
      </c>
      <c r="BB570" s="7">
        <v>0.6976</v>
      </c>
      <c r="BC570" s="7">
        <v>0.70440000000000003</v>
      </c>
      <c r="BD570" s="7">
        <v>0.71109999999999995</v>
      </c>
      <c r="BE570" s="7">
        <v>0.7177</v>
      </c>
      <c r="BF570" s="7">
        <v>0.72419999999999995</v>
      </c>
      <c r="BG570" s="7">
        <v>0.73070000000000002</v>
      </c>
      <c r="BH570" s="7">
        <v>0.73719999999999997</v>
      </c>
      <c r="BI570" s="7">
        <v>0.74350000000000005</v>
      </c>
      <c r="BJ570" s="7">
        <v>0.74980000000000002</v>
      </c>
      <c r="BK570" s="7">
        <v>0.75609999999999999</v>
      </c>
      <c r="BL570" s="7">
        <v>0.76229999999999998</v>
      </c>
      <c r="BM570" s="7">
        <v>0.76839999999999997</v>
      </c>
      <c r="BN570" s="7">
        <v>0.77449999999999997</v>
      </c>
      <c r="BO570" s="7">
        <v>0.78049999999999997</v>
      </c>
      <c r="BP570" s="7">
        <v>0.78639999999999999</v>
      </c>
      <c r="BQ570" s="7">
        <v>0.79239999999999999</v>
      </c>
      <c r="BR570" s="7">
        <v>0.79820000000000002</v>
      </c>
      <c r="BS570" s="7">
        <v>0.80400000000000005</v>
      </c>
      <c r="BT570" s="7">
        <v>0.80979999999999996</v>
      </c>
      <c r="BU570" s="7">
        <v>0.8155</v>
      </c>
      <c r="BV570" s="7">
        <v>0.82110000000000005</v>
      </c>
      <c r="BW570" s="7">
        <v>0.82679999999999998</v>
      </c>
      <c r="BX570" s="7">
        <v>0.83230000000000004</v>
      </c>
      <c r="BY570" s="7">
        <v>0.83789999999999998</v>
      </c>
      <c r="BZ570" s="7">
        <v>0.84330000000000005</v>
      </c>
      <c r="CA570" s="7">
        <v>0.8488</v>
      </c>
      <c r="CB570" s="7">
        <v>0.85419999999999996</v>
      </c>
      <c r="CC570" s="7">
        <v>0.85960000000000003</v>
      </c>
      <c r="CD570" s="7">
        <v>0.8649</v>
      </c>
      <c r="CE570" s="7">
        <v>0.87019999999999997</v>
      </c>
      <c r="CF570" s="7">
        <v>0.87539999999999996</v>
      </c>
      <c r="CG570" s="7">
        <v>0.88070000000000004</v>
      </c>
      <c r="CH570" s="7">
        <v>0.88590000000000002</v>
      </c>
      <c r="CI570" s="7">
        <v>0.89100000000000001</v>
      </c>
      <c r="CJ570" s="7">
        <v>0.89610000000000001</v>
      </c>
      <c r="CK570" s="7">
        <v>0.9012</v>
      </c>
      <c r="CL570" s="7">
        <v>0.90629999999999999</v>
      </c>
      <c r="CM570" s="7">
        <v>0.91139999999999999</v>
      </c>
      <c r="CN570" s="7">
        <v>0.91639999999999999</v>
      </c>
      <c r="CO570" s="7">
        <v>0.9214</v>
      </c>
      <c r="CP570" s="7">
        <v>0.9264</v>
      </c>
      <c r="CQ570" s="7">
        <v>0.93130000000000002</v>
      </c>
      <c r="CR570" s="7">
        <v>0.93630000000000002</v>
      </c>
      <c r="CS570" s="7">
        <v>0.94120000000000004</v>
      </c>
      <c r="CT570" s="7">
        <v>0.94610000000000005</v>
      </c>
      <c r="CU570" s="7">
        <v>0.95099999999999996</v>
      </c>
      <c r="CV570" s="7">
        <v>0.95579999999999998</v>
      </c>
      <c r="CW570" s="7">
        <v>0.9607</v>
      </c>
      <c r="CX570" s="7">
        <v>0.96550000000000002</v>
      </c>
      <c r="CY570" s="7">
        <v>0.97030000000000005</v>
      </c>
      <c r="CZ570" s="7">
        <v>0.97519999999999996</v>
      </c>
      <c r="DA570" s="7">
        <v>0.98</v>
      </c>
      <c r="DB570" s="7">
        <v>0.98480000000000001</v>
      </c>
      <c r="DC570" s="7">
        <v>0.98960000000000004</v>
      </c>
      <c r="DD570" s="7">
        <v>0.99439999999999995</v>
      </c>
      <c r="DE570" s="7">
        <v>0.99919999999999998</v>
      </c>
      <c r="DF570" s="7">
        <v>1.0009999999999999</v>
      </c>
      <c r="DG570" s="7">
        <v>1.0009999999999999</v>
      </c>
      <c r="DH570" s="7">
        <v>1.0009999999999999</v>
      </c>
      <c r="DI570" s="7">
        <v>1.0009999999999999</v>
      </c>
      <c r="DJ570" s="7">
        <v>1.0009999999999999</v>
      </c>
      <c r="DK570" s="7">
        <v>1.0009999999999999</v>
      </c>
      <c r="DL570" s="7">
        <v>1.0009999999999999</v>
      </c>
      <c r="DM570" s="7">
        <v>1.0009999999999999</v>
      </c>
      <c r="DN570" s="7">
        <v>1.0009999999999999</v>
      </c>
      <c r="DO570" s="7">
        <v>1.0009999999999999</v>
      </c>
      <c r="DP570" s="7">
        <v>1.0009999999999999</v>
      </c>
      <c r="DQ570" s="7">
        <v>1.0009999999999999</v>
      </c>
      <c r="DR570" s="7">
        <v>1.0009999999999999</v>
      </c>
      <c r="DS570" s="7">
        <v>1.0009999999999999</v>
      </c>
      <c r="DT570" s="7">
        <v>1.0009999999999999</v>
      </c>
      <c r="DU570" s="7">
        <v>1.0009999999999999</v>
      </c>
      <c r="DV570" s="7">
        <v>1.0009999999999999</v>
      </c>
      <c r="DW570" s="7">
        <v>1.0009999999999999</v>
      </c>
      <c r="DX570" s="7">
        <v>1.0009999999999999</v>
      </c>
      <c r="DY570" s="7">
        <v>1.0009999999999999</v>
      </c>
      <c r="DZ570" s="7">
        <v>1.0009999999999999</v>
      </c>
      <c r="EA570" s="7">
        <v>1.0009999999999999</v>
      </c>
      <c r="EB570" s="7">
        <v>1.0009999999999999</v>
      </c>
      <c r="EC570" s="7">
        <v>1.0009999999999999</v>
      </c>
      <c r="ED570" s="7">
        <v>1.0009999999999999</v>
      </c>
      <c r="EE570" s="7">
        <v>1.0009999999999999</v>
      </c>
      <c r="EF570" s="7">
        <v>1.0009999999999999</v>
      </c>
      <c r="EG570" s="7">
        <v>1.0009999999999999</v>
      </c>
      <c r="EH570" s="7">
        <v>1.0009999999999999</v>
      </c>
      <c r="EI570" s="7">
        <v>1.0009999999999999</v>
      </c>
      <c r="EJ570" s="7">
        <v>1.0009999999999999</v>
      </c>
      <c r="EK570" s="7">
        <v>1.0009999999999999</v>
      </c>
      <c r="EL570" s="7">
        <v>1.0009999999999999</v>
      </c>
      <c r="EM570" s="7">
        <v>1.0009999999999999</v>
      </c>
      <c r="EN570" s="7">
        <v>1.0009999999999999</v>
      </c>
      <c r="EO570" s="7">
        <v>1.0009999999999999</v>
      </c>
      <c r="EP570" s="7">
        <v>1.0009999999999999</v>
      </c>
      <c r="EQ570" s="7">
        <v>1.0009999999999999</v>
      </c>
      <c r="ER570" s="7">
        <v>1.0009999999999999</v>
      </c>
      <c r="ES570" s="7">
        <v>1.0009999999999999</v>
      </c>
      <c r="ET570" s="7">
        <v>1.0009999999999999</v>
      </c>
      <c r="EU570" s="7">
        <v>1.0009999999999999</v>
      </c>
      <c r="EV570" s="7">
        <v>1.0009999999999999</v>
      </c>
      <c r="EW570" s="7">
        <v>1.0009999999999999</v>
      </c>
      <c r="EX570" s="7">
        <v>1.0009999999999999</v>
      </c>
      <c r="EY570" s="7">
        <v>1.0009999999999999</v>
      </c>
      <c r="EZ570" s="7">
        <v>1.0009999999999999</v>
      </c>
      <c r="FA570" s="7">
        <v>1.0009999999999999</v>
      </c>
      <c r="FB570" s="7">
        <v>1.0009999999999999</v>
      </c>
      <c r="FC570" s="7">
        <v>1.0009999999999999</v>
      </c>
      <c r="FE570" s="50">
        <f t="shared" ca="1" si="59"/>
        <v>1.0009999999999999</v>
      </c>
      <c r="FF570" s="50">
        <f t="shared" ca="1" si="60"/>
        <v>1.0009999999999999</v>
      </c>
      <c r="FG570" s="50">
        <f t="shared" ca="1" si="61"/>
        <v>1.0009999999999999</v>
      </c>
      <c r="FH570" s="50">
        <f t="shared" ca="1" si="62"/>
        <v>1.0009999999999999</v>
      </c>
      <c r="FI570" s="50"/>
      <c r="FK570" s="50">
        <f t="shared" ca="1" si="63"/>
        <v>1.0009999999999999</v>
      </c>
      <c r="FL570" s="50"/>
      <c r="FM570" s="50"/>
      <c r="FN570" s="50"/>
    </row>
    <row r="571" spans="49:170" hidden="1">
      <c r="AW571" s="112">
        <v>1.95</v>
      </c>
      <c r="AX571" s="7">
        <v>0.66669999999999996</v>
      </c>
      <c r="AY571" s="7">
        <v>0.67369999999999997</v>
      </c>
      <c r="AZ571" s="7">
        <v>0.68069999999999997</v>
      </c>
      <c r="BA571" s="7">
        <v>0.6875</v>
      </c>
      <c r="BB571" s="7">
        <v>0.69430000000000003</v>
      </c>
      <c r="BC571" s="7">
        <v>0.70099999999999996</v>
      </c>
      <c r="BD571" s="7">
        <v>0.7077</v>
      </c>
      <c r="BE571" s="7">
        <v>0.71430000000000005</v>
      </c>
      <c r="BF571" s="7">
        <v>0.7208</v>
      </c>
      <c r="BG571" s="7">
        <v>0.72729999999999995</v>
      </c>
      <c r="BH571" s="7">
        <v>0.73370000000000002</v>
      </c>
      <c r="BI571" s="7">
        <v>0.74</v>
      </c>
      <c r="BJ571" s="7">
        <v>0.74629999999999996</v>
      </c>
      <c r="BK571" s="7">
        <v>0.75249999999999995</v>
      </c>
      <c r="BL571" s="7">
        <v>0.75870000000000004</v>
      </c>
      <c r="BM571" s="7">
        <v>0.76480000000000004</v>
      </c>
      <c r="BN571" s="7">
        <v>0.77080000000000004</v>
      </c>
      <c r="BO571" s="7">
        <v>0.77680000000000005</v>
      </c>
      <c r="BP571" s="7">
        <v>0.78269999999999995</v>
      </c>
      <c r="BQ571" s="7">
        <v>0.78859999999999997</v>
      </c>
      <c r="BR571" s="7">
        <v>0.7944</v>
      </c>
      <c r="BS571" s="7">
        <v>0.80020000000000002</v>
      </c>
      <c r="BT571" s="7">
        <v>0.80589999999999995</v>
      </c>
      <c r="BU571" s="7">
        <v>0.81159999999999999</v>
      </c>
      <c r="BV571" s="7">
        <v>0.81730000000000003</v>
      </c>
      <c r="BW571" s="7">
        <v>0.82289999999999996</v>
      </c>
      <c r="BX571" s="7">
        <v>0.82840000000000003</v>
      </c>
      <c r="BY571" s="7">
        <v>0.83389999999999997</v>
      </c>
      <c r="BZ571" s="7">
        <v>0.83940000000000003</v>
      </c>
      <c r="CA571" s="7">
        <v>0.8448</v>
      </c>
      <c r="CB571" s="7">
        <v>0.85019999999999996</v>
      </c>
      <c r="CC571" s="7">
        <v>0.85550000000000004</v>
      </c>
      <c r="CD571" s="7">
        <v>0.86080000000000001</v>
      </c>
      <c r="CE571" s="7">
        <v>0.86609999999999998</v>
      </c>
      <c r="CF571" s="7">
        <v>0.87129999999999996</v>
      </c>
      <c r="CG571" s="7">
        <v>0.87649999999999995</v>
      </c>
      <c r="CH571" s="7">
        <v>0.88170000000000004</v>
      </c>
      <c r="CI571" s="7">
        <v>0.88680000000000003</v>
      </c>
      <c r="CJ571" s="7">
        <v>0.89190000000000003</v>
      </c>
      <c r="CK571" s="7">
        <v>0.89700000000000002</v>
      </c>
      <c r="CL571" s="7">
        <v>0.90200000000000002</v>
      </c>
      <c r="CM571" s="7">
        <v>0.90710000000000002</v>
      </c>
      <c r="CN571" s="7">
        <v>0.91210000000000002</v>
      </c>
      <c r="CO571" s="7">
        <v>0.91700000000000004</v>
      </c>
      <c r="CP571" s="7">
        <v>0.92200000000000004</v>
      </c>
      <c r="CQ571" s="7">
        <v>0.92689999999999995</v>
      </c>
      <c r="CR571" s="7">
        <v>0.93179999999999996</v>
      </c>
      <c r="CS571" s="7">
        <v>0.93669999999999998</v>
      </c>
      <c r="CT571" s="7">
        <v>0.94159999999999999</v>
      </c>
      <c r="CU571" s="7">
        <v>0.94650000000000001</v>
      </c>
      <c r="CV571" s="7">
        <v>0.95130000000000003</v>
      </c>
      <c r="CW571" s="7">
        <v>0.95609999999999995</v>
      </c>
      <c r="CX571" s="7">
        <v>0.96099999999999997</v>
      </c>
      <c r="CY571" s="7">
        <v>0.96579999999999999</v>
      </c>
      <c r="CZ571" s="7">
        <v>0.97060000000000002</v>
      </c>
      <c r="DA571" s="7">
        <v>0.97529999999999994</v>
      </c>
      <c r="DB571" s="7">
        <v>0.98009999999999997</v>
      </c>
      <c r="DC571" s="7">
        <v>0.9849</v>
      </c>
      <c r="DD571" s="7">
        <v>0.98970000000000002</v>
      </c>
      <c r="DE571" s="7">
        <v>0.99439999999999995</v>
      </c>
      <c r="DF571" s="7">
        <v>0.99919999999999998</v>
      </c>
      <c r="DG571" s="7">
        <v>1.0009999999999999</v>
      </c>
      <c r="DH571" s="7">
        <v>1.0009999999999999</v>
      </c>
      <c r="DI571" s="7">
        <v>1.0009999999999999</v>
      </c>
      <c r="DJ571" s="7">
        <v>1.0009999999999999</v>
      </c>
      <c r="DK571" s="7">
        <v>1.0009999999999999</v>
      </c>
      <c r="DL571" s="7">
        <v>1.0009999999999999</v>
      </c>
      <c r="DM571" s="7">
        <v>1.0009999999999999</v>
      </c>
      <c r="DN571" s="7">
        <v>1.0009999999999999</v>
      </c>
      <c r="DO571" s="7">
        <v>1.0009999999999999</v>
      </c>
      <c r="DP571" s="7">
        <v>1.0009999999999999</v>
      </c>
      <c r="DQ571" s="7">
        <v>1.0009999999999999</v>
      </c>
      <c r="DR571" s="7">
        <v>1.0009999999999999</v>
      </c>
      <c r="DS571" s="7">
        <v>1.0009999999999999</v>
      </c>
      <c r="DT571" s="7">
        <v>1.0009999999999999</v>
      </c>
      <c r="DU571" s="7">
        <v>1.0009999999999999</v>
      </c>
      <c r="DV571" s="7">
        <v>1.0009999999999999</v>
      </c>
      <c r="DW571" s="7">
        <v>1.0009999999999999</v>
      </c>
      <c r="DX571" s="7">
        <v>1.0009999999999999</v>
      </c>
      <c r="DY571" s="7">
        <v>1.0009999999999999</v>
      </c>
      <c r="DZ571" s="7">
        <v>1.0009999999999999</v>
      </c>
      <c r="EA571" s="7">
        <v>1.0009999999999999</v>
      </c>
      <c r="EB571" s="7">
        <v>1.0009999999999999</v>
      </c>
      <c r="EC571" s="7">
        <v>1.0009999999999999</v>
      </c>
      <c r="ED571" s="7">
        <v>1.0009999999999999</v>
      </c>
      <c r="EE571" s="7">
        <v>1.0009999999999999</v>
      </c>
      <c r="EF571" s="7">
        <v>1.0009999999999999</v>
      </c>
      <c r="EG571" s="7">
        <v>1.0009999999999999</v>
      </c>
      <c r="EH571" s="7">
        <v>1.0009999999999999</v>
      </c>
      <c r="EI571" s="7">
        <v>1.0009999999999999</v>
      </c>
      <c r="EJ571" s="7">
        <v>1.0009999999999999</v>
      </c>
      <c r="EK571" s="7">
        <v>1.0009999999999999</v>
      </c>
      <c r="EL571" s="7">
        <v>1.0009999999999999</v>
      </c>
      <c r="EM571" s="7">
        <v>1.0009999999999999</v>
      </c>
      <c r="EN571" s="7">
        <v>1.0009999999999999</v>
      </c>
      <c r="EO571" s="7">
        <v>1.0009999999999999</v>
      </c>
      <c r="EP571" s="7">
        <v>1.0009999999999999</v>
      </c>
      <c r="EQ571" s="7">
        <v>1.0009999999999999</v>
      </c>
      <c r="ER571" s="7">
        <v>1.0009999999999999</v>
      </c>
      <c r="ES571" s="7">
        <v>1.0009999999999999</v>
      </c>
      <c r="ET571" s="7">
        <v>1.0009999999999999</v>
      </c>
      <c r="EU571" s="7">
        <v>1.0009999999999999</v>
      </c>
      <c r="EV571" s="7">
        <v>1.0009999999999999</v>
      </c>
      <c r="EW571" s="7">
        <v>1.0009999999999999</v>
      </c>
      <c r="EX571" s="7">
        <v>1.0009999999999999</v>
      </c>
      <c r="EY571" s="7">
        <v>1.0009999999999999</v>
      </c>
      <c r="EZ571" s="7">
        <v>1.0009999999999999</v>
      </c>
      <c r="FA571" s="7">
        <v>1.0009999999999999</v>
      </c>
      <c r="FB571" s="7">
        <v>1.0009999999999999</v>
      </c>
      <c r="FC571" s="7">
        <v>1.0009999999999999</v>
      </c>
      <c r="FE571" s="50">
        <f t="shared" ca="1" si="59"/>
        <v>1.0009999999999999</v>
      </c>
      <c r="FF571" s="50">
        <f t="shared" ca="1" si="60"/>
        <v>1.0009999999999999</v>
      </c>
      <c r="FG571" s="50">
        <f t="shared" ca="1" si="61"/>
        <v>1.0009999999999999</v>
      </c>
      <c r="FH571" s="50">
        <f t="shared" ca="1" si="62"/>
        <v>1.0009999999999999</v>
      </c>
      <c r="FI571" s="50"/>
      <c r="FK571" s="50">
        <f t="shared" ca="1" si="63"/>
        <v>1.0009999999999999</v>
      </c>
      <c r="FL571" s="50"/>
      <c r="FM571" s="50"/>
      <c r="FN571" s="50"/>
    </row>
    <row r="572" spans="49:170" hidden="1">
      <c r="AW572" s="112">
        <v>2.089</v>
      </c>
      <c r="AX572" s="7">
        <v>0.66359999999999997</v>
      </c>
      <c r="AY572" s="7">
        <v>0.67059999999999997</v>
      </c>
      <c r="AZ572" s="7">
        <v>0.67749999999999999</v>
      </c>
      <c r="BA572" s="7">
        <v>0.68430000000000002</v>
      </c>
      <c r="BB572" s="7">
        <v>0.69110000000000005</v>
      </c>
      <c r="BC572" s="7">
        <v>0.69779999999999998</v>
      </c>
      <c r="BD572" s="7">
        <v>0.70440000000000003</v>
      </c>
      <c r="BE572" s="7">
        <v>0.71099999999999997</v>
      </c>
      <c r="BF572" s="7">
        <v>0.71750000000000003</v>
      </c>
      <c r="BG572" s="7">
        <v>0.72389999999999999</v>
      </c>
      <c r="BH572" s="7">
        <v>0.73029999999999995</v>
      </c>
      <c r="BI572" s="7">
        <v>0.73660000000000003</v>
      </c>
      <c r="BJ572" s="7">
        <v>0.74280000000000002</v>
      </c>
      <c r="BK572" s="7">
        <v>0.749</v>
      </c>
      <c r="BL572" s="7">
        <v>0.75509999999999999</v>
      </c>
      <c r="BM572" s="7">
        <v>0.76119999999999999</v>
      </c>
      <c r="BN572" s="7">
        <v>0.76719999999999999</v>
      </c>
      <c r="BO572" s="7">
        <v>0.7732</v>
      </c>
      <c r="BP572" s="7">
        <v>0.77910000000000001</v>
      </c>
      <c r="BQ572" s="7">
        <v>0.78490000000000004</v>
      </c>
      <c r="BR572" s="7">
        <v>0.79069999999999996</v>
      </c>
      <c r="BS572" s="7">
        <v>0.79649999999999999</v>
      </c>
      <c r="BT572" s="7">
        <v>0.80220000000000002</v>
      </c>
      <c r="BU572" s="7">
        <v>0.80779999999999996</v>
      </c>
      <c r="BV572" s="7">
        <v>0.8135</v>
      </c>
      <c r="BW572" s="7">
        <v>0.81899999999999995</v>
      </c>
      <c r="BX572" s="7">
        <v>0.82450000000000001</v>
      </c>
      <c r="BY572" s="7">
        <v>0.83</v>
      </c>
      <c r="BZ572" s="7">
        <v>0.83540000000000003</v>
      </c>
      <c r="CA572" s="7">
        <v>0.84079999999999999</v>
      </c>
      <c r="CB572" s="7">
        <v>0.84619999999999995</v>
      </c>
      <c r="CC572" s="7">
        <v>0.85150000000000003</v>
      </c>
      <c r="CD572" s="7">
        <v>0.85680000000000001</v>
      </c>
      <c r="CE572" s="7">
        <v>0.86199999999999999</v>
      </c>
      <c r="CF572" s="7">
        <v>0.86719999999999997</v>
      </c>
      <c r="CG572" s="7">
        <v>0.87239999999999995</v>
      </c>
      <c r="CH572" s="7">
        <v>0.87760000000000005</v>
      </c>
      <c r="CI572" s="7">
        <v>0.88270000000000004</v>
      </c>
      <c r="CJ572" s="7">
        <v>0.88770000000000004</v>
      </c>
      <c r="CK572" s="7">
        <v>0.89280000000000004</v>
      </c>
      <c r="CL572" s="7">
        <v>0.89780000000000004</v>
      </c>
      <c r="CM572" s="7">
        <v>0.90280000000000005</v>
      </c>
      <c r="CN572" s="7">
        <v>0.90780000000000005</v>
      </c>
      <c r="CO572" s="7">
        <v>0.91279999999999994</v>
      </c>
      <c r="CP572" s="7">
        <v>0.91769999999999996</v>
      </c>
      <c r="CQ572" s="7">
        <v>0.92259999999999998</v>
      </c>
      <c r="CR572" s="7">
        <v>0.92749999999999999</v>
      </c>
      <c r="CS572" s="7">
        <v>0.93240000000000001</v>
      </c>
      <c r="CT572" s="7">
        <v>0.93720000000000003</v>
      </c>
      <c r="CU572" s="7">
        <v>0.94199999999999995</v>
      </c>
      <c r="CV572" s="7">
        <v>0.94689999999999996</v>
      </c>
      <c r="CW572" s="7">
        <v>0.95169999999999999</v>
      </c>
      <c r="CX572" s="7">
        <v>0.95650000000000002</v>
      </c>
      <c r="CY572" s="7">
        <v>0.96130000000000004</v>
      </c>
      <c r="CZ572" s="7">
        <v>0.96599999999999997</v>
      </c>
      <c r="DA572" s="7">
        <v>0.9708</v>
      </c>
      <c r="DB572" s="7">
        <v>0.97560000000000002</v>
      </c>
      <c r="DC572" s="7">
        <v>0.98029999999999995</v>
      </c>
      <c r="DD572" s="7">
        <v>0.98509999999999998</v>
      </c>
      <c r="DE572" s="7">
        <v>0.98980000000000001</v>
      </c>
      <c r="DF572" s="7">
        <v>0.99450000000000005</v>
      </c>
      <c r="DG572" s="7">
        <v>0.99929999999999997</v>
      </c>
      <c r="DH572" s="7">
        <v>1.0009999999999999</v>
      </c>
      <c r="DI572" s="7">
        <v>1.0009999999999999</v>
      </c>
      <c r="DJ572" s="7">
        <v>1.0009999999999999</v>
      </c>
      <c r="DK572" s="7">
        <v>1.0009999999999999</v>
      </c>
      <c r="DL572" s="7">
        <v>1.0009999999999999</v>
      </c>
      <c r="DM572" s="7">
        <v>1.0009999999999999</v>
      </c>
      <c r="DN572" s="7">
        <v>1.0009999999999999</v>
      </c>
      <c r="DO572" s="7">
        <v>1.0009999999999999</v>
      </c>
      <c r="DP572" s="7">
        <v>1.0009999999999999</v>
      </c>
      <c r="DQ572" s="7">
        <v>1.0009999999999999</v>
      </c>
      <c r="DR572" s="7">
        <v>1.0009999999999999</v>
      </c>
      <c r="DS572" s="7">
        <v>1.0009999999999999</v>
      </c>
      <c r="DT572" s="7">
        <v>1.0009999999999999</v>
      </c>
      <c r="DU572" s="7">
        <v>1.0009999999999999</v>
      </c>
      <c r="DV572" s="7">
        <v>1.0009999999999999</v>
      </c>
      <c r="DW572" s="7">
        <v>1.0009999999999999</v>
      </c>
      <c r="DX572" s="7">
        <v>1.0009999999999999</v>
      </c>
      <c r="DY572" s="7">
        <v>1.0009999999999999</v>
      </c>
      <c r="DZ572" s="7">
        <v>1.0009999999999999</v>
      </c>
      <c r="EA572" s="7">
        <v>1.0009999999999999</v>
      </c>
      <c r="EB572" s="7">
        <v>1.0009999999999999</v>
      </c>
      <c r="EC572" s="7">
        <v>1.0009999999999999</v>
      </c>
      <c r="ED572" s="7">
        <v>1.0009999999999999</v>
      </c>
      <c r="EE572" s="7">
        <v>1.0009999999999999</v>
      </c>
      <c r="EF572" s="7">
        <v>1.0009999999999999</v>
      </c>
      <c r="EG572" s="7">
        <v>1.0009999999999999</v>
      </c>
      <c r="EH572" s="7">
        <v>1.0009999999999999</v>
      </c>
      <c r="EI572" s="7">
        <v>1.0009999999999999</v>
      </c>
      <c r="EJ572" s="7">
        <v>1.0009999999999999</v>
      </c>
      <c r="EK572" s="7">
        <v>1.0009999999999999</v>
      </c>
      <c r="EL572" s="7">
        <v>1.0009999999999999</v>
      </c>
      <c r="EM572" s="7">
        <v>1.0009999999999999</v>
      </c>
      <c r="EN572" s="7">
        <v>1.0009999999999999</v>
      </c>
      <c r="EO572" s="7">
        <v>1.0009999999999999</v>
      </c>
      <c r="EP572" s="7">
        <v>1.0009999999999999</v>
      </c>
      <c r="EQ572" s="7">
        <v>1.0009999999999999</v>
      </c>
      <c r="ER572" s="7">
        <v>1.0009999999999999</v>
      </c>
      <c r="ES572" s="7">
        <v>1.0009999999999999</v>
      </c>
      <c r="ET572" s="7">
        <v>1.0009999999999999</v>
      </c>
      <c r="EU572" s="7">
        <v>1.0009999999999999</v>
      </c>
      <c r="EV572" s="7">
        <v>1.0009999999999999</v>
      </c>
      <c r="EW572" s="7">
        <v>1.0009999999999999</v>
      </c>
      <c r="EX572" s="7">
        <v>1.0009999999999999</v>
      </c>
      <c r="EY572" s="7">
        <v>1.0009999999999999</v>
      </c>
      <c r="EZ572" s="7">
        <v>1.0009999999999999</v>
      </c>
      <c r="FA572" s="7">
        <v>1.0009999999999999</v>
      </c>
      <c r="FB572" s="7">
        <v>1.0009999999999999</v>
      </c>
      <c r="FC572" s="7">
        <v>1.0009999999999999</v>
      </c>
      <c r="FE572" s="50">
        <f t="shared" ca="1" si="59"/>
        <v>1.0009999999999999</v>
      </c>
      <c r="FF572" s="50">
        <f t="shared" ca="1" si="60"/>
        <v>1.0009999999999999</v>
      </c>
      <c r="FG572" s="50">
        <f t="shared" ca="1" si="61"/>
        <v>1.0009999999999999</v>
      </c>
      <c r="FH572" s="50">
        <f t="shared" ca="1" si="62"/>
        <v>1.0009999999999999</v>
      </c>
      <c r="FI572" s="50"/>
      <c r="FK572" s="50">
        <f t="shared" ca="1" si="63"/>
        <v>1.0009999999999999</v>
      </c>
      <c r="FL572" s="50"/>
      <c r="FM572" s="50"/>
      <c r="FN572" s="50"/>
    </row>
    <row r="573" spans="49:170" hidden="1">
      <c r="AW573" s="112">
        <v>2.2389999999999999</v>
      </c>
      <c r="AX573" s="7">
        <v>0.66049999999999998</v>
      </c>
      <c r="AY573" s="7">
        <v>0.66749999999999998</v>
      </c>
      <c r="AZ573" s="7">
        <v>0.6744</v>
      </c>
      <c r="BA573" s="7">
        <v>0.68120000000000003</v>
      </c>
      <c r="BB573" s="7">
        <v>0.68789999999999996</v>
      </c>
      <c r="BC573" s="7">
        <v>0.6946</v>
      </c>
      <c r="BD573" s="7">
        <v>0.70120000000000005</v>
      </c>
      <c r="BE573" s="7">
        <v>0.7077</v>
      </c>
      <c r="BF573" s="7">
        <v>0.71419999999999995</v>
      </c>
      <c r="BG573" s="7">
        <v>0.72060000000000002</v>
      </c>
      <c r="BH573" s="7">
        <v>0.72689999999999999</v>
      </c>
      <c r="BI573" s="7">
        <v>0.73319999999999996</v>
      </c>
      <c r="BJ573" s="7">
        <v>0.73939999999999995</v>
      </c>
      <c r="BK573" s="7">
        <v>0.74560000000000004</v>
      </c>
      <c r="BL573" s="7">
        <v>0.75170000000000003</v>
      </c>
      <c r="BM573" s="7">
        <v>0.75770000000000004</v>
      </c>
      <c r="BN573" s="7">
        <v>0.76370000000000005</v>
      </c>
      <c r="BO573" s="7">
        <v>0.76959999999999995</v>
      </c>
      <c r="BP573" s="7">
        <v>0.77549999999999997</v>
      </c>
      <c r="BQ573" s="7">
        <v>0.78129999999999999</v>
      </c>
      <c r="BR573" s="7">
        <v>0.78710000000000002</v>
      </c>
      <c r="BS573" s="7">
        <v>0.79279999999999995</v>
      </c>
      <c r="BT573" s="7">
        <v>0.79849999999999999</v>
      </c>
      <c r="BU573" s="7">
        <v>0.80410000000000004</v>
      </c>
      <c r="BV573" s="7">
        <v>0.80969999999999998</v>
      </c>
      <c r="BW573" s="7">
        <v>0.81520000000000004</v>
      </c>
      <c r="BX573" s="7">
        <v>0.82069999999999999</v>
      </c>
      <c r="BY573" s="7">
        <v>0.82620000000000005</v>
      </c>
      <c r="BZ573" s="7">
        <v>0.83160000000000001</v>
      </c>
      <c r="CA573" s="7">
        <v>0.83699999999999997</v>
      </c>
      <c r="CB573" s="7">
        <v>0.84230000000000005</v>
      </c>
      <c r="CC573" s="7">
        <v>0.84760000000000002</v>
      </c>
      <c r="CD573" s="7">
        <v>0.8528</v>
      </c>
      <c r="CE573" s="7">
        <v>0.85809999999999997</v>
      </c>
      <c r="CF573" s="7">
        <v>0.86319999999999997</v>
      </c>
      <c r="CG573" s="7">
        <v>0.86839999999999995</v>
      </c>
      <c r="CH573" s="7">
        <v>0.87350000000000005</v>
      </c>
      <c r="CI573" s="7">
        <v>0.87860000000000005</v>
      </c>
      <c r="CJ573" s="7">
        <v>0.88370000000000004</v>
      </c>
      <c r="CK573" s="7">
        <v>0.88870000000000005</v>
      </c>
      <c r="CL573" s="7">
        <v>0.89370000000000005</v>
      </c>
      <c r="CM573" s="7">
        <v>0.89870000000000005</v>
      </c>
      <c r="CN573" s="7">
        <v>0.90359999999999996</v>
      </c>
      <c r="CO573" s="7">
        <v>0.90859999999999996</v>
      </c>
      <c r="CP573" s="7">
        <v>0.91349999999999998</v>
      </c>
      <c r="CQ573" s="7">
        <v>0.91830000000000001</v>
      </c>
      <c r="CR573" s="7">
        <v>0.92320000000000002</v>
      </c>
      <c r="CS573" s="7">
        <v>0.92810000000000004</v>
      </c>
      <c r="CT573" s="7">
        <v>0.93289999999999995</v>
      </c>
      <c r="CU573" s="7">
        <v>0.93769999999999998</v>
      </c>
      <c r="CV573" s="7">
        <v>0.9425</v>
      </c>
      <c r="CW573" s="7">
        <v>0.94730000000000003</v>
      </c>
      <c r="CX573" s="7">
        <v>0.95209999999999995</v>
      </c>
      <c r="CY573" s="7">
        <v>0.95679999999999998</v>
      </c>
      <c r="CZ573" s="7">
        <v>0.96160000000000001</v>
      </c>
      <c r="DA573" s="7">
        <v>0.96630000000000005</v>
      </c>
      <c r="DB573" s="7">
        <v>0.97109999999999996</v>
      </c>
      <c r="DC573" s="7">
        <v>0.9758</v>
      </c>
      <c r="DD573" s="7">
        <v>0.98050000000000004</v>
      </c>
      <c r="DE573" s="7">
        <v>0.98519999999999996</v>
      </c>
      <c r="DF573" s="7">
        <v>0.99</v>
      </c>
      <c r="DG573" s="7">
        <v>0.99470000000000003</v>
      </c>
      <c r="DH573" s="7">
        <v>0.99939999999999996</v>
      </c>
      <c r="DI573" s="7">
        <v>1.0009999999999999</v>
      </c>
      <c r="DJ573" s="7">
        <v>1.0009999999999999</v>
      </c>
      <c r="DK573" s="7">
        <v>1.0009999999999999</v>
      </c>
      <c r="DL573" s="7">
        <v>1.0009999999999999</v>
      </c>
      <c r="DM573" s="7">
        <v>1.0009999999999999</v>
      </c>
      <c r="DN573" s="7">
        <v>1.0009999999999999</v>
      </c>
      <c r="DO573" s="7">
        <v>1.0009999999999999</v>
      </c>
      <c r="DP573" s="7">
        <v>1.0009999999999999</v>
      </c>
      <c r="DQ573" s="7">
        <v>1.0009999999999999</v>
      </c>
      <c r="DR573" s="7">
        <v>1.0009999999999999</v>
      </c>
      <c r="DS573" s="7">
        <v>1.0009999999999999</v>
      </c>
      <c r="DT573" s="7">
        <v>1.0009999999999999</v>
      </c>
      <c r="DU573" s="7">
        <v>1.0009999999999999</v>
      </c>
      <c r="DV573" s="7">
        <v>1.0009999999999999</v>
      </c>
      <c r="DW573" s="7">
        <v>1.0009999999999999</v>
      </c>
      <c r="DX573" s="7">
        <v>1.0009999999999999</v>
      </c>
      <c r="DY573" s="7">
        <v>1.0009999999999999</v>
      </c>
      <c r="DZ573" s="7">
        <v>1.0009999999999999</v>
      </c>
      <c r="EA573" s="7">
        <v>1.0009999999999999</v>
      </c>
      <c r="EB573" s="7">
        <v>1.0009999999999999</v>
      </c>
      <c r="EC573" s="7">
        <v>1.0009999999999999</v>
      </c>
      <c r="ED573" s="7">
        <v>1.0009999999999999</v>
      </c>
      <c r="EE573" s="7">
        <v>1.0009999999999999</v>
      </c>
      <c r="EF573" s="7">
        <v>1.0009999999999999</v>
      </c>
      <c r="EG573" s="7">
        <v>1.0009999999999999</v>
      </c>
      <c r="EH573" s="7">
        <v>1.0009999999999999</v>
      </c>
      <c r="EI573" s="7">
        <v>1.0009999999999999</v>
      </c>
      <c r="EJ573" s="7">
        <v>1.0009999999999999</v>
      </c>
      <c r="EK573" s="7">
        <v>1.0009999999999999</v>
      </c>
      <c r="EL573" s="7">
        <v>1.0009999999999999</v>
      </c>
      <c r="EM573" s="7">
        <v>1.0009999999999999</v>
      </c>
      <c r="EN573" s="7">
        <v>1.0009999999999999</v>
      </c>
      <c r="EO573" s="7">
        <v>1.0009999999999999</v>
      </c>
      <c r="EP573" s="7">
        <v>1.0009999999999999</v>
      </c>
      <c r="EQ573" s="7">
        <v>1.0009999999999999</v>
      </c>
      <c r="ER573" s="7">
        <v>1.0009999999999999</v>
      </c>
      <c r="ES573" s="7">
        <v>1.0009999999999999</v>
      </c>
      <c r="ET573" s="7">
        <v>1.0009999999999999</v>
      </c>
      <c r="EU573" s="7">
        <v>1.0009999999999999</v>
      </c>
      <c r="EV573" s="7">
        <v>1.0009999999999999</v>
      </c>
      <c r="EW573" s="7">
        <v>1.0009999999999999</v>
      </c>
      <c r="EX573" s="7">
        <v>1.0009999999999999</v>
      </c>
      <c r="EY573" s="7">
        <v>1.0009999999999999</v>
      </c>
      <c r="EZ573" s="7">
        <v>1.0009999999999999</v>
      </c>
      <c r="FA573" s="7">
        <v>1.0009999999999999</v>
      </c>
      <c r="FB573" s="7">
        <v>1.0009999999999999</v>
      </c>
      <c r="FC573" s="7">
        <v>1.0009999999999999</v>
      </c>
      <c r="FE573" s="50">
        <f t="shared" ca="1" si="59"/>
        <v>1.0009999999999999</v>
      </c>
      <c r="FF573" s="50">
        <f t="shared" ca="1" si="60"/>
        <v>1.0009999999999999</v>
      </c>
      <c r="FG573" s="50">
        <f t="shared" ca="1" si="61"/>
        <v>1.0009999999999999</v>
      </c>
      <c r="FH573" s="50">
        <f t="shared" ca="1" si="62"/>
        <v>1.0009999999999999</v>
      </c>
      <c r="FI573" s="50"/>
      <c r="FK573" s="50">
        <f t="shared" ca="1" si="63"/>
        <v>1.0009999999999999</v>
      </c>
      <c r="FL573" s="50"/>
      <c r="FM573" s="50"/>
      <c r="FN573" s="50"/>
    </row>
    <row r="574" spans="49:170" hidden="1">
      <c r="AW574" s="112">
        <v>2.399</v>
      </c>
      <c r="AX574" s="7">
        <v>0.65749999999999997</v>
      </c>
      <c r="AY574" s="7">
        <v>0.66449999999999998</v>
      </c>
      <c r="AZ574" s="7">
        <v>0.67130000000000001</v>
      </c>
      <c r="BA574" s="7">
        <v>0.67810000000000004</v>
      </c>
      <c r="BB574" s="7">
        <v>0.68479999999999996</v>
      </c>
      <c r="BC574" s="7">
        <v>0.69140000000000001</v>
      </c>
      <c r="BD574" s="7">
        <v>0.69799999999999995</v>
      </c>
      <c r="BE574" s="7">
        <v>0.70450000000000002</v>
      </c>
      <c r="BF574" s="7">
        <v>0.71089999999999998</v>
      </c>
      <c r="BG574" s="7">
        <v>0.71730000000000005</v>
      </c>
      <c r="BH574" s="7">
        <v>0.72360000000000002</v>
      </c>
      <c r="BI574" s="7">
        <v>0.72989999999999999</v>
      </c>
      <c r="BJ574" s="7">
        <v>0.73599999999999999</v>
      </c>
      <c r="BK574" s="7">
        <v>0.74219999999999997</v>
      </c>
      <c r="BL574" s="7">
        <v>0.74819999999999998</v>
      </c>
      <c r="BM574" s="7">
        <v>0.75429999999999997</v>
      </c>
      <c r="BN574" s="7">
        <v>0.76019999999999999</v>
      </c>
      <c r="BO574" s="7">
        <v>0.7661</v>
      </c>
      <c r="BP574" s="7">
        <v>0.77200000000000002</v>
      </c>
      <c r="BQ574" s="7">
        <v>0.77780000000000005</v>
      </c>
      <c r="BR574" s="7">
        <v>0.78349999999999997</v>
      </c>
      <c r="BS574" s="7">
        <v>0.78920000000000001</v>
      </c>
      <c r="BT574" s="7">
        <v>0.79490000000000005</v>
      </c>
      <c r="BU574" s="7">
        <v>0.80049999999999999</v>
      </c>
      <c r="BV574" s="7">
        <v>0.80600000000000005</v>
      </c>
      <c r="BW574" s="7">
        <v>0.8115</v>
      </c>
      <c r="BX574" s="7">
        <v>0.81699999999999995</v>
      </c>
      <c r="BY574" s="7">
        <v>0.82240000000000002</v>
      </c>
      <c r="BZ574" s="7">
        <v>0.82779999999999998</v>
      </c>
      <c r="CA574" s="7">
        <v>0.83320000000000005</v>
      </c>
      <c r="CB574" s="7">
        <v>0.83850000000000002</v>
      </c>
      <c r="CC574" s="7">
        <v>0.84370000000000001</v>
      </c>
      <c r="CD574" s="7">
        <v>0.84899999999999998</v>
      </c>
      <c r="CE574" s="7">
        <v>0.85419999999999996</v>
      </c>
      <c r="CF574" s="7">
        <v>0.85929999999999995</v>
      </c>
      <c r="CG574" s="7">
        <v>0.86450000000000005</v>
      </c>
      <c r="CH574" s="7">
        <v>0.86960000000000004</v>
      </c>
      <c r="CI574" s="7">
        <v>0.87460000000000004</v>
      </c>
      <c r="CJ574" s="7">
        <v>0.87970000000000004</v>
      </c>
      <c r="CK574" s="7">
        <v>0.88470000000000004</v>
      </c>
      <c r="CL574" s="7">
        <v>0.88959999999999995</v>
      </c>
      <c r="CM574" s="7">
        <v>0.89459999999999995</v>
      </c>
      <c r="CN574" s="7">
        <v>0.89949999999999997</v>
      </c>
      <c r="CO574" s="7">
        <v>0.90439999999999998</v>
      </c>
      <c r="CP574" s="7">
        <v>0.9093</v>
      </c>
      <c r="CQ574" s="7">
        <v>0.91420000000000001</v>
      </c>
      <c r="CR574" s="7">
        <v>0.91900000000000004</v>
      </c>
      <c r="CS574" s="7">
        <v>0.92390000000000005</v>
      </c>
      <c r="CT574" s="7">
        <v>0.92869999999999997</v>
      </c>
      <c r="CU574" s="7">
        <v>0.9335</v>
      </c>
      <c r="CV574" s="7">
        <v>0.93820000000000003</v>
      </c>
      <c r="CW574" s="7">
        <v>0.94299999999999995</v>
      </c>
      <c r="CX574" s="7">
        <v>0.94779999999999998</v>
      </c>
      <c r="CY574" s="7">
        <v>0.95250000000000001</v>
      </c>
      <c r="CZ574" s="7">
        <v>0.95720000000000005</v>
      </c>
      <c r="DA574" s="7">
        <v>0.96189999999999998</v>
      </c>
      <c r="DB574" s="7">
        <v>0.9667</v>
      </c>
      <c r="DC574" s="7">
        <v>0.97140000000000004</v>
      </c>
      <c r="DD574" s="7">
        <v>0.97609999999999997</v>
      </c>
      <c r="DE574" s="7">
        <v>0.98080000000000001</v>
      </c>
      <c r="DF574" s="7">
        <v>0.98550000000000004</v>
      </c>
      <c r="DG574" s="7">
        <v>0.99019999999999997</v>
      </c>
      <c r="DH574" s="7">
        <v>0.99480000000000002</v>
      </c>
      <c r="DI574" s="7">
        <v>0.99950000000000006</v>
      </c>
      <c r="DJ574" s="7">
        <v>1.0009999999999999</v>
      </c>
      <c r="DK574" s="7">
        <v>1.0009999999999999</v>
      </c>
      <c r="DL574" s="7">
        <v>1.0009999999999999</v>
      </c>
      <c r="DM574" s="7">
        <v>1.0009999999999999</v>
      </c>
      <c r="DN574" s="7">
        <v>1.0009999999999999</v>
      </c>
      <c r="DO574" s="7">
        <v>1.0009999999999999</v>
      </c>
      <c r="DP574" s="7">
        <v>1.0009999999999999</v>
      </c>
      <c r="DQ574" s="7">
        <v>1.0009999999999999</v>
      </c>
      <c r="DR574" s="7">
        <v>1.0009999999999999</v>
      </c>
      <c r="DS574" s="7">
        <v>1.0009999999999999</v>
      </c>
      <c r="DT574" s="7">
        <v>1.0009999999999999</v>
      </c>
      <c r="DU574" s="7">
        <v>1.0009999999999999</v>
      </c>
      <c r="DV574" s="7">
        <v>1.0009999999999999</v>
      </c>
      <c r="DW574" s="7">
        <v>1.0009999999999999</v>
      </c>
      <c r="DX574" s="7">
        <v>1.0009999999999999</v>
      </c>
      <c r="DY574" s="7">
        <v>1.0009999999999999</v>
      </c>
      <c r="DZ574" s="7">
        <v>1.0009999999999999</v>
      </c>
      <c r="EA574" s="7">
        <v>1.0009999999999999</v>
      </c>
      <c r="EB574" s="7">
        <v>1.0009999999999999</v>
      </c>
      <c r="EC574" s="7">
        <v>1.0009999999999999</v>
      </c>
      <c r="ED574" s="7">
        <v>1.0009999999999999</v>
      </c>
      <c r="EE574" s="7">
        <v>1.0009999999999999</v>
      </c>
      <c r="EF574" s="7">
        <v>1.0009999999999999</v>
      </c>
      <c r="EG574" s="7">
        <v>1.0009999999999999</v>
      </c>
      <c r="EH574" s="7">
        <v>1.0009999999999999</v>
      </c>
      <c r="EI574" s="7">
        <v>1.0009999999999999</v>
      </c>
      <c r="EJ574" s="7">
        <v>1.0009999999999999</v>
      </c>
      <c r="EK574" s="7">
        <v>1.0009999999999999</v>
      </c>
      <c r="EL574" s="7">
        <v>1.0009999999999999</v>
      </c>
      <c r="EM574" s="7">
        <v>1.0009999999999999</v>
      </c>
      <c r="EN574" s="7">
        <v>1.0009999999999999</v>
      </c>
      <c r="EO574" s="7">
        <v>1.0009999999999999</v>
      </c>
      <c r="EP574" s="7">
        <v>1.0009999999999999</v>
      </c>
      <c r="EQ574" s="7">
        <v>1.0009999999999999</v>
      </c>
      <c r="ER574" s="7">
        <v>1.0009999999999999</v>
      </c>
      <c r="ES574" s="7">
        <v>1.0009999999999999</v>
      </c>
      <c r="ET574" s="7">
        <v>1.0009999999999999</v>
      </c>
      <c r="EU574" s="7">
        <v>1.0009999999999999</v>
      </c>
      <c r="EV574" s="7">
        <v>1.0009999999999999</v>
      </c>
      <c r="EW574" s="7">
        <v>1.0009999999999999</v>
      </c>
      <c r="EX574" s="7">
        <v>1.0009999999999999</v>
      </c>
      <c r="EY574" s="7">
        <v>1.0009999999999999</v>
      </c>
      <c r="EZ574" s="7">
        <v>1.0009999999999999</v>
      </c>
      <c r="FA574" s="7">
        <v>1.0009999999999999</v>
      </c>
      <c r="FB574" s="7">
        <v>1.0009999999999999</v>
      </c>
      <c r="FC574" s="7">
        <v>1.0009999999999999</v>
      </c>
      <c r="FE574" s="50">
        <f t="shared" ca="1" si="59"/>
        <v>1.0009999999999999</v>
      </c>
      <c r="FF574" s="50">
        <f t="shared" ca="1" si="60"/>
        <v>1.0009999999999999</v>
      </c>
      <c r="FG574" s="50">
        <f t="shared" ca="1" si="61"/>
        <v>1.0009999999999999</v>
      </c>
      <c r="FH574" s="50">
        <f t="shared" ca="1" si="62"/>
        <v>1.0009999999999999</v>
      </c>
      <c r="FI574" s="50"/>
      <c r="FK574" s="50">
        <f t="shared" ca="1" si="63"/>
        <v>1.0009999999999999</v>
      </c>
      <c r="FL574" s="50"/>
      <c r="FM574" s="50"/>
      <c r="FN574" s="50"/>
    </row>
    <row r="575" spans="49:170" hidden="1">
      <c r="AW575" s="112">
        <v>2.57</v>
      </c>
      <c r="AX575" s="7">
        <v>0.65459999999999996</v>
      </c>
      <c r="AY575" s="7">
        <v>0.66149999999999998</v>
      </c>
      <c r="AZ575" s="7">
        <v>0.66830000000000001</v>
      </c>
      <c r="BA575" s="7">
        <v>0.67500000000000004</v>
      </c>
      <c r="BB575" s="7">
        <v>0.68169999999999997</v>
      </c>
      <c r="BC575" s="7">
        <v>0.68830000000000002</v>
      </c>
      <c r="BD575" s="7">
        <v>0.69489999999999996</v>
      </c>
      <c r="BE575" s="7">
        <v>0.70130000000000003</v>
      </c>
      <c r="BF575" s="7">
        <v>0.7077</v>
      </c>
      <c r="BG575" s="7">
        <v>0.71409999999999996</v>
      </c>
      <c r="BH575" s="7">
        <v>0.72040000000000004</v>
      </c>
      <c r="BI575" s="7">
        <v>0.72660000000000002</v>
      </c>
      <c r="BJ575" s="7">
        <v>0.73270000000000002</v>
      </c>
      <c r="BK575" s="7">
        <v>0.73880000000000001</v>
      </c>
      <c r="BL575" s="7">
        <v>0.74490000000000001</v>
      </c>
      <c r="BM575" s="7">
        <v>0.75090000000000001</v>
      </c>
      <c r="BN575" s="7">
        <v>0.75680000000000003</v>
      </c>
      <c r="BO575" s="7">
        <v>0.76270000000000004</v>
      </c>
      <c r="BP575" s="7">
        <v>0.76849999999999996</v>
      </c>
      <c r="BQ575" s="7">
        <v>0.77429999999999999</v>
      </c>
      <c r="BR575" s="7">
        <v>0.78</v>
      </c>
      <c r="BS575" s="7">
        <v>0.78569999999999995</v>
      </c>
      <c r="BT575" s="7">
        <v>0.7913</v>
      </c>
      <c r="BU575" s="7">
        <v>0.79690000000000005</v>
      </c>
      <c r="BV575" s="7">
        <v>0.8024</v>
      </c>
      <c r="BW575" s="7">
        <v>0.80789999999999995</v>
      </c>
      <c r="BX575" s="7">
        <v>0.81340000000000001</v>
      </c>
      <c r="BY575" s="7">
        <v>0.81879999999999997</v>
      </c>
      <c r="BZ575" s="7">
        <v>0.82410000000000005</v>
      </c>
      <c r="CA575" s="7">
        <v>0.82940000000000003</v>
      </c>
      <c r="CB575" s="7">
        <v>0.8347</v>
      </c>
      <c r="CC575" s="7">
        <v>0.84</v>
      </c>
      <c r="CD575" s="7">
        <v>0.84519999999999995</v>
      </c>
      <c r="CE575" s="7">
        <v>0.85029999999999994</v>
      </c>
      <c r="CF575" s="7">
        <v>0.85550000000000004</v>
      </c>
      <c r="CG575" s="7">
        <v>0.86060000000000003</v>
      </c>
      <c r="CH575" s="7">
        <v>0.86570000000000003</v>
      </c>
      <c r="CI575" s="7">
        <v>0.87070000000000003</v>
      </c>
      <c r="CJ575" s="7">
        <v>0.87570000000000003</v>
      </c>
      <c r="CK575" s="7">
        <v>0.88070000000000004</v>
      </c>
      <c r="CL575" s="7">
        <v>0.88570000000000004</v>
      </c>
      <c r="CM575" s="7">
        <v>0.89059999999999995</v>
      </c>
      <c r="CN575" s="7">
        <v>0.89549999999999996</v>
      </c>
      <c r="CO575" s="7">
        <v>0.90039999999999998</v>
      </c>
      <c r="CP575" s="7">
        <v>0.9052</v>
      </c>
      <c r="CQ575" s="7">
        <v>0.91010000000000002</v>
      </c>
      <c r="CR575" s="7">
        <v>0.91490000000000005</v>
      </c>
      <c r="CS575" s="7">
        <v>0.91969999999999996</v>
      </c>
      <c r="CT575" s="7">
        <v>0.92449999999999999</v>
      </c>
      <c r="CU575" s="7">
        <v>0.92930000000000001</v>
      </c>
      <c r="CV575" s="7">
        <v>0.93400000000000005</v>
      </c>
      <c r="CW575" s="7">
        <v>0.93879999999999997</v>
      </c>
      <c r="CX575" s="7">
        <v>0.94350000000000001</v>
      </c>
      <c r="CY575" s="7">
        <v>0.94820000000000004</v>
      </c>
      <c r="CZ575" s="7">
        <v>0.95289999999999997</v>
      </c>
      <c r="DA575" s="7">
        <v>0.95760000000000001</v>
      </c>
      <c r="DB575" s="7">
        <v>0.96230000000000004</v>
      </c>
      <c r="DC575" s="7">
        <v>0.96699999999999997</v>
      </c>
      <c r="DD575" s="7">
        <v>0.97170000000000001</v>
      </c>
      <c r="DE575" s="7">
        <v>0.97640000000000005</v>
      </c>
      <c r="DF575" s="7">
        <v>0.98099999999999998</v>
      </c>
      <c r="DG575" s="7">
        <v>0.98570000000000002</v>
      </c>
      <c r="DH575" s="7">
        <v>0.99039999999999995</v>
      </c>
      <c r="DI575" s="7">
        <v>0.995</v>
      </c>
      <c r="DJ575" s="7">
        <v>0.99970000000000003</v>
      </c>
      <c r="DK575" s="7">
        <v>1.0009999999999999</v>
      </c>
      <c r="DL575" s="7">
        <v>1.0009999999999999</v>
      </c>
      <c r="DM575" s="7">
        <v>1.0009999999999999</v>
      </c>
      <c r="DN575" s="7">
        <v>1.0009999999999999</v>
      </c>
      <c r="DO575" s="7">
        <v>1.0009999999999999</v>
      </c>
      <c r="DP575" s="7">
        <v>1.0009999999999999</v>
      </c>
      <c r="DQ575" s="7">
        <v>1.0009999999999999</v>
      </c>
      <c r="DR575" s="7">
        <v>1.0009999999999999</v>
      </c>
      <c r="DS575" s="7">
        <v>1.0009999999999999</v>
      </c>
      <c r="DT575" s="7">
        <v>1.0009999999999999</v>
      </c>
      <c r="DU575" s="7">
        <v>1.0009999999999999</v>
      </c>
      <c r="DV575" s="7">
        <v>1.0009999999999999</v>
      </c>
      <c r="DW575" s="7">
        <v>1.0009999999999999</v>
      </c>
      <c r="DX575" s="7">
        <v>1.0009999999999999</v>
      </c>
      <c r="DY575" s="7">
        <v>1.0009999999999999</v>
      </c>
      <c r="DZ575" s="7">
        <v>1.0009999999999999</v>
      </c>
      <c r="EA575" s="7">
        <v>1.0009999999999999</v>
      </c>
      <c r="EB575" s="7">
        <v>1.0009999999999999</v>
      </c>
      <c r="EC575" s="7">
        <v>1.0009999999999999</v>
      </c>
      <c r="ED575" s="7">
        <v>1.0009999999999999</v>
      </c>
      <c r="EE575" s="7">
        <v>1.0009999999999999</v>
      </c>
      <c r="EF575" s="7">
        <v>1.0009999999999999</v>
      </c>
      <c r="EG575" s="7">
        <v>1.0009999999999999</v>
      </c>
      <c r="EH575" s="7">
        <v>1.0009999999999999</v>
      </c>
      <c r="EI575" s="7">
        <v>1.0009999999999999</v>
      </c>
      <c r="EJ575" s="7">
        <v>1.0009999999999999</v>
      </c>
      <c r="EK575" s="7">
        <v>1.0009999999999999</v>
      </c>
      <c r="EL575" s="7">
        <v>1.0009999999999999</v>
      </c>
      <c r="EM575" s="7">
        <v>1.0009999999999999</v>
      </c>
      <c r="EN575" s="7">
        <v>1.0009999999999999</v>
      </c>
      <c r="EO575" s="7">
        <v>1.0009999999999999</v>
      </c>
      <c r="EP575" s="7">
        <v>1.0009999999999999</v>
      </c>
      <c r="EQ575" s="7">
        <v>1.0009999999999999</v>
      </c>
      <c r="ER575" s="7">
        <v>1.0009999999999999</v>
      </c>
      <c r="ES575" s="7">
        <v>1.0009999999999999</v>
      </c>
      <c r="ET575" s="7">
        <v>1.0009999999999999</v>
      </c>
      <c r="EU575" s="7">
        <v>1.0009999999999999</v>
      </c>
      <c r="EV575" s="7">
        <v>1.0009999999999999</v>
      </c>
      <c r="EW575" s="7">
        <v>1.0009999999999999</v>
      </c>
      <c r="EX575" s="7">
        <v>1.0009999999999999</v>
      </c>
      <c r="EY575" s="7">
        <v>1.0009999999999999</v>
      </c>
      <c r="EZ575" s="7">
        <v>1.0009999999999999</v>
      </c>
      <c r="FA575" s="7">
        <v>1.0009999999999999</v>
      </c>
      <c r="FB575" s="7">
        <v>1.0009999999999999</v>
      </c>
      <c r="FC575" s="7">
        <v>1.0009999999999999</v>
      </c>
      <c r="FE575" s="50">
        <f t="shared" ca="1" si="59"/>
        <v>1.0009999999999999</v>
      </c>
      <c r="FF575" s="50">
        <f t="shared" ca="1" si="60"/>
        <v>1.0009999999999999</v>
      </c>
      <c r="FG575" s="50">
        <f t="shared" ca="1" si="61"/>
        <v>1.0009999999999999</v>
      </c>
      <c r="FH575" s="50">
        <f t="shared" ca="1" si="62"/>
        <v>1.0009999999999999</v>
      </c>
      <c r="FI575" s="50"/>
      <c r="FK575" s="50">
        <f t="shared" ca="1" si="63"/>
        <v>1.0009999999999999</v>
      </c>
      <c r="FL575" s="50"/>
      <c r="FM575" s="50"/>
      <c r="FN575" s="50"/>
    </row>
    <row r="576" spans="49:170" hidden="1">
      <c r="AW576" s="112">
        <v>2.754</v>
      </c>
      <c r="AX576" s="7">
        <v>0.65169999999999995</v>
      </c>
      <c r="AY576" s="7">
        <v>0.65859999999999996</v>
      </c>
      <c r="AZ576" s="7">
        <v>0.6653</v>
      </c>
      <c r="BA576" s="7">
        <v>0.67210000000000003</v>
      </c>
      <c r="BB576" s="7">
        <v>0.67869999999999997</v>
      </c>
      <c r="BC576" s="7">
        <v>0.68530000000000002</v>
      </c>
      <c r="BD576" s="7">
        <v>0.69179999999999997</v>
      </c>
      <c r="BE576" s="7">
        <v>0.69820000000000004</v>
      </c>
      <c r="BF576" s="7">
        <v>0.7046</v>
      </c>
      <c r="BG576" s="7">
        <v>0.71089999999999998</v>
      </c>
      <c r="BH576" s="7">
        <v>0.71719999999999995</v>
      </c>
      <c r="BI576" s="7">
        <v>0.72340000000000004</v>
      </c>
      <c r="BJ576" s="7">
        <v>0.72950000000000004</v>
      </c>
      <c r="BK576" s="7">
        <v>0.73560000000000003</v>
      </c>
      <c r="BL576" s="7">
        <v>0.74160000000000004</v>
      </c>
      <c r="BM576" s="7">
        <v>0.74760000000000004</v>
      </c>
      <c r="BN576" s="7">
        <v>0.75349999999999995</v>
      </c>
      <c r="BO576" s="7">
        <v>0.75929999999999997</v>
      </c>
      <c r="BP576" s="7">
        <v>0.7651</v>
      </c>
      <c r="BQ576" s="7">
        <v>0.77090000000000003</v>
      </c>
      <c r="BR576" s="7">
        <v>0.77659999999999996</v>
      </c>
      <c r="BS576" s="7">
        <v>0.78220000000000001</v>
      </c>
      <c r="BT576" s="7">
        <v>0.78779999999999994</v>
      </c>
      <c r="BU576" s="7">
        <v>0.79339999999999999</v>
      </c>
      <c r="BV576" s="7">
        <v>0.79890000000000005</v>
      </c>
      <c r="BW576" s="7">
        <v>0.80430000000000001</v>
      </c>
      <c r="BX576" s="7">
        <v>0.80979999999999996</v>
      </c>
      <c r="BY576" s="7">
        <v>0.81510000000000005</v>
      </c>
      <c r="BZ576" s="7">
        <v>0.82050000000000001</v>
      </c>
      <c r="CA576" s="7">
        <v>0.82579999999999998</v>
      </c>
      <c r="CB576" s="7">
        <v>0.83099999999999996</v>
      </c>
      <c r="CC576" s="7">
        <v>0.83630000000000004</v>
      </c>
      <c r="CD576" s="7">
        <v>0.84140000000000004</v>
      </c>
      <c r="CE576" s="7">
        <v>0.84660000000000002</v>
      </c>
      <c r="CF576" s="7">
        <v>0.85170000000000001</v>
      </c>
      <c r="CG576" s="7">
        <v>0.85680000000000001</v>
      </c>
      <c r="CH576" s="7">
        <v>0.86180000000000001</v>
      </c>
      <c r="CI576" s="7">
        <v>0.8669</v>
      </c>
      <c r="CJ576" s="7">
        <v>0.87180000000000002</v>
      </c>
      <c r="CK576" s="7">
        <v>0.87680000000000002</v>
      </c>
      <c r="CL576" s="7">
        <v>0.88170000000000004</v>
      </c>
      <c r="CM576" s="7">
        <v>0.88670000000000004</v>
      </c>
      <c r="CN576" s="7">
        <v>0.89149999999999996</v>
      </c>
      <c r="CO576" s="7">
        <v>0.89639999999999997</v>
      </c>
      <c r="CP576" s="7">
        <v>0.9012</v>
      </c>
      <c r="CQ576" s="7">
        <v>0.90610000000000002</v>
      </c>
      <c r="CR576" s="7">
        <v>0.91090000000000004</v>
      </c>
      <c r="CS576" s="7">
        <v>0.91569999999999996</v>
      </c>
      <c r="CT576" s="7">
        <v>0.9204</v>
      </c>
      <c r="CU576" s="7">
        <v>0.92520000000000002</v>
      </c>
      <c r="CV576" s="7">
        <v>0.92989999999999995</v>
      </c>
      <c r="CW576" s="7">
        <v>0.93459999999999999</v>
      </c>
      <c r="CX576" s="7">
        <v>0.93930000000000002</v>
      </c>
      <c r="CY576" s="7">
        <v>0.94399999999999995</v>
      </c>
      <c r="CZ576" s="7">
        <v>0.94869999999999999</v>
      </c>
      <c r="DA576" s="7">
        <v>0.95340000000000003</v>
      </c>
      <c r="DB576" s="7">
        <v>0.95809999999999995</v>
      </c>
      <c r="DC576" s="7">
        <v>0.9627</v>
      </c>
      <c r="DD576" s="7">
        <v>0.96740000000000004</v>
      </c>
      <c r="DE576" s="7">
        <v>0.97209999999999996</v>
      </c>
      <c r="DF576" s="7">
        <v>0.97670000000000001</v>
      </c>
      <c r="DG576" s="7">
        <v>0.98140000000000005</v>
      </c>
      <c r="DH576" s="7">
        <v>0.98599999999999999</v>
      </c>
      <c r="DI576" s="7">
        <v>0.99070000000000003</v>
      </c>
      <c r="DJ576" s="7">
        <v>0.99529999999999996</v>
      </c>
      <c r="DK576" s="7">
        <v>0.99990000000000001</v>
      </c>
      <c r="DL576" s="7">
        <v>1.0009999999999999</v>
      </c>
      <c r="DM576" s="7">
        <v>1.0009999999999999</v>
      </c>
      <c r="DN576" s="7">
        <v>1.0009999999999999</v>
      </c>
      <c r="DO576" s="7">
        <v>1.0009999999999999</v>
      </c>
      <c r="DP576" s="7">
        <v>1.0009999999999999</v>
      </c>
      <c r="DQ576" s="7">
        <v>1.0009999999999999</v>
      </c>
      <c r="DR576" s="7">
        <v>1.0009999999999999</v>
      </c>
      <c r="DS576" s="7">
        <v>1.0009999999999999</v>
      </c>
      <c r="DT576" s="7">
        <v>1.0009999999999999</v>
      </c>
      <c r="DU576" s="7">
        <v>1.0009999999999999</v>
      </c>
      <c r="DV576" s="7">
        <v>1.0009999999999999</v>
      </c>
      <c r="DW576" s="7">
        <v>1.0009999999999999</v>
      </c>
      <c r="DX576" s="7">
        <v>1.0009999999999999</v>
      </c>
      <c r="DY576" s="7">
        <v>1.0009999999999999</v>
      </c>
      <c r="DZ576" s="7">
        <v>1.0009999999999999</v>
      </c>
      <c r="EA576" s="7">
        <v>1.0009999999999999</v>
      </c>
      <c r="EB576" s="7">
        <v>1.0009999999999999</v>
      </c>
      <c r="EC576" s="7">
        <v>1.0009999999999999</v>
      </c>
      <c r="ED576" s="7">
        <v>1.0009999999999999</v>
      </c>
      <c r="EE576" s="7">
        <v>1.0009999999999999</v>
      </c>
      <c r="EF576" s="7">
        <v>1.0009999999999999</v>
      </c>
      <c r="EG576" s="7">
        <v>1.0009999999999999</v>
      </c>
      <c r="EH576" s="7">
        <v>1.0009999999999999</v>
      </c>
      <c r="EI576" s="7">
        <v>1.0009999999999999</v>
      </c>
      <c r="EJ576" s="7">
        <v>1.0009999999999999</v>
      </c>
      <c r="EK576" s="7">
        <v>1.0009999999999999</v>
      </c>
      <c r="EL576" s="7">
        <v>1.0009999999999999</v>
      </c>
      <c r="EM576" s="7">
        <v>1.0009999999999999</v>
      </c>
      <c r="EN576" s="7">
        <v>1.0009999999999999</v>
      </c>
      <c r="EO576" s="7">
        <v>1.0009999999999999</v>
      </c>
      <c r="EP576" s="7">
        <v>1.0009999999999999</v>
      </c>
      <c r="EQ576" s="7">
        <v>1.0009999999999999</v>
      </c>
      <c r="ER576" s="7">
        <v>1.0009999999999999</v>
      </c>
      <c r="ES576" s="7">
        <v>1.0009999999999999</v>
      </c>
      <c r="ET576" s="7">
        <v>1.0009999999999999</v>
      </c>
      <c r="EU576" s="7">
        <v>1.0009999999999999</v>
      </c>
      <c r="EV576" s="7">
        <v>1.0009999999999999</v>
      </c>
      <c r="EW576" s="7">
        <v>1.0009999999999999</v>
      </c>
      <c r="EX576" s="7">
        <v>1.0009999999999999</v>
      </c>
      <c r="EY576" s="7">
        <v>1.0009999999999999</v>
      </c>
      <c r="EZ576" s="7">
        <v>1.0009999999999999</v>
      </c>
      <c r="FA576" s="7">
        <v>1.0009999999999999</v>
      </c>
      <c r="FB576" s="7">
        <v>1.0009999999999999</v>
      </c>
      <c r="FC576" s="7">
        <v>1.0009999999999999</v>
      </c>
      <c r="FE576" s="50">
        <f t="shared" ca="1" si="59"/>
        <v>1.0009999999999999</v>
      </c>
      <c r="FF576" s="50">
        <f t="shared" ca="1" si="60"/>
        <v>1.0009999999999999</v>
      </c>
      <c r="FG576" s="50">
        <f t="shared" ca="1" si="61"/>
        <v>1.0009999999999999</v>
      </c>
      <c r="FH576" s="50">
        <f t="shared" ca="1" si="62"/>
        <v>1.0009999999999999</v>
      </c>
      <c r="FI576" s="50"/>
      <c r="FK576" s="50">
        <f t="shared" ca="1" si="63"/>
        <v>1.0009999999999999</v>
      </c>
      <c r="FL576" s="50"/>
      <c r="FM576" s="50"/>
      <c r="FN576" s="50"/>
    </row>
    <row r="577" spans="49:170" hidden="1">
      <c r="AW577" s="112">
        <v>2.9510000000000001</v>
      </c>
      <c r="AX577" s="7">
        <v>0.64890000000000003</v>
      </c>
      <c r="AY577" s="7">
        <v>0.65569999999999995</v>
      </c>
      <c r="AZ577" s="7">
        <v>0.66239999999999999</v>
      </c>
      <c r="BA577" s="7">
        <v>0.66910000000000003</v>
      </c>
      <c r="BB577" s="7">
        <v>0.67569999999999997</v>
      </c>
      <c r="BC577" s="7">
        <v>0.68230000000000002</v>
      </c>
      <c r="BD577" s="7">
        <v>0.68879999999999997</v>
      </c>
      <c r="BE577" s="7">
        <v>0.69520000000000004</v>
      </c>
      <c r="BF577" s="7">
        <v>0.70150000000000001</v>
      </c>
      <c r="BG577" s="7">
        <v>0.70779999999999998</v>
      </c>
      <c r="BH577" s="7">
        <v>0.71409999999999996</v>
      </c>
      <c r="BI577" s="7">
        <v>0.72019999999999995</v>
      </c>
      <c r="BJ577" s="7">
        <v>0.72629999999999995</v>
      </c>
      <c r="BK577" s="7">
        <v>0.73240000000000005</v>
      </c>
      <c r="BL577" s="7">
        <v>0.73839999999999995</v>
      </c>
      <c r="BM577" s="7">
        <v>0.74429999999999996</v>
      </c>
      <c r="BN577" s="7">
        <v>0.75019999999999998</v>
      </c>
      <c r="BO577" s="7">
        <v>0.75600000000000001</v>
      </c>
      <c r="BP577" s="7">
        <v>0.76180000000000003</v>
      </c>
      <c r="BQ577" s="7">
        <v>0.76749999999999996</v>
      </c>
      <c r="BR577" s="7">
        <v>0.7732</v>
      </c>
      <c r="BS577" s="7">
        <v>0.77880000000000005</v>
      </c>
      <c r="BT577" s="7">
        <v>0.78439999999999999</v>
      </c>
      <c r="BU577" s="7">
        <v>0.78990000000000005</v>
      </c>
      <c r="BV577" s="7">
        <v>0.7954</v>
      </c>
      <c r="BW577" s="7">
        <v>0.80079999999999996</v>
      </c>
      <c r="BX577" s="7">
        <v>0.80620000000000003</v>
      </c>
      <c r="BY577" s="7">
        <v>0.81159999999999999</v>
      </c>
      <c r="BZ577" s="7">
        <v>0.81689999999999996</v>
      </c>
      <c r="CA577" s="7">
        <v>0.82220000000000004</v>
      </c>
      <c r="CB577" s="7">
        <v>0.82740000000000002</v>
      </c>
      <c r="CC577" s="7">
        <v>0.83260000000000001</v>
      </c>
      <c r="CD577" s="7">
        <v>0.83779999999999999</v>
      </c>
      <c r="CE577" s="7">
        <v>0.84289999999999998</v>
      </c>
      <c r="CF577" s="7">
        <v>0.84799999999999998</v>
      </c>
      <c r="CG577" s="7">
        <v>0.85299999999999998</v>
      </c>
      <c r="CH577" s="7">
        <v>0.85809999999999997</v>
      </c>
      <c r="CI577" s="7">
        <v>0.86309999999999998</v>
      </c>
      <c r="CJ577" s="7">
        <v>0.86799999999999999</v>
      </c>
      <c r="CK577" s="7">
        <v>0.873</v>
      </c>
      <c r="CL577" s="7">
        <v>0.87790000000000001</v>
      </c>
      <c r="CM577" s="7">
        <v>0.88280000000000003</v>
      </c>
      <c r="CN577" s="7">
        <v>0.88770000000000004</v>
      </c>
      <c r="CO577" s="7">
        <v>0.89249999999999996</v>
      </c>
      <c r="CP577" s="7">
        <v>0.89729999999999999</v>
      </c>
      <c r="CQ577" s="7">
        <v>0.90210000000000001</v>
      </c>
      <c r="CR577" s="7">
        <v>0.90690000000000004</v>
      </c>
      <c r="CS577" s="7">
        <v>0.91169999999999995</v>
      </c>
      <c r="CT577" s="7">
        <v>0.91639999999999999</v>
      </c>
      <c r="CU577" s="7">
        <v>0.92110000000000003</v>
      </c>
      <c r="CV577" s="7">
        <v>0.92589999999999995</v>
      </c>
      <c r="CW577" s="7">
        <v>0.93059999999999998</v>
      </c>
      <c r="CX577" s="7">
        <v>0.93520000000000003</v>
      </c>
      <c r="CY577" s="7">
        <v>0.93989999999999996</v>
      </c>
      <c r="CZ577" s="7">
        <v>0.9446</v>
      </c>
      <c r="DA577" s="7">
        <v>0.94930000000000003</v>
      </c>
      <c r="DB577" s="7">
        <v>0.95389999999999997</v>
      </c>
      <c r="DC577" s="7">
        <v>0.95860000000000001</v>
      </c>
      <c r="DD577" s="7">
        <v>0.96319999999999995</v>
      </c>
      <c r="DE577" s="7">
        <v>0.96779999999999999</v>
      </c>
      <c r="DF577" s="7">
        <v>0.97250000000000003</v>
      </c>
      <c r="DG577" s="7">
        <v>0.97709999999999997</v>
      </c>
      <c r="DH577" s="7">
        <v>0.98170000000000002</v>
      </c>
      <c r="DI577" s="7">
        <v>0.98629999999999995</v>
      </c>
      <c r="DJ577" s="7">
        <v>0.99099999999999999</v>
      </c>
      <c r="DK577" s="7">
        <v>0.99560000000000004</v>
      </c>
      <c r="DL577" s="7">
        <v>1.0009999999999999</v>
      </c>
      <c r="DM577" s="7">
        <v>1.0009999999999999</v>
      </c>
      <c r="DN577" s="7">
        <v>1.0009999999999999</v>
      </c>
      <c r="DO577" s="7">
        <v>1.0009999999999999</v>
      </c>
      <c r="DP577" s="7">
        <v>1.0009999999999999</v>
      </c>
      <c r="DQ577" s="7">
        <v>1.0009999999999999</v>
      </c>
      <c r="DR577" s="7">
        <v>1.0009999999999999</v>
      </c>
      <c r="DS577" s="7">
        <v>1.0009999999999999</v>
      </c>
      <c r="DT577" s="7">
        <v>1.0009999999999999</v>
      </c>
      <c r="DU577" s="7">
        <v>1.0009999999999999</v>
      </c>
      <c r="DV577" s="7">
        <v>1.0009999999999999</v>
      </c>
      <c r="DW577" s="7">
        <v>1.0009999999999999</v>
      </c>
      <c r="DX577" s="7">
        <v>1.0009999999999999</v>
      </c>
      <c r="DY577" s="7">
        <v>1.0009999999999999</v>
      </c>
      <c r="DZ577" s="7">
        <v>1.0009999999999999</v>
      </c>
      <c r="EA577" s="7">
        <v>1.0009999999999999</v>
      </c>
      <c r="EB577" s="7">
        <v>1.0009999999999999</v>
      </c>
      <c r="EC577" s="7">
        <v>1.0009999999999999</v>
      </c>
      <c r="ED577" s="7">
        <v>1.0009999999999999</v>
      </c>
      <c r="EE577" s="7">
        <v>1.0009999999999999</v>
      </c>
      <c r="EF577" s="7">
        <v>1.0009999999999999</v>
      </c>
      <c r="EG577" s="7">
        <v>1.0009999999999999</v>
      </c>
      <c r="EH577" s="7">
        <v>1.0009999999999999</v>
      </c>
      <c r="EI577" s="7">
        <v>1.0009999999999999</v>
      </c>
      <c r="EJ577" s="7">
        <v>1.0009999999999999</v>
      </c>
      <c r="EK577" s="7">
        <v>1.0009999999999999</v>
      </c>
      <c r="EL577" s="7">
        <v>1.0009999999999999</v>
      </c>
      <c r="EM577" s="7">
        <v>1.0009999999999999</v>
      </c>
      <c r="EN577" s="7">
        <v>1.0009999999999999</v>
      </c>
      <c r="EO577" s="7">
        <v>1.0009999999999999</v>
      </c>
      <c r="EP577" s="7">
        <v>1.0009999999999999</v>
      </c>
      <c r="EQ577" s="7">
        <v>1.0009999999999999</v>
      </c>
      <c r="ER577" s="7">
        <v>1.0009999999999999</v>
      </c>
      <c r="ES577" s="7">
        <v>1.0009999999999999</v>
      </c>
      <c r="ET577" s="7">
        <v>1.0009999999999999</v>
      </c>
      <c r="EU577" s="7">
        <v>1.0009999999999999</v>
      </c>
      <c r="EV577" s="7">
        <v>1.0009999999999999</v>
      </c>
      <c r="EW577" s="7">
        <v>1.0009999999999999</v>
      </c>
      <c r="EX577" s="7">
        <v>1.0009999999999999</v>
      </c>
      <c r="EY577" s="7">
        <v>1.0009999999999999</v>
      </c>
      <c r="EZ577" s="7">
        <v>1.0009999999999999</v>
      </c>
      <c r="FA577" s="7">
        <v>1.0009999999999999</v>
      </c>
      <c r="FB577" s="7">
        <v>1.0009999999999999</v>
      </c>
      <c r="FC577" s="7">
        <v>1.0009999999999999</v>
      </c>
      <c r="FE577" s="50">
        <f t="shared" ca="1" si="59"/>
        <v>1.0009999999999999</v>
      </c>
      <c r="FF577" s="50">
        <f t="shared" ca="1" si="60"/>
        <v>1.0009999999999999</v>
      </c>
      <c r="FG577" s="50">
        <f t="shared" ca="1" si="61"/>
        <v>1.0009999999999999</v>
      </c>
      <c r="FH577" s="50">
        <f t="shared" ca="1" si="62"/>
        <v>1.0009999999999999</v>
      </c>
      <c r="FI577" s="50"/>
      <c r="FK577" s="50">
        <f t="shared" ca="1" si="63"/>
        <v>1.0009999999999999</v>
      </c>
      <c r="FL577" s="50"/>
      <c r="FM577" s="50"/>
      <c r="FN577" s="50"/>
    </row>
    <row r="578" spans="49:170" hidden="1">
      <c r="AW578" s="112">
        <v>3.1619999999999999</v>
      </c>
      <c r="AX578" s="7">
        <v>0.64610000000000001</v>
      </c>
      <c r="AY578" s="7">
        <v>0.65290000000000004</v>
      </c>
      <c r="AZ578" s="7">
        <v>0.65959999999999996</v>
      </c>
      <c r="BA578" s="7">
        <v>0.66620000000000001</v>
      </c>
      <c r="BB578" s="7">
        <v>0.67279999999999995</v>
      </c>
      <c r="BC578" s="7">
        <v>0.6794</v>
      </c>
      <c r="BD578" s="7">
        <v>0.68579999999999997</v>
      </c>
      <c r="BE578" s="7">
        <v>0.69220000000000004</v>
      </c>
      <c r="BF578" s="7">
        <v>0.69850000000000001</v>
      </c>
      <c r="BG578" s="7">
        <v>0.70479999999999998</v>
      </c>
      <c r="BH578" s="7">
        <v>0.71099999999999997</v>
      </c>
      <c r="BI578" s="7">
        <v>0.71709999999999996</v>
      </c>
      <c r="BJ578" s="7">
        <v>0.72319999999999995</v>
      </c>
      <c r="BK578" s="7">
        <v>0.72919999999999996</v>
      </c>
      <c r="BL578" s="7">
        <v>0.73519999999999996</v>
      </c>
      <c r="BM578" s="7">
        <v>0.74109999999999998</v>
      </c>
      <c r="BN578" s="7">
        <v>0.747</v>
      </c>
      <c r="BO578" s="7">
        <v>0.75280000000000002</v>
      </c>
      <c r="BP578" s="7">
        <v>0.75849999999999995</v>
      </c>
      <c r="BQ578" s="7">
        <v>0.76419999999999999</v>
      </c>
      <c r="BR578" s="7">
        <v>0.76990000000000003</v>
      </c>
      <c r="BS578" s="7">
        <v>0.77549999999999997</v>
      </c>
      <c r="BT578" s="7">
        <v>0.78100000000000003</v>
      </c>
      <c r="BU578" s="7">
        <v>0.78649999999999998</v>
      </c>
      <c r="BV578" s="7">
        <v>0.79200000000000004</v>
      </c>
      <c r="BW578" s="7">
        <v>0.7974</v>
      </c>
      <c r="BX578" s="7">
        <v>0.80279999999999996</v>
      </c>
      <c r="BY578" s="7">
        <v>0.80810000000000004</v>
      </c>
      <c r="BZ578" s="7">
        <v>0.81340000000000001</v>
      </c>
      <c r="CA578" s="7">
        <v>0.81859999999999999</v>
      </c>
      <c r="CB578" s="7">
        <v>0.82379999999999998</v>
      </c>
      <c r="CC578" s="7">
        <v>0.82899999999999996</v>
      </c>
      <c r="CD578" s="7">
        <v>0.83420000000000005</v>
      </c>
      <c r="CE578" s="7">
        <v>0.83930000000000005</v>
      </c>
      <c r="CF578" s="7">
        <v>0.84430000000000005</v>
      </c>
      <c r="CG578" s="7">
        <v>0.84940000000000004</v>
      </c>
      <c r="CH578" s="7">
        <v>0.85440000000000005</v>
      </c>
      <c r="CI578" s="7">
        <v>0.85940000000000005</v>
      </c>
      <c r="CJ578" s="7">
        <v>0.86429999999999996</v>
      </c>
      <c r="CK578" s="7">
        <v>0.86919999999999997</v>
      </c>
      <c r="CL578" s="7">
        <v>0.87409999999999999</v>
      </c>
      <c r="CM578" s="7">
        <v>0.879</v>
      </c>
      <c r="CN578" s="7">
        <v>0.88380000000000003</v>
      </c>
      <c r="CO578" s="7">
        <v>0.88870000000000005</v>
      </c>
      <c r="CP578" s="7">
        <v>0.89349999999999996</v>
      </c>
      <c r="CQ578" s="7">
        <v>0.8982</v>
      </c>
      <c r="CR578" s="7">
        <v>0.90300000000000002</v>
      </c>
      <c r="CS578" s="7">
        <v>0.90769999999999995</v>
      </c>
      <c r="CT578" s="7">
        <v>0.91249999999999998</v>
      </c>
      <c r="CU578" s="7">
        <v>0.91720000000000002</v>
      </c>
      <c r="CV578" s="7">
        <v>0.92190000000000005</v>
      </c>
      <c r="CW578" s="7">
        <v>0.92649999999999999</v>
      </c>
      <c r="CX578" s="7">
        <v>0.93120000000000003</v>
      </c>
      <c r="CY578" s="7">
        <v>0.93589999999999995</v>
      </c>
      <c r="CZ578" s="7">
        <v>0.9405</v>
      </c>
      <c r="DA578" s="7">
        <v>0.94520000000000004</v>
      </c>
      <c r="DB578" s="7">
        <v>0.94979999999999998</v>
      </c>
      <c r="DC578" s="7">
        <v>0.95440000000000003</v>
      </c>
      <c r="DD578" s="7">
        <v>0.95899999999999996</v>
      </c>
      <c r="DE578" s="7">
        <v>0.9637</v>
      </c>
      <c r="DF578" s="7">
        <v>0.96830000000000005</v>
      </c>
      <c r="DG578" s="7">
        <v>0.97289999999999999</v>
      </c>
      <c r="DH578" s="7">
        <v>0.97750000000000004</v>
      </c>
      <c r="DI578" s="7">
        <v>0.98209999999999997</v>
      </c>
      <c r="DJ578" s="7">
        <v>0.98670000000000002</v>
      </c>
      <c r="DK578" s="7">
        <v>0.99129999999999996</v>
      </c>
      <c r="DL578" s="7">
        <v>0.99590000000000001</v>
      </c>
      <c r="DM578" s="7">
        <v>1.0009999999999999</v>
      </c>
      <c r="DN578" s="7">
        <v>1.0009999999999999</v>
      </c>
      <c r="DO578" s="7">
        <v>1.0009999999999999</v>
      </c>
      <c r="DP578" s="7">
        <v>1.0009999999999999</v>
      </c>
      <c r="DQ578" s="7">
        <v>1.0009999999999999</v>
      </c>
      <c r="DR578" s="7">
        <v>1.0009999999999999</v>
      </c>
      <c r="DS578" s="7">
        <v>1.0009999999999999</v>
      </c>
      <c r="DT578" s="7">
        <v>1.0009999999999999</v>
      </c>
      <c r="DU578" s="7">
        <v>1.0009999999999999</v>
      </c>
      <c r="DV578" s="7">
        <v>1.0009999999999999</v>
      </c>
      <c r="DW578" s="7">
        <v>1.0009999999999999</v>
      </c>
      <c r="DX578" s="7">
        <v>1.0009999999999999</v>
      </c>
      <c r="DY578" s="7">
        <v>1.0009999999999999</v>
      </c>
      <c r="DZ578" s="7">
        <v>1.0009999999999999</v>
      </c>
      <c r="EA578" s="7">
        <v>1.0009999999999999</v>
      </c>
      <c r="EB578" s="7">
        <v>1.0009999999999999</v>
      </c>
      <c r="EC578" s="7">
        <v>1.0009999999999999</v>
      </c>
      <c r="ED578" s="7">
        <v>1.0009999999999999</v>
      </c>
      <c r="EE578" s="7">
        <v>1.0009999999999999</v>
      </c>
      <c r="EF578" s="7">
        <v>1.0009999999999999</v>
      </c>
      <c r="EG578" s="7">
        <v>1.0009999999999999</v>
      </c>
      <c r="EH578" s="7">
        <v>1.0009999999999999</v>
      </c>
      <c r="EI578" s="7">
        <v>1.0009999999999999</v>
      </c>
      <c r="EJ578" s="7">
        <v>1.0009999999999999</v>
      </c>
      <c r="EK578" s="7">
        <v>1.0009999999999999</v>
      </c>
      <c r="EL578" s="7">
        <v>1.0009999999999999</v>
      </c>
      <c r="EM578" s="7">
        <v>1.0009999999999999</v>
      </c>
      <c r="EN578" s="7">
        <v>1.0009999999999999</v>
      </c>
      <c r="EO578" s="7">
        <v>1.0009999999999999</v>
      </c>
      <c r="EP578" s="7">
        <v>1.0009999999999999</v>
      </c>
      <c r="EQ578" s="7">
        <v>1.0009999999999999</v>
      </c>
      <c r="ER578" s="7">
        <v>1.0009999999999999</v>
      </c>
      <c r="ES578" s="7">
        <v>1.0009999999999999</v>
      </c>
      <c r="ET578" s="7">
        <v>1.0009999999999999</v>
      </c>
      <c r="EU578" s="7">
        <v>1.0009999999999999</v>
      </c>
      <c r="EV578" s="7">
        <v>1.0009999999999999</v>
      </c>
      <c r="EW578" s="7">
        <v>1.0009999999999999</v>
      </c>
      <c r="EX578" s="7">
        <v>1.0009999999999999</v>
      </c>
      <c r="EY578" s="7">
        <v>1.0009999999999999</v>
      </c>
      <c r="EZ578" s="7">
        <v>1.0009999999999999</v>
      </c>
      <c r="FA578" s="7">
        <v>1.0009999999999999</v>
      </c>
      <c r="FB578" s="7">
        <v>1.0009999999999999</v>
      </c>
      <c r="FC578" s="7">
        <v>1.0009999999999999</v>
      </c>
      <c r="FE578" s="50">
        <f t="shared" ca="1" si="59"/>
        <v>1.0009999999999999</v>
      </c>
      <c r="FF578" s="50">
        <f t="shared" ca="1" si="60"/>
        <v>1.0009999999999999</v>
      </c>
      <c r="FG578" s="50">
        <f t="shared" ca="1" si="61"/>
        <v>1.0009999999999999</v>
      </c>
      <c r="FH578" s="50">
        <f t="shared" ca="1" si="62"/>
        <v>1.0009999999999999</v>
      </c>
      <c r="FI578" s="50"/>
      <c r="FK578" s="50">
        <f t="shared" ca="1" si="63"/>
        <v>1.0009999999999999</v>
      </c>
      <c r="FL578" s="50"/>
      <c r="FM578" s="50"/>
      <c r="FN578" s="50"/>
    </row>
    <row r="579" spans="49:170" hidden="1">
      <c r="AW579" s="112">
        <v>3.3879999999999999</v>
      </c>
      <c r="AX579" s="7">
        <v>0.64329999999999998</v>
      </c>
      <c r="AY579" s="7">
        <v>0.65010000000000001</v>
      </c>
      <c r="AZ579" s="7">
        <v>0.65680000000000005</v>
      </c>
      <c r="BA579" s="7">
        <v>0.66339999999999999</v>
      </c>
      <c r="BB579" s="7">
        <v>0.67</v>
      </c>
      <c r="BC579" s="7">
        <v>0.67649999999999999</v>
      </c>
      <c r="BD579" s="7">
        <v>0.68289999999999995</v>
      </c>
      <c r="BE579" s="7">
        <v>0.68930000000000002</v>
      </c>
      <c r="BF579" s="7">
        <v>0.6956</v>
      </c>
      <c r="BG579" s="7">
        <v>0.70179999999999998</v>
      </c>
      <c r="BH579" s="7">
        <v>0.70799999999999996</v>
      </c>
      <c r="BI579" s="7">
        <v>0.71409999999999996</v>
      </c>
      <c r="BJ579" s="7">
        <v>0.72009999999999996</v>
      </c>
      <c r="BK579" s="7">
        <v>0.72609999999999997</v>
      </c>
      <c r="BL579" s="7">
        <v>0.73209999999999997</v>
      </c>
      <c r="BM579" s="7">
        <v>0.73799999999999999</v>
      </c>
      <c r="BN579" s="7">
        <v>0.74380000000000002</v>
      </c>
      <c r="BO579" s="7">
        <v>0.74960000000000004</v>
      </c>
      <c r="BP579" s="7">
        <v>0.75529999999999997</v>
      </c>
      <c r="BQ579" s="7">
        <v>0.76100000000000001</v>
      </c>
      <c r="BR579" s="7">
        <v>0.76659999999999995</v>
      </c>
      <c r="BS579" s="7">
        <v>0.7722</v>
      </c>
      <c r="BT579" s="7">
        <v>0.77769999999999995</v>
      </c>
      <c r="BU579" s="7">
        <v>0.78320000000000001</v>
      </c>
      <c r="BV579" s="7">
        <v>0.78859999999999997</v>
      </c>
      <c r="BW579" s="7">
        <v>0.79400000000000004</v>
      </c>
      <c r="BX579" s="7">
        <v>0.7994</v>
      </c>
      <c r="BY579" s="7">
        <v>0.80469999999999997</v>
      </c>
      <c r="BZ579" s="7">
        <v>0.80989999999999995</v>
      </c>
      <c r="CA579" s="7">
        <v>0.81520000000000004</v>
      </c>
      <c r="CB579" s="7">
        <v>0.82040000000000002</v>
      </c>
      <c r="CC579" s="7">
        <v>0.82550000000000001</v>
      </c>
      <c r="CD579" s="7">
        <v>0.8306</v>
      </c>
      <c r="CE579" s="7">
        <v>0.8357</v>
      </c>
      <c r="CF579" s="7">
        <v>0.84079999999999999</v>
      </c>
      <c r="CG579" s="7">
        <v>0.8458</v>
      </c>
      <c r="CH579" s="7">
        <v>0.8508</v>
      </c>
      <c r="CI579" s="7">
        <v>0.85570000000000002</v>
      </c>
      <c r="CJ579" s="7">
        <v>0.86060000000000003</v>
      </c>
      <c r="CK579" s="7">
        <v>0.86550000000000005</v>
      </c>
      <c r="CL579" s="7">
        <v>0.87039999999999995</v>
      </c>
      <c r="CM579" s="7">
        <v>0.87529999999999997</v>
      </c>
      <c r="CN579" s="7">
        <v>0.88009999999999999</v>
      </c>
      <c r="CO579" s="7">
        <v>0.88490000000000002</v>
      </c>
      <c r="CP579" s="7">
        <v>0.88970000000000005</v>
      </c>
      <c r="CQ579" s="7">
        <v>0.89439999999999997</v>
      </c>
      <c r="CR579" s="7">
        <v>0.8992</v>
      </c>
      <c r="CS579" s="7">
        <v>0.90390000000000004</v>
      </c>
      <c r="CT579" s="7">
        <v>0.90859999999999996</v>
      </c>
      <c r="CU579" s="7">
        <v>0.9133</v>
      </c>
      <c r="CV579" s="7">
        <v>0.91800000000000004</v>
      </c>
      <c r="CW579" s="7">
        <v>0.92259999999999998</v>
      </c>
      <c r="CX579" s="7">
        <v>0.92730000000000001</v>
      </c>
      <c r="CY579" s="7">
        <v>0.93189999999999995</v>
      </c>
      <c r="CZ579" s="7">
        <v>0.9365</v>
      </c>
      <c r="DA579" s="7">
        <v>0.94120000000000004</v>
      </c>
      <c r="DB579" s="7">
        <v>0.94579999999999997</v>
      </c>
      <c r="DC579" s="7">
        <v>0.95040000000000002</v>
      </c>
      <c r="DD579" s="7">
        <v>0.95499999999999996</v>
      </c>
      <c r="DE579" s="7">
        <v>0.95960000000000001</v>
      </c>
      <c r="DF579" s="7">
        <v>0.96419999999999995</v>
      </c>
      <c r="DG579" s="7">
        <v>0.96870000000000001</v>
      </c>
      <c r="DH579" s="7">
        <v>0.97330000000000005</v>
      </c>
      <c r="DI579" s="7">
        <v>0.97789999999999999</v>
      </c>
      <c r="DJ579" s="7">
        <v>0.98250000000000004</v>
      </c>
      <c r="DK579" s="7">
        <v>0.98709999999999998</v>
      </c>
      <c r="DL579" s="7">
        <v>0.99170000000000003</v>
      </c>
      <c r="DM579" s="7">
        <v>0.99619999999999997</v>
      </c>
      <c r="DN579" s="7">
        <v>1.0009999999999999</v>
      </c>
      <c r="DO579" s="7">
        <v>1.0009999999999999</v>
      </c>
      <c r="DP579" s="7">
        <v>1.0009999999999999</v>
      </c>
      <c r="DQ579" s="7">
        <v>1.0009999999999999</v>
      </c>
      <c r="DR579" s="7">
        <v>1.0009999999999999</v>
      </c>
      <c r="DS579" s="7">
        <v>1.0009999999999999</v>
      </c>
      <c r="DT579" s="7">
        <v>1.0009999999999999</v>
      </c>
      <c r="DU579" s="7">
        <v>1.0009999999999999</v>
      </c>
      <c r="DV579" s="7">
        <v>1.0009999999999999</v>
      </c>
      <c r="DW579" s="7">
        <v>1.0009999999999999</v>
      </c>
      <c r="DX579" s="7">
        <v>1.0009999999999999</v>
      </c>
      <c r="DY579" s="7">
        <v>1.0009999999999999</v>
      </c>
      <c r="DZ579" s="7">
        <v>1.0009999999999999</v>
      </c>
      <c r="EA579" s="7">
        <v>1.0009999999999999</v>
      </c>
      <c r="EB579" s="7">
        <v>1.0009999999999999</v>
      </c>
      <c r="EC579" s="7">
        <v>1.0009999999999999</v>
      </c>
      <c r="ED579" s="7">
        <v>1.0009999999999999</v>
      </c>
      <c r="EE579" s="7">
        <v>1.0009999999999999</v>
      </c>
      <c r="EF579" s="7">
        <v>1.0009999999999999</v>
      </c>
      <c r="EG579" s="7">
        <v>1.0009999999999999</v>
      </c>
      <c r="EH579" s="7">
        <v>1.0009999999999999</v>
      </c>
      <c r="EI579" s="7">
        <v>1.0009999999999999</v>
      </c>
      <c r="EJ579" s="7">
        <v>1.0009999999999999</v>
      </c>
      <c r="EK579" s="7">
        <v>1.0009999999999999</v>
      </c>
      <c r="EL579" s="7">
        <v>1.0009999999999999</v>
      </c>
      <c r="EM579" s="7">
        <v>1.0009999999999999</v>
      </c>
      <c r="EN579" s="7">
        <v>1.0009999999999999</v>
      </c>
      <c r="EO579" s="7">
        <v>1.0009999999999999</v>
      </c>
      <c r="EP579" s="7">
        <v>1.0009999999999999</v>
      </c>
      <c r="EQ579" s="7">
        <v>1.0009999999999999</v>
      </c>
      <c r="ER579" s="7">
        <v>1.0009999999999999</v>
      </c>
      <c r="ES579" s="7">
        <v>1.0009999999999999</v>
      </c>
      <c r="ET579" s="7">
        <v>1.0009999999999999</v>
      </c>
      <c r="EU579" s="7">
        <v>1.0009999999999999</v>
      </c>
      <c r="EV579" s="7">
        <v>1.0009999999999999</v>
      </c>
      <c r="EW579" s="7">
        <v>1.0009999999999999</v>
      </c>
      <c r="EX579" s="7">
        <v>1.0009999999999999</v>
      </c>
      <c r="EY579" s="7">
        <v>1.0009999999999999</v>
      </c>
      <c r="EZ579" s="7">
        <v>1.0009999999999999</v>
      </c>
      <c r="FA579" s="7">
        <v>1.0009999999999999</v>
      </c>
      <c r="FB579" s="7">
        <v>1.0009999999999999</v>
      </c>
      <c r="FC579" s="7">
        <v>1.0009999999999999</v>
      </c>
      <c r="FE579" s="50">
        <f t="shared" ca="1" si="59"/>
        <v>1.0009999999999999</v>
      </c>
      <c r="FF579" s="50">
        <f t="shared" ca="1" si="60"/>
        <v>1.0009999999999999</v>
      </c>
      <c r="FG579" s="50">
        <f t="shared" ca="1" si="61"/>
        <v>1.0009999999999999</v>
      </c>
      <c r="FH579" s="50">
        <f t="shared" ca="1" si="62"/>
        <v>1.0009999999999999</v>
      </c>
      <c r="FI579" s="50"/>
      <c r="FK579" s="50">
        <f t="shared" ca="1" si="63"/>
        <v>1.0009999999999999</v>
      </c>
      <c r="FL579" s="50"/>
      <c r="FM579" s="50"/>
      <c r="FN579" s="50"/>
    </row>
    <row r="580" spans="49:170" hidden="1">
      <c r="AW580" s="112">
        <v>3.6309999999999998</v>
      </c>
      <c r="AX580" s="7">
        <v>0.64059999999999995</v>
      </c>
      <c r="AY580" s="7">
        <v>0.64739999999999998</v>
      </c>
      <c r="AZ580" s="7">
        <v>0.65400000000000003</v>
      </c>
      <c r="BA580" s="7">
        <v>0.66059999999999997</v>
      </c>
      <c r="BB580" s="7">
        <v>0.66720000000000002</v>
      </c>
      <c r="BC580" s="7">
        <v>0.67359999999999998</v>
      </c>
      <c r="BD580" s="7">
        <v>0.68</v>
      </c>
      <c r="BE580" s="7">
        <v>0.68640000000000001</v>
      </c>
      <c r="BF580" s="7">
        <v>0.69259999999999999</v>
      </c>
      <c r="BG580" s="7">
        <v>0.69879999999999998</v>
      </c>
      <c r="BH580" s="7">
        <v>0.70499999999999996</v>
      </c>
      <c r="BI580" s="7">
        <v>0.71109999999999995</v>
      </c>
      <c r="BJ580" s="7">
        <v>0.71709999999999996</v>
      </c>
      <c r="BK580" s="7">
        <v>0.72309999999999997</v>
      </c>
      <c r="BL580" s="7">
        <v>0.72899999999999998</v>
      </c>
      <c r="BM580" s="7">
        <v>0.7349</v>
      </c>
      <c r="BN580" s="7">
        <v>0.74070000000000003</v>
      </c>
      <c r="BO580" s="7">
        <v>0.74639999999999995</v>
      </c>
      <c r="BP580" s="7">
        <v>0.75209999999999999</v>
      </c>
      <c r="BQ580" s="7">
        <v>0.75780000000000003</v>
      </c>
      <c r="BR580" s="7">
        <v>0.76339999999999997</v>
      </c>
      <c r="BS580" s="7">
        <v>0.76890000000000003</v>
      </c>
      <c r="BT580" s="7">
        <v>0.77439999999999998</v>
      </c>
      <c r="BU580" s="7">
        <v>0.77990000000000004</v>
      </c>
      <c r="BV580" s="7">
        <v>0.7853</v>
      </c>
      <c r="BW580" s="7">
        <v>0.79069999999999996</v>
      </c>
      <c r="BX580" s="7">
        <v>0.79600000000000004</v>
      </c>
      <c r="BY580" s="7">
        <v>0.80130000000000001</v>
      </c>
      <c r="BZ580" s="7">
        <v>0.80649999999999999</v>
      </c>
      <c r="CA580" s="7">
        <v>0.81169999999999998</v>
      </c>
      <c r="CB580" s="7">
        <v>0.81689999999999996</v>
      </c>
      <c r="CC580" s="7">
        <v>0.82199999999999995</v>
      </c>
      <c r="CD580" s="7">
        <v>0.82709999999999995</v>
      </c>
      <c r="CE580" s="7">
        <v>0.83220000000000005</v>
      </c>
      <c r="CF580" s="7">
        <v>0.83720000000000006</v>
      </c>
      <c r="CG580" s="7">
        <v>0.84219999999999995</v>
      </c>
      <c r="CH580" s="7">
        <v>0.84719999999999995</v>
      </c>
      <c r="CI580" s="7">
        <v>0.85209999999999997</v>
      </c>
      <c r="CJ580" s="7">
        <v>0.85699999999999998</v>
      </c>
      <c r="CK580" s="7">
        <v>0.8619</v>
      </c>
      <c r="CL580" s="7">
        <v>0.86680000000000001</v>
      </c>
      <c r="CM580" s="7">
        <v>0.87160000000000004</v>
      </c>
      <c r="CN580" s="7">
        <v>0.87639999999999996</v>
      </c>
      <c r="CO580" s="7">
        <v>0.88119999999999998</v>
      </c>
      <c r="CP580" s="7">
        <v>0.88590000000000002</v>
      </c>
      <c r="CQ580" s="7">
        <v>0.89070000000000005</v>
      </c>
      <c r="CR580" s="7">
        <v>0.89539999999999997</v>
      </c>
      <c r="CS580" s="7">
        <v>0.90010000000000001</v>
      </c>
      <c r="CT580" s="7">
        <v>0.90480000000000005</v>
      </c>
      <c r="CU580" s="7">
        <v>0.90939999999999999</v>
      </c>
      <c r="CV580" s="7">
        <v>0.91410000000000002</v>
      </c>
      <c r="CW580" s="7">
        <v>0.91869999999999996</v>
      </c>
      <c r="CX580" s="7">
        <v>0.9234</v>
      </c>
      <c r="CY580" s="7">
        <v>0.92800000000000005</v>
      </c>
      <c r="CZ580" s="7">
        <v>0.93259999999999998</v>
      </c>
      <c r="DA580" s="7">
        <v>0.93720000000000003</v>
      </c>
      <c r="DB580" s="7">
        <v>0.94179999999999997</v>
      </c>
      <c r="DC580" s="7">
        <v>0.94640000000000002</v>
      </c>
      <c r="DD580" s="7">
        <v>0.95099999999999996</v>
      </c>
      <c r="DE580" s="7">
        <v>0.95550000000000002</v>
      </c>
      <c r="DF580" s="7">
        <v>0.96009999999999995</v>
      </c>
      <c r="DG580" s="7">
        <v>0.9647</v>
      </c>
      <c r="DH580" s="7">
        <v>0.96930000000000005</v>
      </c>
      <c r="DI580" s="7">
        <v>0.9738</v>
      </c>
      <c r="DJ580" s="7">
        <v>0.97840000000000005</v>
      </c>
      <c r="DK580" s="7">
        <v>0.9829</v>
      </c>
      <c r="DL580" s="7">
        <v>0.98750000000000004</v>
      </c>
      <c r="DM580" s="7">
        <v>0.99209999999999998</v>
      </c>
      <c r="DN580" s="7">
        <v>0.99660000000000004</v>
      </c>
      <c r="DO580" s="7">
        <v>1.0009999999999999</v>
      </c>
      <c r="DP580" s="7">
        <v>1.0009999999999999</v>
      </c>
      <c r="DQ580" s="7">
        <v>1.0009999999999999</v>
      </c>
      <c r="DR580" s="7">
        <v>1.0009999999999999</v>
      </c>
      <c r="DS580" s="7">
        <v>1.0009999999999999</v>
      </c>
      <c r="DT580" s="7">
        <v>1.0009999999999999</v>
      </c>
      <c r="DU580" s="7">
        <v>1.0009999999999999</v>
      </c>
      <c r="DV580" s="7">
        <v>1.0009999999999999</v>
      </c>
      <c r="DW580" s="7">
        <v>1.0009999999999999</v>
      </c>
      <c r="DX580" s="7">
        <v>1.0009999999999999</v>
      </c>
      <c r="DY580" s="7">
        <v>1.0009999999999999</v>
      </c>
      <c r="DZ580" s="7">
        <v>1.0009999999999999</v>
      </c>
      <c r="EA580" s="7">
        <v>1.0009999999999999</v>
      </c>
      <c r="EB580" s="7">
        <v>1.0009999999999999</v>
      </c>
      <c r="EC580" s="7">
        <v>1.0009999999999999</v>
      </c>
      <c r="ED580" s="7">
        <v>1.0009999999999999</v>
      </c>
      <c r="EE580" s="7">
        <v>1.0009999999999999</v>
      </c>
      <c r="EF580" s="7">
        <v>1.0009999999999999</v>
      </c>
      <c r="EG580" s="7">
        <v>1.0009999999999999</v>
      </c>
      <c r="EH580" s="7">
        <v>1.0009999999999999</v>
      </c>
      <c r="EI580" s="7">
        <v>1.0009999999999999</v>
      </c>
      <c r="EJ580" s="7">
        <v>1.0009999999999999</v>
      </c>
      <c r="EK580" s="7">
        <v>1.0009999999999999</v>
      </c>
      <c r="EL580" s="7">
        <v>1.0009999999999999</v>
      </c>
      <c r="EM580" s="7">
        <v>1.0009999999999999</v>
      </c>
      <c r="EN580" s="7">
        <v>1.0009999999999999</v>
      </c>
      <c r="EO580" s="7">
        <v>1.0009999999999999</v>
      </c>
      <c r="EP580" s="7">
        <v>1.0009999999999999</v>
      </c>
      <c r="EQ580" s="7">
        <v>1.0009999999999999</v>
      </c>
      <c r="ER580" s="7">
        <v>1.0009999999999999</v>
      </c>
      <c r="ES580" s="7">
        <v>1.0009999999999999</v>
      </c>
      <c r="ET580" s="7">
        <v>1.0009999999999999</v>
      </c>
      <c r="EU580" s="7">
        <v>1.0009999999999999</v>
      </c>
      <c r="EV580" s="7">
        <v>1.0009999999999999</v>
      </c>
      <c r="EW580" s="7">
        <v>1.0009999999999999</v>
      </c>
      <c r="EX580" s="7">
        <v>1.0009999999999999</v>
      </c>
      <c r="EY580" s="7">
        <v>1.0009999999999999</v>
      </c>
      <c r="EZ580" s="7">
        <v>1.0009999999999999</v>
      </c>
      <c r="FA580" s="7">
        <v>1.0009999999999999</v>
      </c>
      <c r="FB580" s="7">
        <v>1.0009999999999999</v>
      </c>
      <c r="FC580" s="7">
        <v>1.0009999999999999</v>
      </c>
      <c r="FE580" s="50">
        <f t="shared" ca="1" si="59"/>
        <v>1.0009999999999999</v>
      </c>
      <c r="FF580" s="50">
        <f t="shared" ca="1" si="60"/>
        <v>1.0009999999999999</v>
      </c>
      <c r="FG580" s="50">
        <f t="shared" ca="1" si="61"/>
        <v>1.0009999999999999</v>
      </c>
      <c r="FH580" s="50">
        <f t="shared" ca="1" si="62"/>
        <v>1.0009999999999999</v>
      </c>
      <c r="FI580" s="50"/>
      <c r="FK580" s="50">
        <f t="shared" ca="1" si="63"/>
        <v>1.0009999999999999</v>
      </c>
      <c r="FL580" s="50"/>
      <c r="FM580" s="50"/>
      <c r="FN580" s="50"/>
    </row>
    <row r="581" spans="49:170" hidden="1">
      <c r="AW581" s="112">
        <v>3.89</v>
      </c>
      <c r="AX581" s="7">
        <v>0.63800000000000001</v>
      </c>
      <c r="AY581" s="7">
        <v>0.64470000000000005</v>
      </c>
      <c r="AZ581" s="7">
        <v>0.65129999999999999</v>
      </c>
      <c r="BA581" s="7">
        <v>0.65790000000000004</v>
      </c>
      <c r="BB581" s="7">
        <v>0.66439999999999999</v>
      </c>
      <c r="BC581" s="7">
        <v>0.67079999999999995</v>
      </c>
      <c r="BD581" s="7">
        <v>0.67720000000000002</v>
      </c>
      <c r="BE581" s="7">
        <v>0.6835</v>
      </c>
      <c r="BF581" s="7">
        <v>0.68979999999999997</v>
      </c>
      <c r="BG581" s="7">
        <v>0.69599999999999995</v>
      </c>
      <c r="BH581" s="7">
        <v>0.70209999999999995</v>
      </c>
      <c r="BI581" s="7">
        <v>0.70809999999999995</v>
      </c>
      <c r="BJ581" s="7">
        <v>0.71409999999999996</v>
      </c>
      <c r="BK581" s="7">
        <v>0.72009999999999996</v>
      </c>
      <c r="BL581" s="7">
        <v>0.72599999999999998</v>
      </c>
      <c r="BM581" s="7">
        <v>0.73180000000000001</v>
      </c>
      <c r="BN581" s="7">
        <v>0.73760000000000003</v>
      </c>
      <c r="BO581" s="7">
        <v>0.74329999999999996</v>
      </c>
      <c r="BP581" s="7">
        <v>0.749</v>
      </c>
      <c r="BQ581" s="7">
        <v>0.75460000000000005</v>
      </c>
      <c r="BR581" s="7">
        <v>0.76019999999999999</v>
      </c>
      <c r="BS581" s="7">
        <v>0.76570000000000005</v>
      </c>
      <c r="BT581" s="7">
        <v>0.7712</v>
      </c>
      <c r="BU581" s="7">
        <v>0.77669999999999995</v>
      </c>
      <c r="BV581" s="7">
        <v>0.78210000000000002</v>
      </c>
      <c r="BW581" s="7">
        <v>0.78739999999999999</v>
      </c>
      <c r="BX581" s="7">
        <v>0.79269999999999996</v>
      </c>
      <c r="BY581" s="7">
        <v>0.79800000000000004</v>
      </c>
      <c r="BZ581" s="7">
        <v>0.80320000000000003</v>
      </c>
      <c r="CA581" s="7">
        <v>0.80840000000000001</v>
      </c>
      <c r="CB581" s="7">
        <v>0.8135</v>
      </c>
      <c r="CC581" s="7">
        <v>0.81859999999999999</v>
      </c>
      <c r="CD581" s="7">
        <v>0.82369999999999999</v>
      </c>
      <c r="CE581" s="7">
        <v>0.82879999999999998</v>
      </c>
      <c r="CF581" s="7">
        <v>0.83379999999999999</v>
      </c>
      <c r="CG581" s="7">
        <v>0.8387</v>
      </c>
      <c r="CH581" s="7">
        <v>0.84370000000000001</v>
      </c>
      <c r="CI581" s="7">
        <v>0.84860000000000002</v>
      </c>
      <c r="CJ581" s="7">
        <v>0.85350000000000004</v>
      </c>
      <c r="CK581" s="7">
        <v>0.85829999999999995</v>
      </c>
      <c r="CL581" s="7">
        <v>0.86319999999999997</v>
      </c>
      <c r="CM581" s="7">
        <v>0.86799999999999999</v>
      </c>
      <c r="CN581" s="7">
        <v>0.87280000000000002</v>
      </c>
      <c r="CO581" s="7">
        <v>0.87749999999999995</v>
      </c>
      <c r="CP581" s="7">
        <v>0.88229999999999997</v>
      </c>
      <c r="CQ581" s="7">
        <v>0.88700000000000001</v>
      </c>
      <c r="CR581" s="7">
        <v>0.89170000000000005</v>
      </c>
      <c r="CS581" s="7">
        <v>0.89639999999999997</v>
      </c>
      <c r="CT581" s="7">
        <v>0.90100000000000002</v>
      </c>
      <c r="CU581" s="7">
        <v>0.90569999999999995</v>
      </c>
      <c r="CV581" s="7">
        <v>0.9103</v>
      </c>
      <c r="CW581" s="7">
        <v>0.91490000000000005</v>
      </c>
      <c r="CX581" s="7">
        <v>0.91959999999999997</v>
      </c>
      <c r="CY581" s="7">
        <v>0.92420000000000002</v>
      </c>
      <c r="CZ581" s="7">
        <v>0.92879999999999996</v>
      </c>
      <c r="DA581" s="7">
        <v>0.93330000000000002</v>
      </c>
      <c r="DB581" s="7">
        <v>0.93789999999999996</v>
      </c>
      <c r="DC581" s="7">
        <v>0.9425</v>
      </c>
      <c r="DD581" s="7">
        <v>0.94699999999999995</v>
      </c>
      <c r="DE581" s="7">
        <v>0.9516</v>
      </c>
      <c r="DF581" s="7">
        <v>0.95609999999999995</v>
      </c>
      <c r="DG581" s="7">
        <v>0.9607</v>
      </c>
      <c r="DH581" s="7">
        <v>0.96519999999999995</v>
      </c>
      <c r="DI581" s="7">
        <v>0.9698</v>
      </c>
      <c r="DJ581" s="7">
        <v>0.97430000000000005</v>
      </c>
      <c r="DK581" s="7">
        <v>0.97889999999999999</v>
      </c>
      <c r="DL581" s="7">
        <v>0.98340000000000005</v>
      </c>
      <c r="DM581" s="7">
        <v>0.98799999999999999</v>
      </c>
      <c r="DN581" s="7">
        <v>0.99250000000000005</v>
      </c>
      <c r="DO581" s="7">
        <v>0.99709999999999999</v>
      </c>
      <c r="DP581" s="7">
        <v>1.0009999999999999</v>
      </c>
      <c r="DQ581" s="7">
        <v>1.0009999999999999</v>
      </c>
      <c r="DR581" s="7">
        <v>1.0009999999999999</v>
      </c>
      <c r="DS581" s="7">
        <v>1.0009999999999999</v>
      </c>
      <c r="DT581" s="7">
        <v>1.0009999999999999</v>
      </c>
      <c r="DU581" s="7">
        <v>1.0009999999999999</v>
      </c>
      <c r="DV581" s="7">
        <v>1.0009999999999999</v>
      </c>
      <c r="DW581" s="7">
        <v>1.0009999999999999</v>
      </c>
      <c r="DX581" s="7">
        <v>1.0009999999999999</v>
      </c>
      <c r="DY581" s="7">
        <v>1.0009999999999999</v>
      </c>
      <c r="DZ581" s="7">
        <v>1.0009999999999999</v>
      </c>
      <c r="EA581" s="7">
        <v>1.0009999999999999</v>
      </c>
      <c r="EB581" s="7">
        <v>1.0009999999999999</v>
      </c>
      <c r="EC581" s="7">
        <v>1.0009999999999999</v>
      </c>
      <c r="ED581" s="7">
        <v>1.0009999999999999</v>
      </c>
      <c r="EE581" s="7">
        <v>1.0009999999999999</v>
      </c>
      <c r="EF581" s="7">
        <v>1.0009999999999999</v>
      </c>
      <c r="EG581" s="7">
        <v>1.0009999999999999</v>
      </c>
      <c r="EH581" s="7">
        <v>1.0009999999999999</v>
      </c>
      <c r="EI581" s="7">
        <v>1.0009999999999999</v>
      </c>
      <c r="EJ581" s="7">
        <v>1.0009999999999999</v>
      </c>
      <c r="EK581" s="7">
        <v>1.0009999999999999</v>
      </c>
      <c r="EL581" s="7">
        <v>1.0009999999999999</v>
      </c>
      <c r="EM581" s="7">
        <v>1.0009999999999999</v>
      </c>
      <c r="EN581" s="7">
        <v>1.0009999999999999</v>
      </c>
      <c r="EO581" s="7">
        <v>1.0009999999999999</v>
      </c>
      <c r="EP581" s="7">
        <v>1.0009999999999999</v>
      </c>
      <c r="EQ581" s="7">
        <v>1.0009999999999999</v>
      </c>
      <c r="ER581" s="7">
        <v>1.0009999999999999</v>
      </c>
      <c r="ES581" s="7">
        <v>1.0009999999999999</v>
      </c>
      <c r="ET581" s="7">
        <v>1.0009999999999999</v>
      </c>
      <c r="EU581" s="7">
        <v>1.0009999999999999</v>
      </c>
      <c r="EV581" s="7">
        <v>1.0009999999999999</v>
      </c>
      <c r="EW581" s="7">
        <v>1.0009999999999999</v>
      </c>
      <c r="EX581" s="7">
        <v>1.0009999999999999</v>
      </c>
      <c r="EY581" s="7">
        <v>1.0009999999999999</v>
      </c>
      <c r="EZ581" s="7">
        <v>1.0009999999999999</v>
      </c>
      <c r="FA581" s="7">
        <v>1.0009999999999999</v>
      </c>
      <c r="FB581" s="7">
        <v>1.0009999999999999</v>
      </c>
      <c r="FC581" s="7">
        <v>1.0009999999999999</v>
      </c>
      <c r="FE581" s="50">
        <f t="shared" ca="1" si="59"/>
        <v>1.0009999999999999</v>
      </c>
      <c r="FF581" s="50">
        <f t="shared" ca="1" si="60"/>
        <v>1.0009999999999999</v>
      </c>
      <c r="FG581" s="50">
        <f t="shared" ca="1" si="61"/>
        <v>1.0009999999999999</v>
      </c>
      <c r="FH581" s="50">
        <f t="shared" ca="1" si="62"/>
        <v>1.0009999999999999</v>
      </c>
      <c r="FI581" s="50"/>
      <c r="FK581" s="50">
        <f t="shared" ca="1" si="63"/>
        <v>1.0009999999999999</v>
      </c>
      <c r="FL581" s="50"/>
      <c r="FM581" s="50"/>
      <c r="FN581" s="50"/>
    </row>
    <row r="582" spans="49:170" hidden="1">
      <c r="AW582" s="112">
        <v>4.1689999999999996</v>
      </c>
      <c r="AX582" s="7">
        <v>0.63539999999999996</v>
      </c>
      <c r="AY582" s="7">
        <v>0.6421</v>
      </c>
      <c r="AZ582" s="7">
        <v>0.64870000000000005</v>
      </c>
      <c r="BA582" s="7">
        <v>0.6552</v>
      </c>
      <c r="BB582" s="7">
        <v>0.66169999999999995</v>
      </c>
      <c r="BC582" s="7">
        <v>0.66810000000000003</v>
      </c>
      <c r="BD582" s="7">
        <v>0.67449999999999999</v>
      </c>
      <c r="BE582" s="7">
        <v>0.68069999999999997</v>
      </c>
      <c r="BF582" s="7">
        <v>0.68700000000000006</v>
      </c>
      <c r="BG582" s="7">
        <v>0.69310000000000005</v>
      </c>
      <c r="BH582" s="7">
        <v>0.69920000000000004</v>
      </c>
      <c r="BI582" s="7">
        <v>0.70530000000000004</v>
      </c>
      <c r="BJ582" s="7">
        <v>0.71120000000000005</v>
      </c>
      <c r="BK582" s="7">
        <v>0.71719999999999995</v>
      </c>
      <c r="BL582" s="7">
        <v>0.72299999999999998</v>
      </c>
      <c r="BM582" s="7">
        <v>0.7288</v>
      </c>
      <c r="BN582" s="7">
        <v>0.73460000000000003</v>
      </c>
      <c r="BO582" s="7">
        <v>0.74029999999999996</v>
      </c>
      <c r="BP582" s="7">
        <v>0.746</v>
      </c>
      <c r="BQ582" s="7">
        <v>0.75160000000000005</v>
      </c>
      <c r="BR582" s="7">
        <v>0.7571</v>
      </c>
      <c r="BS582" s="7">
        <v>0.76259999999999994</v>
      </c>
      <c r="BT582" s="7">
        <v>0.7681</v>
      </c>
      <c r="BU582" s="7">
        <v>0.77349999999999997</v>
      </c>
      <c r="BV582" s="7">
        <v>0.77890000000000004</v>
      </c>
      <c r="BW582" s="7">
        <v>0.78420000000000001</v>
      </c>
      <c r="BX582" s="7">
        <v>0.78949999999999998</v>
      </c>
      <c r="BY582" s="7">
        <v>0.79469999999999996</v>
      </c>
      <c r="BZ582" s="7">
        <v>0.79990000000000006</v>
      </c>
      <c r="CA582" s="7">
        <v>0.80510000000000004</v>
      </c>
      <c r="CB582" s="7">
        <v>0.81020000000000003</v>
      </c>
      <c r="CC582" s="7">
        <v>0.81530000000000002</v>
      </c>
      <c r="CD582" s="7">
        <v>0.82040000000000002</v>
      </c>
      <c r="CE582" s="7">
        <v>0.82540000000000002</v>
      </c>
      <c r="CF582" s="7">
        <v>0.83040000000000003</v>
      </c>
      <c r="CG582" s="7">
        <v>0.83530000000000004</v>
      </c>
      <c r="CH582" s="7">
        <v>0.84019999999999995</v>
      </c>
      <c r="CI582" s="7">
        <v>0.84509999999999996</v>
      </c>
      <c r="CJ582" s="7">
        <v>0.85</v>
      </c>
      <c r="CK582" s="7">
        <v>0.8548</v>
      </c>
      <c r="CL582" s="7">
        <v>0.85970000000000002</v>
      </c>
      <c r="CM582" s="7">
        <v>0.86439999999999995</v>
      </c>
      <c r="CN582" s="7">
        <v>0.86919999999999997</v>
      </c>
      <c r="CO582" s="7">
        <v>0.87390000000000001</v>
      </c>
      <c r="CP582" s="7">
        <v>0.87870000000000004</v>
      </c>
      <c r="CQ582" s="7">
        <v>0.88339999999999996</v>
      </c>
      <c r="CR582" s="7">
        <v>0.88800000000000001</v>
      </c>
      <c r="CS582" s="7">
        <v>0.89270000000000005</v>
      </c>
      <c r="CT582" s="7">
        <v>0.89739999999999998</v>
      </c>
      <c r="CU582" s="7">
        <v>0.90200000000000002</v>
      </c>
      <c r="CV582" s="7">
        <v>0.90659999999999996</v>
      </c>
      <c r="CW582" s="7">
        <v>0.91120000000000001</v>
      </c>
      <c r="CX582" s="7">
        <v>0.91579999999999995</v>
      </c>
      <c r="CY582" s="7">
        <v>0.9204</v>
      </c>
      <c r="CZ582" s="7">
        <v>0.92500000000000004</v>
      </c>
      <c r="DA582" s="7">
        <v>0.92949999999999999</v>
      </c>
      <c r="DB582" s="7">
        <v>0.93410000000000004</v>
      </c>
      <c r="DC582" s="7">
        <v>0.93859999999999999</v>
      </c>
      <c r="DD582" s="7">
        <v>0.94320000000000004</v>
      </c>
      <c r="DE582" s="7">
        <v>0.94769999999999999</v>
      </c>
      <c r="DF582" s="7">
        <v>0.95220000000000005</v>
      </c>
      <c r="DG582" s="7">
        <v>0.95679999999999998</v>
      </c>
      <c r="DH582" s="7">
        <v>0.96130000000000004</v>
      </c>
      <c r="DI582" s="7">
        <v>0.96579999999999999</v>
      </c>
      <c r="DJ582" s="7">
        <v>0.97040000000000004</v>
      </c>
      <c r="DK582" s="7">
        <v>0.97489999999999999</v>
      </c>
      <c r="DL582" s="7">
        <v>0.97940000000000005</v>
      </c>
      <c r="DM582" s="7">
        <v>0.9839</v>
      </c>
      <c r="DN582" s="7">
        <v>0.98850000000000005</v>
      </c>
      <c r="DO582" s="7">
        <v>0.99299999999999999</v>
      </c>
      <c r="DP582" s="7">
        <v>0.99750000000000005</v>
      </c>
      <c r="DQ582" s="7">
        <v>1.0009999999999999</v>
      </c>
      <c r="DR582" s="7">
        <v>1.0009999999999999</v>
      </c>
      <c r="DS582" s="7">
        <v>1.0009999999999999</v>
      </c>
      <c r="DT582" s="7">
        <v>1.0009999999999999</v>
      </c>
      <c r="DU582" s="7">
        <v>1.0009999999999999</v>
      </c>
      <c r="DV582" s="7">
        <v>1.0009999999999999</v>
      </c>
      <c r="DW582" s="7">
        <v>1.0009999999999999</v>
      </c>
      <c r="DX582" s="7">
        <v>1.0009999999999999</v>
      </c>
      <c r="DY582" s="7">
        <v>1.0009999999999999</v>
      </c>
      <c r="DZ582" s="7">
        <v>1.0009999999999999</v>
      </c>
      <c r="EA582" s="7">
        <v>1.0009999999999999</v>
      </c>
      <c r="EB582" s="7">
        <v>1.0009999999999999</v>
      </c>
      <c r="EC582" s="7">
        <v>1.0009999999999999</v>
      </c>
      <c r="ED582" s="7">
        <v>1.0009999999999999</v>
      </c>
      <c r="EE582" s="7">
        <v>1.0009999999999999</v>
      </c>
      <c r="EF582" s="7">
        <v>1.0009999999999999</v>
      </c>
      <c r="EG582" s="7">
        <v>1.0009999999999999</v>
      </c>
      <c r="EH582" s="7">
        <v>1.0009999999999999</v>
      </c>
      <c r="EI582" s="7">
        <v>1.0009999999999999</v>
      </c>
      <c r="EJ582" s="7">
        <v>1.0009999999999999</v>
      </c>
      <c r="EK582" s="7">
        <v>1.0009999999999999</v>
      </c>
      <c r="EL582" s="7">
        <v>1.0009999999999999</v>
      </c>
      <c r="EM582" s="7">
        <v>1.0009999999999999</v>
      </c>
      <c r="EN582" s="7">
        <v>1.0009999999999999</v>
      </c>
      <c r="EO582" s="7">
        <v>1.0009999999999999</v>
      </c>
      <c r="EP582" s="7">
        <v>1.0009999999999999</v>
      </c>
      <c r="EQ582" s="7">
        <v>1.0009999999999999</v>
      </c>
      <c r="ER582" s="7">
        <v>1.0009999999999999</v>
      </c>
      <c r="ES582" s="7">
        <v>1.0009999999999999</v>
      </c>
      <c r="ET582" s="7">
        <v>1.0009999999999999</v>
      </c>
      <c r="EU582" s="7">
        <v>1.0009999999999999</v>
      </c>
      <c r="EV582" s="7">
        <v>1.0009999999999999</v>
      </c>
      <c r="EW582" s="7">
        <v>1.0009999999999999</v>
      </c>
      <c r="EX582" s="7">
        <v>1.0009999999999999</v>
      </c>
      <c r="EY582" s="7">
        <v>1.0009999999999999</v>
      </c>
      <c r="EZ582" s="7">
        <v>1.0009999999999999</v>
      </c>
      <c r="FA582" s="7">
        <v>1.0009999999999999</v>
      </c>
      <c r="FB582" s="7">
        <v>1.0009999999999999</v>
      </c>
      <c r="FC582" s="7">
        <v>1.0009999999999999</v>
      </c>
      <c r="FE582" s="50">
        <f t="shared" ca="1" si="59"/>
        <v>1.0009999999999999</v>
      </c>
      <c r="FF582" s="50">
        <f t="shared" ca="1" si="60"/>
        <v>1.0009999999999999</v>
      </c>
      <c r="FG582" s="50">
        <f t="shared" ca="1" si="61"/>
        <v>1.0009999999999999</v>
      </c>
      <c r="FH582" s="50">
        <f t="shared" ca="1" si="62"/>
        <v>1.0009999999999999</v>
      </c>
      <c r="FI582" s="50"/>
      <c r="FK582" s="50">
        <f t="shared" ca="1" si="63"/>
        <v>1.0009999999999999</v>
      </c>
      <c r="FL582" s="50"/>
      <c r="FM582" s="50"/>
      <c r="FN582" s="50"/>
    </row>
    <row r="583" spans="49:170" hidden="1">
      <c r="AW583" s="112">
        <v>4.4669999999999996</v>
      </c>
      <c r="AX583" s="7">
        <v>0.63280000000000003</v>
      </c>
      <c r="AY583" s="7">
        <v>0.63949999999999996</v>
      </c>
      <c r="AZ583" s="7">
        <v>0.64610000000000001</v>
      </c>
      <c r="BA583" s="7">
        <v>0.65259999999999996</v>
      </c>
      <c r="BB583" s="7">
        <v>0.65900000000000003</v>
      </c>
      <c r="BC583" s="7">
        <v>0.66539999999999999</v>
      </c>
      <c r="BD583" s="7">
        <v>0.67169999999999996</v>
      </c>
      <c r="BE583" s="7">
        <v>0.67800000000000005</v>
      </c>
      <c r="BF583" s="7">
        <v>0.68420000000000003</v>
      </c>
      <c r="BG583" s="7">
        <v>0.69030000000000002</v>
      </c>
      <c r="BH583" s="7">
        <v>0.69640000000000002</v>
      </c>
      <c r="BI583" s="7">
        <v>0.70240000000000002</v>
      </c>
      <c r="BJ583" s="7">
        <v>0.70840000000000003</v>
      </c>
      <c r="BK583" s="7">
        <v>0.71430000000000005</v>
      </c>
      <c r="BL583" s="7">
        <v>0.72009999999999996</v>
      </c>
      <c r="BM583" s="7">
        <v>0.72589999999999999</v>
      </c>
      <c r="BN583" s="7">
        <v>0.73160000000000003</v>
      </c>
      <c r="BO583" s="7">
        <v>0.73729999999999996</v>
      </c>
      <c r="BP583" s="7">
        <v>0.7429</v>
      </c>
      <c r="BQ583" s="7">
        <v>0.74850000000000005</v>
      </c>
      <c r="BR583" s="7">
        <v>0.75409999999999999</v>
      </c>
      <c r="BS583" s="7">
        <v>0.75949999999999995</v>
      </c>
      <c r="BT583" s="7">
        <v>0.76500000000000001</v>
      </c>
      <c r="BU583" s="7">
        <v>0.77039999999999997</v>
      </c>
      <c r="BV583" s="7">
        <v>0.77569999999999995</v>
      </c>
      <c r="BW583" s="7">
        <v>0.78100000000000003</v>
      </c>
      <c r="BX583" s="7">
        <v>0.7863</v>
      </c>
      <c r="BY583" s="7">
        <v>0.79149999999999998</v>
      </c>
      <c r="BZ583" s="7">
        <v>0.79669999999999996</v>
      </c>
      <c r="CA583" s="7">
        <v>0.80179999999999996</v>
      </c>
      <c r="CB583" s="7">
        <v>0.80689999999999995</v>
      </c>
      <c r="CC583" s="7">
        <v>0.81200000000000006</v>
      </c>
      <c r="CD583" s="7">
        <v>0.81699999999999995</v>
      </c>
      <c r="CE583" s="7">
        <v>0.82199999999999995</v>
      </c>
      <c r="CF583" s="7">
        <v>0.82699999999999996</v>
      </c>
      <c r="CG583" s="7">
        <v>0.83199999999999996</v>
      </c>
      <c r="CH583" s="7">
        <v>0.83689999999999998</v>
      </c>
      <c r="CI583" s="7">
        <v>0.8417</v>
      </c>
      <c r="CJ583" s="7">
        <v>0.84660000000000002</v>
      </c>
      <c r="CK583" s="7">
        <v>0.85140000000000005</v>
      </c>
      <c r="CL583" s="7">
        <v>0.85619999999999996</v>
      </c>
      <c r="CM583" s="7">
        <v>0.86099999999999999</v>
      </c>
      <c r="CN583" s="7">
        <v>0.86570000000000003</v>
      </c>
      <c r="CO583" s="7">
        <v>0.87039999999999995</v>
      </c>
      <c r="CP583" s="7">
        <v>0.87509999999999999</v>
      </c>
      <c r="CQ583" s="7">
        <v>0.87980000000000003</v>
      </c>
      <c r="CR583" s="7">
        <v>0.88449999999999995</v>
      </c>
      <c r="CS583" s="7">
        <v>0.8891</v>
      </c>
      <c r="CT583" s="7">
        <v>0.89370000000000005</v>
      </c>
      <c r="CU583" s="7">
        <v>0.89839999999999998</v>
      </c>
      <c r="CV583" s="7">
        <v>0.90300000000000002</v>
      </c>
      <c r="CW583" s="7">
        <v>0.90749999999999997</v>
      </c>
      <c r="CX583" s="7">
        <v>0.91210000000000002</v>
      </c>
      <c r="CY583" s="7">
        <v>0.91669999999999996</v>
      </c>
      <c r="CZ583" s="7">
        <v>0.92120000000000002</v>
      </c>
      <c r="DA583" s="7">
        <v>0.92579999999999996</v>
      </c>
      <c r="DB583" s="7">
        <v>0.93030000000000002</v>
      </c>
      <c r="DC583" s="7">
        <v>0.93479999999999996</v>
      </c>
      <c r="DD583" s="7">
        <v>0.93940000000000001</v>
      </c>
      <c r="DE583" s="7">
        <v>0.94389999999999996</v>
      </c>
      <c r="DF583" s="7">
        <v>0.94840000000000002</v>
      </c>
      <c r="DG583" s="7">
        <v>0.95289999999999997</v>
      </c>
      <c r="DH583" s="7">
        <v>0.95740000000000003</v>
      </c>
      <c r="DI583" s="7">
        <v>0.96189999999999998</v>
      </c>
      <c r="DJ583" s="7">
        <v>0.96640000000000004</v>
      </c>
      <c r="DK583" s="7">
        <v>0.97099999999999997</v>
      </c>
      <c r="DL583" s="7">
        <v>0.97550000000000003</v>
      </c>
      <c r="DM583" s="7">
        <v>0.98</v>
      </c>
      <c r="DN583" s="7">
        <v>0.98450000000000004</v>
      </c>
      <c r="DO583" s="7">
        <v>0.98899999999999999</v>
      </c>
      <c r="DP583" s="7">
        <v>0.99350000000000005</v>
      </c>
      <c r="DQ583" s="7">
        <v>0.998</v>
      </c>
      <c r="DR583" s="7">
        <v>1.0009999999999999</v>
      </c>
      <c r="DS583" s="7">
        <v>1.0009999999999999</v>
      </c>
      <c r="DT583" s="7">
        <v>1.0009999999999999</v>
      </c>
      <c r="DU583" s="7">
        <v>1.0009999999999999</v>
      </c>
      <c r="DV583" s="7">
        <v>1.0009999999999999</v>
      </c>
      <c r="DW583" s="7">
        <v>1.0009999999999999</v>
      </c>
      <c r="DX583" s="7">
        <v>1.0009999999999999</v>
      </c>
      <c r="DY583" s="7">
        <v>1.0009999999999999</v>
      </c>
      <c r="DZ583" s="7">
        <v>1.0009999999999999</v>
      </c>
      <c r="EA583" s="7">
        <v>1.0009999999999999</v>
      </c>
      <c r="EB583" s="7">
        <v>1.0009999999999999</v>
      </c>
      <c r="EC583" s="7">
        <v>1.0009999999999999</v>
      </c>
      <c r="ED583" s="7">
        <v>1.0009999999999999</v>
      </c>
      <c r="EE583" s="7">
        <v>1.0009999999999999</v>
      </c>
      <c r="EF583" s="7">
        <v>1.0009999999999999</v>
      </c>
      <c r="EG583" s="7">
        <v>1.0009999999999999</v>
      </c>
      <c r="EH583" s="7">
        <v>1.0009999999999999</v>
      </c>
      <c r="EI583" s="7">
        <v>1.0009999999999999</v>
      </c>
      <c r="EJ583" s="7">
        <v>1.0009999999999999</v>
      </c>
      <c r="EK583" s="7">
        <v>1.0009999999999999</v>
      </c>
      <c r="EL583" s="7">
        <v>1.0009999999999999</v>
      </c>
      <c r="EM583" s="7">
        <v>1.0009999999999999</v>
      </c>
      <c r="EN583" s="7">
        <v>1.0009999999999999</v>
      </c>
      <c r="EO583" s="7">
        <v>1.0009999999999999</v>
      </c>
      <c r="EP583" s="7">
        <v>1.0009999999999999</v>
      </c>
      <c r="EQ583" s="7">
        <v>1.0009999999999999</v>
      </c>
      <c r="ER583" s="7">
        <v>1.0009999999999999</v>
      </c>
      <c r="ES583" s="7">
        <v>1.0009999999999999</v>
      </c>
      <c r="ET583" s="7">
        <v>1.0009999999999999</v>
      </c>
      <c r="EU583" s="7">
        <v>1.0009999999999999</v>
      </c>
      <c r="EV583" s="7">
        <v>1.0009999999999999</v>
      </c>
      <c r="EW583" s="7">
        <v>1.0009999999999999</v>
      </c>
      <c r="EX583" s="7">
        <v>1.0009999999999999</v>
      </c>
      <c r="EY583" s="7">
        <v>1.0009999999999999</v>
      </c>
      <c r="EZ583" s="7">
        <v>1.0009999999999999</v>
      </c>
      <c r="FA583" s="7">
        <v>1.0009999999999999</v>
      </c>
      <c r="FB583" s="7">
        <v>1.0009999999999999</v>
      </c>
      <c r="FC583" s="7">
        <v>1.0009999999999999</v>
      </c>
      <c r="FE583" s="50">
        <f t="shared" ca="1" si="59"/>
        <v>1.0009999999999999</v>
      </c>
      <c r="FF583" s="50">
        <f t="shared" ca="1" si="60"/>
        <v>1.0009999999999999</v>
      </c>
      <c r="FG583" s="50">
        <f t="shared" ca="1" si="61"/>
        <v>1.0009999999999999</v>
      </c>
      <c r="FH583" s="50">
        <f t="shared" ca="1" si="62"/>
        <v>1.0009999999999999</v>
      </c>
      <c r="FI583" s="50"/>
      <c r="FK583" s="50">
        <f t="shared" ca="1" si="63"/>
        <v>1.0009999999999999</v>
      </c>
      <c r="FL583" s="50"/>
      <c r="FM583" s="50"/>
      <c r="FN583" s="50"/>
    </row>
    <row r="584" spans="49:170" hidden="1">
      <c r="AW584" s="112">
        <v>4.7859999999999996</v>
      </c>
      <c r="AX584" s="7">
        <v>0.63029999999999997</v>
      </c>
      <c r="AY584" s="7">
        <v>0.63690000000000002</v>
      </c>
      <c r="AZ584" s="7">
        <v>0.64349999999999996</v>
      </c>
      <c r="BA584" s="7">
        <v>0.65</v>
      </c>
      <c r="BB584" s="7">
        <v>0.65639999999999998</v>
      </c>
      <c r="BC584" s="7">
        <v>0.66279999999999994</v>
      </c>
      <c r="BD584" s="7">
        <v>0.66910000000000003</v>
      </c>
      <c r="BE584" s="7">
        <v>0.67530000000000001</v>
      </c>
      <c r="BF584" s="7">
        <v>0.68149999999999999</v>
      </c>
      <c r="BG584" s="7">
        <v>0.68759999999999999</v>
      </c>
      <c r="BH584" s="7">
        <v>0.69359999999999999</v>
      </c>
      <c r="BI584" s="7">
        <v>0.6996</v>
      </c>
      <c r="BJ584" s="7">
        <v>0.70550000000000002</v>
      </c>
      <c r="BK584" s="7">
        <v>0.71140000000000003</v>
      </c>
      <c r="BL584" s="7">
        <v>0.71719999999999995</v>
      </c>
      <c r="BM584" s="7">
        <v>0.72299999999999998</v>
      </c>
      <c r="BN584" s="7">
        <v>0.72870000000000001</v>
      </c>
      <c r="BO584" s="7">
        <v>0.73440000000000005</v>
      </c>
      <c r="BP584" s="7">
        <v>0.74</v>
      </c>
      <c r="BQ584" s="7">
        <v>0.74560000000000004</v>
      </c>
      <c r="BR584" s="7">
        <v>0.75109999999999999</v>
      </c>
      <c r="BS584" s="7">
        <v>0.75649999999999995</v>
      </c>
      <c r="BT584" s="7">
        <v>0.76190000000000002</v>
      </c>
      <c r="BU584" s="7">
        <v>0.76729999999999998</v>
      </c>
      <c r="BV584" s="7">
        <v>0.77259999999999995</v>
      </c>
      <c r="BW584" s="7">
        <v>0.77790000000000004</v>
      </c>
      <c r="BX584" s="7">
        <v>0.78320000000000001</v>
      </c>
      <c r="BY584" s="7">
        <v>0.78839999999999999</v>
      </c>
      <c r="BZ584" s="7">
        <v>0.79349999999999998</v>
      </c>
      <c r="CA584" s="7">
        <v>0.79869999999999997</v>
      </c>
      <c r="CB584" s="7">
        <v>0.80369999999999997</v>
      </c>
      <c r="CC584" s="7">
        <v>0.80879999999999996</v>
      </c>
      <c r="CD584" s="7">
        <v>0.81379999999999997</v>
      </c>
      <c r="CE584" s="7">
        <v>0.81879999999999997</v>
      </c>
      <c r="CF584" s="7">
        <v>0.82369999999999999</v>
      </c>
      <c r="CG584" s="7">
        <v>0.8286</v>
      </c>
      <c r="CH584" s="7">
        <v>0.83350000000000002</v>
      </c>
      <c r="CI584" s="7">
        <v>0.83840000000000003</v>
      </c>
      <c r="CJ584" s="7">
        <v>0.84319999999999995</v>
      </c>
      <c r="CK584" s="7">
        <v>0.84799999999999998</v>
      </c>
      <c r="CL584" s="7">
        <v>0.8528</v>
      </c>
      <c r="CM584" s="7">
        <v>0.85750000000000004</v>
      </c>
      <c r="CN584" s="7">
        <v>0.86229999999999996</v>
      </c>
      <c r="CO584" s="7">
        <v>0.86699999999999999</v>
      </c>
      <c r="CP584" s="7">
        <v>0.87160000000000004</v>
      </c>
      <c r="CQ584" s="7">
        <v>0.87629999999999997</v>
      </c>
      <c r="CR584" s="7">
        <v>0.88090000000000002</v>
      </c>
      <c r="CS584" s="7">
        <v>0.88560000000000005</v>
      </c>
      <c r="CT584" s="7">
        <v>0.89019999999999999</v>
      </c>
      <c r="CU584" s="7">
        <v>0.89480000000000004</v>
      </c>
      <c r="CV584" s="7">
        <v>0.89939999999999998</v>
      </c>
      <c r="CW584" s="7">
        <v>0.90390000000000004</v>
      </c>
      <c r="CX584" s="7">
        <v>0.90849999999999997</v>
      </c>
      <c r="CY584" s="7">
        <v>0.91300000000000003</v>
      </c>
      <c r="CZ584" s="7">
        <v>0.91759999999999997</v>
      </c>
      <c r="DA584" s="7">
        <v>0.92210000000000003</v>
      </c>
      <c r="DB584" s="7">
        <v>0.92659999999999998</v>
      </c>
      <c r="DC584" s="7">
        <v>0.93110000000000004</v>
      </c>
      <c r="DD584" s="7">
        <v>0.93559999999999999</v>
      </c>
      <c r="DE584" s="7">
        <v>0.94010000000000005</v>
      </c>
      <c r="DF584" s="7">
        <v>0.9446</v>
      </c>
      <c r="DG584" s="7">
        <v>0.94910000000000005</v>
      </c>
      <c r="DH584" s="7">
        <v>0.9536</v>
      </c>
      <c r="DI584" s="7">
        <v>0.95809999999999995</v>
      </c>
      <c r="DJ584" s="7">
        <v>0.96260000000000001</v>
      </c>
      <c r="DK584" s="7">
        <v>0.96709999999999996</v>
      </c>
      <c r="DL584" s="7">
        <v>0.97160000000000002</v>
      </c>
      <c r="DM584" s="7">
        <v>0.97609999999999997</v>
      </c>
      <c r="DN584" s="7">
        <v>0.98060000000000003</v>
      </c>
      <c r="DO584" s="7">
        <v>0.98499999999999999</v>
      </c>
      <c r="DP584" s="7">
        <v>0.98950000000000005</v>
      </c>
      <c r="DQ584" s="7">
        <v>0.99399999999999999</v>
      </c>
      <c r="DR584" s="7">
        <v>0.99850000000000005</v>
      </c>
      <c r="DS584" s="7">
        <v>1.0009999999999999</v>
      </c>
      <c r="DT584" s="7">
        <v>1.0009999999999999</v>
      </c>
      <c r="DU584" s="7">
        <v>1.0009999999999999</v>
      </c>
      <c r="DV584" s="7">
        <v>1.0009999999999999</v>
      </c>
      <c r="DW584" s="7">
        <v>1.0009999999999999</v>
      </c>
      <c r="DX584" s="7">
        <v>1.0009999999999999</v>
      </c>
      <c r="DY584" s="7">
        <v>1.0009999999999999</v>
      </c>
      <c r="DZ584" s="7">
        <v>1.0009999999999999</v>
      </c>
      <c r="EA584" s="7">
        <v>1.0009999999999999</v>
      </c>
      <c r="EB584" s="7">
        <v>1.0009999999999999</v>
      </c>
      <c r="EC584" s="7">
        <v>1.0009999999999999</v>
      </c>
      <c r="ED584" s="7">
        <v>1.0009999999999999</v>
      </c>
      <c r="EE584" s="7">
        <v>1.0009999999999999</v>
      </c>
      <c r="EF584" s="7">
        <v>1.0009999999999999</v>
      </c>
      <c r="EG584" s="7">
        <v>1.0009999999999999</v>
      </c>
      <c r="EH584" s="7">
        <v>1.0009999999999999</v>
      </c>
      <c r="EI584" s="7">
        <v>1.0009999999999999</v>
      </c>
      <c r="EJ584" s="7">
        <v>1.0009999999999999</v>
      </c>
      <c r="EK584" s="7">
        <v>1.0009999999999999</v>
      </c>
      <c r="EL584" s="7">
        <v>1.0009999999999999</v>
      </c>
      <c r="EM584" s="7">
        <v>1.0009999999999999</v>
      </c>
      <c r="EN584" s="7">
        <v>1.0009999999999999</v>
      </c>
      <c r="EO584" s="7">
        <v>1.0009999999999999</v>
      </c>
      <c r="EP584" s="7">
        <v>1.0009999999999999</v>
      </c>
      <c r="EQ584" s="7">
        <v>1.0009999999999999</v>
      </c>
      <c r="ER584" s="7">
        <v>1.0009999999999999</v>
      </c>
      <c r="ES584" s="7">
        <v>1.0009999999999999</v>
      </c>
      <c r="ET584" s="7">
        <v>1.0009999999999999</v>
      </c>
      <c r="EU584" s="7">
        <v>1.0009999999999999</v>
      </c>
      <c r="EV584" s="7">
        <v>1.0009999999999999</v>
      </c>
      <c r="EW584" s="7">
        <v>1.0009999999999999</v>
      </c>
      <c r="EX584" s="7">
        <v>1.0009999999999999</v>
      </c>
      <c r="EY584" s="7">
        <v>1.0009999999999999</v>
      </c>
      <c r="EZ584" s="7">
        <v>1.0009999999999999</v>
      </c>
      <c r="FA584" s="7">
        <v>1.0009999999999999</v>
      </c>
      <c r="FB584" s="7">
        <v>1.0009999999999999</v>
      </c>
      <c r="FC584" s="7">
        <v>1.0009999999999999</v>
      </c>
      <c r="FE584" s="50">
        <f t="shared" ca="1" si="59"/>
        <v>1.0009999999999999</v>
      </c>
      <c r="FF584" s="50">
        <f t="shared" ca="1" si="60"/>
        <v>1.0009999999999999</v>
      </c>
      <c r="FG584" s="50">
        <f t="shared" ca="1" si="61"/>
        <v>1.0009999999999999</v>
      </c>
      <c r="FH584" s="50">
        <f t="shared" ca="1" si="62"/>
        <v>1.0009999999999999</v>
      </c>
      <c r="FI584" s="50"/>
      <c r="FK584" s="50">
        <f t="shared" ca="1" si="63"/>
        <v>1.0009999999999999</v>
      </c>
      <c r="FL584" s="50"/>
      <c r="FM584" s="50"/>
      <c r="FN584" s="50"/>
    </row>
    <row r="585" spans="49:170" hidden="1">
      <c r="AW585" s="112">
        <v>5.1289999999999996</v>
      </c>
      <c r="AX585" s="7">
        <v>0.62780000000000002</v>
      </c>
      <c r="AY585" s="7">
        <v>0.63439999999999996</v>
      </c>
      <c r="AZ585" s="7">
        <v>0.64100000000000001</v>
      </c>
      <c r="BA585" s="7">
        <v>0.64739999999999998</v>
      </c>
      <c r="BB585" s="7">
        <v>0.65380000000000005</v>
      </c>
      <c r="BC585" s="7">
        <v>0.66020000000000001</v>
      </c>
      <c r="BD585" s="7">
        <v>0.66639999999999999</v>
      </c>
      <c r="BE585" s="7">
        <v>0.67259999999999998</v>
      </c>
      <c r="BF585" s="7">
        <v>0.67879999999999996</v>
      </c>
      <c r="BG585" s="7">
        <v>0.68489999999999995</v>
      </c>
      <c r="BH585" s="7">
        <v>0.69089999999999996</v>
      </c>
      <c r="BI585" s="7">
        <v>0.69689999999999996</v>
      </c>
      <c r="BJ585" s="7">
        <v>0.70279999999999998</v>
      </c>
      <c r="BK585" s="7">
        <v>0.70860000000000001</v>
      </c>
      <c r="BL585" s="7">
        <v>0.71440000000000003</v>
      </c>
      <c r="BM585" s="7">
        <v>0.72019999999999995</v>
      </c>
      <c r="BN585" s="7">
        <v>0.72589999999999999</v>
      </c>
      <c r="BO585" s="7">
        <v>0.73150000000000004</v>
      </c>
      <c r="BP585" s="7">
        <v>0.73709999999999998</v>
      </c>
      <c r="BQ585" s="7">
        <v>0.74260000000000004</v>
      </c>
      <c r="BR585" s="7">
        <v>0.74809999999999999</v>
      </c>
      <c r="BS585" s="7">
        <v>0.75360000000000005</v>
      </c>
      <c r="BT585" s="7">
        <v>0.75890000000000002</v>
      </c>
      <c r="BU585" s="7">
        <v>0.76429999999999998</v>
      </c>
      <c r="BV585" s="7">
        <v>0.76959999999999995</v>
      </c>
      <c r="BW585" s="7">
        <v>0.77490000000000003</v>
      </c>
      <c r="BX585" s="7">
        <v>0.78010000000000002</v>
      </c>
      <c r="BY585" s="7">
        <v>0.7853</v>
      </c>
      <c r="BZ585" s="7">
        <v>0.79039999999999999</v>
      </c>
      <c r="CA585" s="7">
        <v>0.79549999999999998</v>
      </c>
      <c r="CB585" s="7">
        <v>0.80059999999999998</v>
      </c>
      <c r="CC585" s="7">
        <v>0.80559999999999998</v>
      </c>
      <c r="CD585" s="7">
        <v>0.81059999999999999</v>
      </c>
      <c r="CE585" s="7">
        <v>0.81559999999999999</v>
      </c>
      <c r="CF585" s="7">
        <v>0.82050000000000001</v>
      </c>
      <c r="CG585" s="7">
        <v>0.82540000000000002</v>
      </c>
      <c r="CH585" s="7">
        <v>0.83030000000000004</v>
      </c>
      <c r="CI585" s="7">
        <v>0.83509999999999995</v>
      </c>
      <c r="CJ585" s="7">
        <v>0.83989999999999998</v>
      </c>
      <c r="CK585" s="7">
        <v>0.84470000000000001</v>
      </c>
      <c r="CL585" s="7">
        <v>0.84940000000000004</v>
      </c>
      <c r="CM585" s="7">
        <v>0.85419999999999996</v>
      </c>
      <c r="CN585" s="7">
        <v>0.8589</v>
      </c>
      <c r="CO585" s="7">
        <v>0.86360000000000003</v>
      </c>
      <c r="CP585" s="7">
        <v>0.86819999999999997</v>
      </c>
      <c r="CQ585" s="7">
        <v>0.87290000000000001</v>
      </c>
      <c r="CR585" s="7">
        <v>0.87749999999999995</v>
      </c>
      <c r="CS585" s="7">
        <v>0.8821</v>
      </c>
      <c r="CT585" s="7">
        <v>0.88670000000000004</v>
      </c>
      <c r="CU585" s="7">
        <v>0.89129999999999998</v>
      </c>
      <c r="CV585" s="7">
        <v>0.89580000000000004</v>
      </c>
      <c r="CW585" s="7">
        <v>0.90039999999999998</v>
      </c>
      <c r="CX585" s="7">
        <v>0.90490000000000004</v>
      </c>
      <c r="CY585" s="7">
        <v>0.90939999999999999</v>
      </c>
      <c r="CZ585" s="7">
        <v>0.91400000000000003</v>
      </c>
      <c r="DA585" s="7">
        <v>0.91849999999999998</v>
      </c>
      <c r="DB585" s="7">
        <v>0.92300000000000004</v>
      </c>
      <c r="DC585" s="7">
        <v>0.92749999999999999</v>
      </c>
      <c r="DD585" s="7">
        <v>0.93200000000000005</v>
      </c>
      <c r="DE585" s="7">
        <v>0.93640000000000001</v>
      </c>
      <c r="DF585" s="7">
        <v>0.94089999999999996</v>
      </c>
      <c r="DG585" s="7">
        <v>0.94540000000000002</v>
      </c>
      <c r="DH585" s="7">
        <v>0.94989999999999997</v>
      </c>
      <c r="DI585" s="7">
        <v>0.95430000000000004</v>
      </c>
      <c r="DJ585" s="7">
        <v>0.95879999999999999</v>
      </c>
      <c r="DK585" s="7">
        <v>0.96330000000000005</v>
      </c>
      <c r="DL585" s="7">
        <v>0.96779999999999999</v>
      </c>
      <c r="DM585" s="7">
        <v>0.97219999999999995</v>
      </c>
      <c r="DN585" s="7">
        <v>0.97670000000000001</v>
      </c>
      <c r="DO585" s="7">
        <v>0.98119999999999996</v>
      </c>
      <c r="DP585" s="7">
        <v>0.98560000000000003</v>
      </c>
      <c r="DQ585" s="7">
        <v>0.99009999999999998</v>
      </c>
      <c r="DR585" s="7">
        <v>0.99460000000000004</v>
      </c>
      <c r="DS585" s="7">
        <v>0.999</v>
      </c>
      <c r="DT585" s="7">
        <v>1.0009999999999999</v>
      </c>
      <c r="DU585" s="7">
        <v>1.0009999999999999</v>
      </c>
      <c r="DV585" s="7">
        <v>1.0009999999999999</v>
      </c>
      <c r="DW585" s="7">
        <v>1.0009999999999999</v>
      </c>
      <c r="DX585" s="7">
        <v>1.0009999999999999</v>
      </c>
      <c r="DY585" s="7">
        <v>1.0009999999999999</v>
      </c>
      <c r="DZ585" s="7">
        <v>1.0009999999999999</v>
      </c>
      <c r="EA585" s="7">
        <v>1.0009999999999999</v>
      </c>
      <c r="EB585" s="7">
        <v>1.0009999999999999</v>
      </c>
      <c r="EC585" s="7">
        <v>1.0009999999999999</v>
      </c>
      <c r="ED585" s="7">
        <v>1.0009999999999999</v>
      </c>
      <c r="EE585" s="7">
        <v>1.0009999999999999</v>
      </c>
      <c r="EF585" s="7">
        <v>1.0009999999999999</v>
      </c>
      <c r="EG585" s="7">
        <v>1.0009999999999999</v>
      </c>
      <c r="EH585" s="7">
        <v>1.0009999999999999</v>
      </c>
      <c r="EI585" s="7">
        <v>1.0009999999999999</v>
      </c>
      <c r="EJ585" s="7">
        <v>1.0009999999999999</v>
      </c>
      <c r="EK585" s="7">
        <v>1.0009999999999999</v>
      </c>
      <c r="EL585" s="7">
        <v>1.0009999999999999</v>
      </c>
      <c r="EM585" s="7">
        <v>1.0009999999999999</v>
      </c>
      <c r="EN585" s="7">
        <v>1.0009999999999999</v>
      </c>
      <c r="EO585" s="7">
        <v>1.0009999999999999</v>
      </c>
      <c r="EP585" s="7">
        <v>1.0009999999999999</v>
      </c>
      <c r="EQ585" s="7">
        <v>1.0009999999999999</v>
      </c>
      <c r="ER585" s="7">
        <v>1.0009999999999999</v>
      </c>
      <c r="ES585" s="7">
        <v>1.0009999999999999</v>
      </c>
      <c r="ET585" s="7">
        <v>1.0009999999999999</v>
      </c>
      <c r="EU585" s="7">
        <v>1.0009999999999999</v>
      </c>
      <c r="EV585" s="7">
        <v>1.0009999999999999</v>
      </c>
      <c r="EW585" s="7">
        <v>1.0009999999999999</v>
      </c>
      <c r="EX585" s="7">
        <v>1.0009999999999999</v>
      </c>
      <c r="EY585" s="7">
        <v>1.0009999999999999</v>
      </c>
      <c r="EZ585" s="7">
        <v>1.0009999999999999</v>
      </c>
      <c r="FA585" s="7">
        <v>1.0009999999999999</v>
      </c>
      <c r="FB585" s="7">
        <v>1.0009999999999999</v>
      </c>
      <c r="FC585" s="7">
        <v>1.0009999999999999</v>
      </c>
      <c r="FE585" s="50">
        <f t="shared" ca="1" si="59"/>
        <v>1.0009999999999999</v>
      </c>
      <c r="FF585" s="50">
        <f t="shared" ca="1" si="60"/>
        <v>1.0009999999999999</v>
      </c>
      <c r="FG585" s="50">
        <f t="shared" ca="1" si="61"/>
        <v>1.0009999999999999</v>
      </c>
      <c r="FH585" s="50">
        <f t="shared" ca="1" si="62"/>
        <v>1.0009999999999999</v>
      </c>
      <c r="FI585" s="50"/>
      <c r="FK585" s="50">
        <f t="shared" ca="1" si="63"/>
        <v>1.0009999999999999</v>
      </c>
      <c r="FL585" s="50"/>
      <c r="FM585" s="50"/>
      <c r="FN585" s="50"/>
    </row>
    <row r="586" spans="49:170" hidden="1">
      <c r="AW586" s="112">
        <v>5.4950000000000001</v>
      </c>
      <c r="AX586" s="7">
        <v>0.62539999999999996</v>
      </c>
      <c r="AY586" s="7">
        <v>0.63200000000000001</v>
      </c>
      <c r="AZ586" s="7">
        <v>0.63849999999999996</v>
      </c>
      <c r="BA586" s="7">
        <v>0.64490000000000003</v>
      </c>
      <c r="BB586" s="7">
        <v>0.65129999999999999</v>
      </c>
      <c r="BC586" s="7">
        <v>0.65759999999999996</v>
      </c>
      <c r="BD586" s="7">
        <v>0.66390000000000005</v>
      </c>
      <c r="BE586" s="7">
        <v>0.67</v>
      </c>
      <c r="BF586" s="7">
        <v>0.67620000000000002</v>
      </c>
      <c r="BG586" s="7">
        <v>0.68220000000000003</v>
      </c>
      <c r="BH586" s="7">
        <v>0.68820000000000003</v>
      </c>
      <c r="BI586" s="7">
        <v>0.69420000000000004</v>
      </c>
      <c r="BJ586" s="7">
        <v>0.70009999999999994</v>
      </c>
      <c r="BK586" s="7">
        <v>0.70589999999999997</v>
      </c>
      <c r="BL586" s="7">
        <v>0.7117</v>
      </c>
      <c r="BM586" s="7">
        <v>0.71740000000000004</v>
      </c>
      <c r="BN586" s="7">
        <v>0.72299999999999998</v>
      </c>
      <c r="BO586" s="7">
        <v>0.72870000000000001</v>
      </c>
      <c r="BP586" s="7">
        <v>0.73419999999999996</v>
      </c>
      <c r="BQ586" s="7">
        <v>0.73970000000000002</v>
      </c>
      <c r="BR586" s="7">
        <v>0.74519999999999997</v>
      </c>
      <c r="BS586" s="7">
        <v>0.75060000000000004</v>
      </c>
      <c r="BT586" s="7">
        <v>0.75600000000000001</v>
      </c>
      <c r="BU586" s="7">
        <v>0.76129999999999998</v>
      </c>
      <c r="BV586" s="7">
        <v>0.76659999999999995</v>
      </c>
      <c r="BW586" s="7">
        <v>0.77190000000000003</v>
      </c>
      <c r="BX586" s="7">
        <v>0.77710000000000001</v>
      </c>
      <c r="BY586" s="7">
        <v>0.78220000000000001</v>
      </c>
      <c r="BZ586" s="7">
        <v>0.7873</v>
      </c>
      <c r="CA586" s="7">
        <v>0.79239999999999999</v>
      </c>
      <c r="CB586" s="7">
        <v>0.79749999999999999</v>
      </c>
      <c r="CC586" s="7">
        <v>0.80249999999999999</v>
      </c>
      <c r="CD586" s="7">
        <v>0.8075</v>
      </c>
      <c r="CE586" s="7">
        <v>0.81240000000000001</v>
      </c>
      <c r="CF586" s="7">
        <v>0.81730000000000003</v>
      </c>
      <c r="CG586" s="7">
        <v>0.82220000000000004</v>
      </c>
      <c r="CH586" s="7">
        <v>0.82699999999999996</v>
      </c>
      <c r="CI586" s="7">
        <v>0.83179999999999998</v>
      </c>
      <c r="CJ586" s="7">
        <v>0.83660000000000001</v>
      </c>
      <c r="CK586" s="7">
        <v>0.84140000000000004</v>
      </c>
      <c r="CL586" s="7">
        <v>0.84609999999999996</v>
      </c>
      <c r="CM586" s="7">
        <v>0.8508</v>
      </c>
      <c r="CN586" s="7">
        <v>0.85550000000000004</v>
      </c>
      <c r="CO586" s="7">
        <v>0.86019999999999996</v>
      </c>
      <c r="CP586" s="7">
        <v>0.8649</v>
      </c>
      <c r="CQ586" s="7">
        <v>0.86950000000000005</v>
      </c>
      <c r="CR586" s="7">
        <v>0.87409999999999999</v>
      </c>
      <c r="CS586" s="7">
        <v>0.87870000000000004</v>
      </c>
      <c r="CT586" s="7">
        <v>0.88329999999999997</v>
      </c>
      <c r="CU586" s="7">
        <v>0.88780000000000003</v>
      </c>
      <c r="CV586" s="7">
        <v>0.89239999999999997</v>
      </c>
      <c r="CW586" s="7">
        <v>0.89690000000000003</v>
      </c>
      <c r="CX586" s="7">
        <v>0.90139999999999998</v>
      </c>
      <c r="CY586" s="7">
        <v>0.90590000000000004</v>
      </c>
      <c r="CZ586" s="7">
        <v>0.91039999999999999</v>
      </c>
      <c r="DA586" s="7">
        <v>0.91490000000000005</v>
      </c>
      <c r="DB586" s="7">
        <v>0.9194</v>
      </c>
      <c r="DC586" s="7">
        <v>0.92390000000000005</v>
      </c>
      <c r="DD586" s="7">
        <v>0.92830000000000001</v>
      </c>
      <c r="DE586" s="7">
        <v>0.93279999999999996</v>
      </c>
      <c r="DF586" s="7">
        <v>0.93730000000000002</v>
      </c>
      <c r="DG586" s="7">
        <v>0.94169999999999998</v>
      </c>
      <c r="DH586" s="7">
        <v>0.94620000000000004</v>
      </c>
      <c r="DI586" s="7">
        <v>0.9506</v>
      </c>
      <c r="DJ586" s="7">
        <v>0.95509999999999995</v>
      </c>
      <c r="DK586" s="7">
        <v>0.95960000000000001</v>
      </c>
      <c r="DL586" s="7">
        <v>0.96399999999999997</v>
      </c>
      <c r="DM586" s="7">
        <v>0.96850000000000003</v>
      </c>
      <c r="DN586" s="7">
        <v>0.97289999999999999</v>
      </c>
      <c r="DO586" s="7">
        <v>0.97740000000000005</v>
      </c>
      <c r="DP586" s="7">
        <v>0.98180000000000001</v>
      </c>
      <c r="DQ586" s="7">
        <v>0.98629999999999995</v>
      </c>
      <c r="DR586" s="7">
        <v>0.99070000000000003</v>
      </c>
      <c r="DS586" s="7">
        <v>0.99519999999999997</v>
      </c>
      <c r="DT586" s="7">
        <v>0.99960000000000004</v>
      </c>
      <c r="DU586" s="7">
        <v>1.0009999999999999</v>
      </c>
      <c r="DV586" s="7">
        <v>1.0009999999999999</v>
      </c>
      <c r="DW586" s="7">
        <v>1.0009999999999999</v>
      </c>
      <c r="DX586" s="7">
        <v>1.0009999999999999</v>
      </c>
      <c r="DY586" s="7">
        <v>1.0009999999999999</v>
      </c>
      <c r="DZ586" s="7">
        <v>1.0009999999999999</v>
      </c>
      <c r="EA586" s="7">
        <v>1.0009999999999999</v>
      </c>
      <c r="EB586" s="7">
        <v>1.0009999999999999</v>
      </c>
      <c r="EC586" s="7">
        <v>1.0009999999999999</v>
      </c>
      <c r="ED586" s="7">
        <v>1.0009999999999999</v>
      </c>
      <c r="EE586" s="7">
        <v>1.0009999999999999</v>
      </c>
      <c r="EF586" s="7">
        <v>1.0009999999999999</v>
      </c>
      <c r="EG586" s="7">
        <v>1.0009999999999999</v>
      </c>
      <c r="EH586" s="7">
        <v>1.0009999999999999</v>
      </c>
      <c r="EI586" s="7">
        <v>1.0009999999999999</v>
      </c>
      <c r="EJ586" s="7">
        <v>1.0009999999999999</v>
      </c>
      <c r="EK586" s="7">
        <v>1.0009999999999999</v>
      </c>
      <c r="EL586" s="7">
        <v>1.0009999999999999</v>
      </c>
      <c r="EM586" s="7">
        <v>1.0009999999999999</v>
      </c>
      <c r="EN586" s="7">
        <v>1.0009999999999999</v>
      </c>
      <c r="EO586" s="7">
        <v>1.0009999999999999</v>
      </c>
      <c r="EP586" s="7">
        <v>1.0009999999999999</v>
      </c>
      <c r="EQ586" s="7">
        <v>1.0009999999999999</v>
      </c>
      <c r="ER586" s="7">
        <v>1.0009999999999999</v>
      </c>
      <c r="ES586" s="7">
        <v>1.0009999999999999</v>
      </c>
      <c r="ET586" s="7">
        <v>1.0009999999999999</v>
      </c>
      <c r="EU586" s="7">
        <v>1.0009999999999999</v>
      </c>
      <c r="EV586" s="7">
        <v>1.0009999999999999</v>
      </c>
      <c r="EW586" s="7">
        <v>1.0009999999999999</v>
      </c>
      <c r="EX586" s="7">
        <v>1.0009999999999999</v>
      </c>
      <c r="EY586" s="7">
        <v>1.0009999999999999</v>
      </c>
      <c r="EZ586" s="7">
        <v>1.0009999999999999</v>
      </c>
      <c r="FA586" s="7">
        <v>1.0009999999999999</v>
      </c>
      <c r="FB586" s="7">
        <v>1.0009999999999999</v>
      </c>
      <c r="FC586" s="7">
        <v>1.0009999999999999</v>
      </c>
      <c r="FE586" s="50">
        <f t="shared" ca="1" si="59"/>
        <v>1.0009999999999999</v>
      </c>
      <c r="FF586" s="50">
        <f t="shared" ca="1" si="60"/>
        <v>1.0009999999999999</v>
      </c>
      <c r="FG586" s="50">
        <f t="shared" ca="1" si="61"/>
        <v>1.0009999999999999</v>
      </c>
      <c r="FH586" s="50">
        <f t="shared" ca="1" si="62"/>
        <v>1.0009999999999999</v>
      </c>
      <c r="FI586" s="50"/>
      <c r="FK586" s="50">
        <f t="shared" ca="1" si="63"/>
        <v>1.0009999999999999</v>
      </c>
      <c r="FL586" s="50"/>
      <c r="FM586" s="50"/>
      <c r="FN586" s="50"/>
    </row>
    <row r="587" spans="49:170" hidden="1">
      <c r="AW587" s="112">
        <v>5.8879999999999999</v>
      </c>
      <c r="AX587" s="7">
        <v>0.623</v>
      </c>
      <c r="AY587" s="7">
        <v>0.62949999999999995</v>
      </c>
      <c r="AZ587" s="7">
        <v>0.63600000000000001</v>
      </c>
      <c r="BA587" s="7">
        <v>0.64239999999999997</v>
      </c>
      <c r="BB587" s="7">
        <v>0.64880000000000004</v>
      </c>
      <c r="BC587" s="7">
        <v>0.65510000000000002</v>
      </c>
      <c r="BD587" s="7">
        <v>0.6613</v>
      </c>
      <c r="BE587" s="7">
        <v>0.66749999999999998</v>
      </c>
      <c r="BF587" s="7">
        <v>0.67359999999999998</v>
      </c>
      <c r="BG587" s="7">
        <v>0.67959999999999998</v>
      </c>
      <c r="BH587" s="7">
        <v>0.68559999999999999</v>
      </c>
      <c r="BI587" s="7">
        <v>0.6915</v>
      </c>
      <c r="BJ587" s="7">
        <v>0.69740000000000002</v>
      </c>
      <c r="BK587" s="7">
        <v>0.70320000000000005</v>
      </c>
      <c r="BL587" s="7">
        <v>0.70889999999999997</v>
      </c>
      <c r="BM587" s="7">
        <v>0.71460000000000001</v>
      </c>
      <c r="BN587" s="7">
        <v>0.72030000000000005</v>
      </c>
      <c r="BO587" s="7">
        <v>0.72589999999999999</v>
      </c>
      <c r="BP587" s="7">
        <v>0.73140000000000005</v>
      </c>
      <c r="BQ587" s="7">
        <v>0.7369</v>
      </c>
      <c r="BR587" s="7">
        <v>0.74239999999999995</v>
      </c>
      <c r="BS587" s="7">
        <v>0.74780000000000002</v>
      </c>
      <c r="BT587" s="7">
        <v>0.75309999999999999</v>
      </c>
      <c r="BU587" s="7">
        <v>0.75839999999999996</v>
      </c>
      <c r="BV587" s="7">
        <v>0.76370000000000005</v>
      </c>
      <c r="BW587" s="7">
        <v>0.76890000000000003</v>
      </c>
      <c r="BX587" s="7">
        <v>0.77410000000000001</v>
      </c>
      <c r="BY587" s="7">
        <v>0.7792</v>
      </c>
      <c r="BZ587" s="7">
        <v>0.7843</v>
      </c>
      <c r="CA587" s="7">
        <v>0.78939999999999999</v>
      </c>
      <c r="CB587" s="7">
        <v>0.7944</v>
      </c>
      <c r="CC587" s="7">
        <v>0.7994</v>
      </c>
      <c r="CD587" s="7">
        <v>0.8044</v>
      </c>
      <c r="CE587" s="7">
        <v>0.80930000000000002</v>
      </c>
      <c r="CF587" s="7">
        <v>0.81420000000000003</v>
      </c>
      <c r="CG587" s="7">
        <v>0.81899999999999995</v>
      </c>
      <c r="CH587" s="7">
        <v>0.82389999999999997</v>
      </c>
      <c r="CI587" s="7">
        <v>0.82869999999999999</v>
      </c>
      <c r="CJ587" s="7">
        <v>0.83340000000000003</v>
      </c>
      <c r="CK587" s="7">
        <v>0.83819999999999995</v>
      </c>
      <c r="CL587" s="7">
        <v>0.84289999999999998</v>
      </c>
      <c r="CM587" s="7">
        <v>0.84760000000000002</v>
      </c>
      <c r="CN587" s="7">
        <v>0.85229999999999995</v>
      </c>
      <c r="CO587" s="7">
        <v>0.8569</v>
      </c>
      <c r="CP587" s="7">
        <v>0.86150000000000004</v>
      </c>
      <c r="CQ587" s="7">
        <v>0.86609999999999998</v>
      </c>
      <c r="CR587" s="7">
        <v>0.87070000000000003</v>
      </c>
      <c r="CS587" s="7">
        <v>0.87529999999999997</v>
      </c>
      <c r="CT587" s="7">
        <v>0.87990000000000002</v>
      </c>
      <c r="CU587" s="7">
        <v>0.88439999999999996</v>
      </c>
      <c r="CV587" s="7">
        <v>0.88890000000000002</v>
      </c>
      <c r="CW587" s="7">
        <v>0.89349999999999996</v>
      </c>
      <c r="CX587" s="7">
        <v>0.89800000000000002</v>
      </c>
      <c r="CY587" s="7">
        <v>0.90239999999999998</v>
      </c>
      <c r="CZ587" s="7">
        <v>0.90690000000000004</v>
      </c>
      <c r="DA587" s="7">
        <v>0.91139999999999999</v>
      </c>
      <c r="DB587" s="7">
        <v>0.91590000000000005</v>
      </c>
      <c r="DC587" s="7">
        <v>0.92030000000000001</v>
      </c>
      <c r="DD587" s="7">
        <v>0.92479999999999996</v>
      </c>
      <c r="DE587" s="7">
        <v>0.92920000000000003</v>
      </c>
      <c r="DF587" s="7">
        <v>0.93369999999999997</v>
      </c>
      <c r="DG587" s="7">
        <v>0.93810000000000004</v>
      </c>
      <c r="DH587" s="7">
        <v>0.94259999999999999</v>
      </c>
      <c r="DI587" s="7">
        <v>0.94699999999999995</v>
      </c>
      <c r="DJ587" s="7">
        <v>0.95140000000000002</v>
      </c>
      <c r="DK587" s="7">
        <v>0.95589999999999997</v>
      </c>
      <c r="DL587" s="7">
        <v>0.96030000000000004</v>
      </c>
      <c r="DM587" s="7">
        <v>0.96479999999999999</v>
      </c>
      <c r="DN587" s="7">
        <v>0.96919999999999995</v>
      </c>
      <c r="DO587" s="7">
        <v>0.97360000000000002</v>
      </c>
      <c r="DP587" s="7">
        <v>0.97809999999999997</v>
      </c>
      <c r="DQ587" s="7">
        <v>0.98250000000000004</v>
      </c>
      <c r="DR587" s="7">
        <v>0.9869</v>
      </c>
      <c r="DS587" s="7">
        <v>0.99139999999999995</v>
      </c>
      <c r="DT587" s="7">
        <v>0.99580000000000002</v>
      </c>
      <c r="DU587" s="7">
        <v>1.0009999999999999</v>
      </c>
      <c r="DV587" s="7">
        <v>1.0009999999999999</v>
      </c>
      <c r="DW587" s="7">
        <v>1.0009999999999999</v>
      </c>
      <c r="DX587" s="7">
        <v>1.0009999999999999</v>
      </c>
      <c r="DY587" s="7">
        <v>1.0009999999999999</v>
      </c>
      <c r="DZ587" s="7">
        <v>1.0009999999999999</v>
      </c>
      <c r="EA587" s="7">
        <v>1.0009999999999999</v>
      </c>
      <c r="EB587" s="7">
        <v>1.0009999999999999</v>
      </c>
      <c r="EC587" s="7">
        <v>1.0009999999999999</v>
      </c>
      <c r="ED587" s="7">
        <v>1.0009999999999999</v>
      </c>
      <c r="EE587" s="7">
        <v>1.0009999999999999</v>
      </c>
      <c r="EF587" s="7">
        <v>1.0009999999999999</v>
      </c>
      <c r="EG587" s="7">
        <v>1.0009999999999999</v>
      </c>
      <c r="EH587" s="7">
        <v>1.0009999999999999</v>
      </c>
      <c r="EI587" s="7">
        <v>1.0009999999999999</v>
      </c>
      <c r="EJ587" s="7">
        <v>1.0009999999999999</v>
      </c>
      <c r="EK587" s="7">
        <v>1.0009999999999999</v>
      </c>
      <c r="EL587" s="7">
        <v>1.0009999999999999</v>
      </c>
      <c r="EM587" s="7">
        <v>1.0009999999999999</v>
      </c>
      <c r="EN587" s="7">
        <v>1.0009999999999999</v>
      </c>
      <c r="EO587" s="7">
        <v>1.0009999999999999</v>
      </c>
      <c r="EP587" s="7">
        <v>1.0009999999999999</v>
      </c>
      <c r="EQ587" s="7">
        <v>1.0009999999999999</v>
      </c>
      <c r="ER587" s="7">
        <v>1.0009999999999999</v>
      </c>
      <c r="ES587" s="7">
        <v>1.0009999999999999</v>
      </c>
      <c r="ET587" s="7">
        <v>1.0009999999999999</v>
      </c>
      <c r="EU587" s="7">
        <v>1.0009999999999999</v>
      </c>
      <c r="EV587" s="7">
        <v>1.0009999999999999</v>
      </c>
      <c r="EW587" s="7">
        <v>1.0009999999999999</v>
      </c>
      <c r="EX587" s="7">
        <v>1.0009999999999999</v>
      </c>
      <c r="EY587" s="7">
        <v>1.0009999999999999</v>
      </c>
      <c r="EZ587" s="7">
        <v>1.0009999999999999</v>
      </c>
      <c r="FA587" s="7">
        <v>1.0009999999999999</v>
      </c>
      <c r="FB587" s="7">
        <v>1.0009999999999999</v>
      </c>
      <c r="FC587" s="7">
        <v>1.0009999999999999</v>
      </c>
      <c r="FE587" s="50">
        <f t="shared" ca="1" si="59"/>
        <v>1.0009999999999999</v>
      </c>
      <c r="FF587" s="50">
        <f t="shared" ca="1" si="60"/>
        <v>1.0009999999999999</v>
      </c>
      <c r="FG587" s="50">
        <f t="shared" ca="1" si="61"/>
        <v>1.0009999999999999</v>
      </c>
      <c r="FH587" s="50">
        <f t="shared" ca="1" si="62"/>
        <v>1.0009999999999999</v>
      </c>
      <c r="FI587" s="50"/>
      <c r="FK587" s="50">
        <f t="shared" ca="1" si="63"/>
        <v>1.0009999999999999</v>
      </c>
      <c r="FL587" s="50"/>
      <c r="FM587" s="50"/>
      <c r="FN587" s="50"/>
    </row>
    <row r="588" spans="49:170" hidden="1">
      <c r="AW588" s="112">
        <v>6.31</v>
      </c>
      <c r="AX588" s="7">
        <v>0.62060000000000004</v>
      </c>
      <c r="AY588" s="7">
        <v>0.62719999999999998</v>
      </c>
      <c r="AZ588" s="7">
        <v>0.63360000000000005</v>
      </c>
      <c r="BA588" s="7">
        <v>0.64</v>
      </c>
      <c r="BB588" s="7">
        <v>0.64629999999999999</v>
      </c>
      <c r="BC588" s="7">
        <v>0.65259999999999996</v>
      </c>
      <c r="BD588" s="7">
        <v>0.65880000000000005</v>
      </c>
      <c r="BE588" s="7">
        <v>0.66490000000000005</v>
      </c>
      <c r="BF588" s="7">
        <v>0.67100000000000004</v>
      </c>
      <c r="BG588" s="7">
        <v>0.67700000000000005</v>
      </c>
      <c r="BH588" s="7">
        <v>0.68300000000000005</v>
      </c>
      <c r="BI588" s="7">
        <v>0.68889999999999996</v>
      </c>
      <c r="BJ588" s="7">
        <v>0.69469999999999998</v>
      </c>
      <c r="BK588" s="7">
        <v>0.70050000000000001</v>
      </c>
      <c r="BL588" s="7">
        <v>0.70630000000000004</v>
      </c>
      <c r="BM588" s="7">
        <v>0.71189999999999998</v>
      </c>
      <c r="BN588" s="7">
        <v>0.71760000000000002</v>
      </c>
      <c r="BO588" s="7">
        <v>0.72309999999999997</v>
      </c>
      <c r="BP588" s="7">
        <v>0.72870000000000001</v>
      </c>
      <c r="BQ588" s="7">
        <v>0.73409999999999997</v>
      </c>
      <c r="BR588" s="7">
        <v>0.73960000000000004</v>
      </c>
      <c r="BS588" s="7">
        <v>0.74490000000000001</v>
      </c>
      <c r="BT588" s="7">
        <v>0.75029999999999997</v>
      </c>
      <c r="BU588" s="7">
        <v>0.75560000000000005</v>
      </c>
      <c r="BV588" s="7">
        <v>0.76080000000000003</v>
      </c>
      <c r="BW588" s="7">
        <v>0.76600000000000001</v>
      </c>
      <c r="BX588" s="7">
        <v>0.7712</v>
      </c>
      <c r="BY588" s="7">
        <v>0.77629999999999999</v>
      </c>
      <c r="BZ588" s="7">
        <v>0.78139999999999998</v>
      </c>
      <c r="CA588" s="7">
        <v>0.78639999999999999</v>
      </c>
      <c r="CB588" s="7">
        <v>0.79139999999999999</v>
      </c>
      <c r="CC588" s="7">
        <v>0.7964</v>
      </c>
      <c r="CD588" s="7">
        <v>0.80130000000000001</v>
      </c>
      <c r="CE588" s="7">
        <v>0.80620000000000003</v>
      </c>
      <c r="CF588" s="7">
        <v>0.81110000000000004</v>
      </c>
      <c r="CG588" s="7">
        <v>0.81589999999999996</v>
      </c>
      <c r="CH588" s="7">
        <v>0.82069999999999999</v>
      </c>
      <c r="CI588" s="7">
        <v>0.82550000000000001</v>
      </c>
      <c r="CJ588" s="7">
        <v>0.83030000000000004</v>
      </c>
      <c r="CK588" s="7">
        <v>0.83499999999999996</v>
      </c>
      <c r="CL588" s="7">
        <v>0.8397</v>
      </c>
      <c r="CM588" s="7">
        <v>0.84440000000000004</v>
      </c>
      <c r="CN588" s="7">
        <v>0.84899999999999998</v>
      </c>
      <c r="CO588" s="7">
        <v>0.85370000000000001</v>
      </c>
      <c r="CP588" s="7">
        <v>0.85829999999999995</v>
      </c>
      <c r="CQ588" s="7">
        <v>0.8629</v>
      </c>
      <c r="CR588" s="7">
        <v>0.86739999999999995</v>
      </c>
      <c r="CS588" s="7">
        <v>0.872</v>
      </c>
      <c r="CT588" s="7">
        <v>0.87649999999999995</v>
      </c>
      <c r="CU588" s="7">
        <v>0.88109999999999999</v>
      </c>
      <c r="CV588" s="7">
        <v>0.88560000000000005</v>
      </c>
      <c r="CW588" s="7">
        <v>0.8901</v>
      </c>
      <c r="CX588" s="7">
        <v>0.89459999999999995</v>
      </c>
      <c r="CY588" s="7">
        <v>0.89900000000000002</v>
      </c>
      <c r="CZ588" s="7">
        <v>0.90349999999999997</v>
      </c>
      <c r="DA588" s="7">
        <v>0.90800000000000003</v>
      </c>
      <c r="DB588" s="7">
        <v>0.91239999999999999</v>
      </c>
      <c r="DC588" s="7">
        <v>0.91690000000000005</v>
      </c>
      <c r="DD588" s="7">
        <v>0.92130000000000001</v>
      </c>
      <c r="DE588" s="7">
        <v>0.92569999999999997</v>
      </c>
      <c r="DF588" s="7">
        <v>0.93020000000000003</v>
      </c>
      <c r="DG588" s="7">
        <v>0.93459999999999999</v>
      </c>
      <c r="DH588" s="7">
        <v>0.93899999999999995</v>
      </c>
      <c r="DI588" s="7">
        <v>0.94340000000000002</v>
      </c>
      <c r="DJ588" s="7">
        <v>0.94779999999999998</v>
      </c>
      <c r="DK588" s="7">
        <v>0.95230000000000004</v>
      </c>
      <c r="DL588" s="7">
        <v>0.95669999999999999</v>
      </c>
      <c r="DM588" s="7">
        <v>0.96109999999999995</v>
      </c>
      <c r="DN588" s="7">
        <v>0.96550000000000002</v>
      </c>
      <c r="DO588" s="7">
        <v>0.96989999999999998</v>
      </c>
      <c r="DP588" s="7">
        <v>0.97440000000000004</v>
      </c>
      <c r="DQ588" s="7">
        <v>0.9788</v>
      </c>
      <c r="DR588" s="7">
        <v>0.98319999999999996</v>
      </c>
      <c r="DS588" s="7">
        <v>0.98760000000000003</v>
      </c>
      <c r="DT588" s="7">
        <v>0.99199999999999999</v>
      </c>
      <c r="DU588" s="7">
        <v>0.99639999999999995</v>
      </c>
      <c r="DV588" s="7">
        <v>1.0009999999999999</v>
      </c>
      <c r="DW588" s="7">
        <v>1.0009999999999999</v>
      </c>
      <c r="DX588" s="7">
        <v>1.0009999999999999</v>
      </c>
      <c r="DY588" s="7">
        <v>1.0009999999999999</v>
      </c>
      <c r="DZ588" s="7">
        <v>1.0009999999999999</v>
      </c>
      <c r="EA588" s="7">
        <v>1.0009999999999999</v>
      </c>
      <c r="EB588" s="7">
        <v>1.0009999999999999</v>
      </c>
      <c r="EC588" s="7">
        <v>1.0009999999999999</v>
      </c>
      <c r="ED588" s="7">
        <v>1.0009999999999999</v>
      </c>
      <c r="EE588" s="7">
        <v>1.0009999999999999</v>
      </c>
      <c r="EF588" s="7">
        <v>1.0009999999999999</v>
      </c>
      <c r="EG588" s="7">
        <v>1.0009999999999999</v>
      </c>
      <c r="EH588" s="7">
        <v>1.0009999999999999</v>
      </c>
      <c r="EI588" s="7">
        <v>1.0009999999999999</v>
      </c>
      <c r="EJ588" s="7">
        <v>1.0009999999999999</v>
      </c>
      <c r="EK588" s="7">
        <v>1.0009999999999999</v>
      </c>
      <c r="EL588" s="7">
        <v>1.0009999999999999</v>
      </c>
      <c r="EM588" s="7">
        <v>1.0009999999999999</v>
      </c>
      <c r="EN588" s="7">
        <v>1.0009999999999999</v>
      </c>
      <c r="EO588" s="7">
        <v>1.0009999999999999</v>
      </c>
      <c r="EP588" s="7">
        <v>1.0009999999999999</v>
      </c>
      <c r="EQ588" s="7">
        <v>1.0009999999999999</v>
      </c>
      <c r="ER588" s="7">
        <v>1.0009999999999999</v>
      </c>
      <c r="ES588" s="7">
        <v>1.0009999999999999</v>
      </c>
      <c r="ET588" s="7">
        <v>1.0009999999999999</v>
      </c>
      <c r="EU588" s="7">
        <v>1.0009999999999999</v>
      </c>
      <c r="EV588" s="7">
        <v>1.0009999999999999</v>
      </c>
      <c r="EW588" s="7">
        <v>1.0009999999999999</v>
      </c>
      <c r="EX588" s="7">
        <v>1.0009999999999999</v>
      </c>
      <c r="EY588" s="7">
        <v>1.0009999999999999</v>
      </c>
      <c r="EZ588" s="7">
        <v>1.0009999999999999</v>
      </c>
      <c r="FA588" s="7">
        <v>1.0009999999999999</v>
      </c>
      <c r="FB588" s="7">
        <v>1.0009999999999999</v>
      </c>
      <c r="FC588" s="7">
        <v>1.0009999999999999</v>
      </c>
      <c r="FE588" s="50">
        <f t="shared" ca="1" si="59"/>
        <v>1.0009999999999999</v>
      </c>
      <c r="FF588" s="50">
        <f t="shared" ca="1" si="60"/>
        <v>1.0009999999999999</v>
      </c>
      <c r="FG588" s="50">
        <f t="shared" ca="1" si="61"/>
        <v>1.0006511409395973</v>
      </c>
      <c r="FH588" s="50">
        <f t="shared" ca="1" si="62"/>
        <v>0.9975638926174496</v>
      </c>
      <c r="FI588" s="50"/>
      <c r="FK588" s="50">
        <f t="shared" ca="1" si="63"/>
        <v>1.0009999999999999</v>
      </c>
      <c r="FL588" s="50"/>
      <c r="FM588" s="50"/>
      <c r="FN588" s="50"/>
    </row>
    <row r="589" spans="49:170" hidden="1">
      <c r="AW589" s="112">
        <v>6.7610000000000001</v>
      </c>
      <c r="AX589" s="7">
        <v>0.61829999999999996</v>
      </c>
      <c r="AY589" s="7">
        <v>0.62480000000000002</v>
      </c>
      <c r="AZ589" s="7">
        <v>0.63129999999999997</v>
      </c>
      <c r="BA589" s="7">
        <v>0.63759999999999994</v>
      </c>
      <c r="BB589" s="7">
        <v>0.64390000000000003</v>
      </c>
      <c r="BC589" s="7">
        <v>0.6502</v>
      </c>
      <c r="BD589" s="7">
        <v>0.65629999999999999</v>
      </c>
      <c r="BE589" s="7">
        <v>0.66249999999999998</v>
      </c>
      <c r="BF589" s="7">
        <v>0.66849999999999998</v>
      </c>
      <c r="BG589" s="7">
        <v>0.67449999999999999</v>
      </c>
      <c r="BH589" s="7">
        <v>0.6804</v>
      </c>
      <c r="BI589" s="7">
        <v>0.68630000000000002</v>
      </c>
      <c r="BJ589" s="7">
        <v>0.69210000000000005</v>
      </c>
      <c r="BK589" s="7">
        <v>0.69789999999999996</v>
      </c>
      <c r="BL589" s="7">
        <v>0.7036</v>
      </c>
      <c r="BM589" s="7">
        <v>0.70930000000000004</v>
      </c>
      <c r="BN589" s="7">
        <v>0.71489999999999998</v>
      </c>
      <c r="BO589" s="7">
        <v>0.72040000000000004</v>
      </c>
      <c r="BP589" s="7">
        <v>0.72589999999999999</v>
      </c>
      <c r="BQ589" s="7">
        <v>0.73140000000000005</v>
      </c>
      <c r="BR589" s="7">
        <v>0.73680000000000001</v>
      </c>
      <c r="BS589" s="7">
        <v>0.74209999999999998</v>
      </c>
      <c r="BT589" s="7">
        <v>0.74750000000000005</v>
      </c>
      <c r="BU589" s="7">
        <v>0.75270000000000004</v>
      </c>
      <c r="BV589" s="7">
        <v>0.75800000000000001</v>
      </c>
      <c r="BW589" s="7">
        <v>0.7631</v>
      </c>
      <c r="BX589" s="7">
        <v>0.76829999999999998</v>
      </c>
      <c r="BY589" s="7">
        <v>0.77339999999999998</v>
      </c>
      <c r="BZ589" s="7">
        <v>0.77839999999999998</v>
      </c>
      <c r="CA589" s="7">
        <v>0.78349999999999997</v>
      </c>
      <c r="CB589" s="7">
        <v>0.78849999999999998</v>
      </c>
      <c r="CC589" s="7">
        <v>0.79339999999999999</v>
      </c>
      <c r="CD589" s="7">
        <v>0.79830000000000001</v>
      </c>
      <c r="CE589" s="7">
        <v>0.80320000000000003</v>
      </c>
      <c r="CF589" s="7">
        <v>0.80810000000000004</v>
      </c>
      <c r="CG589" s="7">
        <v>0.81289999999999996</v>
      </c>
      <c r="CH589" s="7">
        <v>0.81769999999999998</v>
      </c>
      <c r="CI589" s="7">
        <v>0.82240000000000002</v>
      </c>
      <c r="CJ589" s="7">
        <v>0.82720000000000005</v>
      </c>
      <c r="CK589" s="7">
        <v>0.83189999999999997</v>
      </c>
      <c r="CL589" s="7">
        <v>0.83660000000000001</v>
      </c>
      <c r="CM589" s="7">
        <v>0.84119999999999995</v>
      </c>
      <c r="CN589" s="7">
        <v>0.84589999999999999</v>
      </c>
      <c r="CO589" s="7">
        <v>0.85050000000000003</v>
      </c>
      <c r="CP589" s="7">
        <v>0.85509999999999997</v>
      </c>
      <c r="CQ589" s="7">
        <v>0.85970000000000002</v>
      </c>
      <c r="CR589" s="7">
        <v>0.86419999999999997</v>
      </c>
      <c r="CS589" s="7">
        <v>0.86870000000000003</v>
      </c>
      <c r="CT589" s="7">
        <v>0.87329999999999997</v>
      </c>
      <c r="CU589" s="7">
        <v>0.87780000000000002</v>
      </c>
      <c r="CV589" s="7">
        <v>0.88229999999999997</v>
      </c>
      <c r="CW589" s="7">
        <v>0.88680000000000003</v>
      </c>
      <c r="CX589" s="7">
        <v>0.89119999999999999</v>
      </c>
      <c r="CY589" s="7">
        <v>0.89570000000000005</v>
      </c>
      <c r="CZ589" s="7">
        <v>0.90010000000000001</v>
      </c>
      <c r="DA589" s="7">
        <v>0.90459999999999996</v>
      </c>
      <c r="DB589" s="7">
        <v>0.90900000000000003</v>
      </c>
      <c r="DC589" s="7">
        <v>0.91339999999999999</v>
      </c>
      <c r="DD589" s="7">
        <v>0.91790000000000005</v>
      </c>
      <c r="DE589" s="7">
        <v>0.92230000000000001</v>
      </c>
      <c r="DF589" s="7">
        <v>0.92669999999999997</v>
      </c>
      <c r="DG589" s="7">
        <v>0.93110000000000004</v>
      </c>
      <c r="DH589" s="7">
        <v>0.9355</v>
      </c>
      <c r="DI589" s="7">
        <v>0.93989999999999996</v>
      </c>
      <c r="DJ589" s="7">
        <v>0.94430000000000003</v>
      </c>
      <c r="DK589" s="7">
        <v>0.94869999999999999</v>
      </c>
      <c r="DL589" s="7">
        <v>0.95309999999999995</v>
      </c>
      <c r="DM589" s="7">
        <v>0.95750000000000002</v>
      </c>
      <c r="DN589" s="7">
        <v>0.96189999999999998</v>
      </c>
      <c r="DO589" s="7">
        <v>0.96630000000000005</v>
      </c>
      <c r="DP589" s="7">
        <v>0.97070000000000001</v>
      </c>
      <c r="DQ589" s="7">
        <v>0.97509999999999997</v>
      </c>
      <c r="DR589" s="7">
        <v>0.97950000000000004</v>
      </c>
      <c r="DS589" s="7">
        <v>0.9839</v>
      </c>
      <c r="DT589" s="7">
        <v>0.98829999999999996</v>
      </c>
      <c r="DU589" s="7">
        <v>0.99270000000000003</v>
      </c>
      <c r="DV589" s="7">
        <v>0.99709999999999999</v>
      </c>
      <c r="DW589" s="7">
        <v>1.0009999999999999</v>
      </c>
      <c r="DX589" s="7">
        <v>1.0009999999999999</v>
      </c>
      <c r="DY589" s="7">
        <v>1.0009999999999999</v>
      </c>
      <c r="DZ589" s="7">
        <v>1.0009999999999999</v>
      </c>
      <c r="EA589" s="7">
        <v>1.0009999999999999</v>
      </c>
      <c r="EB589" s="7">
        <v>1.0009999999999999</v>
      </c>
      <c r="EC589" s="7">
        <v>1.0009999999999999</v>
      </c>
      <c r="ED589" s="7">
        <v>1.0009999999999999</v>
      </c>
      <c r="EE589" s="7">
        <v>1.0009999999999999</v>
      </c>
      <c r="EF589" s="7">
        <v>1.0009999999999999</v>
      </c>
      <c r="EG589" s="7">
        <v>1.0009999999999999</v>
      </c>
      <c r="EH589" s="7">
        <v>1.0009999999999999</v>
      </c>
      <c r="EI589" s="7">
        <v>1.0009999999999999</v>
      </c>
      <c r="EJ589" s="7">
        <v>1.0009999999999999</v>
      </c>
      <c r="EK589" s="7">
        <v>1.0009999999999999</v>
      </c>
      <c r="EL589" s="7">
        <v>1.0009999999999999</v>
      </c>
      <c r="EM589" s="7">
        <v>1.0009999999999999</v>
      </c>
      <c r="EN589" s="7">
        <v>1.0009999999999999</v>
      </c>
      <c r="EO589" s="7">
        <v>1.0009999999999999</v>
      </c>
      <c r="EP589" s="7">
        <v>1.0009999999999999</v>
      </c>
      <c r="EQ589" s="7">
        <v>1.0009999999999999</v>
      </c>
      <c r="ER589" s="7">
        <v>1.0009999999999999</v>
      </c>
      <c r="ES589" s="7">
        <v>1.0009999999999999</v>
      </c>
      <c r="ET589" s="7">
        <v>1.0009999999999999</v>
      </c>
      <c r="EU589" s="7">
        <v>1.0009999999999999</v>
      </c>
      <c r="EV589" s="7">
        <v>1.0009999999999999</v>
      </c>
      <c r="EW589" s="7">
        <v>1.0009999999999999</v>
      </c>
      <c r="EX589" s="7">
        <v>1.0009999999999999</v>
      </c>
      <c r="EY589" s="7">
        <v>1.0009999999999999</v>
      </c>
      <c r="EZ589" s="7">
        <v>1.0009999999999999</v>
      </c>
      <c r="FA589" s="7">
        <v>1.0009999999999999</v>
      </c>
      <c r="FB589" s="7">
        <v>1.0009999999999999</v>
      </c>
      <c r="FC589" s="7">
        <v>1.0009999999999999</v>
      </c>
      <c r="FE589" s="50">
        <f t="shared" ca="1" si="59"/>
        <v>1.0009999999999999</v>
      </c>
      <c r="FF589" s="50">
        <f t="shared" ca="1" si="60"/>
        <v>0.99931678949054792</v>
      </c>
      <c r="FG589" s="50">
        <f t="shared" ca="1" si="61"/>
        <v>0.99676630872483218</v>
      </c>
      <c r="FH589" s="50">
        <f t="shared" ca="1" si="62"/>
        <v>0.99381328859060403</v>
      </c>
      <c r="FI589" s="50"/>
      <c r="FK589" s="50">
        <f t="shared" ca="1" si="63"/>
        <v>0.99931678949054792</v>
      </c>
      <c r="FL589" s="50"/>
      <c r="FM589" s="50"/>
      <c r="FN589" s="50"/>
    </row>
    <row r="590" spans="49:170" hidden="1">
      <c r="AW590" s="112">
        <v>7.2439999999999998</v>
      </c>
      <c r="AX590" s="7">
        <v>0.61599999999999999</v>
      </c>
      <c r="AY590" s="7">
        <v>0.62250000000000005</v>
      </c>
      <c r="AZ590" s="7">
        <v>0.62890000000000001</v>
      </c>
      <c r="BA590" s="7">
        <v>0.63529999999999998</v>
      </c>
      <c r="BB590" s="7">
        <v>0.64159999999999995</v>
      </c>
      <c r="BC590" s="7">
        <v>0.64780000000000004</v>
      </c>
      <c r="BD590" s="7">
        <v>0.65390000000000004</v>
      </c>
      <c r="BE590" s="7">
        <v>0.66</v>
      </c>
      <c r="BF590" s="7">
        <v>0.66610000000000003</v>
      </c>
      <c r="BG590" s="7">
        <v>0.67200000000000004</v>
      </c>
      <c r="BH590" s="7">
        <v>0.67789999999999995</v>
      </c>
      <c r="BI590" s="7">
        <v>0.68379999999999996</v>
      </c>
      <c r="BJ590" s="7">
        <v>0.68959999999999999</v>
      </c>
      <c r="BK590" s="7">
        <v>0.69530000000000003</v>
      </c>
      <c r="BL590" s="7">
        <v>0.70099999999999996</v>
      </c>
      <c r="BM590" s="7">
        <v>0.70669999999999999</v>
      </c>
      <c r="BN590" s="7">
        <v>0.71220000000000006</v>
      </c>
      <c r="BO590" s="7">
        <v>0.71779999999999999</v>
      </c>
      <c r="BP590" s="7">
        <v>0.72330000000000005</v>
      </c>
      <c r="BQ590" s="7">
        <v>0.72870000000000001</v>
      </c>
      <c r="BR590" s="7">
        <v>0.73409999999999997</v>
      </c>
      <c r="BS590" s="7">
        <v>0.73939999999999995</v>
      </c>
      <c r="BT590" s="7">
        <v>0.74470000000000003</v>
      </c>
      <c r="BU590" s="7">
        <v>0.75</v>
      </c>
      <c r="BV590" s="7">
        <v>0.75519999999999998</v>
      </c>
      <c r="BW590" s="7">
        <v>0.76029999999999998</v>
      </c>
      <c r="BX590" s="7">
        <v>0.76549999999999996</v>
      </c>
      <c r="BY590" s="7">
        <v>0.77049999999999996</v>
      </c>
      <c r="BZ590" s="7">
        <v>0.77559999999999996</v>
      </c>
      <c r="CA590" s="7">
        <v>0.78059999999999996</v>
      </c>
      <c r="CB590" s="7">
        <v>0.78559999999999997</v>
      </c>
      <c r="CC590" s="7">
        <v>0.79049999999999998</v>
      </c>
      <c r="CD590" s="7">
        <v>0.7954</v>
      </c>
      <c r="CE590" s="7">
        <v>0.80030000000000001</v>
      </c>
      <c r="CF590" s="7">
        <v>0.80510000000000004</v>
      </c>
      <c r="CG590" s="7">
        <v>0.80989999999999995</v>
      </c>
      <c r="CH590" s="7">
        <v>0.81469999999999998</v>
      </c>
      <c r="CI590" s="7">
        <v>0.81940000000000002</v>
      </c>
      <c r="CJ590" s="7">
        <v>0.82410000000000005</v>
      </c>
      <c r="CK590" s="7">
        <v>0.82879999999999998</v>
      </c>
      <c r="CL590" s="7">
        <v>0.83350000000000002</v>
      </c>
      <c r="CM590" s="7">
        <v>0.83809999999999996</v>
      </c>
      <c r="CN590" s="7">
        <v>0.84279999999999999</v>
      </c>
      <c r="CO590" s="7">
        <v>0.84730000000000005</v>
      </c>
      <c r="CP590" s="7">
        <v>0.85189999999999999</v>
      </c>
      <c r="CQ590" s="7">
        <v>0.85650000000000004</v>
      </c>
      <c r="CR590" s="7">
        <v>0.86099999999999999</v>
      </c>
      <c r="CS590" s="7">
        <v>0.86550000000000005</v>
      </c>
      <c r="CT590" s="7">
        <v>0.87</v>
      </c>
      <c r="CU590" s="7">
        <v>0.87450000000000006</v>
      </c>
      <c r="CV590" s="7">
        <v>0.879</v>
      </c>
      <c r="CW590" s="7">
        <v>0.88349999999999995</v>
      </c>
      <c r="CX590" s="7">
        <v>0.88790000000000002</v>
      </c>
      <c r="CY590" s="7">
        <v>0.89239999999999997</v>
      </c>
      <c r="CZ590" s="7">
        <v>0.89680000000000004</v>
      </c>
      <c r="DA590" s="7">
        <v>0.9012</v>
      </c>
      <c r="DB590" s="7">
        <v>0.90569999999999995</v>
      </c>
      <c r="DC590" s="7">
        <v>0.91010000000000002</v>
      </c>
      <c r="DD590" s="7">
        <v>0.91449999999999998</v>
      </c>
      <c r="DE590" s="7">
        <v>0.91890000000000005</v>
      </c>
      <c r="DF590" s="7">
        <v>0.92330000000000001</v>
      </c>
      <c r="DG590" s="7">
        <v>0.92769999999999997</v>
      </c>
      <c r="DH590" s="7">
        <v>0.93210000000000004</v>
      </c>
      <c r="DI590" s="7">
        <v>0.93640000000000001</v>
      </c>
      <c r="DJ590" s="7">
        <v>0.94079999999999997</v>
      </c>
      <c r="DK590" s="7">
        <v>0.94520000000000004</v>
      </c>
      <c r="DL590" s="7">
        <v>0.9496</v>
      </c>
      <c r="DM590" s="7">
        <v>0.95399999999999996</v>
      </c>
      <c r="DN590" s="7">
        <v>0.95840000000000003</v>
      </c>
      <c r="DO590" s="7">
        <v>0.96279999999999999</v>
      </c>
      <c r="DP590" s="7">
        <v>0.96709999999999996</v>
      </c>
      <c r="DQ590" s="7">
        <v>0.97150000000000003</v>
      </c>
      <c r="DR590" s="7">
        <v>0.97589999999999999</v>
      </c>
      <c r="DS590" s="7">
        <v>0.98029999999999995</v>
      </c>
      <c r="DT590" s="7">
        <v>0.98470000000000002</v>
      </c>
      <c r="DU590" s="7">
        <v>0.98899999999999999</v>
      </c>
      <c r="DV590" s="7">
        <v>0.99339999999999995</v>
      </c>
      <c r="DW590" s="7">
        <v>0.99780000000000002</v>
      </c>
      <c r="DX590" s="7">
        <v>1.0009999999999999</v>
      </c>
      <c r="DY590" s="7">
        <v>1.0009999999999999</v>
      </c>
      <c r="DZ590" s="7">
        <v>1.0009999999999999</v>
      </c>
      <c r="EA590" s="7">
        <v>1.0009999999999999</v>
      </c>
      <c r="EB590" s="7">
        <v>1.0009999999999999</v>
      </c>
      <c r="EC590" s="7">
        <v>1.0009999999999999</v>
      </c>
      <c r="ED590" s="7">
        <v>1.0009999999999999</v>
      </c>
      <c r="EE590" s="7">
        <v>1.0009999999999999</v>
      </c>
      <c r="EF590" s="7">
        <v>1.0009999999999999</v>
      </c>
      <c r="EG590" s="7">
        <v>1.0009999999999999</v>
      </c>
      <c r="EH590" s="7">
        <v>1.0009999999999999</v>
      </c>
      <c r="EI590" s="7">
        <v>1.0009999999999999</v>
      </c>
      <c r="EJ590" s="7">
        <v>1.0009999999999999</v>
      </c>
      <c r="EK590" s="7">
        <v>1.0009999999999999</v>
      </c>
      <c r="EL590" s="7">
        <v>1.0009999999999999</v>
      </c>
      <c r="EM590" s="7">
        <v>1.0009999999999999</v>
      </c>
      <c r="EN590" s="7">
        <v>1.0009999999999999</v>
      </c>
      <c r="EO590" s="7">
        <v>1.0009999999999999</v>
      </c>
      <c r="EP590" s="7">
        <v>1.0009999999999999</v>
      </c>
      <c r="EQ590" s="7">
        <v>1.0009999999999999</v>
      </c>
      <c r="ER590" s="7">
        <v>1.0009999999999999</v>
      </c>
      <c r="ES590" s="7">
        <v>1.0009999999999999</v>
      </c>
      <c r="ET590" s="7">
        <v>1.0009999999999999</v>
      </c>
      <c r="EU590" s="7">
        <v>1.0009999999999999</v>
      </c>
      <c r="EV590" s="7">
        <v>1.0009999999999999</v>
      </c>
      <c r="EW590" s="7">
        <v>1.0009999999999999</v>
      </c>
      <c r="EX590" s="7">
        <v>1.0009999999999999</v>
      </c>
      <c r="EY590" s="7">
        <v>1.0009999999999999</v>
      </c>
      <c r="EZ590" s="7">
        <v>1.0009999999999999</v>
      </c>
      <c r="FA590" s="7">
        <v>1.0009999999999999</v>
      </c>
      <c r="FB590" s="7">
        <v>1.0009999999999999</v>
      </c>
      <c r="FC590" s="7">
        <v>1.0009999999999999</v>
      </c>
      <c r="FE590" s="50">
        <f t="shared" ca="1" si="59"/>
        <v>0.99843921688589776</v>
      </c>
      <c r="FF590" s="50">
        <f t="shared" ca="1" si="60"/>
        <v>0.99590099327138748</v>
      </c>
      <c r="FG590" s="50">
        <f t="shared" ca="1" si="61"/>
        <v>0.99306630872483215</v>
      </c>
      <c r="FH590" s="50">
        <f t="shared" ca="1" si="62"/>
        <v>0.99011328859060399</v>
      </c>
      <c r="FI590" s="50"/>
      <c r="FK590" s="50">
        <f t="shared" ca="1" si="63"/>
        <v>0.99590099327138748</v>
      </c>
      <c r="FL590" s="50"/>
      <c r="FM590" s="50"/>
      <c r="FN590" s="50"/>
    </row>
    <row r="591" spans="49:170" hidden="1">
      <c r="AW591" s="112">
        <v>7.7619999999999996</v>
      </c>
      <c r="AX591" s="7">
        <v>0.61380000000000001</v>
      </c>
      <c r="AY591" s="7">
        <v>0.62029999999999996</v>
      </c>
      <c r="AZ591" s="7">
        <v>0.62660000000000005</v>
      </c>
      <c r="BA591" s="7">
        <v>0.63300000000000001</v>
      </c>
      <c r="BB591" s="7">
        <v>0.63919999999999999</v>
      </c>
      <c r="BC591" s="7">
        <v>0.64539999999999997</v>
      </c>
      <c r="BD591" s="7">
        <v>0.65149999999999997</v>
      </c>
      <c r="BE591" s="7">
        <v>0.65759999999999996</v>
      </c>
      <c r="BF591" s="7">
        <v>0.66359999999999997</v>
      </c>
      <c r="BG591" s="7">
        <v>0.66959999999999997</v>
      </c>
      <c r="BH591" s="7">
        <v>0.67549999999999999</v>
      </c>
      <c r="BI591" s="7">
        <v>0.68130000000000002</v>
      </c>
      <c r="BJ591" s="7">
        <v>0.68710000000000004</v>
      </c>
      <c r="BK591" s="7">
        <v>0.69279999999999997</v>
      </c>
      <c r="BL591" s="7">
        <v>0.69850000000000001</v>
      </c>
      <c r="BM591" s="7">
        <v>0.70409999999999995</v>
      </c>
      <c r="BN591" s="7">
        <v>0.70960000000000001</v>
      </c>
      <c r="BO591" s="7">
        <v>0.71519999999999995</v>
      </c>
      <c r="BP591" s="7">
        <v>0.72060000000000002</v>
      </c>
      <c r="BQ591" s="7">
        <v>0.72599999999999998</v>
      </c>
      <c r="BR591" s="7">
        <v>0.73140000000000005</v>
      </c>
      <c r="BS591" s="7">
        <v>0.73670000000000002</v>
      </c>
      <c r="BT591" s="7">
        <v>0.74199999999999999</v>
      </c>
      <c r="BU591" s="7">
        <v>0.74719999999999998</v>
      </c>
      <c r="BV591" s="7">
        <v>0.75239999999999996</v>
      </c>
      <c r="BW591" s="7">
        <v>0.75760000000000005</v>
      </c>
      <c r="BX591" s="7">
        <v>0.76270000000000004</v>
      </c>
      <c r="BY591" s="7">
        <v>0.76770000000000005</v>
      </c>
      <c r="BZ591" s="7">
        <v>0.77280000000000004</v>
      </c>
      <c r="CA591" s="7">
        <v>0.77769999999999995</v>
      </c>
      <c r="CB591" s="7">
        <v>0.78269999999999995</v>
      </c>
      <c r="CC591" s="7">
        <v>0.78759999999999997</v>
      </c>
      <c r="CD591" s="7">
        <v>0.79249999999999998</v>
      </c>
      <c r="CE591" s="7">
        <v>0.79730000000000001</v>
      </c>
      <c r="CF591" s="7">
        <v>0.80220000000000002</v>
      </c>
      <c r="CG591" s="7">
        <v>0.80689999999999995</v>
      </c>
      <c r="CH591" s="7">
        <v>0.81169999999999998</v>
      </c>
      <c r="CI591" s="7">
        <v>0.81640000000000001</v>
      </c>
      <c r="CJ591" s="7">
        <v>0.82110000000000005</v>
      </c>
      <c r="CK591" s="7">
        <v>0.82579999999999998</v>
      </c>
      <c r="CL591" s="7">
        <v>0.83050000000000002</v>
      </c>
      <c r="CM591" s="7">
        <v>0.83509999999999995</v>
      </c>
      <c r="CN591" s="7">
        <v>0.8397</v>
      </c>
      <c r="CO591" s="7">
        <v>0.84430000000000005</v>
      </c>
      <c r="CP591" s="7">
        <v>0.8488</v>
      </c>
      <c r="CQ591" s="7">
        <v>0.85340000000000005</v>
      </c>
      <c r="CR591" s="7">
        <v>0.8579</v>
      </c>
      <c r="CS591" s="7">
        <v>0.86240000000000006</v>
      </c>
      <c r="CT591" s="7">
        <v>0.8669</v>
      </c>
      <c r="CU591" s="7">
        <v>0.87139999999999995</v>
      </c>
      <c r="CV591" s="7">
        <v>0.87580000000000002</v>
      </c>
      <c r="CW591" s="7">
        <v>0.88029999999999997</v>
      </c>
      <c r="CX591" s="7">
        <v>0.88470000000000004</v>
      </c>
      <c r="CY591" s="7">
        <v>0.8891</v>
      </c>
      <c r="CZ591" s="7">
        <v>0.89349999999999996</v>
      </c>
      <c r="DA591" s="7">
        <v>0.89800000000000002</v>
      </c>
      <c r="DB591" s="7">
        <v>0.90239999999999998</v>
      </c>
      <c r="DC591" s="7">
        <v>0.90669999999999995</v>
      </c>
      <c r="DD591" s="7">
        <v>0.91110000000000002</v>
      </c>
      <c r="DE591" s="7">
        <v>0.91549999999999998</v>
      </c>
      <c r="DF591" s="7">
        <v>0.91990000000000005</v>
      </c>
      <c r="DG591" s="7">
        <v>0.92430000000000001</v>
      </c>
      <c r="DH591" s="7">
        <v>0.92869999999999997</v>
      </c>
      <c r="DI591" s="7">
        <v>0.93300000000000005</v>
      </c>
      <c r="DJ591" s="7">
        <v>0.93740000000000001</v>
      </c>
      <c r="DK591" s="7">
        <v>0.94179999999999997</v>
      </c>
      <c r="DL591" s="7">
        <v>0.94610000000000005</v>
      </c>
      <c r="DM591" s="7">
        <v>0.95050000000000001</v>
      </c>
      <c r="DN591" s="7">
        <v>0.95489999999999997</v>
      </c>
      <c r="DO591" s="7">
        <v>0.95930000000000004</v>
      </c>
      <c r="DP591" s="7">
        <v>0.96360000000000001</v>
      </c>
      <c r="DQ591" s="7">
        <v>0.96799999999999997</v>
      </c>
      <c r="DR591" s="7">
        <v>0.97240000000000004</v>
      </c>
      <c r="DS591" s="7">
        <v>0.97670000000000001</v>
      </c>
      <c r="DT591" s="7">
        <v>0.98109999999999997</v>
      </c>
      <c r="DU591" s="7">
        <v>0.98540000000000005</v>
      </c>
      <c r="DV591" s="7">
        <v>0.98980000000000001</v>
      </c>
      <c r="DW591" s="7">
        <v>0.99409999999999998</v>
      </c>
      <c r="DX591" s="7">
        <v>0.99850000000000005</v>
      </c>
      <c r="DY591" s="7">
        <v>1.0009999999999999</v>
      </c>
      <c r="DZ591" s="7">
        <v>1.0009999999999999</v>
      </c>
      <c r="EA591" s="7">
        <v>1.0009999999999999</v>
      </c>
      <c r="EB591" s="7">
        <v>1.0009999999999999</v>
      </c>
      <c r="EC591" s="7">
        <v>1.0009999999999999</v>
      </c>
      <c r="ED591" s="7">
        <v>1.0009999999999999</v>
      </c>
      <c r="EE591" s="7">
        <v>1.0009999999999999</v>
      </c>
      <c r="EF591" s="7">
        <v>1.0009999999999999</v>
      </c>
      <c r="EG591" s="7">
        <v>1.0009999999999999</v>
      </c>
      <c r="EH591" s="7">
        <v>1.0009999999999999</v>
      </c>
      <c r="EI591" s="7">
        <v>1.0009999999999999</v>
      </c>
      <c r="EJ591" s="7">
        <v>1.0009999999999999</v>
      </c>
      <c r="EK591" s="7">
        <v>1.0009999999999999</v>
      </c>
      <c r="EL591" s="7">
        <v>1.0009999999999999</v>
      </c>
      <c r="EM591" s="7">
        <v>1.0009999999999999</v>
      </c>
      <c r="EN591" s="7">
        <v>1.0009999999999999</v>
      </c>
      <c r="EO591" s="7">
        <v>1.0009999999999999</v>
      </c>
      <c r="EP591" s="7">
        <v>1.0009999999999999</v>
      </c>
      <c r="EQ591" s="7">
        <v>1.0009999999999999</v>
      </c>
      <c r="ER591" s="7">
        <v>1.0009999999999999</v>
      </c>
      <c r="ES591" s="7">
        <v>1.0009999999999999</v>
      </c>
      <c r="ET591" s="7">
        <v>1.0009999999999999</v>
      </c>
      <c r="EU591" s="7">
        <v>1.0009999999999999</v>
      </c>
      <c r="EV591" s="7">
        <v>1.0009999999999999</v>
      </c>
      <c r="EW591" s="7">
        <v>1.0009999999999999</v>
      </c>
      <c r="EX591" s="7">
        <v>1.0009999999999999</v>
      </c>
      <c r="EY591" s="7">
        <v>1.0009999999999999</v>
      </c>
      <c r="EZ591" s="7">
        <v>1.0009999999999999</v>
      </c>
      <c r="FA591" s="7">
        <v>1.0009999999999999</v>
      </c>
      <c r="FB591" s="7">
        <v>1.0009999999999999</v>
      </c>
      <c r="FC591" s="7">
        <v>1.0009999999999999</v>
      </c>
      <c r="FE591" s="50">
        <f t="shared" ca="1" si="59"/>
        <v>0.99497892321810943</v>
      </c>
      <c r="FF591" s="50">
        <f t="shared" ca="1" si="60"/>
        <v>0.99224415251521958</v>
      </c>
      <c r="FG591" s="50">
        <f t="shared" ca="1" si="61"/>
        <v>0.98946630872483221</v>
      </c>
      <c r="FH591" s="50">
        <f t="shared" ca="1" si="62"/>
        <v>0.98651328859060405</v>
      </c>
      <c r="FI591" s="50"/>
      <c r="FK591" s="50">
        <f t="shared" ca="1" si="63"/>
        <v>0.99224415251521958</v>
      </c>
      <c r="FL591" s="50"/>
      <c r="FM591" s="50"/>
      <c r="FN591" s="50"/>
    </row>
    <row r="592" spans="49:170" hidden="1">
      <c r="AW592" s="112">
        <v>8.3179999999999996</v>
      </c>
      <c r="AX592" s="7">
        <v>0.61160000000000003</v>
      </c>
      <c r="AY592" s="7">
        <v>0.61799999999999999</v>
      </c>
      <c r="AZ592" s="7">
        <v>0.62439999999999996</v>
      </c>
      <c r="BA592" s="7">
        <v>0.63070000000000004</v>
      </c>
      <c r="BB592" s="7">
        <v>0.63690000000000002</v>
      </c>
      <c r="BC592" s="7">
        <v>0.6431</v>
      </c>
      <c r="BD592" s="7">
        <v>0.6492</v>
      </c>
      <c r="BE592" s="7">
        <v>0.65529999999999999</v>
      </c>
      <c r="BF592" s="7">
        <v>0.66120000000000001</v>
      </c>
      <c r="BG592" s="7">
        <v>0.66720000000000002</v>
      </c>
      <c r="BH592" s="7">
        <v>0.67300000000000004</v>
      </c>
      <c r="BI592" s="7">
        <v>0.67879999999999996</v>
      </c>
      <c r="BJ592" s="7">
        <v>0.68459999999999999</v>
      </c>
      <c r="BK592" s="7">
        <v>0.69030000000000002</v>
      </c>
      <c r="BL592" s="7">
        <v>0.69599999999999995</v>
      </c>
      <c r="BM592" s="7">
        <v>0.7016</v>
      </c>
      <c r="BN592" s="7">
        <v>0.70709999999999995</v>
      </c>
      <c r="BO592" s="7">
        <v>0.71260000000000001</v>
      </c>
      <c r="BP592" s="7">
        <v>0.71799999999999997</v>
      </c>
      <c r="BQ592" s="7">
        <v>0.72340000000000004</v>
      </c>
      <c r="BR592" s="7">
        <v>0.7288</v>
      </c>
      <c r="BS592" s="7">
        <v>0.73409999999999997</v>
      </c>
      <c r="BT592" s="7">
        <v>0.73929999999999996</v>
      </c>
      <c r="BU592" s="7">
        <v>0.74450000000000005</v>
      </c>
      <c r="BV592" s="7">
        <v>0.74970000000000003</v>
      </c>
      <c r="BW592" s="7">
        <v>0.75480000000000003</v>
      </c>
      <c r="BX592" s="7">
        <v>0.75990000000000002</v>
      </c>
      <c r="BY592" s="7">
        <v>0.76500000000000001</v>
      </c>
      <c r="BZ592" s="7">
        <v>0.77</v>
      </c>
      <c r="CA592" s="7">
        <v>0.77490000000000003</v>
      </c>
      <c r="CB592" s="7">
        <v>0.77990000000000004</v>
      </c>
      <c r="CC592" s="7">
        <v>0.78480000000000005</v>
      </c>
      <c r="CD592" s="7">
        <v>0.78959999999999997</v>
      </c>
      <c r="CE592" s="7">
        <v>0.79449999999999998</v>
      </c>
      <c r="CF592" s="7">
        <v>0.79930000000000001</v>
      </c>
      <c r="CG592" s="7">
        <v>0.80400000000000005</v>
      </c>
      <c r="CH592" s="7">
        <v>0.80879999999999996</v>
      </c>
      <c r="CI592" s="7">
        <v>0.8135</v>
      </c>
      <c r="CJ592" s="7">
        <v>0.81820000000000004</v>
      </c>
      <c r="CK592" s="7">
        <v>0.82279999999999998</v>
      </c>
      <c r="CL592" s="7">
        <v>0.82750000000000001</v>
      </c>
      <c r="CM592" s="7">
        <v>0.83209999999999995</v>
      </c>
      <c r="CN592" s="7">
        <v>0.8367</v>
      </c>
      <c r="CO592" s="7">
        <v>0.84119999999999995</v>
      </c>
      <c r="CP592" s="7">
        <v>0.8458</v>
      </c>
      <c r="CQ592" s="7">
        <v>0.85029999999999994</v>
      </c>
      <c r="CR592" s="7">
        <v>0.8548</v>
      </c>
      <c r="CS592" s="7">
        <v>0.85929999999999995</v>
      </c>
      <c r="CT592" s="7">
        <v>0.86380000000000001</v>
      </c>
      <c r="CU592" s="7">
        <v>0.86819999999999997</v>
      </c>
      <c r="CV592" s="7">
        <v>0.87270000000000003</v>
      </c>
      <c r="CW592" s="7">
        <v>0.87709999999999999</v>
      </c>
      <c r="CX592" s="7">
        <v>0.88149999999999995</v>
      </c>
      <c r="CY592" s="7">
        <v>0.88590000000000002</v>
      </c>
      <c r="CZ592" s="7">
        <v>0.89029999999999998</v>
      </c>
      <c r="DA592" s="7">
        <v>0.89470000000000005</v>
      </c>
      <c r="DB592" s="7">
        <v>0.89910000000000001</v>
      </c>
      <c r="DC592" s="7">
        <v>0.90349999999999997</v>
      </c>
      <c r="DD592" s="7">
        <v>0.90790000000000004</v>
      </c>
      <c r="DE592" s="7">
        <v>0.91220000000000001</v>
      </c>
      <c r="DF592" s="7">
        <v>0.91659999999999997</v>
      </c>
      <c r="DG592" s="7">
        <v>0.92100000000000004</v>
      </c>
      <c r="DH592" s="7">
        <v>0.92530000000000001</v>
      </c>
      <c r="DI592" s="7">
        <v>0.92969999999999997</v>
      </c>
      <c r="DJ592" s="7">
        <v>0.93400000000000005</v>
      </c>
      <c r="DK592" s="7">
        <v>0.93840000000000001</v>
      </c>
      <c r="DL592" s="7">
        <v>0.94269999999999998</v>
      </c>
      <c r="DM592" s="7">
        <v>0.94710000000000005</v>
      </c>
      <c r="DN592" s="7">
        <v>0.95150000000000001</v>
      </c>
      <c r="DO592" s="7">
        <v>0.95579999999999998</v>
      </c>
      <c r="DP592" s="7">
        <v>0.96020000000000005</v>
      </c>
      <c r="DQ592" s="7">
        <v>0.96450000000000002</v>
      </c>
      <c r="DR592" s="7">
        <v>0.96889999999999998</v>
      </c>
      <c r="DS592" s="7">
        <v>0.97319999999999995</v>
      </c>
      <c r="DT592" s="7">
        <v>0.97760000000000002</v>
      </c>
      <c r="DU592" s="7">
        <v>0.9819</v>
      </c>
      <c r="DV592" s="7">
        <v>0.98619999999999997</v>
      </c>
      <c r="DW592" s="7">
        <v>0.99060000000000004</v>
      </c>
      <c r="DX592" s="7">
        <v>0.99490000000000001</v>
      </c>
      <c r="DY592" s="7">
        <v>0.99919999999999998</v>
      </c>
      <c r="DZ592" s="7">
        <v>1.0009999999999999</v>
      </c>
      <c r="EA592" s="7">
        <v>1.0009999999999999</v>
      </c>
      <c r="EB592" s="7">
        <v>1.0009999999999999</v>
      </c>
      <c r="EC592" s="7">
        <v>1.0009999999999999</v>
      </c>
      <c r="ED592" s="7">
        <v>1.0009999999999999</v>
      </c>
      <c r="EE592" s="7">
        <v>1.0009999999999999</v>
      </c>
      <c r="EF592" s="7">
        <v>1.0009999999999999</v>
      </c>
      <c r="EG592" s="7">
        <v>1.0009999999999999</v>
      </c>
      <c r="EH592" s="7">
        <v>1.0009999999999999</v>
      </c>
      <c r="EI592" s="7">
        <v>1.0009999999999999</v>
      </c>
      <c r="EJ592" s="7">
        <v>1.0009999999999999</v>
      </c>
      <c r="EK592" s="7">
        <v>1.0009999999999999</v>
      </c>
      <c r="EL592" s="7">
        <v>1.0009999999999999</v>
      </c>
      <c r="EM592" s="7">
        <v>1.0009999999999999</v>
      </c>
      <c r="EN592" s="7">
        <v>1.0009999999999999</v>
      </c>
      <c r="EO592" s="7">
        <v>1.0009999999999999</v>
      </c>
      <c r="EP592" s="7">
        <v>1.0009999999999999</v>
      </c>
      <c r="EQ592" s="7">
        <v>1.0009999999999999</v>
      </c>
      <c r="ER592" s="7">
        <v>1.0009999999999999</v>
      </c>
      <c r="ES592" s="7">
        <v>1.0009999999999999</v>
      </c>
      <c r="ET592" s="7">
        <v>1.0009999999999999</v>
      </c>
      <c r="EU592" s="7">
        <v>1.0009999999999999</v>
      </c>
      <c r="EV592" s="7">
        <v>1.0009999999999999</v>
      </c>
      <c r="EW592" s="7">
        <v>1.0009999999999999</v>
      </c>
      <c r="EX592" s="7">
        <v>1.0009999999999999</v>
      </c>
      <c r="EY592" s="7">
        <v>1.0009999999999999</v>
      </c>
      <c r="EZ592" s="7">
        <v>1.0009999999999999</v>
      </c>
      <c r="FA592" s="7">
        <v>1.0009999999999999</v>
      </c>
      <c r="FB592" s="7">
        <v>1.0009999999999999</v>
      </c>
      <c r="FC592" s="7">
        <v>1.0009999999999999</v>
      </c>
      <c r="FE592" s="50">
        <f t="shared" ca="1" si="59"/>
        <v>0.99145894769042531</v>
      </c>
      <c r="FF592" s="50">
        <f t="shared" ca="1" si="60"/>
        <v>0.98870099327138738</v>
      </c>
      <c r="FG592" s="50">
        <f t="shared" ca="1" si="61"/>
        <v>0.98587389261744962</v>
      </c>
      <c r="FH592" s="50">
        <f t="shared" ca="1" si="62"/>
        <v>0.98298798657718112</v>
      </c>
      <c r="FI592" s="50"/>
      <c r="FK592" s="50">
        <f t="shared" ref="FK592:FK628" ca="1" si="64">FORECAST(AN$22,OFFSET($AX592,0,MATCH(AN$22,$AX$527:$FC$527,1)-1,1,2),OFFSET($AX$527,0,MATCH(AN$22,$AX$527:$FC$527,1)-1,1,2))</f>
        <v>0.98870099327138738</v>
      </c>
      <c r="FL592" s="50"/>
      <c r="FM592" s="50"/>
      <c r="FN592" s="50"/>
    </row>
    <row r="593" spans="49:170" hidden="1">
      <c r="AW593" s="112">
        <v>8.9130000000000003</v>
      </c>
      <c r="AX593" s="7">
        <v>0.60940000000000005</v>
      </c>
      <c r="AY593" s="7">
        <v>0.61580000000000001</v>
      </c>
      <c r="AZ593" s="7">
        <v>0.62219999999999998</v>
      </c>
      <c r="BA593" s="7">
        <v>0.62839999999999996</v>
      </c>
      <c r="BB593" s="7">
        <v>0.63470000000000004</v>
      </c>
      <c r="BC593" s="7">
        <v>0.64080000000000004</v>
      </c>
      <c r="BD593" s="7">
        <v>0.64690000000000003</v>
      </c>
      <c r="BE593" s="7">
        <v>0.65290000000000004</v>
      </c>
      <c r="BF593" s="7">
        <v>0.65890000000000004</v>
      </c>
      <c r="BG593" s="7">
        <v>0.66479999999999995</v>
      </c>
      <c r="BH593" s="7">
        <v>0.67059999999999997</v>
      </c>
      <c r="BI593" s="7">
        <v>0.6764</v>
      </c>
      <c r="BJ593" s="7">
        <v>0.68220000000000003</v>
      </c>
      <c r="BK593" s="7">
        <v>0.68789999999999996</v>
      </c>
      <c r="BL593" s="7">
        <v>0.69350000000000001</v>
      </c>
      <c r="BM593" s="7">
        <v>0.69910000000000005</v>
      </c>
      <c r="BN593" s="7">
        <v>0.7046</v>
      </c>
      <c r="BO593" s="7">
        <v>0.71009999999999995</v>
      </c>
      <c r="BP593" s="7">
        <v>0.71550000000000002</v>
      </c>
      <c r="BQ593" s="7">
        <v>0.72089999999999999</v>
      </c>
      <c r="BR593" s="7">
        <v>0.72619999999999996</v>
      </c>
      <c r="BS593" s="7">
        <v>0.73150000000000004</v>
      </c>
      <c r="BT593" s="7">
        <v>0.73670000000000002</v>
      </c>
      <c r="BU593" s="7">
        <v>0.7419</v>
      </c>
      <c r="BV593" s="7">
        <v>0.747</v>
      </c>
      <c r="BW593" s="7">
        <v>0.75219999999999998</v>
      </c>
      <c r="BX593" s="7">
        <v>0.75719999999999998</v>
      </c>
      <c r="BY593" s="7">
        <v>0.76229999999999998</v>
      </c>
      <c r="BZ593" s="7">
        <v>0.76719999999999999</v>
      </c>
      <c r="CA593" s="7">
        <v>0.7722</v>
      </c>
      <c r="CB593" s="7">
        <v>0.77710000000000001</v>
      </c>
      <c r="CC593" s="7">
        <v>0.78200000000000003</v>
      </c>
      <c r="CD593" s="7">
        <v>0.78680000000000005</v>
      </c>
      <c r="CE593" s="7">
        <v>0.79169999999999996</v>
      </c>
      <c r="CF593" s="7">
        <v>0.7964</v>
      </c>
      <c r="CG593" s="7">
        <v>0.80120000000000002</v>
      </c>
      <c r="CH593" s="7">
        <v>0.80589999999999995</v>
      </c>
      <c r="CI593" s="7">
        <v>0.81059999999999999</v>
      </c>
      <c r="CJ593" s="7">
        <v>0.81530000000000002</v>
      </c>
      <c r="CK593" s="7">
        <v>0.81989999999999996</v>
      </c>
      <c r="CL593" s="7">
        <v>0.82450000000000001</v>
      </c>
      <c r="CM593" s="7">
        <v>0.82909999999999995</v>
      </c>
      <c r="CN593" s="7">
        <v>0.8337</v>
      </c>
      <c r="CO593" s="7">
        <v>0.83819999999999995</v>
      </c>
      <c r="CP593" s="7">
        <v>0.84279999999999999</v>
      </c>
      <c r="CQ593" s="7">
        <v>0.84730000000000005</v>
      </c>
      <c r="CR593" s="7">
        <v>0.8518</v>
      </c>
      <c r="CS593" s="7">
        <v>0.85619999999999996</v>
      </c>
      <c r="CT593" s="7">
        <v>0.86070000000000002</v>
      </c>
      <c r="CU593" s="7">
        <v>0.86509999999999998</v>
      </c>
      <c r="CV593" s="7">
        <v>0.86960000000000004</v>
      </c>
      <c r="CW593" s="7">
        <v>0.874</v>
      </c>
      <c r="CX593" s="7">
        <v>0.87839999999999996</v>
      </c>
      <c r="CY593" s="7">
        <v>0.88280000000000003</v>
      </c>
      <c r="CZ593" s="7">
        <v>0.88719999999999999</v>
      </c>
      <c r="DA593" s="7">
        <v>0.89149999999999996</v>
      </c>
      <c r="DB593" s="7">
        <v>0.89590000000000003</v>
      </c>
      <c r="DC593" s="7">
        <v>0.90029999999999999</v>
      </c>
      <c r="DD593" s="7">
        <v>0.90459999999999996</v>
      </c>
      <c r="DE593" s="7">
        <v>0.90900000000000003</v>
      </c>
      <c r="DF593" s="7">
        <v>0.9133</v>
      </c>
      <c r="DG593" s="7">
        <v>0.91769999999999996</v>
      </c>
      <c r="DH593" s="7">
        <v>0.92200000000000004</v>
      </c>
      <c r="DI593" s="7">
        <v>0.9264</v>
      </c>
      <c r="DJ593" s="7">
        <v>0.93069999999999997</v>
      </c>
      <c r="DK593" s="7">
        <v>0.93510000000000004</v>
      </c>
      <c r="DL593" s="7">
        <v>0.93940000000000001</v>
      </c>
      <c r="DM593" s="7">
        <v>0.94369999999999998</v>
      </c>
      <c r="DN593" s="7">
        <v>0.94810000000000005</v>
      </c>
      <c r="DO593" s="7">
        <v>0.95240000000000002</v>
      </c>
      <c r="DP593" s="7">
        <v>0.95679999999999998</v>
      </c>
      <c r="DQ593" s="7">
        <v>0.96109999999999995</v>
      </c>
      <c r="DR593" s="7">
        <v>0.96540000000000004</v>
      </c>
      <c r="DS593" s="7">
        <v>0.9698</v>
      </c>
      <c r="DT593" s="7">
        <v>0.97409999999999997</v>
      </c>
      <c r="DU593" s="7">
        <v>0.97840000000000005</v>
      </c>
      <c r="DV593" s="7">
        <v>0.98270000000000002</v>
      </c>
      <c r="DW593" s="7">
        <v>0.98709999999999998</v>
      </c>
      <c r="DX593" s="7">
        <v>0.99139999999999995</v>
      </c>
      <c r="DY593" s="7">
        <v>0.99570000000000003</v>
      </c>
      <c r="DZ593" s="7">
        <v>0.99990000000000001</v>
      </c>
      <c r="EA593" s="7">
        <v>1.0009999999999999</v>
      </c>
      <c r="EB593" s="7">
        <v>1.0009999999999999</v>
      </c>
      <c r="EC593" s="7">
        <v>1.0009999999999999</v>
      </c>
      <c r="ED593" s="7">
        <v>1.0009999999999999</v>
      </c>
      <c r="EE593" s="7">
        <v>1.0009999999999999</v>
      </c>
      <c r="EF593" s="7">
        <v>1.0009999999999999</v>
      </c>
      <c r="EG593" s="7">
        <v>1.0009999999999999</v>
      </c>
      <c r="EH593" s="7">
        <v>1.0009999999999999</v>
      </c>
      <c r="EI593" s="7">
        <v>1.0009999999999999</v>
      </c>
      <c r="EJ593" s="7">
        <v>1.0009999999999999</v>
      </c>
      <c r="EK593" s="7">
        <v>1.0009999999999999</v>
      </c>
      <c r="EL593" s="7">
        <v>1.0009999999999999</v>
      </c>
      <c r="EM593" s="7">
        <v>1.0009999999999999</v>
      </c>
      <c r="EN593" s="7">
        <v>1.0009999999999999</v>
      </c>
      <c r="EO593" s="7">
        <v>1.0009999999999999</v>
      </c>
      <c r="EP593" s="7">
        <v>1.0009999999999999</v>
      </c>
      <c r="EQ593" s="7">
        <v>1.0009999999999999</v>
      </c>
      <c r="ER593" s="7">
        <v>1.0009999999999999</v>
      </c>
      <c r="ES593" s="7">
        <v>1.0009999999999999</v>
      </c>
      <c r="ET593" s="7">
        <v>1.0009999999999999</v>
      </c>
      <c r="EU593" s="7">
        <v>1.0009999999999999</v>
      </c>
      <c r="EV593" s="7">
        <v>1.0009999999999999</v>
      </c>
      <c r="EW593" s="7">
        <v>1.0009999999999999</v>
      </c>
      <c r="EX593" s="7">
        <v>1.0009999999999999</v>
      </c>
      <c r="EY593" s="7">
        <v>1.0009999999999999</v>
      </c>
      <c r="EZ593" s="7">
        <v>1.0009999999999999</v>
      </c>
      <c r="FA593" s="7">
        <v>1.0009999999999999</v>
      </c>
      <c r="FB593" s="7">
        <v>1.0009999999999999</v>
      </c>
      <c r="FC593" s="7">
        <v>1.0009999999999999</v>
      </c>
      <c r="FE593" s="50">
        <f t="shared" ref="FE593:FE628" ca="1" si="65">FORECAST(J$39,OFFSET($AX593,0,MATCH(J$39,$AX$527:$FC$527,1)-1,1,2),OFFSET($AX$527,0,MATCH(J$39,$AX$527:$FC$527,1)-1,1,2))</f>
        <v>0.98795894769042525</v>
      </c>
      <c r="FF593" s="50">
        <f t="shared" ref="FF593:FF628" ca="1" si="66">FORECAST(L$39,OFFSET($AX593,0,MATCH(L$39,$AX$527:$FC$527,1)-1,1,2),OFFSET($AX$527,0,MATCH(L$39,$AX$527:$FC$527,1)-1,1,2))</f>
        <v>0.98520099327138733</v>
      </c>
      <c r="FG593" s="50">
        <f t="shared" ref="FG593:FG628" ca="1" si="67">FORECAST(N$39,OFFSET($AX593,0,MATCH(N$39,$AX$527:$FC$527,1)-1,1,2),OFFSET($AX$527,0,MATCH(N$39,$AX$527:$FC$527,1)-1,1,2))</f>
        <v>0.98237389261744967</v>
      </c>
      <c r="FH593" s="50">
        <f t="shared" ref="FH593:FH628" ca="1" si="68">FORECAST(P$39,OFFSET($AX593,0,MATCH(P$39,$AX$527:$FC$527,1)-1,1,2),OFFSET($AX$527,0,MATCH(P$39,$AX$527:$FC$527,1)-1,1,2))</f>
        <v>0.97948798657718117</v>
      </c>
      <c r="FI593" s="50"/>
      <c r="FK593" s="50">
        <f t="shared" ca="1" si="64"/>
        <v>0.98520099327138733</v>
      </c>
      <c r="FL593" s="50"/>
      <c r="FM593" s="50"/>
      <c r="FN593" s="50"/>
    </row>
    <row r="594" spans="49:170" hidden="1">
      <c r="AW594" s="112">
        <v>9.5500000000000007</v>
      </c>
      <c r="AX594" s="7">
        <v>0.60729999999999995</v>
      </c>
      <c r="AY594" s="7">
        <v>0.61370000000000002</v>
      </c>
      <c r="AZ594" s="7">
        <v>0.62</v>
      </c>
      <c r="BA594" s="7">
        <v>0.62619999999999998</v>
      </c>
      <c r="BB594" s="7">
        <v>0.63239999999999996</v>
      </c>
      <c r="BC594" s="7">
        <v>0.63859999999999995</v>
      </c>
      <c r="BD594" s="7">
        <v>0.64459999999999995</v>
      </c>
      <c r="BE594" s="7">
        <v>0.65059999999999996</v>
      </c>
      <c r="BF594" s="7">
        <v>0.65659999999999996</v>
      </c>
      <c r="BG594" s="7">
        <v>0.66249999999999998</v>
      </c>
      <c r="BH594" s="7">
        <v>0.66830000000000001</v>
      </c>
      <c r="BI594" s="7">
        <v>0.67410000000000003</v>
      </c>
      <c r="BJ594" s="7">
        <v>0.67979999999999996</v>
      </c>
      <c r="BK594" s="7">
        <v>0.68540000000000001</v>
      </c>
      <c r="BL594" s="7">
        <v>0.69110000000000005</v>
      </c>
      <c r="BM594" s="7">
        <v>0.6966</v>
      </c>
      <c r="BN594" s="7">
        <v>0.70209999999999995</v>
      </c>
      <c r="BO594" s="7">
        <v>0.70760000000000001</v>
      </c>
      <c r="BP594" s="7">
        <v>0.71299999999999997</v>
      </c>
      <c r="BQ594" s="7">
        <v>0.71830000000000005</v>
      </c>
      <c r="BR594" s="7">
        <v>0.72360000000000002</v>
      </c>
      <c r="BS594" s="7">
        <v>0.72889999999999999</v>
      </c>
      <c r="BT594" s="7">
        <v>0.73409999999999997</v>
      </c>
      <c r="BU594" s="7">
        <v>0.73929999999999996</v>
      </c>
      <c r="BV594" s="7">
        <v>0.74439999999999995</v>
      </c>
      <c r="BW594" s="7">
        <v>0.74950000000000006</v>
      </c>
      <c r="BX594" s="7">
        <v>0.75460000000000005</v>
      </c>
      <c r="BY594" s="7">
        <v>0.75960000000000005</v>
      </c>
      <c r="BZ594" s="7">
        <v>0.76459999999999995</v>
      </c>
      <c r="CA594" s="7">
        <v>0.76949999999999996</v>
      </c>
      <c r="CB594" s="7">
        <v>0.77439999999999998</v>
      </c>
      <c r="CC594" s="7">
        <v>0.7792</v>
      </c>
      <c r="CD594" s="7">
        <v>0.78410000000000002</v>
      </c>
      <c r="CE594" s="7">
        <v>0.78890000000000005</v>
      </c>
      <c r="CF594" s="7">
        <v>0.79359999999999997</v>
      </c>
      <c r="CG594" s="7">
        <v>0.7984</v>
      </c>
      <c r="CH594" s="7">
        <v>0.80310000000000004</v>
      </c>
      <c r="CI594" s="7">
        <v>0.80779999999999996</v>
      </c>
      <c r="CJ594" s="7">
        <v>0.81240000000000001</v>
      </c>
      <c r="CK594" s="7">
        <v>0.81699999999999995</v>
      </c>
      <c r="CL594" s="7">
        <v>0.8216</v>
      </c>
      <c r="CM594" s="7">
        <v>0.82620000000000005</v>
      </c>
      <c r="CN594" s="7">
        <v>0.83079999999999998</v>
      </c>
      <c r="CO594" s="7">
        <v>0.83530000000000004</v>
      </c>
      <c r="CP594" s="7">
        <v>0.83979999999999999</v>
      </c>
      <c r="CQ594" s="7">
        <v>0.84430000000000005</v>
      </c>
      <c r="CR594" s="7">
        <v>0.8488</v>
      </c>
      <c r="CS594" s="7">
        <v>0.85319999999999996</v>
      </c>
      <c r="CT594" s="7">
        <v>0.85770000000000002</v>
      </c>
      <c r="CU594" s="7">
        <v>0.86209999999999998</v>
      </c>
      <c r="CV594" s="7">
        <v>0.86650000000000005</v>
      </c>
      <c r="CW594" s="7">
        <v>0.87090000000000001</v>
      </c>
      <c r="CX594" s="7">
        <v>0.87529999999999997</v>
      </c>
      <c r="CY594" s="7">
        <v>0.87970000000000004</v>
      </c>
      <c r="CZ594" s="7">
        <v>0.8841</v>
      </c>
      <c r="DA594" s="7">
        <v>0.88839999999999997</v>
      </c>
      <c r="DB594" s="7">
        <v>0.89280000000000004</v>
      </c>
      <c r="DC594" s="7">
        <v>0.89710000000000001</v>
      </c>
      <c r="DD594" s="7">
        <v>0.90149999999999997</v>
      </c>
      <c r="DE594" s="7">
        <v>0.90580000000000005</v>
      </c>
      <c r="DF594" s="7">
        <v>0.91010000000000002</v>
      </c>
      <c r="DG594" s="7">
        <v>0.91449999999999998</v>
      </c>
      <c r="DH594" s="7">
        <v>0.91879999999999995</v>
      </c>
      <c r="DI594" s="7">
        <v>0.92310000000000003</v>
      </c>
      <c r="DJ594" s="7">
        <v>0.9274</v>
      </c>
      <c r="DK594" s="7">
        <v>0.93179999999999996</v>
      </c>
      <c r="DL594" s="7">
        <v>0.93610000000000004</v>
      </c>
      <c r="DM594" s="7">
        <v>0.94040000000000001</v>
      </c>
      <c r="DN594" s="7">
        <v>0.94469999999999998</v>
      </c>
      <c r="DO594" s="7">
        <v>0.94910000000000005</v>
      </c>
      <c r="DP594" s="7">
        <v>0.95340000000000003</v>
      </c>
      <c r="DQ594" s="7">
        <v>0.9577</v>
      </c>
      <c r="DR594" s="7">
        <v>0.96199999999999997</v>
      </c>
      <c r="DS594" s="7">
        <v>0.96640000000000004</v>
      </c>
      <c r="DT594" s="7">
        <v>0.97070000000000001</v>
      </c>
      <c r="DU594" s="7">
        <v>0.97499999999999998</v>
      </c>
      <c r="DV594" s="7">
        <v>0.97929999999999995</v>
      </c>
      <c r="DW594" s="7">
        <v>0.98360000000000003</v>
      </c>
      <c r="DX594" s="7">
        <v>0.9879</v>
      </c>
      <c r="DY594" s="7">
        <v>0.99219999999999997</v>
      </c>
      <c r="DZ594" s="7">
        <v>0.99639999999999995</v>
      </c>
      <c r="EA594" s="7">
        <v>1.0009999999999999</v>
      </c>
      <c r="EB594" s="7">
        <v>1.0009999999999999</v>
      </c>
      <c r="EC594" s="7">
        <v>1.0009999999999999</v>
      </c>
      <c r="ED594" s="7">
        <v>1.0009999999999999</v>
      </c>
      <c r="EE594" s="7">
        <v>1.0009999999999999</v>
      </c>
      <c r="EF594" s="7">
        <v>1.0009999999999999</v>
      </c>
      <c r="EG594" s="7">
        <v>1.0009999999999999</v>
      </c>
      <c r="EH594" s="7">
        <v>1.0009999999999999</v>
      </c>
      <c r="EI594" s="7">
        <v>1.0009999999999999</v>
      </c>
      <c r="EJ594" s="7">
        <v>1.0009999999999999</v>
      </c>
      <c r="EK594" s="7">
        <v>1.0009999999999999</v>
      </c>
      <c r="EL594" s="7">
        <v>1.0009999999999999</v>
      </c>
      <c r="EM594" s="7">
        <v>1.0009999999999999</v>
      </c>
      <c r="EN594" s="7">
        <v>1.0009999999999999</v>
      </c>
      <c r="EO594" s="7">
        <v>1.0009999999999999</v>
      </c>
      <c r="EP594" s="7">
        <v>1.0009999999999999</v>
      </c>
      <c r="EQ594" s="7">
        <v>1.0009999999999999</v>
      </c>
      <c r="ER594" s="7">
        <v>1.0009999999999999</v>
      </c>
      <c r="ES594" s="7">
        <v>1.0009999999999999</v>
      </c>
      <c r="ET594" s="7">
        <v>1.0009999999999999</v>
      </c>
      <c r="EU594" s="7">
        <v>1.0009999999999999</v>
      </c>
      <c r="EV594" s="7">
        <v>1.0009999999999999</v>
      </c>
      <c r="EW594" s="7">
        <v>1.0009999999999999</v>
      </c>
      <c r="EX594" s="7">
        <v>1.0009999999999999</v>
      </c>
      <c r="EY594" s="7">
        <v>1.0009999999999999</v>
      </c>
      <c r="EZ594" s="7">
        <v>1.0009999999999999</v>
      </c>
      <c r="FA594" s="7">
        <v>1.0009999999999999</v>
      </c>
      <c r="FB594" s="7">
        <v>1.0009999999999999</v>
      </c>
      <c r="FC594" s="7">
        <v>1.0009999999999999</v>
      </c>
      <c r="FE594" s="50">
        <f t="shared" ca="1" si="65"/>
        <v>0.9844589476904253</v>
      </c>
      <c r="FF594" s="50">
        <f t="shared" ca="1" si="66"/>
        <v>0.9817441525152194</v>
      </c>
      <c r="FG594" s="50">
        <f t="shared" ca="1" si="67"/>
        <v>0.9789738926174496</v>
      </c>
      <c r="FH594" s="50">
        <f t="shared" ca="1" si="68"/>
        <v>0.9760879865771811</v>
      </c>
      <c r="FI594" s="50"/>
      <c r="FK594" s="50">
        <f t="shared" ca="1" si="64"/>
        <v>0.9817441525152194</v>
      </c>
      <c r="FL594" s="50"/>
      <c r="FM594" s="50"/>
      <c r="FN594" s="50"/>
    </row>
    <row r="595" spans="49:170" hidden="1">
      <c r="AW595" s="112">
        <v>10.233000000000001</v>
      </c>
      <c r="AX595" s="7">
        <v>0.60519999999999996</v>
      </c>
      <c r="AY595" s="7">
        <v>0.61150000000000004</v>
      </c>
      <c r="AZ595" s="7">
        <v>0.61780000000000002</v>
      </c>
      <c r="BA595" s="7">
        <v>0.62409999999999999</v>
      </c>
      <c r="BB595" s="7">
        <v>0.63019999999999998</v>
      </c>
      <c r="BC595" s="7">
        <v>0.63639999999999997</v>
      </c>
      <c r="BD595" s="7">
        <v>0.64239999999999997</v>
      </c>
      <c r="BE595" s="7">
        <v>0.64839999999999998</v>
      </c>
      <c r="BF595" s="7">
        <v>0.65429999999999999</v>
      </c>
      <c r="BG595" s="7">
        <v>0.66020000000000001</v>
      </c>
      <c r="BH595" s="7">
        <v>0.66600000000000004</v>
      </c>
      <c r="BI595" s="7">
        <v>0.67169999999999996</v>
      </c>
      <c r="BJ595" s="7">
        <v>0.6774</v>
      </c>
      <c r="BK595" s="7">
        <v>0.68310000000000004</v>
      </c>
      <c r="BL595" s="7">
        <v>0.68869999999999998</v>
      </c>
      <c r="BM595" s="7">
        <v>0.69420000000000004</v>
      </c>
      <c r="BN595" s="7">
        <v>0.69969999999999999</v>
      </c>
      <c r="BO595" s="7">
        <v>0.70509999999999995</v>
      </c>
      <c r="BP595" s="7">
        <v>0.71050000000000002</v>
      </c>
      <c r="BQ595" s="7">
        <v>0.71579999999999999</v>
      </c>
      <c r="BR595" s="7">
        <v>0.72109999999999996</v>
      </c>
      <c r="BS595" s="7">
        <v>0.72640000000000005</v>
      </c>
      <c r="BT595" s="7">
        <v>0.73160000000000003</v>
      </c>
      <c r="BU595" s="7">
        <v>0.73670000000000002</v>
      </c>
      <c r="BV595" s="7">
        <v>0.74180000000000001</v>
      </c>
      <c r="BW595" s="7">
        <v>0.74690000000000001</v>
      </c>
      <c r="BX595" s="7">
        <v>0.752</v>
      </c>
      <c r="BY595" s="7">
        <v>0.75690000000000002</v>
      </c>
      <c r="BZ595" s="7">
        <v>0.76190000000000002</v>
      </c>
      <c r="CA595" s="7">
        <v>0.76680000000000004</v>
      </c>
      <c r="CB595" s="7">
        <v>0.77170000000000005</v>
      </c>
      <c r="CC595" s="7">
        <v>0.77649999999999997</v>
      </c>
      <c r="CD595" s="7">
        <v>0.78139999999999998</v>
      </c>
      <c r="CE595" s="7">
        <v>0.78610000000000002</v>
      </c>
      <c r="CF595" s="7">
        <v>0.79090000000000005</v>
      </c>
      <c r="CG595" s="7">
        <v>0.79559999999999997</v>
      </c>
      <c r="CH595" s="7">
        <v>0.80030000000000001</v>
      </c>
      <c r="CI595" s="7">
        <v>0.80500000000000005</v>
      </c>
      <c r="CJ595" s="7">
        <v>0.80959999999999999</v>
      </c>
      <c r="CK595" s="7">
        <v>0.81420000000000003</v>
      </c>
      <c r="CL595" s="7">
        <v>0.81879999999999997</v>
      </c>
      <c r="CM595" s="7">
        <v>0.82340000000000002</v>
      </c>
      <c r="CN595" s="7">
        <v>0.82789999999999997</v>
      </c>
      <c r="CO595" s="7">
        <v>0.83240000000000003</v>
      </c>
      <c r="CP595" s="7">
        <v>0.83689999999999998</v>
      </c>
      <c r="CQ595" s="7">
        <v>0.84140000000000004</v>
      </c>
      <c r="CR595" s="7">
        <v>0.8458</v>
      </c>
      <c r="CS595" s="7">
        <v>0.85029999999999994</v>
      </c>
      <c r="CT595" s="7">
        <v>0.85470000000000002</v>
      </c>
      <c r="CU595" s="7">
        <v>0.85909999999999997</v>
      </c>
      <c r="CV595" s="7">
        <v>0.86350000000000005</v>
      </c>
      <c r="CW595" s="7">
        <v>0.8679</v>
      </c>
      <c r="CX595" s="7">
        <v>0.87229999999999996</v>
      </c>
      <c r="CY595" s="7">
        <v>0.87660000000000005</v>
      </c>
      <c r="CZ595" s="7">
        <v>0.88100000000000001</v>
      </c>
      <c r="DA595" s="7">
        <v>0.88529999999999998</v>
      </c>
      <c r="DB595" s="7">
        <v>0.88970000000000005</v>
      </c>
      <c r="DC595" s="7">
        <v>0.89400000000000002</v>
      </c>
      <c r="DD595" s="7">
        <v>0.89829999999999999</v>
      </c>
      <c r="DE595" s="7">
        <v>0.90269999999999995</v>
      </c>
      <c r="DF595" s="7">
        <v>0.90700000000000003</v>
      </c>
      <c r="DG595" s="7">
        <v>0.9113</v>
      </c>
      <c r="DH595" s="7">
        <v>0.91559999999999997</v>
      </c>
      <c r="DI595" s="7">
        <v>0.91990000000000005</v>
      </c>
      <c r="DJ595" s="7">
        <v>0.92420000000000002</v>
      </c>
      <c r="DK595" s="7">
        <v>0.92849999999999999</v>
      </c>
      <c r="DL595" s="7">
        <v>0.93289999999999995</v>
      </c>
      <c r="DM595" s="7">
        <v>0.93720000000000003</v>
      </c>
      <c r="DN595" s="7">
        <v>0.9415</v>
      </c>
      <c r="DO595" s="7">
        <v>0.94579999999999997</v>
      </c>
      <c r="DP595" s="7">
        <v>0.95009999999999994</v>
      </c>
      <c r="DQ595" s="7">
        <v>0.95440000000000003</v>
      </c>
      <c r="DR595" s="7">
        <v>0.9587</v>
      </c>
      <c r="DS595" s="7">
        <v>0.96299999999999997</v>
      </c>
      <c r="DT595" s="7">
        <v>0.96730000000000005</v>
      </c>
      <c r="DU595" s="7">
        <v>0.97160000000000002</v>
      </c>
      <c r="DV595" s="7">
        <v>0.97589999999999999</v>
      </c>
      <c r="DW595" s="7">
        <v>0.98019999999999996</v>
      </c>
      <c r="DX595" s="7">
        <v>0.98450000000000004</v>
      </c>
      <c r="DY595" s="7">
        <v>0.98870000000000002</v>
      </c>
      <c r="DZ595" s="7">
        <v>0.99299999999999999</v>
      </c>
      <c r="EA595" s="7">
        <v>0.99719999999999998</v>
      </c>
      <c r="EB595" s="7">
        <v>1.0009999999999999</v>
      </c>
      <c r="EC595" s="7">
        <v>1.0009999999999999</v>
      </c>
      <c r="ED595" s="7">
        <v>1.0009999999999999</v>
      </c>
      <c r="EE595" s="7">
        <v>1.0009999999999999</v>
      </c>
      <c r="EF595" s="7">
        <v>1.0009999999999999</v>
      </c>
      <c r="EG595" s="7">
        <v>1.0009999999999999</v>
      </c>
      <c r="EH595" s="7">
        <v>1.0009999999999999</v>
      </c>
      <c r="EI595" s="7">
        <v>1.0009999999999999</v>
      </c>
      <c r="EJ595" s="7">
        <v>1.0009999999999999</v>
      </c>
      <c r="EK595" s="7">
        <v>1.0009999999999999</v>
      </c>
      <c r="EL595" s="7">
        <v>1.0009999999999999</v>
      </c>
      <c r="EM595" s="7">
        <v>1.0009999999999999</v>
      </c>
      <c r="EN595" s="7">
        <v>1.0009999999999999</v>
      </c>
      <c r="EO595" s="7">
        <v>1.0009999999999999</v>
      </c>
      <c r="EP595" s="7">
        <v>1.0009999999999999</v>
      </c>
      <c r="EQ595" s="7">
        <v>1.0009999999999999</v>
      </c>
      <c r="ER595" s="7">
        <v>1.0009999999999999</v>
      </c>
      <c r="ES595" s="7">
        <v>1.0009999999999999</v>
      </c>
      <c r="ET595" s="7">
        <v>1.0009999999999999</v>
      </c>
      <c r="EU595" s="7">
        <v>1.0009999999999999</v>
      </c>
      <c r="EV595" s="7">
        <v>1.0009999999999999</v>
      </c>
      <c r="EW595" s="7">
        <v>1.0009999999999999</v>
      </c>
      <c r="EX595" s="7">
        <v>1.0009999999999999</v>
      </c>
      <c r="EY595" s="7">
        <v>1.0009999999999999</v>
      </c>
      <c r="EZ595" s="7">
        <v>1.0009999999999999</v>
      </c>
      <c r="FA595" s="7">
        <v>1.0009999999999999</v>
      </c>
      <c r="FB595" s="7">
        <v>1.0009999999999999</v>
      </c>
      <c r="FC595" s="7">
        <v>1.0009999999999999</v>
      </c>
      <c r="FE595" s="50">
        <f t="shared" ca="1" si="65"/>
        <v>0.98105894769042523</v>
      </c>
      <c r="FF595" s="50">
        <f t="shared" ca="1" si="66"/>
        <v>0.97834415251521956</v>
      </c>
      <c r="FG595" s="50">
        <f t="shared" ca="1" si="67"/>
        <v>0.97557389261744965</v>
      </c>
      <c r="FH595" s="50">
        <f t="shared" ca="1" si="68"/>
        <v>0.97268798657718114</v>
      </c>
      <c r="FI595" s="50"/>
      <c r="FK595" s="50">
        <f t="shared" ca="1" si="64"/>
        <v>0.97834415251521956</v>
      </c>
      <c r="FL595" s="50"/>
      <c r="FM595" s="50"/>
      <c r="FN595" s="50"/>
    </row>
    <row r="596" spans="49:170" hidden="1">
      <c r="AW596" s="112">
        <v>10.965</v>
      </c>
      <c r="AX596" s="7">
        <v>0.60309999999999997</v>
      </c>
      <c r="AY596" s="7">
        <v>0.60940000000000005</v>
      </c>
      <c r="AZ596" s="7">
        <v>0.61570000000000003</v>
      </c>
      <c r="BA596" s="7">
        <v>0.62190000000000001</v>
      </c>
      <c r="BB596" s="7">
        <v>0.62809999999999999</v>
      </c>
      <c r="BC596" s="7">
        <v>0.63419999999999999</v>
      </c>
      <c r="BD596" s="7">
        <v>0.64019999999999999</v>
      </c>
      <c r="BE596" s="7">
        <v>0.6462</v>
      </c>
      <c r="BF596" s="7">
        <v>0.65210000000000001</v>
      </c>
      <c r="BG596" s="7">
        <v>0.65790000000000004</v>
      </c>
      <c r="BH596" s="7">
        <v>0.66369999999999996</v>
      </c>
      <c r="BI596" s="7">
        <v>0.6694</v>
      </c>
      <c r="BJ596" s="7">
        <v>0.67510000000000003</v>
      </c>
      <c r="BK596" s="7">
        <v>0.68069999999999997</v>
      </c>
      <c r="BL596" s="7">
        <v>0.68630000000000002</v>
      </c>
      <c r="BM596" s="7">
        <v>0.69179999999999997</v>
      </c>
      <c r="BN596" s="7">
        <v>0.69730000000000003</v>
      </c>
      <c r="BO596" s="7">
        <v>0.70269999999999999</v>
      </c>
      <c r="BP596" s="7">
        <v>0.70809999999999995</v>
      </c>
      <c r="BQ596" s="7">
        <v>0.71340000000000003</v>
      </c>
      <c r="BR596" s="7">
        <v>0.71870000000000001</v>
      </c>
      <c r="BS596" s="7">
        <v>0.72389999999999999</v>
      </c>
      <c r="BT596" s="7">
        <v>0.72909999999999997</v>
      </c>
      <c r="BU596" s="7">
        <v>0.73419999999999996</v>
      </c>
      <c r="BV596" s="7">
        <v>0.73929999999999996</v>
      </c>
      <c r="BW596" s="7">
        <v>0.74439999999999995</v>
      </c>
      <c r="BX596" s="7">
        <v>0.74939999999999996</v>
      </c>
      <c r="BY596" s="7">
        <v>0.75439999999999996</v>
      </c>
      <c r="BZ596" s="7">
        <v>0.75929999999999997</v>
      </c>
      <c r="CA596" s="7">
        <v>0.76419999999999999</v>
      </c>
      <c r="CB596" s="7">
        <v>0.76910000000000001</v>
      </c>
      <c r="CC596" s="7">
        <v>0.77390000000000003</v>
      </c>
      <c r="CD596" s="7">
        <v>0.77869999999999995</v>
      </c>
      <c r="CE596" s="7">
        <v>0.78349999999999997</v>
      </c>
      <c r="CF596" s="7">
        <v>0.78820000000000001</v>
      </c>
      <c r="CG596" s="7">
        <v>0.79290000000000005</v>
      </c>
      <c r="CH596" s="7">
        <v>0.79759999999999998</v>
      </c>
      <c r="CI596" s="7">
        <v>0.80220000000000002</v>
      </c>
      <c r="CJ596" s="7">
        <v>0.80679999999999996</v>
      </c>
      <c r="CK596" s="7">
        <v>0.81140000000000001</v>
      </c>
      <c r="CL596" s="7">
        <v>0.81599999999999995</v>
      </c>
      <c r="CM596" s="7">
        <v>0.82050000000000001</v>
      </c>
      <c r="CN596" s="7">
        <v>0.82509999999999994</v>
      </c>
      <c r="CO596" s="7">
        <v>0.8296</v>
      </c>
      <c r="CP596" s="7">
        <v>0.83399999999999996</v>
      </c>
      <c r="CQ596" s="7">
        <v>0.83850000000000002</v>
      </c>
      <c r="CR596" s="7">
        <v>0.84289999999999998</v>
      </c>
      <c r="CS596" s="7">
        <v>0.84740000000000004</v>
      </c>
      <c r="CT596" s="7">
        <v>0.8518</v>
      </c>
      <c r="CU596" s="7">
        <v>0.85619999999999996</v>
      </c>
      <c r="CV596" s="7">
        <v>0.86060000000000003</v>
      </c>
      <c r="CW596" s="7">
        <v>0.8649</v>
      </c>
      <c r="CX596" s="7">
        <v>0.86929999999999996</v>
      </c>
      <c r="CY596" s="7">
        <v>0.87360000000000004</v>
      </c>
      <c r="CZ596" s="7">
        <v>0.878</v>
      </c>
      <c r="DA596" s="7">
        <v>0.88229999999999997</v>
      </c>
      <c r="DB596" s="7">
        <v>0.88660000000000005</v>
      </c>
      <c r="DC596" s="7">
        <v>0.89100000000000001</v>
      </c>
      <c r="DD596" s="7">
        <v>0.89529999999999998</v>
      </c>
      <c r="DE596" s="7">
        <v>0.89959999999999996</v>
      </c>
      <c r="DF596" s="7">
        <v>0.90390000000000004</v>
      </c>
      <c r="DG596" s="7">
        <v>0.90820000000000001</v>
      </c>
      <c r="DH596" s="7">
        <v>0.91249999999999998</v>
      </c>
      <c r="DI596" s="7">
        <v>0.91679999999999995</v>
      </c>
      <c r="DJ596" s="7">
        <v>0.92110000000000003</v>
      </c>
      <c r="DK596" s="7">
        <v>0.9254</v>
      </c>
      <c r="DL596" s="7">
        <v>0.92969999999999997</v>
      </c>
      <c r="DM596" s="7">
        <v>0.93400000000000005</v>
      </c>
      <c r="DN596" s="7">
        <v>0.93830000000000002</v>
      </c>
      <c r="DO596" s="7">
        <v>0.9425</v>
      </c>
      <c r="DP596" s="7">
        <v>0.94679999999999997</v>
      </c>
      <c r="DQ596" s="7">
        <v>0.95109999999999995</v>
      </c>
      <c r="DR596" s="7">
        <v>0.95540000000000003</v>
      </c>
      <c r="DS596" s="7">
        <v>0.9597</v>
      </c>
      <c r="DT596" s="7">
        <v>0.96399999999999997</v>
      </c>
      <c r="DU596" s="7">
        <v>0.96830000000000005</v>
      </c>
      <c r="DV596" s="7">
        <v>0.97260000000000002</v>
      </c>
      <c r="DW596" s="7">
        <v>0.9768</v>
      </c>
      <c r="DX596" s="7">
        <v>0.98109999999999997</v>
      </c>
      <c r="DY596" s="7">
        <v>0.98529999999999995</v>
      </c>
      <c r="DZ596" s="7">
        <v>0.98960000000000004</v>
      </c>
      <c r="EA596" s="7">
        <v>0.99380000000000002</v>
      </c>
      <c r="EB596" s="7">
        <v>0.998</v>
      </c>
      <c r="EC596" s="7">
        <v>1.0009999999999999</v>
      </c>
      <c r="ED596" s="7">
        <v>1.0009999999999999</v>
      </c>
      <c r="EE596" s="7">
        <v>1.0009999999999999</v>
      </c>
      <c r="EF596" s="7">
        <v>1.0009999999999999</v>
      </c>
      <c r="EG596" s="7">
        <v>1.0009999999999999</v>
      </c>
      <c r="EH596" s="7">
        <v>1.0009999999999999</v>
      </c>
      <c r="EI596" s="7">
        <v>1.0009999999999999</v>
      </c>
      <c r="EJ596" s="7">
        <v>1.0009999999999999</v>
      </c>
      <c r="EK596" s="7">
        <v>1.0009999999999999</v>
      </c>
      <c r="EL596" s="7">
        <v>1.0009999999999999</v>
      </c>
      <c r="EM596" s="7">
        <v>1.0009999999999999</v>
      </c>
      <c r="EN596" s="7">
        <v>1.0009999999999999</v>
      </c>
      <c r="EO596" s="7">
        <v>1.0009999999999999</v>
      </c>
      <c r="EP596" s="7">
        <v>1.0009999999999999</v>
      </c>
      <c r="EQ596" s="7">
        <v>1.0009999999999999</v>
      </c>
      <c r="ER596" s="7">
        <v>1.0009999999999999</v>
      </c>
      <c r="ES596" s="7">
        <v>1.0009999999999999</v>
      </c>
      <c r="ET596" s="7">
        <v>1.0009999999999999</v>
      </c>
      <c r="EU596" s="7">
        <v>1.0009999999999999</v>
      </c>
      <c r="EV596" s="7">
        <v>1.0009999999999999</v>
      </c>
      <c r="EW596" s="7">
        <v>1.0009999999999999</v>
      </c>
      <c r="EX596" s="7">
        <v>1.0009999999999999</v>
      </c>
      <c r="EY596" s="7">
        <v>1.0009999999999999</v>
      </c>
      <c r="EZ596" s="7">
        <v>1.0009999999999999</v>
      </c>
      <c r="FA596" s="7">
        <v>1.0009999999999999</v>
      </c>
      <c r="FB596" s="7">
        <v>1.0009999999999999</v>
      </c>
      <c r="FC596" s="7">
        <v>1.0009999999999999</v>
      </c>
      <c r="FE596" s="50">
        <f t="shared" ca="1" si="65"/>
        <v>0.97765894769042527</v>
      </c>
      <c r="FF596" s="50">
        <f t="shared" ca="1" si="66"/>
        <v>0.97498731175905162</v>
      </c>
      <c r="FG596" s="50">
        <f t="shared" ca="1" si="67"/>
        <v>0.97227389261744968</v>
      </c>
      <c r="FH596" s="50">
        <f t="shared" ca="1" si="68"/>
        <v>0.96938798657718117</v>
      </c>
      <c r="FI596" s="50"/>
      <c r="FK596" s="50">
        <f t="shared" ca="1" si="64"/>
        <v>0.97498731175905162</v>
      </c>
      <c r="FL596" s="50"/>
      <c r="FM596" s="50"/>
      <c r="FN596" s="50"/>
    </row>
    <row r="597" spans="49:170" hidden="1">
      <c r="AW597" s="112">
        <v>11.749000000000001</v>
      </c>
      <c r="AX597" s="7">
        <v>0.60109999999999997</v>
      </c>
      <c r="AY597" s="7">
        <v>0.60740000000000005</v>
      </c>
      <c r="AZ597" s="7">
        <v>0.61360000000000003</v>
      </c>
      <c r="BA597" s="7">
        <v>0.61980000000000002</v>
      </c>
      <c r="BB597" s="7">
        <v>0.626</v>
      </c>
      <c r="BC597" s="7">
        <v>0.63200000000000001</v>
      </c>
      <c r="BD597" s="7">
        <v>0.63800000000000001</v>
      </c>
      <c r="BE597" s="7">
        <v>0.64400000000000002</v>
      </c>
      <c r="BF597" s="7">
        <v>0.64990000000000003</v>
      </c>
      <c r="BG597" s="7">
        <v>0.65569999999999995</v>
      </c>
      <c r="BH597" s="7">
        <v>0.66149999999999998</v>
      </c>
      <c r="BI597" s="7">
        <v>0.66720000000000002</v>
      </c>
      <c r="BJ597" s="7">
        <v>0.67279999999999995</v>
      </c>
      <c r="BK597" s="7">
        <v>0.6784</v>
      </c>
      <c r="BL597" s="7">
        <v>0.68400000000000005</v>
      </c>
      <c r="BM597" s="7">
        <v>0.6895</v>
      </c>
      <c r="BN597" s="7">
        <v>0.69489999999999996</v>
      </c>
      <c r="BO597" s="7">
        <v>0.70030000000000003</v>
      </c>
      <c r="BP597" s="7">
        <v>0.70569999999999999</v>
      </c>
      <c r="BQ597" s="7">
        <v>0.71099999999999997</v>
      </c>
      <c r="BR597" s="7">
        <v>0.71619999999999995</v>
      </c>
      <c r="BS597" s="7">
        <v>0.72140000000000004</v>
      </c>
      <c r="BT597" s="7">
        <v>0.72660000000000002</v>
      </c>
      <c r="BU597" s="7">
        <v>0.73170000000000002</v>
      </c>
      <c r="BV597" s="7">
        <v>0.73680000000000001</v>
      </c>
      <c r="BW597" s="7">
        <v>0.74180000000000001</v>
      </c>
      <c r="BX597" s="7">
        <v>0.74680000000000002</v>
      </c>
      <c r="BY597" s="7">
        <v>0.75180000000000002</v>
      </c>
      <c r="BZ597" s="7">
        <v>0.75670000000000004</v>
      </c>
      <c r="CA597" s="7">
        <v>0.76160000000000005</v>
      </c>
      <c r="CB597" s="7">
        <v>0.76649999999999996</v>
      </c>
      <c r="CC597" s="7">
        <v>0.77129999999999999</v>
      </c>
      <c r="CD597" s="7">
        <v>0.77610000000000001</v>
      </c>
      <c r="CE597" s="7">
        <v>0.78080000000000005</v>
      </c>
      <c r="CF597" s="7">
        <v>0.78549999999999998</v>
      </c>
      <c r="CG597" s="7">
        <v>0.79020000000000001</v>
      </c>
      <c r="CH597" s="7">
        <v>0.79490000000000005</v>
      </c>
      <c r="CI597" s="7">
        <v>0.79949999999999999</v>
      </c>
      <c r="CJ597" s="7">
        <v>0.80410000000000004</v>
      </c>
      <c r="CK597" s="7">
        <v>0.80869999999999997</v>
      </c>
      <c r="CL597" s="7">
        <v>0.81320000000000003</v>
      </c>
      <c r="CM597" s="7">
        <v>0.81779999999999997</v>
      </c>
      <c r="CN597" s="7">
        <v>0.82230000000000003</v>
      </c>
      <c r="CO597" s="7">
        <v>0.82679999999999998</v>
      </c>
      <c r="CP597" s="7">
        <v>0.83120000000000005</v>
      </c>
      <c r="CQ597" s="7">
        <v>0.8357</v>
      </c>
      <c r="CR597" s="7">
        <v>0.84009999999999996</v>
      </c>
      <c r="CS597" s="7">
        <v>0.84450000000000003</v>
      </c>
      <c r="CT597" s="7">
        <v>0.84889999999999999</v>
      </c>
      <c r="CU597" s="7">
        <v>0.85329999999999995</v>
      </c>
      <c r="CV597" s="7">
        <v>0.85760000000000003</v>
      </c>
      <c r="CW597" s="7">
        <v>0.86199999999999999</v>
      </c>
      <c r="CX597" s="7">
        <v>0.86629999999999996</v>
      </c>
      <c r="CY597" s="7">
        <v>0.87070000000000003</v>
      </c>
      <c r="CZ597" s="7">
        <v>0.875</v>
      </c>
      <c r="DA597" s="7">
        <v>0.87929999999999997</v>
      </c>
      <c r="DB597" s="7">
        <v>0.88360000000000005</v>
      </c>
      <c r="DC597" s="7">
        <v>0.88790000000000002</v>
      </c>
      <c r="DD597" s="7">
        <v>0.89219999999999999</v>
      </c>
      <c r="DE597" s="7">
        <v>0.89649999999999996</v>
      </c>
      <c r="DF597" s="7">
        <v>0.90080000000000005</v>
      </c>
      <c r="DG597" s="7">
        <v>0.90510000000000002</v>
      </c>
      <c r="DH597" s="7">
        <v>0.90939999999999999</v>
      </c>
      <c r="DI597" s="7">
        <v>0.91369999999999996</v>
      </c>
      <c r="DJ597" s="7">
        <v>0.91800000000000004</v>
      </c>
      <c r="DK597" s="7">
        <v>0.92220000000000002</v>
      </c>
      <c r="DL597" s="7">
        <v>0.92649999999999999</v>
      </c>
      <c r="DM597" s="7">
        <v>0.93079999999999996</v>
      </c>
      <c r="DN597" s="7">
        <v>0.93510000000000004</v>
      </c>
      <c r="DO597" s="7">
        <v>0.93940000000000001</v>
      </c>
      <c r="DP597" s="7">
        <v>0.94359999999999999</v>
      </c>
      <c r="DQ597" s="7">
        <v>0.94789999999999996</v>
      </c>
      <c r="DR597" s="7">
        <v>0.95220000000000005</v>
      </c>
      <c r="DS597" s="7">
        <v>0.95650000000000002</v>
      </c>
      <c r="DT597" s="7">
        <v>0.9607</v>
      </c>
      <c r="DU597" s="7">
        <v>0.96499999999999997</v>
      </c>
      <c r="DV597" s="7">
        <v>0.96930000000000005</v>
      </c>
      <c r="DW597" s="7">
        <v>0.97350000000000003</v>
      </c>
      <c r="DX597" s="7">
        <v>0.9778</v>
      </c>
      <c r="DY597" s="7">
        <v>0.98199999999999998</v>
      </c>
      <c r="DZ597" s="7">
        <v>0.98619999999999997</v>
      </c>
      <c r="EA597" s="7">
        <v>0.99039999999999995</v>
      </c>
      <c r="EB597" s="7">
        <v>0.99460000000000004</v>
      </c>
      <c r="EC597" s="7">
        <v>0.99880000000000002</v>
      </c>
      <c r="ED597" s="7">
        <v>1.0009999999999999</v>
      </c>
      <c r="EE597" s="7">
        <v>1.0009999999999999</v>
      </c>
      <c r="EF597" s="7">
        <v>1.0009999999999999</v>
      </c>
      <c r="EG597" s="7">
        <v>1.0009999999999999</v>
      </c>
      <c r="EH597" s="7">
        <v>1.0009999999999999</v>
      </c>
      <c r="EI597" s="7">
        <v>1.0009999999999999</v>
      </c>
      <c r="EJ597" s="7">
        <v>1.0009999999999999</v>
      </c>
      <c r="EK597" s="7">
        <v>1.0009999999999999</v>
      </c>
      <c r="EL597" s="7">
        <v>1.0009999999999999</v>
      </c>
      <c r="EM597" s="7">
        <v>1.0009999999999999</v>
      </c>
      <c r="EN597" s="7">
        <v>1.0009999999999999</v>
      </c>
      <c r="EO597" s="7">
        <v>1.0009999999999999</v>
      </c>
      <c r="EP597" s="7">
        <v>1.0009999999999999</v>
      </c>
      <c r="EQ597" s="7">
        <v>1.0009999999999999</v>
      </c>
      <c r="ER597" s="7">
        <v>1.0009999999999999</v>
      </c>
      <c r="ES597" s="7">
        <v>1.0009999999999999</v>
      </c>
      <c r="ET597" s="7">
        <v>1.0009999999999999</v>
      </c>
      <c r="EU597" s="7">
        <v>1.0009999999999999</v>
      </c>
      <c r="EV597" s="7">
        <v>1.0009999999999999</v>
      </c>
      <c r="EW597" s="7">
        <v>1.0009999999999999</v>
      </c>
      <c r="EX597" s="7">
        <v>1.0009999999999999</v>
      </c>
      <c r="EY597" s="7">
        <v>1.0009999999999999</v>
      </c>
      <c r="EZ597" s="7">
        <v>1.0009999999999999</v>
      </c>
      <c r="FA597" s="7">
        <v>1.0009999999999999</v>
      </c>
      <c r="FB597" s="7">
        <v>1.0009999999999999</v>
      </c>
      <c r="FC597" s="7">
        <v>1.0009999999999999</v>
      </c>
      <c r="FE597" s="50">
        <f t="shared" ca="1" si="65"/>
        <v>0.9743589476904253</v>
      </c>
      <c r="FF597" s="50">
        <f t="shared" ca="1" si="66"/>
        <v>0.97168731175905165</v>
      </c>
      <c r="FG597" s="50">
        <f t="shared" ca="1" si="67"/>
        <v>0.96897389261744959</v>
      </c>
      <c r="FH597" s="50">
        <f t="shared" ca="1" si="68"/>
        <v>0.96608798657718109</v>
      </c>
      <c r="FI597" s="50"/>
      <c r="FK597" s="50">
        <f t="shared" ca="1" si="64"/>
        <v>0.97168731175905165</v>
      </c>
      <c r="FL597" s="50"/>
      <c r="FM597" s="50"/>
      <c r="FN597" s="50"/>
    </row>
    <row r="598" spans="49:170" hidden="1">
      <c r="AW598" s="112">
        <v>12.589</v>
      </c>
      <c r="AX598" s="7">
        <v>0.59909999999999997</v>
      </c>
      <c r="AY598" s="7">
        <v>0.60540000000000005</v>
      </c>
      <c r="AZ598" s="7">
        <v>0.61160000000000003</v>
      </c>
      <c r="BA598" s="7">
        <v>0.61780000000000002</v>
      </c>
      <c r="BB598" s="7">
        <v>0.62390000000000001</v>
      </c>
      <c r="BC598" s="7">
        <v>0.62990000000000002</v>
      </c>
      <c r="BD598" s="7">
        <v>0.63590000000000002</v>
      </c>
      <c r="BE598" s="7">
        <v>0.64180000000000004</v>
      </c>
      <c r="BF598" s="7">
        <v>0.64770000000000005</v>
      </c>
      <c r="BG598" s="7">
        <v>0.65349999999999997</v>
      </c>
      <c r="BH598" s="7">
        <v>0.65920000000000001</v>
      </c>
      <c r="BI598" s="7">
        <v>0.66490000000000005</v>
      </c>
      <c r="BJ598" s="7">
        <v>0.67059999999999997</v>
      </c>
      <c r="BK598" s="7">
        <v>0.67620000000000002</v>
      </c>
      <c r="BL598" s="7">
        <v>0.68169999999999997</v>
      </c>
      <c r="BM598" s="7">
        <v>0.68720000000000003</v>
      </c>
      <c r="BN598" s="7">
        <v>0.69259999999999999</v>
      </c>
      <c r="BO598" s="7">
        <v>0.69799999999999995</v>
      </c>
      <c r="BP598" s="7">
        <v>0.70330000000000004</v>
      </c>
      <c r="BQ598" s="7">
        <v>0.70860000000000001</v>
      </c>
      <c r="BR598" s="7">
        <v>0.71379999999999999</v>
      </c>
      <c r="BS598" s="7">
        <v>0.71899999999999997</v>
      </c>
      <c r="BT598" s="7">
        <v>0.72419999999999995</v>
      </c>
      <c r="BU598" s="7">
        <v>0.72929999999999995</v>
      </c>
      <c r="BV598" s="7">
        <v>0.73429999999999995</v>
      </c>
      <c r="BW598" s="7">
        <v>0.73939999999999995</v>
      </c>
      <c r="BX598" s="7">
        <v>0.74429999999999996</v>
      </c>
      <c r="BY598" s="7">
        <v>0.74929999999999997</v>
      </c>
      <c r="BZ598" s="7">
        <v>0.75419999999999998</v>
      </c>
      <c r="CA598" s="7">
        <v>0.7591</v>
      </c>
      <c r="CB598" s="7">
        <v>0.76390000000000002</v>
      </c>
      <c r="CC598" s="7">
        <v>0.76870000000000005</v>
      </c>
      <c r="CD598" s="7">
        <v>0.77349999999999997</v>
      </c>
      <c r="CE598" s="7">
        <v>0.7782</v>
      </c>
      <c r="CF598" s="7">
        <v>0.78290000000000004</v>
      </c>
      <c r="CG598" s="7">
        <v>0.78759999999999997</v>
      </c>
      <c r="CH598" s="7">
        <v>0.79220000000000002</v>
      </c>
      <c r="CI598" s="7">
        <v>0.79679999999999995</v>
      </c>
      <c r="CJ598" s="7">
        <v>0.8014</v>
      </c>
      <c r="CK598" s="7">
        <v>0.80600000000000005</v>
      </c>
      <c r="CL598" s="7">
        <v>0.8105</v>
      </c>
      <c r="CM598" s="7">
        <v>0.81499999999999995</v>
      </c>
      <c r="CN598" s="7">
        <v>0.81950000000000001</v>
      </c>
      <c r="CO598" s="7">
        <v>0.82399999999999995</v>
      </c>
      <c r="CP598" s="7">
        <v>0.82840000000000003</v>
      </c>
      <c r="CQ598" s="7">
        <v>0.83289999999999997</v>
      </c>
      <c r="CR598" s="7">
        <v>0.83730000000000004</v>
      </c>
      <c r="CS598" s="7">
        <v>0.8417</v>
      </c>
      <c r="CT598" s="7">
        <v>0.84609999999999996</v>
      </c>
      <c r="CU598" s="7">
        <v>0.85040000000000004</v>
      </c>
      <c r="CV598" s="7">
        <v>0.8548</v>
      </c>
      <c r="CW598" s="7">
        <v>0.85909999999999997</v>
      </c>
      <c r="CX598" s="7">
        <v>0.86350000000000005</v>
      </c>
      <c r="CY598" s="7">
        <v>0.86780000000000002</v>
      </c>
      <c r="CZ598" s="7">
        <v>0.87209999999999999</v>
      </c>
      <c r="DA598" s="7">
        <v>0.87639999999999996</v>
      </c>
      <c r="DB598" s="7">
        <v>0.88070000000000004</v>
      </c>
      <c r="DC598" s="7">
        <v>0.88500000000000001</v>
      </c>
      <c r="DD598" s="7">
        <v>0.88929999999999998</v>
      </c>
      <c r="DE598" s="7">
        <v>0.89349999999999996</v>
      </c>
      <c r="DF598" s="7">
        <v>0.89780000000000004</v>
      </c>
      <c r="DG598" s="7">
        <v>0.90210000000000001</v>
      </c>
      <c r="DH598" s="7">
        <v>0.90639999999999998</v>
      </c>
      <c r="DI598" s="7">
        <v>0.91059999999999997</v>
      </c>
      <c r="DJ598" s="7">
        <v>0.91490000000000005</v>
      </c>
      <c r="DK598" s="7">
        <v>0.91920000000000002</v>
      </c>
      <c r="DL598" s="7">
        <v>0.9234</v>
      </c>
      <c r="DM598" s="7">
        <v>0.92769999999999997</v>
      </c>
      <c r="DN598" s="7">
        <v>0.93200000000000005</v>
      </c>
      <c r="DO598" s="7">
        <v>0.93620000000000003</v>
      </c>
      <c r="DP598" s="7">
        <v>0.9405</v>
      </c>
      <c r="DQ598" s="7">
        <v>0.94469999999999998</v>
      </c>
      <c r="DR598" s="7">
        <v>0.94899999999999995</v>
      </c>
      <c r="DS598" s="7">
        <v>0.95330000000000004</v>
      </c>
      <c r="DT598" s="7">
        <v>0.95750000000000002</v>
      </c>
      <c r="DU598" s="7">
        <v>0.96179999999999999</v>
      </c>
      <c r="DV598" s="7">
        <v>0.96599999999999997</v>
      </c>
      <c r="DW598" s="7">
        <v>0.97030000000000005</v>
      </c>
      <c r="DX598" s="7">
        <v>0.97450000000000003</v>
      </c>
      <c r="DY598" s="7">
        <v>0.97870000000000001</v>
      </c>
      <c r="DZ598" s="7">
        <v>0.9829</v>
      </c>
      <c r="EA598" s="7">
        <v>0.98709999999999998</v>
      </c>
      <c r="EB598" s="7">
        <v>0.99129999999999996</v>
      </c>
      <c r="EC598" s="7">
        <v>0.99550000000000005</v>
      </c>
      <c r="ED598" s="7">
        <v>0.99960000000000004</v>
      </c>
      <c r="EE598" s="7">
        <v>1.0009999999999999</v>
      </c>
      <c r="EF598" s="7">
        <v>1.0009999999999999</v>
      </c>
      <c r="EG598" s="7">
        <v>1.0009999999999999</v>
      </c>
      <c r="EH598" s="7">
        <v>1.0009999999999999</v>
      </c>
      <c r="EI598" s="7">
        <v>1.0009999999999999</v>
      </c>
      <c r="EJ598" s="7">
        <v>1.0009999999999999</v>
      </c>
      <c r="EK598" s="7">
        <v>1.0009999999999999</v>
      </c>
      <c r="EL598" s="7">
        <v>1.0009999999999999</v>
      </c>
      <c r="EM598" s="7">
        <v>1.0009999999999999</v>
      </c>
      <c r="EN598" s="7">
        <v>1.0009999999999999</v>
      </c>
      <c r="EO598" s="7">
        <v>1.0009999999999999</v>
      </c>
      <c r="EP598" s="7">
        <v>1.0009999999999999</v>
      </c>
      <c r="EQ598" s="7">
        <v>1.0009999999999999</v>
      </c>
      <c r="ER598" s="7">
        <v>1.0009999999999999</v>
      </c>
      <c r="ES598" s="7">
        <v>1.0009999999999999</v>
      </c>
      <c r="ET598" s="7">
        <v>1.0009999999999999</v>
      </c>
      <c r="EU598" s="7">
        <v>1.0009999999999999</v>
      </c>
      <c r="EV598" s="7">
        <v>1.0009999999999999</v>
      </c>
      <c r="EW598" s="7">
        <v>1.0009999999999999</v>
      </c>
      <c r="EX598" s="7">
        <v>1.0009999999999999</v>
      </c>
      <c r="EY598" s="7">
        <v>1.0009999999999999</v>
      </c>
      <c r="EZ598" s="7">
        <v>1.0009999999999999</v>
      </c>
      <c r="FA598" s="7">
        <v>1.0009999999999999</v>
      </c>
      <c r="FB598" s="7">
        <v>1.0009999999999999</v>
      </c>
      <c r="FC598" s="7">
        <v>1.0009999999999999</v>
      </c>
      <c r="FE598" s="50">
        <f t="shared" ca="1" si="65"/>
        <v>0.97113897216274092</v>
      </c>
      <c r="FF598" s="50">
        <f t="shared" ca="1" si="66"/>
        <v>0.96844415251521954</v>
      </c>
      <c r="FG598" s="50">
        <f t="shared" ca="1" si="67"/>
        <v>0.96568147651006697</v>
      </c>
      <c r="FH598" s="50">
        <f t="shared" ca="1" si="68"/>
        <v>0.96286268456375834</v>
      </c>
      <c r="FI598" s="50"/>
      <c r="FK598" s="50">
        <f t="shared" ca="1" si="64"/>
        <v>0.96844415251521954</v>
      </c>
      <c r="FL598" s="50"/>
      <c r="FM598" s="50"/>
      <c r="FN598" s="50"/>
    </row>
    <row r="599" spans="49:170" hidden="1">
      <c r="AW599" s="112">
        <v>13.49</v>
      </c>
      <c r="AX599" s="7">
        <v>0.59709999999999996</v>
      </c>
      <c r="AY599" s="7">
        <v>0.60340000000000005</v>
      </c>
      <c r="AZ599" s="7">
        <v>0.60960000000000003</v>
      </c>
      <c r="BA599" s="7">
        <v>0.61570000000000003</v>
      </c>
      <c r="BB599" s="7">
        <v>0.62180000000000002</v>
      </c>
      <c r="BC599" s="7">
        <v>0.62780000000000002</v>
      </c>
      <c r="BD599" s="7">
        <v>0.63380000000000003</v>
      </c>
      <c r="BE599" s="7">
        <v>0.63970000000000005</v>
      </c>
      <c r="BF599" s="7">
        <v>0.64559999999999995</v>
      </c>
      <c r="BG599" s="7">
        <v>0.65129999999999999</v>
      </c>
      <c r="BH599" s="7">
        <v>0.65710000000000002</v>
      </c>
      <c r="BI599" s="7">
        <v>0.66269999999999996</v>
      </c>
      <c r="BJ599" s="7">
        <v>0.66839999999999999</v>
      </c>
      <c r="BK599" s="7">
        <v>0.67390000000000005</v>
      </c>
      <c r="BL599" s="7">
        <v>0.6794</v>
      </c>
      <c r="BM599" s="7">
        <v>0.68489999999999995</v>
      </c>
      <c r="BN599" s="7">
        <v>0.69030000000000002</v>
      </c>
      <c r="BO599" s="7">
        <v>0.69569999999999999</v>
      </c>
      <c r="BP599" s="7">
        <v>0.70099999999999996</v>
      </c>
      <c r="BQ599" s="7">
        <v>0.70630000000000004</v>
      </c>
      <c r="BR599" s="7">
        <v>0.71150000000000002</v>
      </c>
      <c r="BS599" s="7">
        <v>0.7167</v>
      </c>
      <c r="BT599" s="7">
        <v>0.7218</v>
      </c>
      <c r="BU599" s="7">
        <v>0.72689999999999999</v>
      </c>
      <c r="BV599" s="7">
        <v>0.7319</v>
      </c>
      <c r="BW599" s="7">
        <v>0.7369</v>
      </c>
      <c r="BX599" s="7">
        <v>0.7419</v>
      </c>
      <c r="BY599" s="7">
        <v>0.74680000000000002</v>
      </c>
      <c r="BZ599" s="7">
        <v>0.75170000000000003</v>
      </c>
      <c r="CA599" s="7">
        <v>0.75660000000000005</v>
      </c>
      <c r="CB599" s="7">
        <v>0.76139999999999997</v>
      </c>
      <c r="CC599" s="7">
        <v>0.76619999999999999</v>
      </c>
      <c r="CD599" s="7">
        <v>0.77090000000000003</v>
      </c>
      <c r="CE599" s="7">
        <v>0.77559999999999996</v>
      </c>
      <c r="CF599" s="7">
        <v>0.78029999999999999</v>
      </c>
      <c r="CG599" s="7">
        <v>0.78500000000000003</v>
      </c>
      <c r="CH599" s="7">
        <v>0.78959999999999997</v>
      </c>
      <c r="CI599" s="7">
        <v>0.79420000000000002</v>
      </c>
      <c r="CJ599" s="7">
        <v>0.79879999999999995</v>
      </c>
      <c r="CK599" s="7">
        <v>0.80330000000000001</v>
      </c>
      <c r="CL599" s="7">
        <v>0.80779999999999996</v>
      </c>
      <c r="CM599" s="7">
        <v>0.81230000000000002</v>
      </c>
      <c r="CN599" s="7">
        <v>0.81679999999999997</v>
      </c>
      <c r="CO599" s="7">
        <v>0.82130000000000003</v>
      </c>
      <c r="CP599" s="7">
        <v>0.82569999999999999</v>
      </c>
      <c r="CQ599" s="7">
        <v>0.83009999999999995</v>
      </c>
      <c r="CR599" s="7">
        <v>0.83450000000000002</v>
      </c>
      <c r="CS599" s="7">
        <v>0.83889999999999998</v>
      </c>
      <c r="CT599" s="7">
        <v>0.84330000000000005</v>
      </c>
      <c r="CU599" s="7">
        <v>0.84760000000000002</v>
      </c>
      <c r="CV599" s="7">
        <v>0.85199999999999998</v>
      </c>
      <c r="CW599" s="7">
        <v>0.85629999999999995</v>
      </c>
      <c r="CX599" s="7">
        <v>0.86060000000000003</v>
      </c>
      <c r="CY599" s="7">
        <v>0.8649</v>
      </c>
      <c r="CZ599" s="7">
        <v>0.86919999999999997</v>
      </c>
      <c r="DA599" s="7">
        <v>0.87350000000000005</v>
      </c>
      <c r="DB599" s="7">
        <v>0.87780000000000002</v>
      </c>
      <c r="DC599" s="7">
        <v>0.8821</v>
      </c>
      <c r="DD599" s="7">
        <v>0.88629999999999998</v>
      </c>
      <c r="DE599" s="7">
        <v>0.89059999999999995</v>
      </c>
      <c r="DF599" s="7">
        <v>0.89480000000000004</v>
      </c>
      <c r="DG599" s="7">
        <v>0.89910000000000001</v>
      </c>
      <c r="DH599" s="7">
        <v>0.90339999999999998</v>
      </c>
      <c r="DI599" s="7">
        <v>0.90759999999999996</v>
      </c>
      <c r="DJ599" s="7">
        <v>0.91190000000000004</v>
      </c>
      <c r="DK599" s="7">
        <v>0.91610000000000003</v>
      </c>
      <c r="DL599" s="7">
        <v>0.9204</v>
      </c>
      <c r="DM599" s="7">
        <v>0.92459999999999998</v>
      </c>
      <c r="DN599" s="7">
        <v>0.92889999999999995</v>
      </c>
      <c r="DO599" s="7">
        <v>0.93310000000000004</v>
      </c>
      <c r="DP599" s="7">
        <v>0.93740000000000001</v>
      </c>
      <c r="DQ599" s="7">
        <v>0.94159999999999999</v>
      </c>
      <c r="DR599" s="7">
        <v>0.94589999999999996</v>
      </c>
      <c r="DS599" s="7">
        <v>0.95009999999999994</v>
      </c>
      <c r="DT599" s="7">
        <v>0.95440000000000003</v>
      </c>
      <c r="DU599" s="7">
        <v>0.95860000000000001</v>
      </c>
      <c r="DV599" s="7">
        <v>0.96279999999999999</v>
      </c>
      <c r="DW599" s="7">
        <v>0.96709999999999996</v>
      </c>
      <c r="DX599" s="7">
        <v>0.97130000000000005</v>
      </c>
      <c r="DY599" s="7">
        <v>0.97550000000000003</v>
      </c>
      <c r="DZ599" s="7">
        <v>0.97970000000000002</v>
      </c>
      <c r="EA599" s="7">
        <v>0.9839</v>
      </c>
      <c r="EB599" s="7">
        <v>0.98799999999999999</v>
      </c>
      <c r="EC599" s="7">
        <v>0.99219999999999997</v>
      </c>
      <c r="ED599" s="7">
        <v>0.99629999999999996</v>
      </c>
      <c r="EE599" s="7">
        <v>1.0009999999999999</v>
      </c>
      <c r="EF599" s="7">
        <v>1.0009999999999999</v>
      </c>
      <c r="EG599" s="7">
        <v>1.0009999999999999</v>
      </c>
      <c r="EH599" s="7">
        <v>1.0009999999999999</v>
      </c>
      <c r="EI599" s="7">
        <v>1.0009999999999999</v>
      </c>
      <c r="EJ599" s="7">
        <v>1.0009999999999999</v>
      </c>
      <c r="EK599" s="7">
        <v>1.0009999999999999</v>
      </c>
      <c r="EL599" s="7">
        <v>1.0009999999999999</v>
      </c>
      <c r="EM599" s="7">
        <v>1.0009999999999999</v>
      </c>
      <c r="EN599" s="7">
        <v>1.0009999999999999</v>
      </c>
      <c r="EO599" s="7">
        <v>1.0009999999999999</v>
      </c>
      <c r="EP599" s="7">
        <v>1.0009999999999999</v>
      </c>
      <c r="EQ599" s="7">
        <v>1.0009999999999999</v>
      </c>
      <c r="ER599" s="7">
        <v>1.0009999999999999</v>
      </c>
      <c r="ES599" s="7">
        <v>1.0009999999999999</v>
      </c>
      <c r="ET599" s="7">
        <v>1.0009999999999999</v>
      </c>
      <c r="EU599" s="7">
        <v>1.0009999999999999</v>
      </c>
      <c r="EV599" s="7">
        <v>1.0009999999999999</v>
      </c>
      <c r="EW599" s="7">
        <v>1.0009999999999999</v>
      </c>
      <c r="EX599" s="7">
        <v>1.0009999999999999</v>
      </c>
      <c r="EY599" s="7">
        <v>1.0009999999999999</v>
      </c>
      <c r="EZ599" s="7">
        <v>1.0009999999999999</v>
      </c>
      <c r="FA599" s="7">
        <v>1.0009999999999999</v>
      </c>
      <c r="FB599" s="7">
        <v>1.0009999999999999</v>
      </c>
      <c r="FC599" s="7">
        <v>1.0009999999999999</v>
      </c>
      <c r="FE599" s="50">
        <f t="shared" ca="1" si="65"/>
        <v>0.96793897216274094</v>
      </c>
      <c r="FF599" s="50">
        <f t="shared" ca="1" si="66"/>
        <v>0.96524415251521956</v>
      </c>
      <c r="FG599" s="50">
        <f t="shared" ca="1" si="67"/>
        <v>0.9624814765100671</v>
      </c>
      <c r="FH599" s="50">
        <f t="shared" ca="1" si="68"/>
        <v>0.95966268456375847</v>
      </c>
      <c r="FI599" s="50"/>
      <c r="FK599" s="50">
        <f t="shared" ca="1" si="64"/>
        <v>0.96524415251521956</v>
      </c>
      <c r="FL599" s="50"/>
      <c r="FM599" s="50"/>
      <c r="FN599" s="50"/>
    </row>
    <row r="600" spans="49:170" hidden="1">
      <c r="AW600" s="112">
        <v>14.454000000000001</v>
      </c>
      <c r="AX600" s="7">
        <v>0.59509999999999996</v>
      </c>
      <c r="AY600" s="7">
        <v>0.60140000000000005</v>
      </c>
      <c r="AZ600" s="7">
        <v>0.60760000000000003</v>
      </c>
      <c r="BA600" s="7">
        <v>0.61370000000000002</v>
      </c>
      <c r="BB600" s="7">
        <v>0.61980000000000002</v>
      </c>
      <c r="BC600" s="7">
        <v>0.62580000000000002</v>
      </c>
      <c r="BD600" s="7">
        <v>0.63170000000000004</v>
      </c>
      <c r="BE600" s="7">
        <v>0.63759999999999994</v>
      </c>
      <c r="BF600" s="7">
        <v>0.64339999999999997</v>
      </c>
      <c r="BG600" s="7">
        <v>0.6492</v>
      </c>
      <c r="BH600" s="7">
        <v>0.65490000000000004</v>
      </c>
      <c r="BI600" s="7">
        <v>0.66059999999999997</v>
      </c>
      <c r="BJ600" s="7">
        <v>0.66620000000000001</v>
      </c>
      <c r="BK600" s="7">
        <v>0.67169999999999996</v>
      </c>
      <c r="BL600" s="7">
        <v>0.67720000000000002</v>
      </c>
      <c r="BM600" s="7">
        <v>0.68269999999999997</v>
      </c>
      <c r="BN600" s="7">
        <v>0.68810000000000004</v>
      </c>
      <c r="BO600" s="7">
        <v>0.69340000000000002</v>
      </c>
      <c r="BP600" s="7">
        <v>0.69869999999999999</v>
      </c>
      <c r="BQ600" s="7">
        <v>0.70399999999999996</v>
      </c>
      <c r="BR600" s="7">
        <v>0.70920000000000005</v>
      </c>
      <c r="BS600" s="7">
        <v>0.71430000000000005</v>
      </c>
      <c r="BT600" s="7">
        <v>0.71940000000000004</v>
      </c>
      <c r="BU600" s="7">
        <v>0.72450000000000003</v>
      </c>
      <c r="BV600" s="7">
        <v>0.72950000000000004</v>
      </c>
      <c r="BW600" s="7">
        <v>0.73450000000000004</v>
      </c>
      <c r="BX600" s="7">
        <v>0.73950000000000005</v>
      </c>
      <c r="BY600" s="7">
        <v>0.74439999999999995</v>
      </c>
      <c r="BZ600" s="7">
        <v>0.74929999999999997</v>
      </c>
      <c r="CA600" s="7">
        <v>0.75409999999999999</v>
      </c>
      <c r="CB600" s="7">
        <v>0.75890000000000002</v>
      </c>
      <c r="CC600" s="7">
        <v>0.76370000000000005</v>
      </c>
      <c r="CD600" s="7">
        <v>0.76839999999999997</v>
      </c>
      <c r="CE600" s="7">
        <v>0.77310000000000001</v>
      </c>
      <c r="CF600" s="7">
        <v>0.77780000000000005</v>
      </c>
      <c r="CG600" s="7">
        <v>0.78239999999999998</v>
      </c>
      <c r="CH600" s="7">
        <v>0.78700000000000003</v>
      </c>
      <c r="CI600" s="7">
        <v>0.79159999999999997</v>
      </c>
      <c r="CJ600" s="7">
        <v>0.79620000000000002</v>
      </c>
      <c r="CK600" s="7">
        <v>0.80069999999999997</v>
      </c>
      <c r="CL600" s="7">
        <v>0.80520000000000003</v>
      </c>
      <c r="CM600" s="7">
        <v>0.80969999999999998</v>
      </c>
      <c r="CN600" s="7">
        <v>0.81410000000000005</v>
      </c>
      <c r="CO600" s="7">
        <v>0.81859999999999999</v>
      </c>
      <c r="CP600" s="7">
        <v>0.82299999999999995</v>
      </c>
      <c r="CQ600" s="7">
        <v>0.82740000000000002</v>
      </c>
      <c r="CR600" s="7">
        <v>0.83179999999999998</v>
      </c>
      <c r="CS600" s="7">
        <v>0.83620000000000005</v>
      </c>
      <c r="CT600" s="7">
        <v>0.84050000000000002</v>
      </c>
      <c r="CU600" s="7">
        <v>0.84489999999999998</v>
      </c>
      <c r="CV600" s="7">
        <v>0.84919999999999995</v>
      </c>
      <c r="CW600" s="7">
        <v>0.85350000000000004</v>
      </c>
      <c r="CX600" s="7">
        <v>0.85780000000000001</v>
      </c>
      <c r="CY600" s="7">
        <v>0.86209999999999998</v>
      </c>
      <c r="CZ600" s="7">
        <v>0.86639999999999995</v>
      </c>
      <c r="DA600" s="7">
        <v>0.87060000000000004</v>
      </c>
      <c r="DB600" s="7">
        <v>0.87490000000000001</v>
      </c>
      <c r="DC600" s="7">
        <v>0.87919999999999998</v>
      </c>
      <c r="DD600" s="7">
        <v>0.88339999999999996</v>
      </c>
      <c r="DE600" s="7">
        <v>0.88770000000000004</v>
      </c>
      <c r="DF600" s="7">
        <v>0.89190000000000003</v>
      </c>
      <c r="DG600" s="7">
        <v>0.8962</v>
      </c>
      <c r="DH600" s="7">
        <v>0.90039999999999998</v>
      </c>
      <c r="DI600" s="7">
        <v>0.90469999999999995</v>
      </c>
      <c r="DJ600" s="7">
        <v>0.90890000000000004</v>
      </c>
      <c r="DK600" s="7">
        <v>0.91310000000000002</v>
      </c>
      <c r="DL600" s="7">
        <v>0.91739999999999999</v>
      </c>
      <c r="DM600" s="7">
        <v>0.92159999999999997</v>
      </c>
      <c r="DN600" s="7">
        <v>0.92579999999999996</v>
      </c>
      <c r="DO600" s="7">
        <v>0.93010000000000004</v>
      </c>
      <c r="DP600" s="7">
        <v>0.93430000000000002</v>
      </c>
      <c r="DQ600" s="7">
        <v>0.93859999999999999</v>
      </c>
      <c r="DR600" s="7">
        <v>0.94279999999999997</v>
      </c>
      <c r="DS600" s="7">
        <v>0.94699999999999995</v>
      </c>
      <c r="DT600" s="7">
        <v>0.95130000000000003</v>
      </c>
      <c r="DU600" s="7">
        <v>0.95550000000000002</v>
      </c>
      <c r="DV600" s="7">
        <v>0.9597</v>
      </c>
      <c r="DW600" s="7">
        <v>0.96389999999999998</v>
      </c>
      <c r="DX600" s="7">
        <v>0.96809999999999996</v>
      </c>
      <c r="DY600" s="7">
        <v>0.97230000000000005</v>
      </c>
      <c r="DZ600" s="7">
        <v>0.97650000000000003</v>
      </c>
      <c r="EA600" s="7">
        <v>0.98070000000000002</v>
      </c>
      <c r="EB600" s="7">
        <v>0.98480000000000001</v>
      </c>
      <c r="EC600" s="7">
        <v>0.9889</v>
      </c>
      <c r="ED600" s="7">
        <v>0.99299999999999999</v>
      </c>
      <c r="EE600" s="7">
        <v>0.99709999999999999</v>
      </c>
      <c r="EF600" s="7">
        <v>1.0009999999999999</v>
      </c>
      <c r="EG600" s="7">
        <v>1.0009999999999999</v>
      </c>
      <c r="EH600" s="7">
        <v>1.0009999999999999</v>
      </c>
      <c r="EI600" s="7">
        <v>1.0009999999999999</v>
      </c>
      <c r="EJ600" s="7">
        <v>1.0009999999999999</v>
      </c>
      <c r="EK600" s="7">
        <v>1.0009999999999999</v>
      </c>
      <c r="EL600" s="7">
        <v>1.0009999999999999</v>
      </c>
      <c r="EM600" s="7">
        <v>1.0009999999999999</v>
      </c>
      <c r="EN600" s="7">
        <v>1.0009999999999999</v>
      </c>
      <c r="EO600" s="7">
        <v>1.0009999999999999</v>
      </c>
      <c r="EP600" s="7">
        <v>1.0009999999999999</v>
      </c>
      <c r="EQ600" s="7">
        <v>1.0009999999999999</v>
      </c>
      <c r="ER600" s="7">
        <v>1.0009999999999999</v>
      </c>
      <c r="ES600" s="7">
        <v>1.0009999999999999</v>
      </c>
      <c r="ET600" s="7">
        <v>1.0009999999999999</v>
      </c>
      <c r="EU600" s="7">
        <v>1.0009999999999999</v>
      </c>
      <c r="EV600" s="7">
        <v>1.0009999999999999</v>
      </c>
      <c r="EW600" s="7">
        <v>1.0009999999999999</v>
      </c>
      <c r="EX600" s="7">
        <v>1.0009999999999999</v>
      </c>
      <c r="EY600" s="7">
        <v>1.0009999999999999</v>
      </c>
      <c r="EZ600" s="7">
        <v>1.0009999999999999</v>
      </c>
      <c r="FA600" s="7">
        <v>1.0009999999999999</v>
      </c>
      <c r="FB600" s="7">
        <v>1.0009999999999999</v>
      </c>
      <c r="FC600" s="7">
        <v>1.0009999999999999</v>
      </c>
      <c r="FE600" s="50">
        <f t="shared" ca="1" si="65"/>
        <v>0.96473897216274085</v>
      </c>
      <c r="FF600" s="50">
        <f t="shared" ca="1" si="66"/>
        <v>0.9620873117590516</v>
      </c>
      <c r="FG600" s="50">
        <f t="shared" ca="1" si="67"/>
        <v>0.959381476510067</v>
      </c>
      <c r="FH600" s="50">
        <f t="shared" ca="1" si="68"/>
        <v>0.95656268456375837</v>
      </c>
      <c r="FI600" s="50"/>
      <c r="FK600" s="50">
        <f t="shared" ca="1" si="64"/>
        <v>0.9620873117590516</v>
      </c>
      <c r="FL600" s="50"/>
      <c r="FM600" s="50"/>
      <c r="FN600" s="50"/>
    </row>
    <row r="601" spans="49:170" hidden="1">
      <c r="AW601" s="112">
        <v>15.488</v>
      </c>
      <c r="AX601" s="7">
        <v>0.59319999999999995</v>
      </c>
      <c r="AY601" s="7">
        <v>0.59950000000000003</v>
      </c>
      <c r="AZ601" s="7">
        <v>0.60560000000000003</v>
      </c>
      <c r="BA601" s="7">
        <v>0.61170000000000002</v>
      </c>
      <c r="BB601" s="7">
        <v>0.61780000000000002</v>
      </c>
      <c r="BC601" s="7">
        <v>0.62380000000000002</v>
      </c>
      <c r="BD601" s="7">
        <v>0.62970000000000004</v>
      </c>
      <c r="BE601" s="7">
        <v>0.63560000000000005</v>
      </c>
      <c r="BF601" s="7">
        <v>0.64139999999999997</v>
      </c>
      <c r="BG601" s="7">
        <v>0.64710000000000001</v>
      </c>
      <c r="BH601" s="7">
        <v>0.65280000000000005</v>
      </c>
      <c r="BI601" s="7">
        <v>0.65849999999999997</v>
      </c>
      <c r="BJ601" s="7">
        <v>0.66400000000000003</v>
      </c>
      <c r="BK601" s="7">
        <v>0.66959999999999997</v>
      </c>
      <c r="BL601" s="7">
        <v>0.67500000000000004</v>
      </c>
      <c r="BM601" s="7">
        <v>0.68049999999999999</v>
      </c>
      <c r="BN601" s="7">
        <v>0.68579999999999997</v>
      </c>
      <c r="BO601" s="7">
        <v>0.69120000000000004</v>
      </c>
      <c r="BP601" s="7">
        <v>0.69650000000000001</v>
      </c>
      <c r="BQ601" s="7">
        <v>0.70169999999999999</v>
      </c>
      <c r="BR601" s="7">
        <v>0.70689999999999997</v>
      </c>
      <c r="BS601" s="7">
        <v>0.71199999999999997</v>
      </c>
      <c r="BT601" s="7">
        <v>0.71709999999999996</v>
      </c>
      <c r="BU601" s="7">
        <v>0.72219999999999995</v>
      </c>
      <c r="BV601" s="7">
        <v>0.72719999999999996</v>
      </c>
      <c r="BW601" s="7">
        <v>0.73219999999999996</v>
      </c>
      <c r="BX601" s="7">
        <v>0.73709999999999998</v>
      </c>
      <c r="BY601" s="7">
        <v>0.74199999999999999</v>
      </c>
      <c r="BZ601" s="7">
        <v>0.74680000000000002</v>
      </c>
      <c r="CA601" s="7">
        <v>0.75170000000000003</v>
      </c>
      <c r="CB601" s="7">
        <v>0.75639999999999996</v>
      </c>
      <c r="CC601" s="7">
        <v>0.76119999999999999</v>
      </c>
      <c r="CD601" s="7">
        <v>0.76590000000000003</v>
      </c>
      <c r="CE601" s="7">
        <v>0.77059999999999995</v>
      </c>
      <c r="CF601" s="7">
        <v>0.77529999999999999</v>
      </c>
      <c r="CG601" s="7">
        <v>0.77990000000000004</v>
      </c>
      <c r="CH601" s="7">
        <v>0.78449999999999998</v>
      </c>
      <c r="CI601" s="7">
        <v>0.78910000000000002</v>
      </c>
      <c r="CJ601" s="7">
        <v>0.79359999999999997</v>
      </c>
      <c r="CK601" s="7">
        <v>0.79810000000000003</v>
      </c>
      <c r="CL601" s="7">
        <v>0.80259999999999998</v>
      </c>
      <c r="CM601" s="7">
        <v>0.80710000000000004</v>
      </c>
      <c r="CN601" s="7">
        <v>0.8115</v>
      </c>
      <c r="CO601" s="7">
        <v>0.81599999999999995</v>
      </c>
      <c r="CP601" s="7">
        <v>0.82040000000000002</v>
      </c>
      <c r="CQ601" s="7">
        <v>0.82469999999999999</v>
      </c>
      <c r="CR601" s="7">
        <v>0.82909999999999995</v>
      </c>
      <c r="CS601" s="7">
        <v>0.83350000000000002</v>
      </c>
      <c r="CT601" s="7">
        <v>0.83779999999999999</v>
      </c>
      <c r="CU601" s="7">
        <v>0.84209999999999996</v>
      </c>
      <c r="CV601" s="7">
        <v>0.84640000000000004</v>
      </c>
      <c r="CW601" s="7">
        <v>0.85070000000000001</v>
      </c>
      <c r="CX601" s="7">
        <v>0.85499999999999998</v>
      </c>
      <c r="CY601" s="7">
        <v>0.85929999999999995</v>
      </c>
      <c r="CZ601" s="7">
        <v>0.86360000000000003</v>
      </c>
      <c r="DA601" s="7">
        <v>0.86780000000000002</v>
      </c>
      <c r="DB601" s="7">
        <v>0.87209999999999999</v>
      </c>
      <c r="DC601" s="7">
        <v>0.87629999999999997</v>
      </c>
      <c r="DD601" s="7">
        <v>0.88060000000000005</v>
      </c>
      <c r="DE601" s="7">
        <v>0.88480000000000003</v>
      </c>
      <c r="DF601" s="7">
        <v>0.8891</v>
      </c>
      <c r="DG601" s="7">
        <v>0.89329999999999998</v>
      </c>
      <c r="DH601" s="7">
        <v>0.89749999999999996</v>
      </c>
      <c r="DI601" s="7">
        <v>0.90169999999999995</v>
      </c>
      <c r="DJ601" s="7">
        <v>0.90600000000000003</v>
      </c>
      <c r="DK601" s="7">
        <v>0.91020000000000001</v>
      </c>
      <c r="DL601" s="7">
        <v>0.91439999999999999</v>
      </c>
      <c r="DM601" s="7">
        <v>0.91859999999999997</v>
      </c>
      <c r="DN601" s="7">
        <v>0.92290000000000005</v>
      </c>
      <c r="DO601" s="7">
        <v>0.92710000000000004</v>
      </c>
      <c r="DP601" s="7">
        <v>0.93130000000000002</v>
      </c>
      <c r="DQ601" s="7">
        <v>0.9355</v>
      </c>
      <c r="DR601" s="7">
        <v>0.93979999999999997</v>
      </c>
      <c r="DS601" s="7">
        <v>0.94399999999999995</v>
      </c>
      <c r="DT601" s="7">
        <v>0.94820000000000004</v>
      </c>
      <c r="DU601" s="7">
        <v>0.95240000000000002</v>
      </c>
      <c r="DV601" s="7">
        <v>0.95660000000000001</v>
      </c>
      <c r="DW601" s="7">
        <v>0.96079999999999999</v>
      </c>
      <c r="DX601" s="7">
        <v>0.96499999999999997</v>
      </c>
      <c r="DY601" s="7">
        <v>0.96919999999999995</v>
      </c>
      <c r="DZ601" s="7">
        <v>0.97330000000000005</v>
      </c>
      <c r="EA601" s="7">
        <v>0.97750000000000004</v>
      </c>
      <c r="EB601" s="7">
        <v>0.98160000000000003</v>
      </c>
      <c r="EC601" s="7">
        <v>0.98570000000000002</v>
      </c>
      <c r="ED601" s="7">
        <v>0.98980000000000001</v>
      </c>
      <c r="EE601" s="7">
        <v>0.99390000000000001</v>
      </c>
      <c r="EF601" s="7">
        <v>0.99790000000000001</v>
      </c>
      <c r="EG601" s="7">
        <v>1.0009999999999999</v>
      </c>
      <c r="EH601" s="7">
        <v>1.0009999999999999</v>
      </c>
      <c r="EI601" s="7">
        <v>1.0009999999999999</v>
      </c>
      <c r="EJ601" s="7">
        <v>1.0009999999999999</v>
      </c>
      <c r="EK601" s="7">
        <v>1.0009999999999999</v>
      </c>
      <c r="EL601" s="7">
        <v>1.0009999999999999</v>
      </c>
      <c r="EM601" s="7">
        <v>1.0009999999999999</v>
      </c>
      <c r="EN601" s="7">
        <v>1.0009999999999999</v>
      </c>
      <c r="EO601" s="7">
        <v>1.0009999999999999</v>
      </c>
      <c r="EP601" s="7">
        <v>1.0009999999999999</v>
      </c>
      <c r="EQ601" s="7">
        <v>1.0009999999999999</v>
      </c>
      <c r="ER601" s="7">
        <v>1.0009999999999999</v>
      </c>
      <c r="ES601" s="7">
        <v>1.0009999999999999</v>
      </c>
      <c r="ET601" s="7">
        <v>1.0009999999999999</v>
      </c>
      <c r="EU601" s="7">
        <v>1.0009999999999999</v>
      </c>
      <c r="EV601" s="7">
        <v>1.0009999999999999</v>
      </c>
      <c r="EW601" s="7">
        <v>1.0009999999999999</v>
      </c>
      <c r="EX601" s="7">
        <v>1.0009999999999999</v>
      </c>
      <c r="EY601" s="7">
        <v>1.0009999999999999</v>
      </c>
      <c r="EZ601" s="7">
        <v>1.0009999999999999</v>
      </c>
      <c r="FA601" s="7">
        <v>1.0009999999999999</v>
      </c>
      <c r="FB601" s="7">
        <v>1.0009999999999999</v>
      </c>
      <c r="FC601" s="7">
        <v>1.0009999999999999</v>
      </c>
      <c r="FE601" s="50">
        <f t="shared" ca="1" si="65"/>
        <v>0.96163897216274086</v>
      </c>
      <c r="FF601" s="50">
        <f t="shared" ca="1" si="66"/>
        <v>0.95898731175905161</v>
      </c>
      <c r="FG601" s="50">
        <f t="shared" ca="1" si="67"/>
        <v>0.95628147651006712</v>
      </c>
      <c r="FH601" s="50">
        <f t="shared" ca="1" si="68"/>
        <v>0.95346268456375849</v>
      </c>
      <c r="FI601" s="50"/>
      <c r="FK601" s="50">
        <f t="shared" ca="1" si="64"/>
        <v>0.95898731175905161</v>
      </c>
      <c r="FL601" s="50"/>
      <c r="FM601" s="50"/>
      <c r="FN601" s="50"/>
    </row>
    <row r="602" spans="49:170" hidden="1">
      <c r="AW602" s="112">
        <v>16.596</v>
      </c>
      <c r="AX602" s="7">
        <v>0.59130000000000005</v>
      </c>
      <c r="AY602" s="7">
        <v>0.59750000000000003</v>
      </c>
      <c r="AZ602" s="7">
        <v>0.60370000000000001</v>
      </c>
      <c r="BA602" s="7">
        <v>0.60980000000000001</v>
      </c>
      <c r="BB602" s="7">
        <v>0.61580000000000001</v>
      </c>
      <c r="BC602" s="7">
        <v>0.62180000000000002</v>
      </c>
      <c r="BD602" s="7">
        <v>0.62770000000000004</v>
      </c>
      <c r="BE602" s="7">
        <v>0.63349999999999995</v>
      </c>
      <c r="BF602" s="7">
        <v>0.63929999999999998</v>
      </c>
      <c r="BG602" s="7">
        <v>0.64510000000000001</v>
      </c>
      <c r="BH602" s="7">
        <v>0.65069999999999995</v>
      </c>
      <c r="BI602" s="7">
        <v>0.65639999999999998</v>
      </c>
      <c r="BJ602" s="7">
        <v>0.66190000000000004</v>
      </c>
      <c r="BK602" s="7">
        <v>0.66739999999999999</v>
      </c>
      <c r="BL602" s="7">
        <v>0.67290000000000005</v>
      </c>
      <c r="BM602" s="7">
        <v>0.67830000000000001</v>
      </c>
      <c r="BN602" s="7">
        <v>0.68369999999999997</v>
      </c>
      <c r="BO602" s="7">
        <v>0.68899999999999995</v>
      </c>
      <c r="BP602" s="7">
        <v>0.69420000000000004</v>
      </c>
      <c r="BQ602" s="7">
        <v>0.69950000000000001</v>
      </c>
      <c r="BR602" s="7">
        <v>0.7046</v>
      </c>
      <c r="BS602" s="7">
        <v>0.7097</v>
      </c>
      <c r="BT602" s="7">
        <v>0.71479999999999999</v>
      </c>
      <c r="BU602" s="7">
        <v>0.71989999999999998</v>
      </c>
      <c r="BV602" s="7">
        <v>0.72489999999999999</v>
      </c>
      <c r="BW602" s="7">
        <v>0.7298</v>
      </c>
      <c r="BX602" s="7">
        <v>0.73470000000000002</v>
      </c>
      <c r="BY602" s="7">
        <v>0.73960000000000004</v>
      </c>
      <c r="BZ602" s="7">
        <v>0.74450000000000005</v>
      </c>
      <c r="CA602" s="7">
        <v>0.74929999999999997</v>
      </c>
      <c r="CB602" s="7">
        <v>0.754</v>
      </c>
      <c r="CC602" s="7">
        <v>0.75880000000000003</v>
      </c>
      <c r="CD602" s="7">
        <v>0.76349999999999996</v>
      </c>
      <c r="CE602" s="7">
        <v>0.76819999999999999</v>
      </c>
      <c r="CF602" s="7">
        <v>0.77280000000000004</v>
      </c>
      <c r="CG602" s="7">
        <v>0.77739999999999998</v>
      </c>
      <c r="CH602" s="7">
        <v>0.78200000000000003</v>
      </c>
      <c r="CI602" s="7">
        <v>0.78649999999999998</v>
      </c>
      <c r="CJ602" s="7">
        <v>0.79110000000000003</v>
      </c>
      <c r="CK602" s="7">
        <v>0.79559999999999997</v>
      </c>
      <c r="CL602" s="7">
        <v>0.80010000000000003</v>
      </c>
      <c r="CM602" s="7">
        <v>0.80449999999999999</v>
      </c>
      <c r="CN602" s="7">
        <v>0.80889999999999995</v>
      </c>
      <c r="CO602" s="7">
        <v>0.81340000000000001</v>
      </c>
      <c r="CP602" s="7">
        <v>0.81769999999999998</v>
      </c>
      <c r="CQ602" s="7">
        <v>0.82210000000000005</v>
      </c>
      <c r="CR602" s="7">
        <v>0.82650000000000001</v>
      </c>
      <c r="CS602" s="7">
        <v>0.83079999999999998</v>
      </c>
      <c r="CT602" s="7">
        <v>0.83509999999999995</v>
      </c>
      <c r="CU602" s="7">
        <v>0.83950000000000002</v>
      </c>
      <c r="CV602" s="7">
        <v>0.84379999999999999</v>
      </c>
      <c r="CW602" s="7">
        <v>0.84799999999999998</v>
      </c>
      <c r="CX602" s="7">
        <v>0.85229999999999995</v>
      </c>
      <c r="CY602" s="7">
        <v>0.85660000000000003</v>
      </c>
      <c r="CZ602" s="7">
        <v>0.86080000000000001</v>
      </c>
      <c r="DA602" s="7">
        <v>0.86509999999999998</v>
      </c>
      <c r="DB602" s="7">
        <v>0.86929999999999996</v>
      </c>
      <c r="DC602" s="7">
        <v>0.87360000000000004</v>
      </c>
      <c r="DD602" s="7">
        <v>0.87780000000000002</v>
      </c>
      <c r="DE602" s="7">
        <v>0.88200000000000001</v>
      </c>
      <c r="DF602" s="7">
        <v>0.88619999999999999</v>
      </c>
      <c r="DG602" s="7">
        <v>0.89039999999999997</v>
      </c>
      <c r="DH602" s="7">
        <v>0.89470000000000005</v>
      </c>
      <c r="DI602" s="7">
        <v>0.89890000000000003</v>
      </c>
      <c r="DJ602" s="7">
        <v>0.90310000000000001</v>
      </c>
      <c r="DK602" s="7">
        <v>0.9073</v>
      </c>
      <c r="DL602" s="7">
        <v>0.91149999999999998</v>
      </c>
      <c r="DM602" s="7">
        <v>0.91569999999999996</v>
      </c>
      <c r="DN602" s="7">
        <v>0.91990000000000005</v>
      </c>
      <c r="DO602" s="7">
        <v>0.92410000000000003</v>
      </c>
      <c r="DP602" s="7">
        <v>0.92830000000000001</v>
      </c>
      <c r="DQ602" s="7">
        <v>0.93259999999999998</v>
      </c>
      <c r="DR602" s="7">
        <v>0.93679999999999997</v>
      </c>
      <c r="DS602" s="7">
        <v>0.94099999999999995</v>
      </c>
      <c r="DT602" s="7">
        <v>0.94520000000000004</v>
      </c>
      <c r="DU602" s="7">
        <v>0.94940000000000002</v>
      </c>
      <c r="DV602" s="7">
        <v>0.9536</v>
      </c>
      <c r="DW602" s="7">
        <v>0.9577</v>
      </c>
      <c r="DX602" s="7">
        <v>0.96189999999999998</v>
      </c>
      <c r="DY602" s="7">
        <v>0.96609999999999996</v>
      </c>
      <c r="DZ602" s="7">
        <v>0.97019999999999995</v>
      </c>
      <c r="EA602" s="7">
        <v>0.97440000000000004</v>
      </c>
      <c r="EB602" s="7">
        <v>0.97850000000000004</v>
      </c>
      <c r="EC602" s="7">
        <v>0.98260000000000003</v>
      </c>
      <c r="ED602" s="7">
        <v>0.98670000000000002</v>
      </c>
      <c r="EE602" s="7">
        <v>0.99070000000000003</v>
      </c>
      <c r="EF602" s="7">
        <v>0.99470000000000003</v>
      </c>
      <c r="EG602" s="7">
        <v>0.99870000000000003</v>
      </c>
      <c r="EH602" s="7">
        <v>1.0009999999999999</v>
      </c>
      <c r="EI602" s="7">
        <v>1.0009999999999999</v>
      </c>
      <c r="EJ602" s="7">
        <v>1.0009999999999999</v>
      </c>
      <c r="EK602" s="7">
        <v>1.0009999999999999</v>
      </c>
      <c r="EL602" s="7">
        <v>1.0009999999999999</v>
      </c>
      <c r="EM602" s="7">
        <v>1.0009999999999999</v>
      </c>
      <c r="EN602" s="7">
        <v>1.0009999999999999</v>
      </c>
      <c r="EO602" s="7">
        <v>1.0009999999999999</v>
      </c>
      <c r="EP602" s="7">
        <v>1.0009999999999999</v>
      </c>
      <c r="EQ602" s="7">
        <v>1.0009999999999999</v>
      </c>
      <c r="ER602" s="7">
        <v>1.0009999999999999</v>
      </c>
      <c r="ES602" s="7">
        <v>1.0009999999999999</v>
      </c>
      <c r="ET602" s="7">
        <v>1.0009999999999999</v>
      </c>
      <c r="EU602" s="7">
        <v>1.0009999999999999</v>
      </c>
      <c r="EV602" s="7">
        <v>1.0009999999999999</v>
      </c>
      <c r="EW602" s="7">
        <v>1.0009999999999999</v>
      </c>
      <c r="EX602" s="7">
        <v>1.0009999999999999</v>
      </c>
      <c r="EY602" s="7">
        <v>1.0009999999999999</v>
      </c>
      <c r="EZ602" s="7">
        <v>1.0009999999999999</v>
      </c>
      <c r="FA602" s="7">
        <v>1.0009999999999999</v>
      </c>
      <c r="FB602" s="7">
        <v>1.0009999999999999</v>
      </c>
      <c r="FC602" s="7">
        <v>1.0009999999999999</v>
      </c>
      <c r="FE602" s="50">
        <f t="shared" ca="1" si="65"/>
        <v>0.95853897216274087</v>
      </c>
      <c r="FF602" s="50">
        <f t="shared" ca="1" si="66"/>
        <v>0.95593047100288375</v>
      </c>
      <c r="FG602" s="50">
        <f t="shared" ca="1" si="67"/>
        <v>0.95328147651006701</v>
      </c>
      <c r="FH602" s="50">
        <f t="shared" ca="1" si="68"/>
        <v>0.95046268456375838</v>
      </c>
      <c r="FI602" s="50"/>
      <c r="FK602" s="50">
        <f t="shared" ca="1" si="64"/>
        <v>0.95593047100288375</v>
      </c>
      <c r="FL602" s="50"/>
      <c r="FM602" s="50"/>
      <c r="FN602" s="50"/>
    </row>
    <row r="603" spans="49:170" hidden="1">
      <c r="AW603" s="112">
        <v>17.783000000000001</v>
      </c>
      <c r="AX603" s="7">
        <v>0.58950000000000002</v>
      </c>
      <c r="AY603" s="7">
        <v>0.59570000000000001</v>
      </c>
      <c r="AZ603" s="7">
        <v>0.6018</v>
      </c>
      <c r="BA603" s="7">
        <v>0.6079</v>
      </c>
      <c r="BB603" s="7">
        <v>0.6139</v>
      </c>
      <c r="BC603" s="7">
        <v>0.61980000000000002</v>
      </c>
      <c r="BD603" s="7">
        <v>0.62570000000000003</v>
      </c>
      <c r="BE603" s="7">
        <v>0.63149999999999995</v>
      </c>
      <c r="BF603" s="7">
        <v>0.63729999999999998</v>
      </c>
      <c r="BG603" s="7">
        <v>0.64300000000000002</v>
      </c>
      <c r="BH603" s="7">
        <v>0.64870000000000005</v>
      </c>
      <c r="BI603" s="7">
        <v>0.65429999999999999</v>
      </c>
      <c r="BJ603" s="7">
        <v>0.65980000000000005</v>
      </c>
      <c r="BK603" s="7">
        <v>0.6653</v>
      </c>
      <c r="BL603" s="7">
        <v>0.67079999999999995</v>
      </c>
      <c r="BM603" s="7">
        <v>0.67620000000000002</v>
      </c>
      <c r="BN603" s="7">
        <v>0.68149999999999999</v>
      </c>
      <c r="BO603" s="7">
        <v>0.68679999999999997</v>
      </c>
      <c r="BP603" s="7">
        <v>0.69210000000000005</v>
      </c>
      <c r="BQ603" s="7">
        <v>0.69730000000000003</v>
      </c>
      <c r="BR603" s="7">
        <v>0.70240000000000002</v>
      </c>
      <c r="BS603" s="7">
        <v>0.70750000000000002</v>
      </c>
      <c r="BT603" s="7">
        <v>0.71260000000000001</v>
      </c>
      <c r="BU603" s="7">
        <v>0.71760000000000002</v>
      </c>
      <c r="BV603" s="7">
        <v>0.72260000000000002</v>
      </c>
      <c r="BW603" s="7">
        <v>0.72750000000000004</v>
      </c>
      <c r="BX603" s="7">
        <v>0.73240000000000005</v>
      </c>
      <c r="BY603" s="7">
        <v>0.73729999999999996</v>
      </c>
      <c r="BZ603" s="7">
        <v>0.74209999999999998</v>
      </c>
      <c r="CA603" s="7">
        <v>0.74690000000000001</v>
      </c>
      <c r="CB603" s="7">
        <v>0.75170000000000003</v>
      </c>
      <c r="CC603" s="7">
        <v>0.75639999999999996</v>
      </c>
      <c r="CD603" s="7">
        <v>0.7611</v>
      </c>
      <c r="CE603" s="7">
        <v>0.76570000000000005</v>
      </c>
      <c r="CF603" s="7">
        <v>0.77039999999999997</v>
      </c>
      <c r="CG603" s="7">
        <v>0.77500000000000002</v>
      </c>
      <c r="CH603" s="7">
        <v>0.77949999999999997</v>
      </c>
      <c r="CI603" s="7">
        <v>0.78410000000000002</v>
      </c>
      <c r="CJ603" s="7">
        <v>0.78859999999999997</v>
      </c>
      <c r="CK603" s="7">
        <v>0.79310000000000003</v>
      </c>
      <c r="CL603" s="7">
        <v>0.79749999999999999</v>
      </c>
      <c r="CM603" s="7">
        <v>0.80200000000000005</v>
      </c>
      <c r="CN603" s="7">
        <v>0.80640000000000001</v>
      </c>
      <c r="CO603" s="7">
        <v>0.81079999999999997</v>
      </c>
      <c r="CP603" s="7">
        <v>0.81520000000000004</v>
      </c>
      <c r="CQ603" s="7">
        <v>0.81950000000000001</v>
      </c>
      <c r="CR603" s="7">
        <v>0.82389999999999997</v>
      </c>
      <c r="CS603" s="7">
        <v>0.82820000000000005</v>
      </c>
      <c r="CT603" s="7">
        <v>0.83250000000000002</v>
      </c>
      <c r="CU603" s="7">
        <v>0.83679999999999999</v>
      </c>
      <c r="CV603" s="7">
        <v>0.84109999999999996</v>
      </c>
      <c r="CW603" s="7">
        <v>0.84540000000000004</v>
      </c>
      <c r="CX603" s="7">
        <v>0.84960000000000002</v>
      </c>
      <c r="CY603" s="7">
        <v>0.85389999999999999</v>
      </c>
      <c r="CZ603" s="7">
        <v>0.85809999999999997</v>
      </c>
      <c r="DA603" s="7">
        <v>0.86240000000000006</v>
      </c>
      <c r="DB603" s="7">
        <v>0.86660000000000004</v>
      </c>
      <c r="DC603" s="7">
        <v>0.87080000000000002</v>
      </c>
      <c r="DD603" s="7">
        <v>0.875</v>
      </c>
      <c r="DE603" s="7">
        <v>0.87919999999999998</v>
      </c>
      <c r="DF603" s="7">
        <v>0.88339999999999996</v>
      </c>
      <c r="DG603" s="7">
        <v>0.88759999999999994</v>
      </c>
      <c r="DH603" s="7">
        <v>0.89180000000000004</v>
      </c>
      <c r="DI603" s="7">
        <v>0.89600000000000002</v>
      </c>
      <c r="DJ603" s="7">
        <v>0.9002</v>
      </c>
      <c r="DK603" s="7">
        <v>0.90439999999999998</v>
      </c>
      <c r="DL603" s="7">
        <v>0.90859999999999996</v>
      </c>
      <c r="DM603" s="7">
        <v>0.91279999999999994</v>
      </c>
      <c r="DN603" s="7">
        <v>0.91700000000000004</v>
      </c>
      <c r="DO603" s="7">
        <v>0.92120000000000002</v>
      </c>
      <c r="DP603" s="7">
        <v>0.9254</v>
      </c>
      <c r="DQ603" s="7">
        <v>0.92959999999999998</v>
      </c>
      <c r="DR603" s="7">
        <v>0.93379999999999996</v>
      </c>
      <c r="DS603" s="7">
        <v>0.93799999999999994</v>
      </c>
      <c r="DT603" s="7">
        <v>0.94220000000000004</v>
      </c>
      <c r="DU603" s="7">
        <v>0.94640000000000002</v>
      </c>
      <c r="DV603" s="7">
        <v>0.9506</v>
      </c>
      <c r="DW603" s="7">
        <v>0.95469999999999999</v>
      </c>
      <c r="DX603" s="7">
        <v>0.95889999999999997</v>
      </c>
      <c r="DY603" s="7">
        <v>0.96309999999999996</v>
      </c>
      <c r="DZ603" s="7">
        <v>0.96719999999999995</v>
      </c>
      <c r="EA603" s="7">
        <v>0.97130000000000005</v>
      </c>
      <c r="EB603" s="7">
        <v>0.97540000000000004</v>
      </c>
      <c r="EC603" s="7">
        <v>0.97950000000000004</v>
      </c>
      <c r="ED603" s="7">
        <v>0.98360000000000003</v>
      </c>
      <c r="EE603" s="7">
        <v>0.98760000000000003</v>
      </c>
      <c r="EF603" s="7">
        <v>0.99160000000000004</v>
      </c>
      <c r="EG603" s="7">
        <v>0.99560000000000004</v>
      </c>
      <c r="EH603" s="7">
        <v>0.99950000000000006</v>
      </c>
      <c r="EI603" s="7">
        <v>1.0009999999999999</v>
      </c>
      <c r="EJ603" s="7">
        <v>1.0009999999999999</v>
      </c>
      <c r="EK603" s="7">
        <v>1.0009999999999999</v>
      </c>
      <c r="EL603" s="7">
        <v>1.0009999999999999</v>
      </c>
      <c r="EM603" s="7">
        <v>1.0009999999999999</v>
      </c>
      <c r="EN603" s="7">
        <v>1.0009999999999999</v>
      </c>
      <c r="EO603" s="7">
        <v>1.0009999999999999</v>
      </c>
      <c r="EP603" s="7">
        <v>1.0009999999999999</v>
      </c>
      <c r="EQ603" s="7">
        <v>1.0009999999999999</v>
      </c>
      <c r="ER603" s="7">
        <v>1.0009999999999999</v>
      </c>
      <c r="ES603" s="7">
        <v>1.0009999999999999</v>
      </c>
      <c r="ET603" s="7">
        <v>1.0009999999999999</v>
      </c>
      <c r="EU603" s="7">
        <v>1.0009999999999999</v>
      </c>
      <c r="EV603" s="7">
        <v>1.0009999999999999</v>
      </c>
      <c r="EW603" s="7">
        <v>1.0009999999999999</v>
      </c>
      <c r="EX603" s="7">
        <v>1.0009999999999999</v>
      </c>
      <c r="EY603" s="7">
        <v>1.0009999999999999</v>
      </c>
      <c r="EZ603" s="7">
        <v>1.0009999999999999</v>
      </c>
      <c r="FA603" s="7">
        <v>1.0009999999999999</v>
      </c>
      <c r="FB603" s="7">
        <v>1.0009999999999999</v>
      </c>
      <c r="FC603" s="7">
        <v>1.0009999999999999</v>
      </c>
      <c r="FE603" s="50">
        <f t="shared" ca="1" si="65"/>
        <v>0.95553897216274086</v>
      </c>
      <c r="FF603" s="50">
        <f t="shared" ca="1" si="66"/>
        <v>0.95293047100288364</v>
      </c>
      <c r="FG603" s="50">
        <f t="shared" ca="1" si="67"/>
        <v>0.95028147651006711</v>
      </c>
      <c r="FH603" s="50">
        <f t="shared" ca="1" si="68"/>
        <v>0.94746268456375848</v>
      </c>
      <c r="FI603" s="50"/>
      <c r="FK603" s="50">
        <f t="shared" ca="1" si="64"/>
        <v>0.95293047100288364</v>
      </c>
      <c r="FL603" s="50"/>
      <c r="FM603" s="50"/>
      <c r="FN603" s="50"/>
    </row>
    <row r="604" spans="49:170" hidden="1">
      <c r="AW604" s="112">
        <v>19.055</v>
      </c>
      <c r="AX604" s="7">
        <v>0.58760000000000001</v>
      </c>
      <c r="AY604" s="7">
        <v>0.59379999999999999</v>
      </c>
      <c r="AZ604" s="7">
        <v>0.59989999999999999</v>
      </c>
      <c r="BA604" s="7">
        <v>0.60599999999999998</v>
      </c>
      <c r="BB604" s="7">
        <v>0.61199999999999999</v>
      </c>
      <c r="BC604" s="7">
        <v>0.6179</v>
      </c>
      <c r="BD604" s="7">
        <v>0.62380000000000002</v>
      </c>
      <c r="BE604" s="7">
        <v>0.62960000000000005</v>
      </c>
      <c r="BF604" s="7">
        <v>0.63529999999999998</v>
      </c>
      <c r="BG604" s="7">
        <v>0.64100000000000001</v>
      </c>
      <c r="BH604" s="7">
        <v>0.64670000000000005</v>
      </c>
      <c r="BI604" s="7">
        <v>0.65229999999999999</v>
      </c>
      <c r="BJ604" s="7">
        <v>0.65780000000000005</v>
      </c>
      <c r="BK604" s="7">
        <v>0.6633</v>
      </c>
      <c r="BL604" s="7">
        <v>0.66869999999999996</v>
      </c>
      <c r="BM604" s="7">
        <v>0.67410000000000003</v>
      </c>
      <c r="BN604" s="7">
        <v>0.6794</v>
      </c>
      <c r="BO604" s="7">
        <v>0.68469999999999998</v>
      </c>
      <c r="BP604" s="7">
        <v>0.68989999999999996</v>
      </c>
      <c r="BQ604" s="7">
        <v>0.69510000000000005</v>
      </c>
      <c r="BR604" s="7">
        <v>0.70020000000000004</v>
      </c>
      <c r="BS604" s="7">
        <v>0.70530000000000004</v>
      </c>
      <c r="BT604" s="7">
        <v>0.71040000000000003</v>
      </c>
      <c r="BU604" s="7">
        <v>0.71540000000000004</v>
      </c>
      <c r="BV604" s="7">
        <v>0.72030000000000005</v>
      </c>
      <c r="BW604" s="7">
        <v>0.72529999999999994</v>
      </c>
      <c r="BX604" s="7">
        <v>0.73019999999999996</v>
      </c>
      <c r="BY604" s="7">
        <v>0.73499999999999999</v>
      </c>
      <c r="BZ604" s="7">
        <v>0.73980000000000001</v>
      </c>
      <c r="CA604" s="7">
        <v>0.74460000000000004</v>
      </c>
      <c r="CB604" s="7">
        <v>0.74929999999999997</v>
      </c>
      <c r="CC604" s="7">
        <v>0.754</v>
      </c>
      <c r="CD604" s="7">
        <v>0.75870000000000004</v>
      </c>
      <c r="CE604" s="7">
        <v>0.76339999999999997</v>
      </c>
      <c r="CF604" s="7">
        <v>0.76800000000000002</v>
      </c>
      <c r="CG604" s="7">
        <v>0.77249999999999996</v>
      </c>
      <c r="CH604" s="7">
        <v>0.77710000000000001</v>
      </c>
      <c r="CI604" s="7">
        <v>0.78159999999999996</v>
      </c>
      <c r="CJ604" s="7">
        <v>0.78610000000000002</v>
      </c>
      <c r="CK604" s="7">
        <v>0.79059999999999997</v>
      </c>
      <c r="CL604" s="7">
        <v>0.79510000000000003</v>
      </c>
      <c r="CM604" s="7">
        <v>0.79949999999999999</v>
      </c>
      <c r="CN604" s="7">
        <v>0.80389999999999995</v>
      </c>
      <c r="CO604" s="7">
        <v>0.80830000000000002</v>
      </c>
      <c r="CP604" s="7">
        <v>0.81259999999999999</v>
      </c>
      <c r="CQ604" s="7">
        <v>0.81699999999999995</v>
      </c>
      <c r="CR604" s="7">
        <v>0.82130000000000003</v>
      </c>
      <c r="CS604" s="7">
        <v>0.8256</v>
      </c>
      <c r="CT604" s="7">
        <v>0.82989999999999997</v>
      </c>
      <c r="CU604" s="7">
        <v>0.83420000000000005</v>
      </c>
      <c r="CV604" s="7">
        <v>0.83850000000000002</v>
      </c>
      <c r="CW604" s="7">
        <v>0.8427</v>
      </c>
      <c r="CX604" s="7">
        <v>0.84699999999999998</v>
      </c>
      <c r="CY604" s="7">
        <v>0.85119999999999996</v>
      </c>
      <c r="CZ604" s="7">
        <v>0.85550000000000004</v>
      </c>
      <c r="DA604" s="7">
        <v>0.85970000000000002</v>
      </c>
      <c r="DB604" s="7">
        <v>0.8639</v>
      </c>
      <c r="DC604" s="7">
        <v>0.86809999999999998</v>
      </c>
      <c r="DD604" s="7">
        <v>0.87229999999999996</v>
      </c>
      <c r="DE604" s="7">
        <v>0.87649999999999995</v>
      </c>
      <c r="DF604" s="7">
        <v>0.88070000000000004</v>
      </c>
      <c r="DG604" s="7">
        <v>0.88490000000000002</v>
      </c>
      <c r="DH604" s="7">
        <v>0.8891</v>
      </c>
      <c r="DI604" s="7">
        <v>0.89329999999999998</v>
      </c>
      <c r="DJ604" s="7">
        <v>0.89739999999999998</v>
      </c>
      <c r="DK604" s="7">
        <v>0.90159999999999996</v>
      </c>
      <c r="DL604" s="7">
        <v>0.90580000000000005</v>
      </c>
      <c r="DM604" s="7">
        <v>0.91</v>
      </c>
      <c r="DN604" s="7">
        <v>0.91420000000000001</v>
      </c>
      <c r="DO604" s="7">
        <v>0.91839999999999999</v>
      </c>
      <c r="DP604" s="7">
        <v>0.92249999999999999</v>
      </c>
      <c r="DQ604" s="7">
        <v>0.92669999999999997</v>
      </c>
      <c r="DR604" s="7">
        <v>0.93089999999999995</v>
      </c>
      <c r="DS604" s="7">
        <v>0.93510000000000004</v>
      </c>
      <c r="DT604" s="7">
        <v>0.93930000000000002</v>
      </c>
      <c r="DU604" s="7">
        <v>0.94340000000000002</v>
      </c>
      <c r="DV604" s="7">
        <v>0.9476</v>
      </c>
      <c r="DW604" s="7">
        <v>0.95179999999999998</v>
      </c>
      <c r="DX604" s="7">
        <v>0.95589999999999997</v>
      </c>
      <c r="DY604" s="7">
        <v>0.96009999999999995</v>
      </c>
      <c r="DZ604" s="7">
        <v>0.96419999999999995</v>
      </c>
      <c r="EA604" s="7">
        <v>0.96830000000000005</v>
      </c>
      <c r="EB604" s="7">
        <v>0.97240000000000004</v>
      </c>
      <c r="EC604" s="7">
        <v>0.97650000000000003</v>
      </c>
      <c r="ED604" s="7">
        <v>0.98050000000000004</v>
      </c>
      <c r="EE604" s="7">
        <v>0.98450000000000004</v>
      </c>
      <c r="EF604" s="7">
        <v>0.98850000000000005</v>
      </c>
      <c r="EG604" s="7">
        <v>0.99250000000000005</v>
      </c>
      <c r="EH604" s="7">
        <v>0.99639999999999995</v>
      </c>
      <c r="EI604" s="7">
        <v>1.0009999999999999</v>
      </c>
      <c r="EJ604" s="7">
        <v>1.0009999999999999</v>
      </c>
      <c r="EK604" s="7">
        <v>1.0009999999999999</v>
      </c>
      <c r="EL604" s="7">
        <v>1.0009999999999999</v>
      </c>
      <c r="EM604" s="7">
        <v>1.0009999999999999</v>
      </c>
      <c r="EN604" s="7">
        <v>1.0009999999999999</v>
      </c>
      <c r="EO604" s="7">
        <v>1.0009999999999999</v>
      </c>
      <c r="EP604" s="7">
        <v>1.0009999999999999</v>
      </c>
      <c r="EQ604" s="7">
        <v>1.0009999999999999</v>
      </c>
      <c r="ER604" s="7">
        <v>1.0009999999999999</v>
      </c>
      <c r="ES604" s="7">
        <v>1.0009999999999999</v>
      </c>
      <c r="ET604" s="7">
        <v>1.0009999999999999</v>
      </c>
      <c r="EU604" s="7">
        <v>1.0009999999999999</v>
      </c>
      <c r="EV604" s="7">
        <v>1.0009999999999999</v>
      </c>
      <c r="EW604" s="7">
        <v>1.0009999999999999</v>
      </c>
      <c r="EX604" s="7">
        <v>1.0009999999999999</v>
      </c>
      <c r="EY604" s="7">
        <v>1.0009999999999999</v>
      </c>
      <c r="EZ604" s="7">
        <v>1.0009999999999999</v>
      </c>
      <c r="FA604" s="7">
        <v>1.0009999999999999</v>
      </c>
      <c r="FB604" s="7">
        <v>1.0009999999999999</v>
      </c>
      <c r="FC604" s="7">
        <v>1.0009999999999999</v>
      </c>
      <c r="FE604" s="50">
        <f t="shared" ca="1" si="65"/>
        <v>0.95261899663505656</v>
      </c>
      <c r="FF604" s="50">
        <f t="shared" ca="1" si="66"/>
        <v>0.9499873117590516</v>
      </c>
      <c r="FG604" s="50">
        <f t="shared" ca="1" si="67"/>
        <v>0.947281476510067</v>
      </c>
      <c r="FH604" s="50">
        <f t="shared" ca="1" si="68"/>
        <v>0.94446268456375837</v>
      </c>
      <c r="FI604" s="50"/>
      <c r="FK604" s="50">
        <f t="shared" ca="1" si="64"/>
        <v>0.9499873117590516</v>
      </c>
      <c r="FL604" s="50"/>
      <c r="FM604" s="50"/>
      <c r="FN604" s="50"/>
    </row>
    <row r="605" spans="49:170" hidden="1">
      <c r="AW605" s="112">
        <v>20.417000000000002</v>
      </c>
      <c r="AX605" s="7">
        <v>0.58579999999999999</v>
      </c>
      <c r="AY605" s="7">
        <v>0.59199999999999997</v>
      </c>
      <c r="AZ605" s="7">
        <v>0.59809999999999997</v>
      </c>
      <c r="BA605" s="7">
        <v>0.60409999999999997</v>
      </c>
      <c r="BB605" s="7">
        <v>0.61009999999999998</v>
      </c>
      <c r="BC605" s="7">
        <v>0.61599999999999999</v>
      </c>
      <c r="BD605" s="7">
        <v>0.62190000000000001</v>
      </c>
      <c r="BE605" s="7">
        <v>0.62760000000000005</v>
      </c>
      <c r="BF605" s="7">
        <v>0.63339999999999996</v>
      </c>
      <c r="BG605" s="7">
        <v>0.6391</v>
      </c>
      <c r="BH605" s="7">
        <v>0.64470000000000005</v>
      </c>
      <c r="BI605" s="7">
        <v>0.6502</v>
      </c>
      <c r="BJ605" s="7">
        <v>0.65580000000000005</v>
      </c>
      <c r="BK605" s="7">
        <v>0.66120000000000001</v>
      </c>
      <c r="BL605" s="7">
        <v>0.66659999999999997</v>
      </c>
      <c r="BM605" s="7">
        <v>0.67200000000000004</v>
      </c>
      <c r="BN605" s="7">
        <v>0.67730000000000001</v>
      </c>
      <c r="BO605" s="7">
        <v>0.68259999999999998</v>
      </c>
      <c r="BP605" s="7">
        <v>0.68779999999999997</v>
      </c>
      <c r="BQ605" s="7">
        <v>0.69289999999999996</v>
      </c>
      <c r="BR605" s="7">
        <v>0.69810000000000005</v>
      </c>
      <c r="BS605" s="7">
        <v>0.70309999999999995</v>
      </c>
      <c r="BT605" s="7">
        <v>0.70820000000000005</v>
      </c>
      <c r="BU605" s="7">
        <v>0.71319999999999995</v>
      </c>
      <c r="BV605" s="7">
        <v>0.71809999999999996</v>
      </c>
      <c r="BW605" s="7">
        <v>0.72299999999999998</v>
      </c>
      <c r="BX605" s="7">
        <v>0.72789999999999999</v>
      </c>
      <c r="BY605" s="7">
        <v>0.73270000000000002</v>
      </c>
      <c r="BZ605" s="7">
        <v>0.73750000000000004</v>
      </c>
      <c r="CA605" s="7">
        <v>0.74229999999999996</v>
      </c>
      <c r="CB605" s="7">
        <v>0.747</v>
      </c>
      <c r="CC605" s="7">
        <v>0.75170000000000003</v>
      </c>
      <c r="CD605" s="7">
        <v>0.75639999999999996</v>
      </c>
      <c r="CE605" s="7">
        <v>0.76100000000000001</v>
      </c>
      <c r="CF605" s="7">
        <v>0.76559999999999995</v>
      </c>
      <c r="CG605" s="7">
        <v>0.7702</v>
      </c>
      <c r="CH605" s="7">
        <v>0.77470000000000006</v>
      </c>
      <c r="CI605" s="7">
        <v>0.7792</v>
      </c>
      <c r="CJ605" s="7">
        <v>0.78369999999999995</v>
      </c>
      <c r="CK605" s="7">
        <v>0.78820000000000001</v>
      </c>
      <c r="CL605" s="7">
        <v>0.79259999999999997</v>
      </c>
      <c r="CM605" s="7">
        <v>0.79700000000000004</v>
      </c>
      <c r="CN605" s="7">
        <v>0.8014</v>
      </c>
      <c r="CO605" s="7">
        <v>0.80579999999999996</v>
      </c>
      <c r="CP605" s="7">
        <v>0.81010000000000004</v>
      </c>
      <c r="CQ605" s="7">
        <v>0.8145</v>
      </c>
      <c r="CR605" s="7">
        <v>0.81879999999999997</v>
      </c>
      <c r="CS605" s="7">
        <v>0.82310000000000005</v>
      </c>
      <c r="CT605" s="7">
        <v>0.82740000000000002</v>
      </c>
      <c r="CU605" s="7">
        <v>0.83160000000000001</v>
      </c>
      <c r="CV605" s="7">
        <v>0.83589999999999998</v>
      </c>
      <c r="CW605" s="7">
        <v>0.84009999999999996</v>
      </c>
      <c r="CX605" s="7">
        <v>0.84440000000000004</v>
      </c>
      <c r="CY605" s="7">
        <v>0.84860000000000002</v>
      </c>
      <c r="CZ605" s="7">
        <v>0.8528</v>
      </c>
      <c r="DA605" s="7">
        <v>0.85699999999999998</v>
      </c>
      <c r="DB605" s="7">
        <v>0.86119999999999997</v>
      </c>
      <c r="DC605" s="7">
        <v>0.86539999999999995</v>
      </c>
      <c r="DD605" s="7">
        <v>0.86960000000000004</v>
      </c>
      <c r="DE605" s="7">
        <v>0.87380000000000002</v>
      </c>
      <c r="DF605" s="7">
        <v>0.878</v>
      </c>
      <c r="DG605" s="7">
        <v>0.88219999999999998</v>
      </c>
      <c r="DH605" s="7">
        <v>0.88629999999999998</v>
      </c>
      <c r="DI605" s="7">
        <v>0.89049999999999996</v>
      </c>
      <c r="DJ605" s="7">
        <v>0.89470000000000005</v>
      </c>
      <c r="DK605" s="7">
        <v>0.89890000000000003</v>
      </c>
      <c r="DL605" s="7">
        <v>0.90300000000000002</v>
      </c>
      <c r="DM605" s="7">
        <v>0.90720000000000001</v>
      </c>
      <c r="DN605" s="7">
        <v>0.91139999999999999</v>
      </c>
      <c r="DO605" s="7">
        <v>0.91549999999999998</v>
      </c>
      <c r="DP605" s="7">
        <v>0.91969999999999996</v>
      </c>
      <c r="DQ605" s="7">
        <v>0.92390000000000005</v>
      </c>
      <c r="DR605" s="7">
        <v>0.92800000000000005</v>
      </c>
      <c r="DS605" s="7">
        <v>0.93220000000000003</v>
      </c>
      <c r="DT605" s="7">
        <v>0.93640000000000001</v>
      </c>
      <c r="DU605" s="7">
        <v>0.9405</v>
      </c>
      <c r="DV605" s="7">
        <v>0.94469999999999998</v>
      </c>
      <c r="DW605" s="7">
        <v>0.94879999999999998</v>
      </c>
      <c r="DX605" s="7">
        <v>0.95299999999999996</v>
      </c>
      <c r="DY605" s="7">
        <v>0.95709999999999995</v>
      </c>
      <c r="DZ605" s="7">
        <v>0.96120000000000005</v>
      </c>
      <c r="EA605" s="7">
        <v>0.96530000000000005</v>
      </c>
      <c r="EB605" s="7">
        <v>0.96940000000000004</v>
      </c>
      <c r="EC605" s="7">
        <v>0.97350000000000003</v>
      </c>
      <c r="ED605" s="7">
        <v>0.97750000000000004</v>
      </c>
      <c r="EE605" s="7">
        <v>0.98150000000000004</v>
      </c>
      <c r="EF605" s="7">
        <v>0.98550000000000004</v>
      </c>
      <c r="EG605" s="7">
        <v>0.98939999999999995</v>
      </c>
      <c r="EH605" s="7">
        <v>0.99329999999999996</v>
      </c>
      <c r="EI605" s="7">
        <v>0.99719999999999998</v>
      </c>
      <c r="EJ605" s="7">
        <v>1.0009999999999999</v>
      </c>
      <c r="EK605" s="7">
        <v>1.0009999999999999</v>
      </c>
      <c r="EL605" s="7">
        <v>1.0009999999999999</v>
      </c>
      <c r="EM605" s="7">
        <v>1.0009999999999999</v>
      </c>
      <c r="EN605" s="7">
        <v>1.0009999999999999</v>
      </c>
      <c r="EO605" s="7">
        <v>1.0009999999999999</v>
      </c>
      <c r="EP605" s="7">
        <v>1.0009999999999999</v>
      </c>
      <c r="EQ605" s="7">
        <v>1.0009999999999999</v>
      </c>
      <c r="ER605" s="7">
        <v>1.0009999999999999</v>
      </c>
      <c r="ES605" s="7">
        <v>1.0009999999999999</v>
      </c>
      <c r="ET605" s="7">
        <v>1.0009999999999999</v>
      </c>
      <c r="EU605" s="7">
        <v>1.0009999999999999</v>
      </c>
      <c r="EV605" s="7">
        <v>1.0009999999999999</v>
      </c>
      <c r="EW605" s="7">
        <v>1.0009999999999999</v>
      </c>
      <c r="EX605" s="7">
        <v>1.0009999999999999</v>
      </c>
      <c r="EY605" s="7">
        <v>1.0009999999999999</v>
      </c>
      <c r="EZ605" s="7">
        <v>1.0009999999999999</v>
      </c>
      <c r="FA605" s="7">
        <v>1.0009999999999999</v>
      </c>
      <c r="FB605" s="7">
        <v>1.0009999999999999</v>
      </c>
      <c r="FC605" s="7">
        <v>1.0009999999999999</v>
      </c>
      <c r="FE605" s="50">
        <f t="shared" ca="1" si="65"/>
        <v>0.94963897216274085</v>
      </c>
      <c r="FF605" s="50">
        <f t="shared" ca="1" si="66"/>
        <v>0.94703047100288362</v>
      </c>
      <c r="FG605" s="50">
        <f t="shared" ca="1" si="67"/>
        <v>0.9443814765100671</v>
      </c>
      <c r="FH605" s="50">
        <f t="shared" ca="1" si="68"/>
        <v>0.94156268456375847</v>
      </c>
      <c r="FI605" s="50"/>
      <c r="FK605" s="50">
        <f t="shared" ca="1" si="64"/>
        <v>0.94703047100288362</v>
      </c>
      <c r="FL605" s="50"/>
      <c r="FM605" s="50"/>
      <c r="FN605" s="50"/>
    </row>
    <row r="606" spans="49:170" hidden="1">
      <c r="AW606" s="112">
        <v>21.878</v>
      </c>
      <c r="AX606" s="7">
        <v>0.58399999999999996</v>
      </c>
      <c r="AY606" s="7">
        <v>0.59019999999999995</v>
      </c>
      <c r="AZ606" s="7">
        <v>0.59630000000000005</v>
      </c>
      <c r="BA606" s="7">
        <v>0.60229999999999995</v>
      </c>
      <c r="BB606" s="7">
        <v>0.60819999999999996</v>
      </c>
      <c r="BC606" s="7">
        <v>0.61409999999999998</v>
      </c>
      <c r="BD606" s="7">
        <v>0.62</v>
      </c>
      <c r="BE606" s="7">
        <v>0.62570000000000003</v>
      </c>
      <c r="BF606" s="7">
        <v>0.63149999999999995</v>
      </c>
      <c r="BG606" s="7">
        <v>0.6371</v>
      </c>
      <c r="BH606" s="7">
        <v>0.64270000000000005</v>
      </c>
      <c r="BI606" s="7">
        <v>0.64829999999999999</v>
      </c>
      <c r="BJ606" s="7">
        <v>0.65380000000000005</v>
      </c>
      <c r="BK606" s="7">
        <v>0.65920000000000001</v>
      </c>
      <c r="BL606" s="7">
        <v>0.66459999999999997</v>
      </c>
      <c r="BM606" s="7">
        <v>0.67</v>
      </c>
      <c r="BN606" s="7">
        <v>0.67520000000000002</v>
      </c>
      <c r="BO606" s="7">
        <v>0.68049999999999999</v>
      </c>
      <c r="BP606" s="7">
        <v>0.68569999999999998</v>
      </c>
      <c r="BQ606" s="7">
        <v>0.69079999999999997</v>
      </c>
      <c r="BR606" s="7">
        <v>0.69589999999999996</v>
      </c>
      <c r="BS606" s="7">
        <v>0.70099999999999996</v>
      </c>
      <c r="BT606" s="7">
        <v>0.70599999999999996</v>
      </c>
      <c r="BU606" s="7">
        <v>0.71099999999999997</v>
      </c>
      <c r="BV606" s="7">
        <v>0.71589999999999998</v>
      </c>
      <c r="BW606" s="7">
        <v>0.7208</v>
      </c>
      <c r="BX606" s="7">
        <v>0.72570000000000001</v>
      </c>
      <c r="BY606" s="7">
        <v>0.73050000000000004</v>
      </c>
      <c r="BZ606" s="7">
        <v>0.73529999999999995</v>
      </c>
      <c r="CA606" s="7">
        <v>0.74</v>
      </c>
      <c r="CB606" s="7">
        <v>0.74480000000000002</v>
      </c>
      <c r="CC606" s="7">
        <v>0.74939999999999996</v>
      </c>
      <c r="CD606" s="7">
        <v>0.75409999999999999</v>
      </c>
      <c r="CE606" s="7">
        <v>0.75870000000000004</v>
      </c>
      <c r="CF606" s="7">
        <v>0.76329999999999998</v>
      </c>
      <c r="CG606" s="7">
        <v>0.76780000000000004</v>
      </c>
      <c r="CH606" s="7">
        <v>0.77239999999999998</v>
      </c>
      <c r="CI606" s="7">
        <v>0.77690000000000003</v>
      </c>
      <c r="CJ606" s="7">
        <v>0.78129999999999999</v>
      </c>
      <c r="CK606" s="7">
        <v>0.78580000000000005</v>
      </c>
      <c r="CL606" s="7">
        <v>0.79020000000000001</v>
      </c>
      <c r="CM606" s="7">
        <v>0.79459999999999997</v>
      </c>
      <c r="CN606" s="7">
        <v>0.79900000000000004</v>
      </c>
      <c r="CO606" s="7">
        <v>0.80330000000000001</v>
      </c>
      <c r="CP606" s="7">
        <v>0.80769999999999997</v>
      </c>
      <c r="CQ606" s="7">
        <v>0.81200000000000006</v>
      </c>
      <c r="CR606" s="7">
        <v>0.81630000000000003</v>
      </c>
      <c r="CS606" s="7">
        <v>0.8206</v>
      </c>
      <c r="CT606" s="7">
        <v>0.82489999999999997</v>
      </c>
      <c r="CU606" s="7">
        <v>0.82909999999999995</v>
      </c>
      <c r="CV606" s="7">
        <v>0.83340000000000003</v>
      </c>
      <c r="CW606" s="7">
        <v>0.83760000000000001</v>
      </c>
      <c r="CX606" s="7">
        <v>0.84179999999999999</v>
      </c>
      <c r="CY606" s="7">
        <v>0.84599999999999997</v>
      </c>
      <c r="CZ606" s="7">
        <v>0.85019999999999996</v>
      </c>
      <c r="DA606" s="7">
        <v>0.85440000000000005</v>
      </c>
      <c r="DB606" s="7">
        <v>0.85860000000000003</v>
      </c>
      <c r="DC606" s="7">
        <v>0.86280000000000001</v>
      </c>
      <c r="DD606" s="7">
        <v>0.86699999999999999</v>
      </c>
      <c r="DE606" s="7">
        <v>0.87109999999999999</v>
      </c>
      <c r="DF606" s="7">
        <v>0.87529999999999997</v>
      </c>
      <c r="DG606" s="7">
        <v>0.87949999999999995</v>
      </c>
      <c r="DH606" s="7">
        <v>0.88360000000000005</v>
      </c>
      <c r="DI606" s="7">
        <v>0.88780000000000003</v>
      </c>
      <c r="DJ606" s="7">
        <v>0.89200000000000002</v>
      </c>
      <c r="DK606" s="7">
        <v>0.89610000000000001</v>
      </c>
      <c r="DL606" s="7">
        <v>0.90029999999999999</v>
      </c>
      <c r="DM606" s="7">
        <v>0.90439999999999998</v>
      </c>
      <c r="DN606" s="7">
        <v>0.90859999999999996</v>
      </c>
      <c r="DO606" s="7">
        <v>0.91279999999999994</v>
      </c>
      <c r="DP606" s="7">
        <v>0.91690000000000005</v>
      </c>
      <c r="DQ606" s="7">
        <v>0.92110000000000003</v>
      </c>
      <c r="DR606" s="7">
        <v>0.92520000000000002</v>
      </c>
      <c r="DS606" s="7">
        <v>0.9294</v>
      </c>
      <c r="DT606" s="7">
        <v>0.9335</v>
      </c>
      <c r="DU606" s="7">
        <v>0.93769999999999998</v>
      </c>
      <c r="DV606" s="7">
        <v>0.94179999999999997</v>
      </c>
      <c r="DW606" s="7">
        <v>0.94599999999999995</v>
      </c>
      <c r="DX606" s="7">
        <v>0.95009999999999994</v>
      </c>
      <c r="DY606" s="7">
        <v>0.95420000000000005</v>
      </c>
      <c r="DZ606" s="7">
        <v>0.95830000000000004</v>
      </c>
      <c r="EA606" s="7">
        <v>0.96240000000000003</v>
      </c>
      <c r="EB606" s="7">
        <v>0.96650000000000003</v>
      </c>
      <c r="EC606" s="7">
        <v>0.97050000000000003</v>
      </c>
      <c r="ED606" s="7">
        <v>0.97450000000000003</v>
      </c>
      <c r="EE606" s="7">
        <v>0.97850000000000004</v>
      </c>
      <c r="EF606" s="7">
        <v>0.98250000000000004</v>
      </c>
      <c r="EG606" s="7">
        <v>0.98640000000000005</v>
      </c>
      <c r="EH606" s="7">
        <v>0.99029999999999996</v>
      </c>
      <c r="EI606" s="7">
        <v>0.99419999999999997</v>
      </c>
      <c r="EJ606" s="7">
        <v>0.998</v>
      </c>
      <c r="EK606" s="7">
        <v>1.0009999999999999</v>
      </c>
      <c r="EL606" s="7">
        <v>1.0009999999999999</v>
      </c>
      <c r="EM606" s="7">
        <v>1.0009999999999999</v>
      </c>
      <c r="EN606" s="7">
        <v>1.0009999999999999</v>
      </c>
      <c r="EO606" s="7">
        <v>1.0009999999999999</v>
      </c>
      <c r="EP606" s="7">
        <v>1.0009999999999999</v>
      </c>
      <c r="EQ606" s="7">
        <v>1.0009999999999999</v>
      </c>
      <c r="ER606" s="7">
        <v>1.0009999999999999</v>
      </c>
      <c r="ES606" s="7">
        <v>1.0009999999999999</v>
      </c>
      <c r="ET606" s="7">
        <v>1.0009999999999999</v>
      </c>
      <c r="EU606" s="7">
        <v>1.0009999999999999</v>
      </c>
      <c r="EV606" s="7">
        <v>1.0009999999999999</v>
      </c>
      <c r="EW606" s="7">
        <v>1.0009999999999999</v>
      </c>
      <c r="EX606" s="7">
        <v>1.0009999999999999</v>
      </c>
      <c r="EY606" s="7">
        <v>1.0009999999999999</v>
      </c>
      <c r="EZ606" s="7">
        <v>1.0009999999999999</v>
      </c>
      <c r="FA606" s="7">
        <v>1.0009999999999999</v>
      </c>
      <c r="FB606" s="7">
        <v>1.0009999999999999</v>
      </c>
      <c r="FC606" s="7">
        <v>1.0009999999999999</v>
      </c>
      <c r="FE606" s="50">
        <f t="shared" ca="1" si="65"/>
        <v>0.94681899663505653</v>
      </c>
      <c r="FF606" s="50">
        <f t="shared" ca="1" si="66"/>
        <v>0.94418731175905157</v>
      </c>
      <c r="FG606" s="50">
        <f t="shared" ca="1" si="67"/>
        <v>0.94148906040268454</v>
      </c>
      <c r="FH606" s="50">
        <f t="shared" ca="1" si="68"/>
        <v>0.93873738255033556</v>
      </c>
      <c r="FI606" s="50"/>
      <c r="FK606" s="50">
        <f t="shared" ca="1" si="64"/>
        <v>0.94418731175905157</v>
      </c>
      <c r="FL606" s="50"/>
      <c r="FM606" s="50"/>
      <c r="FN606" s="50"/>
    </row>
    <row r="607" spans="49:170" hidden="1">
      <c r="AW607" s="112">
        <v>23.442</v>
      </c>
      <c r="AX607" s="7">
        <v>0.58230000000000004</v>
      </c>
      <c r="AY607" s="7">
        <v>0.58840000000000003</v>
      </c>
      <c r="AZ607" s="7">
        <v>0.59450000000000003</v>
      </c>
      <c r="BA607" s="7">
        <v>0.60050000000000003</v>
      </c>
      <c r="BB607" s="7">
        <v>0.60640000000000005</v>
      </c>
      <c r="BC607" s="7">
        <v>0.61229999999999996</v>
      </c>
      <c r="BD607" s="7">
        <v>0.61809999999999998</v>
      </c>
      <c r="BE607" s="7">
        <v>0.62390000000000001</v>
      </c>
      <c r="BF607" s="7">
        <v>0.62960000000000005</v>
      </c>
      <c r="BG607" s="7">
        <v>0.63519999999999999</v>
      </c>
      <c r="BH607" s="7">
        <v>0.64080000000000004</v>
      </c>
      <c r="BI607" s="7">
        <v>0.64629999999999999</v>
      </c>
      <c r="BJ607" s="7">
        <v>0.65180000000000005</v>
      </c>
      <c r="BK607" s="7">
        <v>0.65720000000000001</v>
      </c>
      <c r="BL607" s="7">
        <v>0.66259999999999997</v>
      </c>
      <c r="BM607" s="7">
        <v>0.66790000000000005</v>
      </c>
      <c r="BN607" s="7">
        <v>0.67320000000000002</v>
      </c>
      <c r="BO607" s="7">
        <v>0.6784</v>
      </c>
      <c r="BP607" s="7">
        <v>0.68359999999999999</v>
      </c>
      <c r="BQ607" s="7">
        <v>0.68879999999999997</v>
      </c>
      <c r="BR607" s="7">
        <v>0.69389999999999996</v>
      </c>
      <c r="BS607" s="7">
        <v>0.69889999999999997</v>
      </c>
      <c r="BT607" s="7">
        <v>0.70389999999999997</v>
      </c>
      <c r="BU607" s="7">
        <v>0.70889999999999997</v>
      </c>
      <c r="BV607" s="7">
        <v>0.71379999999999999</v>
      </c>
      <c r="BW607" s="7">
        <v>0.71870000000000001</v>
      </c>
      <c r="BX607" s="7">
        <v>0.72350000000000003</v>
      </c>
      <c r="BY607" s="7">
        <v>0.72829999999999995</v>
      </c>
      <c r="BZ607" s="7">
        <v>0.73309999999999997</v>
      </c>
      <c r="CA607" s="7">
        <v>0.73780000000000001</v>
      </c>
      <c r="CB607" s="7">
        <v>0.74250000000000005</v>
      </c>
      <c r="CC607" s="7">
        <v>0.74719999999999998</v>
      </c>
      <c r="CD607" s="7">
        <v>0.75180000000000002</v>
      </c>
      <c r="CE607" s="7">
        <v>0.75639999999999996</v>
      </c>
      <c r="CF607" s="7">
        <v>0.76100000000000001</v>
      </c>
      <c r="CG607" s="7">
        <v>0.76549999999999996</v>
      </c>
      <c r="CH607" s="7">
        <v>0.77</v>
      </c>
      <c r="CI607" s="7">
        <v>0.77449999999999997</v>
      </c>
      <c r="CJ607" s="7">
        <v>0.77900000000000003</v>
      </c>
      <c r="CK607" s="7">
        <v>0.78339999999999999</v>
      </c>
      <c r="CL607" s="7">
        <v>0.78779999999999994</v>
      </c>
      <c r="CM607" s="7">
        <v>0.79220000000000002</v>
      </c>
      <c r="CN607" s="7">
        <v>0.79659999999999997</v>
      </c>
      <c r="CO607" s="7">
        <v>0.80089999999999995</v>
      </c>
      <c r="CP607" s="7">
        <v>0.80530000000000002</v>
      </c>
      <c r="CQ607" s="7">
        <v>0.80959999999999999</v>
      </c>
      <c r="CR607" s="7">
        <v>0.81379999999999997</v>
      </c>
      <c r="CS607" s="7">
        <v>0.81810000000000005</v>
      </c>
      <c r="CT607" s="7">
        <v>0.82240000000000002</v>
      </c>
      <c r="CU607" s="7">
        <v>0.8266</v>
      </c>
      <c r="CV607" s="7">
        <v>0.83089999999999997</v>
      </c>
      <c r="CW607" s="7">
        <v>0.83509999999999995</v>
      </c>
      <c r="CX607" s="7">
        <v>0.83930000000000005</v>
      </c>
      <c r="CY607" s="7">
        <v>0.84350000000000003</v>
      </c>
      <c r="CZ607" s="7">
        <v>0.84770000000000001</v>
      </c>
      <c r="DA607" s="7">
        <v>0.85189999999999999</v>
      </c>
      <c r="DB607" s="7">
        <v>0.85599999999999998</v>
      </c>
      <c r="DC607" s="7">
        <v>0.86019999999999996</v>
      </c>
      <c r="DD607" s="7">
        <v>0.86439999999999995</v>
      </c>
      <c r="DE607" s="7">
        <v>0.86850000000000005</v>
      </c>
      <c r="DF607" s="7">
        <v>0.87270000000000003</v>
      </c>
      <c r="DG607" s="7">
        <v>0.87680000000000002</v>
      </c>
      <c r="DH607" s="7">
        <v>0.88100000000000001</v>
      </c>
      <c r="DI607" s="7">
        <v>0.8851</v>
      </c>
      <c r="DJ607" s="7">
        <v>0.88929999999999998</v>
      </c>
      <c r="DK607" s="7">
        <v>0.89339999999999997</v>
      </c>
      <c r="DL607" s="7">
        <v>0.89759999999999995</v>
      </c>
      <c r="DM607" s="7">
        <v>0.90169999999999995</v>
      </c>
      <c r="DN607" s="7">
        <v>0.90590000000000004</v>
      </c>
      <c r="DO607" s="7">
        <v>0.91</v>
      </c>
      <c r="DP607" s="7">
        <v>0.91420000000000001</v>
      </c>
      <c r="DQ607" s="7">
        <v>0.91830000000000001</v>
      </c>
      <c r="DR607" s="7">
        <v>0.9224</v>
      </c>
      <c r="DS607" s="7">
        <v>0.92659999999999998</v>
      </c>
      <c r="DT607" s="7">
        <v>0.93069999999999997</v>
      </c>
      <c r="DU607" s="7">
        <v>0.93489999999999995</v>
      </c>
      <c r="DV607" s="7">
        <v>0.93899999999999995</v>
      </c>
      <c r="DW607" s="7">
        <v>0.94310000000000005</v>
      </c>
      <c r="DX607" s="7">
        <v>0.94720000000000004</v>
      </c>
      <c r="DY607" s="7">
        <v>0.95130000000000003</v>
      </c>
      <c r="DZ607" s="7">
        <v>0.95540000000000003</v>
      </c>
      <c r="EA607" s="7">
        <v>0.95950000000000002</v>
      </c>
      <c r="EB607" s="7">
        <v>0.96360000000000001</v>
      </c>
      <c r="EC607" s="7">
        <v>0.96760000000000002</v>
      </c>
      <c r="ED607" s="7">
        <v>0.97160000000000002</v>
      </c>
      <c r="EE607" s="7">
        <v>0.97560000000000002</v>
      </c>
      <c r="EF607" s="7">
        <v>0.97960000000000003</v>
      </c>
      <c r="EG607" s="7">
        <v>0.98350000000000004</v>
      </c>
      <c r="EH607" s="7">
        <v>0.98729999999999996</v>
      </c>
      <c r="EI607" s="7">
        <v>0.99119999999999997</v>
      </c>
      <c r="EJ607" s="7">
        <v>0.995</v>
      </c>
      <c r="EK607" s="7">
        <v>0.99870000000000003</v>
      </c>
      <c r="EL607" s="7">
        <v>1.0009999999999999</v>
      </c>
      <c r="EM607" s="7">
        <v>1.0009999999999999</v>
      </c>
      <c r="EN607" s="7">
        <v>1.0009999999999999</v>
      </c>
      <c r="EO607" s="7">
        <v>1.0009999999999999</v>
      </c>
      <c r="EP607" s="7">
        <v>1.0009999999999999</v>
      </c>
      <c r="EQ607" s="7">
        <v>1.0009999999999999</v>
      </c>
      <c r="ER607" s="7">
        <v>1.0009999999999999</v>
      </c>
      <c r="ES607" s="7">
        <v>1.0009999999999999</v>
      </c>
      <c r="ET607" s="7">
        <v>1.0009999999999999</v>
      </c>
      <c r="EU607" s="7">
        <v>1.0009999999999999</v>
      </c>
      <c r="EV607" s="7">
        <v>1.0009999999999999</v>
      </c>
      <c r="EW607" s="7">
        <v>1.0009999999999999</v>
      </c>
      <c r="EX607" s="7">
        <v>1.0009999999999999</v>
      </c>
      <c r="EY607" s="7">
        <v>1.0009999999999999</v>
      </c>
      <c r="EZ607" s="7">
        <v>1.0009999999999999</v>
      </c>
      <c r="FA607" s="7">
        <v>1.0009999999999999</v>
      </c>
      <c r="FB607" s="7">
        <v>1.0009999999999999</v>
      </c>
      <c r="FC607" s="7">
        <v>1.0009999999999999</v>
      </c>
      <c r="FE607" s="50">
        <f t="shared" ca="1" si="65"/>
        <v>0.94391899663505663</v>
      </c>
      <c r="FF607" s="50">
        <f t="shared" ca="1" si="66"/>
        <v>0.9413304710028837</v>
      </c>
      <c r="FG607" s="50">
        <f t="shared" ca="1" si="67"/>
        <v>0.93868906040268452</v>
      </c>
      <c r="FH607" s="50">
        <f t="shared" ca="1" si="68"/>
        <v>0.93593738255033554</v>
      </c>
      <c r="FI607" s="50"/>
      <c r="FK607" s="50">
        <f t="shared" ca="1" si="64"/>
        <v>0.9413304710028837</v>
      </c>
      <c r="FL607" s="50"/>
      <c r="FM607" s="50"/>
      <c r="FN607" s="50"/>
    </row>
    <row r="608" spans="49:170" hidden="1">
      <c r="AW608" s="112">
        <v>25.119</v>
      </c>
      <c r="AX608" s="7">
        <v>0.5806</v>
      </c>
      <c r="AY608" s="7">
        <v>0.5867</v>
      </c>
      <c r="AZ608" s="7">
        <v>0.5927</v>
      </c>
      <c r="BA608" s="7">
        <v>0.59870000000000001</v>
      </c>
      <c r="BB608" s="7">
        <v>0.60460000000000003</v>
      </c>
      <c r="BC608" s="7">
        <v>0.61050000000000004</v>
      </c>
      <c r="BD608" s="7">
        <v>0.61629999999999996</v>
      </c>
      <c r="BE608" s="7">
        <v>0.622</v>
      </c>
      <c r="BF608" s="7">
        <v>0.62770000000000004</v>
      </c>
      <c r="BG608" s="7">
        <v>0.63329999999999997</v>
      </c>
      <c r="BH608" s="7">
        <v>0.63890000000000002</v>
      </c>
      <c r="BI608" s="7">
        <v>0.64439999999999997</v>
      </c>
      <c r="BJ608" s="7">
        <v>0.64990000000000003</v>
      </c>
      <c r="BK608" s="7">
        <v>0.65529999999999999</v>
      </c>
      <c r="BL608" s="7">
        <v>0.66059999999999997</v>
      </c>
      <c r="BM608" s="7">
        <v>0.66600000000000004</v>
      </c>
      <c r="BN608" s="7">
        <v>0.67120000000000002</v>
      </c>
      <c r="BO608" s="7">
        <v>0.6764</v>
      </c>
      <c r="BP608" s="7">
        <v>0.68159999999999998</v>
      </c>
      <c r="BQ608" s="7">
        <v>0.68669999999999998</v>
      </c>
      <c r="BR608" s="7">
        <v>0.69179999999999997</v>
      </c>
      <c r="BS608" s="7">
        <v>0.69679999999999997</v>
      </c>
      <c r="BT608" s="7">
        <v>0.70179999999999998</v>
      </c>
      <c r="BU608" s="7">
        <v>0.70679999999999998</v>
      </c>
      <c r="BV608" s="7">
        <v>0.7117</v>
      </c>
      <c r="BW608" s="7">
        <v>0.71650000000000003</v>
      </c>
      <c r="BX608" s="7">
        <v>0.72140000000000004</v>
      </c>
      <c r="BY608" s="7">
        <v>0.72619999999999996</v>
      </c>
      <c r="BZ608" s="7">
        <v>0.73089999999999999</v>
      </c>
      <c r="CA608" s="7">
        <v>0.73560000000000003</v>
      </c>
      <c r="CB608" s="7">
        <v>0.74029999999999996</v>
      </c>
      <c r="CC608" s="7">
        <v>0.745</v>
      </c>
      <c r="CD608" s="7">
        <v>0.74960000000000004</v>
      </c>
      <c r="CE608" s="7">
        <v>0.75419999999999998</v>
      </c>
      <c r="CF608" s="7">
        <v>0.75870000000000004</v>
      </c>
      <c r="CG608" s="7">
        <v>0.76329999999999998</v>
      </c>
      <c r="CH608" s="7">
        <v>0.76780000000000004</v>
      </c>
      <c r="CI608" s="7">
        <v>0.7722</v>
      </c>
      <c r="CJ608" s="7">
        <v>0.77669999999999995</v>
      </c>
      <c r="CK608" s="7">
        <v>0.78110000000000002</v>
      </c>
      <c r="CL608" s="7">
        <v>0.78549999999999998</v>
      </c>
      <c r="CM608" s="7">
        <v>0.78990000000000005</v>
      </c>
      <c r="CN608" s="7">
        <v>0.79420000000000002</v>
      </c>
      <c r="CO608" s="7">
        <v>0.79849999999999999</v>
      </c>
      <c r="CP608" s="7">
        <v>0.80289999999999995</v>
      </c>
      <c r="CQ608" s="7">
        <v>0.80720000000000003</v>
      </c>
      <c r="CR608" s="7">
        <v>0.81140000000000001</v>
      </c>
      <c r="CS608" s="7">
        <v>0.81569999999999998</v>
      </c>
      <c r="CT608" s="7">
        <v>0.81989999999999996</v>
      </c>
      <c r="CU608" s="7">
        <v>0.82420000000000004</v>
      </c>
      <c r="CV608" s="7">
        <v>0.82840000000000003</v>
      </c>
      <c r="CW608" s="7">
        <v>0.83260000000000001</v>
      </c>
      <c r="CX608" s="7">
        <v>0.83679999999999999</v>
      </c>
      <c r="CY608" s="7">
        <v>0.84099999999999997</v>
      </c>
      <c r="CZ608" s="7">
        <v>0.84519999999999995</v>
      </c>
      <c r="DA608" s="7">
        <v>0.84930000000000005</v>
      </c>
      <c r="DB608" s="7">
        <v>0.85350000000000004</v>
      </c>
      <c r="DC608" s="7">
        <v>0.85760000000000003</v>
      </c>
      <c r="DD608" s="7">
        <v>0.86180000000000001</v>
      </c>
      <c r="DE608" s="7">
        <v>0.8659</v>
      </c>
      <c r="DF608" s="7">
        <v>0.87009999999999998</v>
      </c>
      <c r="DG608" s="7">
        <v>0.87419999999999998</v>
      </c>
      <c r="DH608" s="7">
        <v>0.87839999999999996</v>
      </c>
      <c r="DI608" s="7">
        <v>0.88249999999999995</v>
      </c>
      <c r="DJ608" s="7">
        <v>0.88660000000000005</v>
      </c>
      <c r="DK608" s="7">
        <v>0.89080000000000004</v>
      </c>
      <c r="DL608" s="7">
        <v>0.89490000000000003</v>
      </c>
      <c r="DM608" s="7">
        <v>0.89900000000000002</v>
      </c>
      <c r="DN608" s="7">
        <v>0.9032</v>
      </c>
      <c r="DO608" s="7">
        <v>0.9073</v>
      </c>
      <c r="DP608" s="7">
        <v>0.91139999999999999</v>
      </c>
      <c r="DQ608" s="7">
        <v>0.91559999999999997</v>
      </c>
      <c r="DR608" s="7">
        <v>0.91969999999999996</v>
      </c>
      <c r="DS608" s="7">
        <v>0.92379999999999995</v>
      </c>
      <c r="DT608" s="7">
        <v>0.92800000000000005</v>
      </c>
      <c r="DU608" s="7">
        <v>0.93210000000000004</v>
      </c>
      <c r="DV608" s="7">
        <v>0.93620000000000003</v>
      </c>
      <c r="DW608" s="7">
        <v>0.94030000000000002</v>
      </c>
      <c r="DX608" s="7">
        <v>0.94440000000000002</v>
      </c>
      <c r="DY608" s="7">
        <v>0.94850000000000001</v>
      </c>
      <c r="DZ608" s="7">
        <v>0.9526</v>
      </c>
      <c r="EA608" s="7">
        <v>0.95669999999999999</v>
      </c>
      <c r="EB608" s="7">
        <v>0.9607</v>
      </c>
      <c r="EC608" s="7">
        <v>0.9647</v>
      </c>
      <c r="ED608" s="7">
        <v>0.96870000000000001</v>
      </c>
      <c r="EE608" s="7">
        <v>0.97270000000000001</v>
      </c>
      <c r="EF608" s="7">
        <v>0.97660000000000002</v>
      </c>
      <c r="EG608" s="7">
        <v>0.98050000000000004</v>
      </c>
      <c r="EH608" s="7">
        <v>0.98440000000000005</v>
      </c>
      <c r="EI608" s="7">
        <v>0.98819999999999997</v>
      </c>
      <c r="EJ608" s="7">
        <v>0.99199999999999999</v>
      </c>
      <c r="EK608" s="7">
        <v>0.99570000000000003</v>
      </c>
      <c r="EL608" s="7">
        <v>0.99939999999999996</v>
      </c>
      <c r="EM608" s="7">
        <v>1.0009999999999999</v>
      </c>
      <c r="EN608" s="7">
        <v>1.0009999999999999</v>
      </c>
      <c r="EO608" s="7">
        <v>1.0009999999999999</v>
      </c>
      <c r="EP608" s="7">
        <v>1.0009999999999999</v>
      </c>
      <c r="EQ608" s="7">
        <v>1.0009999999999999</v>
      </c>
      <c r="ER608" s="7">
        <v>1.0009999999999999</v>
      </c>
      <c r="ES608" s="7">
        <v>1.0009999999999999</v>
      </c>
      <c r="ET608" s="7">
        <v>1.0009999999999999</v>
      </c>
      <c r="EU608" s="7">
        <v>1.0009999999999999</v>
      </c>
      <c r="EV608" s="7">
        <v>1.0009999999999999</v>
      </c>
      <c r="EW608" s="7">
        <v>1.0009999999999999</v>
      </c>
      <c r="EX608" s="7">
        <v>1.0009999999999999</v>
      </c>
      <c r="EY608" s="7">
        <v>1.0009999999999999</v>
      </c>
      <c r="EZ608" s="7">
        <v>1.0009999999999999</v>
      </c>
      <c r="FA608" s="7">
        <v>1.0009999999999999</v>
      </c>
      <c r="FB608" s="7">
        <v>1.0009999999999999</v>
      </c>
      <c r="FC608" s="7">
        <v>1.0009999999999999</v>
      </c>
      <c r="FE608" s="50">
        <f t="shared" ca="1" si="65"/>
        <v>0.9411189966350566</v>
      </c>
      <c r="FF608" s="50">
        <f t="shared" ca="1" si="66"/>
        <v>0.93853047100288367</v>
      </c>
      <c r="FG608" s="50">
        <f t="shared" ca="1" si="67"/>
        <v>0.9358890604026846</v>
      </c>
      <c r="FH608" s="50">
        <f t="shared" ca="1" si="68"/>
        <v>0.93313738255033563</v>
      </c>
      <c r="FI608" s="50"/>
      <c r="FK608" s="50">
        <f t="shared" ca="1" si="64"/>
        <v>0.93853047100288367</v>
      </c>
      <c r="FL608" s="50"/>
      <c r="FM608" s="50"/>
      <c r="FN608" s="50"/>
    </row>
    <row r="609" spans="49:170" hidden="1">
      <c r="AW609" s="112">
        <v>26.914999999999999</v>
      </c>
      <c r="AX609" s="7">
        <v>0.57889999999999997</v>
      </c>
      <c r="AY609" s="7">
        <v>0.58489999999999998</v>
      </c>
      <c r="AZ609" s="7">
        <v>0.59099999999999997</v>
      </c>
      <c r="BA609" s="7">
        <v>0.59689999999999999</v>
      </c>
      <c r="BB609" s="7">
        <v>0.6028</v>
      </c>
      <c r="BC609" s="7">
        <v>0.60870000000000002</v>
      </c>
      <c r="BD609" s="7">
        <v>0.61450000000000005</v>
      </c>
      <c r="BE609" s="7">
        <v>0.62019999999999997</v>
      </c>
      <c r="BF609" s="7">
        <v>0.62580000000000002</v>
      </c>
      <c r="BG609" s="7">
        <v>0.63149999999999995</v>
      </c>
      <c r="BH609" s="7">
        <v>0.63700000000000001</v>
      </c>
      <c r="BI609" s="7">
        <v>0.64249999999999996</v>
      </c>
      <c r="BJ609" s="7">
        <v>0.64800000000000002</v>
      </c>
      <c r="BK609" s="7">
        <v>0.65339999999999998</v>
      </c>
      <c r="BL609" s="7">
        <v>0.65869999999999995</v>
      </c>
      <c r="BM609" s="7">
        <v>0.66400000000000003</v>
      </c>
      <c r="BN609" s="7">
        <v>0.66920000000000002</v>
      </c>
      <c r="BO609" s="7">
        <v>0.6744</v>
      </c>
      <c r="BP609" s="7">
        <v>0.67959999999999998</v>
      </c>
      <c r="BQ609" s="7">
        <v>0.68469999999999998</v>
      </c>
      <c r="BR609" s="7">
        <v>0.68979999999999997</v>
      </c>
      <c r="BS609" s="7">
        <v>0.69479999999999997</v>
      </c>
      <c r="BT609" s="7">
        <v>0.69979999999999998</v>
      </c>
      <c r="BU609" s="7">
        <v>0.70469999999999999</v>
      </c>
      <c r="BV609" s="7">
        <v>0.70960000000000001</v>
      </c>
      <c r="BW609" s="7">
        <v>0.71440000000000003</v>
      </c>
      <c r="BX609" s="7">
        <v>0.71930000000000005</v>
      </c>
      <c r="BY609" s="7">
        <v>0.72399999999999998</v>
      </c>
      <c r="BZ609" s="7">
        <v>0.7288</v>
      </c>
      <c r="CA609" s="7">
        <v>0.73350000000000004</v>
      </c>
      <c r="CB609" s="7">
        <v>0.73809999999999998</v>
      </c>
      <c r="CC609" s="7">
        <v>0.74280000000000002</v>
      </c>
      <c r="CD609" s="7">
        <v>0.74739999999999995</v>
      </c>
      <c r="CE609" s="7">
        <v>0.752</v>
      </c>
      <c r="CF609" s="7">
        <v>0.75649999999999995</v>
      </c>
      <c r="CG609" s="7">
        <v>0.76100000000000001</v>
      </c>
      <c r="CH609" s="7">
        <v>0.76549999999999996</v>
      </c>
      <c r="CI609" s="7">
        <v>0.77</v>
      </c>
      <c r="CJ609" s="7">
        <v>0.77439999999999998</v>
      </c>
      <c r="CK609" s="7">
        <v>0.77880000000000005</v>
      </c>
      <c r="CL609" s="7">
        <v>0.78320000000000001</v>
      </c>
      <c r="CM609" s="7">
        <v>0.78749999999999998</v>
      </c>
      <c r="CN609" s="7">
        <v>0.79190000000000005</v>
      </c>
      <c r="CO609" s="7">
        <v>0.79620000000000002</v>
      </c>
      <c r="CP609" s="7">
        <v>0.80049999999999999</v>
      </c>
      <c r="CQ609" s="7">
        <v>0.80479999999999996</v>
      </c>
      <c r="CR609" s="7">
        <v>0.80910000000000004</v>
      </c>
      <c r="CS609" s="7">
        <v>0.81330000000000002</v>
      </c>
      <c r="CT609" s="7">
        <v>0.8175</v>
      </c>
      <c r="CU609" s="7">
        <v>0.82179999999999997</v>
      </c>
      <c r="CV609" s="7">
        <v>0.82599999999999996</v>
      </c>
      <c r="CW609" s="7">
        <v>0.83020000000000005</v>
      </c>
      <c r="CX609" s="7">
        <v>0.83430000000000004</v>
      </c>
      <c r="CY609" s="7">
        <v>0.83850000000000002</v>
      </c>
      <c r="CZ609" s="7">
        <v>0.8427</v>
      </c>
      <c r="DA609" s="7">
        <v>0.8468</v>
      </c>
      <c r="DB609" s="7">
        <v>0.85099999999999998</v>
      </c>
      <c r="DC609" s="7">
        <v>0.85509999999999997</v>
      </c>
      <c r="DD609" s="7">
        <v>0.85929999999999995</v>
      </c>
      <c r="DE609" s="7">
        <v>0.86339999999999995</v>
      </c>
      <c r="DF609" s="7">
        <v>0.86750000000000005</v>
      </c>
      <c r="DG609" s="7">
        <v>0.87170000000000003</v>
      </c>
      <c r="DH609" s="7">
        <v>0.87580000000000002</v>
      </c>
      <c r="DI609" s="7">
        <v>0.87990000000000002</v>
      </c>
      <c r="DJ609" s="7">
        <v>0.88400000000000001</v>
      </c>
      <c r="DK609" s="7">
        <v>0.88819999999999999</v>
      </c>
      <c r="DL609" s="7">
        <v>0.89229999999999998</v>
      </c>
      <c r="DM609" s="7">
        <v>0.89639999999999997</v>
      </c>
      <c r="DN609" s="7">
        <v>0.90049999999999997</v>
      </c>
      <c r="DO609" s="7">
        <v>0.90469999999999995</v>
      </c>
      <c r="DP609" s="7">
        <v>0.90880000000000005</v>
      </c>
      <c r="DQ609" s="7">
        <v>0.91290000000000004</v>
      </c>
      <c r="DR609" s="7">
        <v>0.91700000000000004</v>
      </c>
      <c r="DS609" s="7">
        <v>0.92110000000000003</v>
      </c>
      <c r="DT609" s="7">
        <v>0.92520000000000002</v>
      </c>
      <c r="DU609" s="7">
        <v>0.9294</v>
      </c>
      <c r="DV609" s="7">
        <v>0.9335</v>
      </c>
      <c r="DW609" s="7">
        <v>0.93759999999999999</v>
      </c>
      <c r="DX609" s="7">
        <v>0.94159999999999999</v>
      </c>
      <c r="DY609" s="7">
        <v>0.94569999999999999</v>
      </c>
      <c r="DZ609" s="7">
        <v>0.94979999999999998</v>
      </c>
      <c r="EA609" s="7">
        <v>0.95379999999999998</v>
      </c>
      <c r="EB609" s="7">
        <v>0.95789999999999997</v>
      </c>
      <c r="EC609" s="7">
        <v>0.96189999999999998</v>
      </c>
      <c r="ED609" s="7">
        <v>0.96589999999999998</v>
      </c>
      <c r="EE609" s="7">
        <v>0.9698</v>
      </c>
      <c r="EF609" s="7">
        <v>0.9738</v>
      </c>
      <c r="EG609" s="7">
        <v>0.97770000000000001</v>
      </c>
      <c r="EH609" s="7">
        <v>0.98150000000000004</v>
      </c>
      <c r="EI609" s="7">
        <v>0.98529999999999995</v>
      </c>
      <c r="EJ609" s="7">
        <v>0.98909999999999998</v>
      </c>
      <c r="EK609" s="7">
        <v>0.99280000000000002</v>
      </c>
      <c r="EL609" s="7">
        <v>0.99650000000000005</v>
      </c>
      <c r="EM609" s="7">
        <v>1.0009999999999999</v>
      </c>
      <c r="EN609" s="7">
        <v>1.0009999999999999</v>
      </c>
      <c r="EO609" s="7">
        <v>1.0009999999999999</v>
      </c>
      <c r="EP609" s="7">
        <v>1.0009999999999999</v>
      </c>
      <c r="EQ609" s="7">
        <v>1.0009999999999999</v>
      </c>
      <c r="ER609" s="7">
        <v>1.0009999999999999</v>
      </c>
      <c r="ES609" s="7">
        <v>1.0009999999999999</v>
      </c>
      <c r="ET609" s="7">
        <v>1.0009999999999999</v>
      </c>
      <c r="EU609" s="7">
        <v>1.0009999999999999</v>
      </c>
      <c r="EV609" s="7">
        <v>1.0009999999999999</v>
      </c>
      <c r="EW609" s="7">
        <v>1.0009999999999999</v>
      </c>
      <c r="EX609" s="7">
        <v>1.0009999999999999</v>
      </c>
      <c r="EY609" s="7">
        <v>1.0009999999999999</v>
      </c>
      <c r="EZ609" s="7">
        <v>1.0009999999999999</v>
      </c>
      <c r="FA609" s="7">
        <v>1.0009999999999999</v>
      </c>
      <c r="FB609" s="7">
        <v>1.0009999999999999</v>
      </c>
      <c r="FC609" s="7">
        <v>1.0009999999999999</v>
      </c>
      <c r="FE609" s="50">
        <f t="shared" ca="1" si="65"/>
        <v>0.93839902110737228</v>
      </c>
      <c r="FF609" s="50">
        <f t="shared" ca="1" si="66"/>
        <v>0.93583047100288375</v>
      </c>
      <c r="FG609" s="50">
        <f t="shared" ca="1" si="67"/>
        <v>0.93318906040268457</v>
      </c>
      <c r="FH609" s="50">
        <f t="shared" ca="1" si="68"/>
        <v>0.93043738255033559</v>
      </c>
      <c r="FI609" s="50"/>
      <c r="FK609" s="50">
        <f t="shared" ca="1" si="64"/>
        <v>0.93583047100288375</v>
      </c>
      <c r="FL609" s="50"/>
      <c r="FM609" s="50"/>
      <c r="FN609" s="50"/>
    </row>
    <row r="610" spans="49:170" hidden="1">
      <c r="AW610" s="112">
        <v>28.84</v>
      </c>
      <c r="AX610" s="7">
        <v>0.57720000000000005</v>
      </c>
      <c r="AY610" s="7">
        <v>0.58320000000000005</v>
      </c>
      <c r="AZ610" s="7">
        <v>0.58930000000000005</v>
      </c>
      <c r="BA610" s="7">
        <v>0.59519999999999995</v>
      </c>
      <c r="BB610" s="7">
        <v>0.60109999999999997</v>
      </c>
      <c r="BC610" s="7">
        <v>0.6069</v>
      </c>
      <c r="BD610" s="7">
        <v>0.61270000000000002</v>
      </c>
      <c r="BE610" s="7">
        <v>0.61839999999999995</v>
      </c>
      <c r="BF610" s="7">
        <v>0.624</v>
      </c>
      <c r="BG610" s="7">
        <v>0.62960000000000005</v>
      </c>
      <c r="BH610" s="7">
        <v>0.63519999999999999</v>
      </c>
      <c r="BI610" s="7">
        <v>0.64070000000000005</v>
      </c>
      <c r="BJ610" s="7">
        <v>0.64610000000000001</v>
      </c>
      <c r="BK610" s="7">
        <v>0.65149999999999997</v>
      </c>
      <c r="BL610" s="7">
        <v>0.65680000000000005</v>
      </c>
      <c r="BM610" s="7">
        <v>0.66210000000000002</v>
      </c>
      <c r="BN610" s="7">
        <v>0.6673</v>
      </c>
      <c r="BO610" s="7">
        <v>0.67249999999999999</v>
      </c>
      <c r="BP610" s="7">
        <v>0.67759999999999998</v>
      </c>
      <c r="BQ610" s="7">
        <v>0.68269999999999997</v>
      </c>
      <c r="BR610" s="7">
        <v>0.68779999999999997</v>
      </c>
      <c r="BS610" s="7">
        <v>0.69279999999999997</v>
      </c>
      <c r="BT610" s="7">
        <v>0.69769999999999999</v>
      </c>
      <c r="BU610" s="7">
        <v>0.7026</v>
      </c>
      <c r="BV610" s="7">
        <v>0.70750000000000002</v>
      </c>
      <c r="BW610" s="7">
        <v>0.71240000000000003</v>
      </c>
      <c r="BX610" s="7">
        <v>0.71719999999999995</v>
      </c>
      <c r="BY610" s="7">
        <v>0.72189999999999999</v>
      </c>
      <c r="BZ610" s="7">
        <v>0.72670000000000001</v>
      </c>
      <c r="CA610" s="7">
        <v>0.73129999999999995</v>
      </c>
      <c r="CB610" s="7">
        <v>0.73599999999999999</v>
      </c>
      <c r="CC610" s="7">
        <v>0.74060000000000004</v>
      </c>
      <c r="CD610" s="7">
        <v>0.74519999999999997</v>
      </c>
      <c r="CE610" s="7">
        <v>0.74980000000000002</v>
      </c>
      <c r="CF610" s="7">
        <v>0.75429999999999997</v>
      </c>
      <c r="CG610" s="7">
        <v>0.75880000000000003</v>
      </c>
      <c r="CH610" s="7">
        <v>0.76329999999999998</v>
      </c>
      <c r="CI610" s="7">
        <v>0.76770000000000005</v>
      </c>
      <c r="CJ610" s="7">
        <v>0.77210000000000001</v>
      </c>
      <c r="CK610" s="7">
        <v>0.77649999999999997</v>
      </c>
      <c r="CL610" s="7">
        <v>0.78090000000000004</v>
      </c>
      <c r="CM610" s="7">
        <v>0.7853</v>
      </c>
      <c r="CN610" s="7">
        <v>0.78959999999999997</v>
      </c>
      <c r="CO610" s="7">
        <v>0.79390000000000005</v>
      </c>
      <c r="CP610" s="7">
        <v>0.79820000000000002</v>
      </c>
      <c r="CQ610" s="7">
        <v>0.80249999999999999</v>
      </c>
      <c r="CR610" s="7">
        <v>0.80669999999999997</v>
      </c>
      <c r="CS610" s="7">
        <v>0.81089999999999995</v>
      </c>
      <c r="CT610" s="7">
        <v>0.81520000000000004</v>
      </c>
      <c r="CU610" s="7">
        <v>0.81940000000000002</v>
      </c>
      <c r="CV610" s="7">
        <v>0.8236</v>
      </c>
      <c r="CW610" s="7">
        <v>0.82769999999999999</v>
      </c>
      <c r="CX610" s="7">
        <v>0.83189999999999997</v>
      </c>
      <c r="CY610" s="7">
        <v>0.83609999999999995</v>
      </c>
      <c r="CZ610" s="7">
        <v>0.84019999999999995</v>
      </c>
      <c r="DA610" s="7">
        <v>0.84440000000000004</v>
      </c>
      <c r="DB610" s="7">
        <v>0.84850000000000003</v>
      </c>
      <c r="DC610" s="7">
        <v>0.85270000000000001</v>
      </c>
      <c r="DD610" s="7">
        <v>0.85680000000000001</v>
      </c>
      <c r="DE610" s="7">
        <v>0.8609</v>
      </c>
      <c r="DF610" s="7">
        <v>0.86499999999999999</v>
      </c>
      <c r="DG610" s="7">
        <v>0.86909999999999998</v>
      </c>
      <c r="DH610" s="7">
        <v>0.87329999999999997</v>
      </c>
      <c r="DI610" s="7">
        <v>0.87739999999999996</v>
      </c>
      <c r="DJ610" s="7">
        <v>0.88149999999999995</v>
      </c>
      <c r="DK610" s="7">
        <v>0.88560000000000005</v>
      </c>
      <c r="DL610" s="7">
        <v>0.88970000000000005</v>
      </c>
      <c r="DM610" s="7">
        <v>0.89380000000000004</v>
      </c>
      <c r="DN610" s="7">
        <v>0.89790000000000003</v>
      </c>
      <c r="DO610" s="7">
        <v>0.90200000000000002</v>
      </c>
      <c r="DP610" s="7">
        <v>0.90610000000000002</v>
      </c>
      <c r="DQ610" s="7">
        <v>0.91020000000000001</v>
      </c>
      <c r="DR610" s="7">
        <v>0.91439999999999999</v>
      </c>
      <c r="DS610" s="7">
        <v>0.91849999999999998</v>
      </c>
      <c r="DT610" s="7">
        <v>0.92259999999999998</v>
      </c>
      <c r="DU610" s="7">
        <v>0.92669999999999997</v>
      </c>
      <c r="DV610" s="7">
        <v>0.93069999999999997</v>
      </c>
      <c r="DW610" s="7">
        <v>0.93479999999999996</v>
      </c>
      <c r="DX610" s="7">
        <v>0.93889999999999996</v>
      </c>
      <c r="DY610" s="7">
        <v>0.94299999999999995</v>
      </c>
      <c r="DZ610" s="7">
        <v>0.94699999999999995</v>
      </c>
      <c r="EA610" s="7">
        <v>0.95109999999999995</v>
      </c>
      <c r="EB610" s="7">
        <v>0.95509999999999995</v>
      </c>
      <c r="EC610" s="7">
        <v>0.95909999999999995</v>
      </c>
      <c r="ED610" s="7">
        <v>0.96309999999999996</v>
      </c>
      <c r="EE610" s="7">
        <v>0.96699999999999997</v>
      </c>
      <c r="EF610" s="7">
        <v>0.97099999999999997</v>
      </c>
      <c r="EG610" s="7">
        <v>0.9748</v>
      </c>
      <c r="EH610" s="7">
        <v>0.97870000000000001</v>
      </c>
      <c r="EI610" s="7">
        <v>0.98250000000000004</v>
      </c>
      <c r="EJ610" s="7">
        <v>0.98619999999999997</v>
      </c>
      <c r="EK610" s="7">
        <v>0.9899</v>
      </c>
      <c r="EL610" s="7">
        <v>0.99360000000000004</v>
      </c>
      <c r="EM610" s="7">
        <v>0.99709999999999999</v>
      </c>
      <c r="EN610" s="7">
        <v>1.0009999999999999</v>
      </c>
      <c r="EO610" s="7">
        <v>1.0009999999999999</v>
      </c>
      <c r="EP610" s="7">
        <v>1.0009999999999999</v>
      </c>
      <c r="EQ610" s="7">
        <v>1.0009999999999999</v>
      </c>
      <c r="ER610" s="7">
        <v>1.0009999999999999</v>
      </c>
      <c r="ES610" s="7">
        <v>1.0009999999999999</v>
      </c>
      <c r="ET610" s="7">
        <v>1.0009999999999999</v>
      </c>
      <c r="EU610" s="7">
        <v>1.0009999999999999</v>
      </c>
      <c r="EV610" s="7">
        <v>1.0009999999999999</v>
      </c>
      <c r="EW610" s="7">
        <v>1.0009999999999999</v>
      </c>
      <c r="EX610" s="7">
        <v>1.0009999999999999</v>
      </c>
      <c r="EY610" s="7">
        <v>1.0009999999999999</v>
      </c>
      <c r="EZ610" s="7">
        <v>1.0009999999999999</v>
      </c>
      <c r="FA610" s="7">
        <v>1.0009999999999999</v>
      </c>
      <c r="FB610" s="7">
        <v>1.0009999999999999</v>
      </c>
      <c r="FC610" s="7">
        <v>1.0009999999999999</v>
      </c>
      <c r="FE610" s="50">
        <f t="shared" ca="1" si="65"/>
        <v>0.93561899663505654</v>
      </c>
      <c r="FF610" s="50">
        <f t="shared" ca="1" si="66"/>
        <v>0.93303047100288361</v>
      </c>
      <c r="FG610" s="50">
        <f t="shared" ca="1" si="67"/>
        <v>0.930396644295302</v>
      </c>
      <c r="FH610" s="50">
        <f t="shared" ca="1" si="68"/>
        <v>0.92771208053691268</v>
      </c>
      <c r="FI610" s="50"/>
      <c r="FK610" s="50">
        <f t="shared" ca="1" si="64"/>
        <v>0.93303047100288361</v>
      </c>
      <c r="FL610" s="50"/>
      <c r="FM610" s="50"/>
      <c r="FN610" s="50"/>
    </row>
    <row r="611" spans="49:170" hidden="1">
      <c r="AW611" s="112">
        <v>30.902999999999999</v>
      </c>
      <c r="AX611" s="7">
        <v>0.57550000000000001</v>
      </c>
      <c r="AY611" s="7">
        <v>0.58160000000000001</v>
      </c>
      <c r="AZ611" s="7">
        <v>0.58760000000000001</v>
      </c>
      <c r="BA611" s="7">
        <v>0.59350000000000003</v>
      </c>
      <c r="BB611" s="7">
        <v>0.59940000000000004</v>
      </c>
      <c r="BC611" s="7">
        <v>0.60519999999999996</v>
      </c>
      <c r="BD611" s="7">
        <v>0.6109</v>
      </c>
      <c r="BE611" s="7">
        <v>0.61660000000000004</v>
      </c>
      <c r="BF611" s="7">
        <v>0.62219999999999998</v>
      </c>
      <c r="BG611" s="7">
        <v>0.62780000000000002</v>
      </c>
      <c r="BH611" s="7">
        <v>0.63329999999999997</v>
      </c>
      <c r="BI611" s="7">
        <v>0.63880000000000003</v>
      </c>
      <c r="BJ611" s="7">
        <v>0.64419999999999999</v>
      </c>
      <c r="BK611" s="7">
        <v>0.64959999999999996</v>
      </c>
      <c r="BL611" s="7">
        <v>0.65490000000000004</v>
      </c>
      <c r="BM611" s="7">
        <v>0.66020000000000001</v>
      </c>
      <c r="BN611" s="7">
        <v>0.66539999999999999</v>
      </c>
      <c r="BO611" s="7">
        <v>0.67059999999999997</v>
      </c>
      <c r="BP611" s="7">
        <v>0.67569999999999997</v>
      </c>
      <c r="BQ611" s="7">
        <v>0.68079999999999996</v>
      </c>
      <c r="BR611" s="7">
        <v>0.68579999999999997</v>
      </c>
      <c r="BS611" s="7">
        <v>0.69079999999999997</v>
      </c>
      <c r="BT611" s="7">
        <v>0.69569999999999999</v>
      </c>
      <c r="BU611" s="7">
        <v>0.7006</v>
      </c>
      <c r="BV611" s="7">
        <v>0.70550000000000002</v>
      </c>
      <c r="BW611" s="7">
        <v>0.71030000000000004</v>
      </c>
      <c r="BX611" s="7">
        <v>0.71509999999999996</v>
      </c>
      <c r="BY611" s="7">
        <v>0.71989999999999998</v>
      </c>
      <c r="BZ611" s="7">
        <v>0.72460000000000002</v>
      </c>
      <c r="CA611" s="7">
        <v>0.72919999999999996</v>
      </c>
      <c r="CB611" s="7">
        <v>0.7339</v>
      </c>
      <c r="CC611" s="7">
        <v>0.73850000000000005</v>
      </c>
      <c r="CD611" s="7">
        <v>0.74309999999999998</v>
      </c>
      <c r="CE611" s="7">
        <v>0.74760000000000004</v>
      </c>
      <c r="CF611" s="7">
        <v>0.75209999999999999</v>
      </c>
      <c r="CG611" s="7">
        <v>0.75660000000000005</v>
      </c>
      <c r="CH611" s="7">
        <v>0.7611</v>
      </c>
      <c r="CI611" s="7">
        <v>0.76549999999999996</v>
      </c>
      <c r="CJ611" s="7">
        <v>0.76990000000000003</v>
      </c>
      <c r="CK611" s="7">
        <v>0.77429999999999999</v>
      </c>
      <c r="CL611" s="7">
        <v>0.77869999999999995</v>
      </c>
      <c r="CM611" s="7">
        <v>0.78300000000000003</v>
      </c>
      <c r="CN611" s="7">
        <v>0.7873</v>
      </c>
      <c r="CO611" s="7">
        <v>0.79159999999999997</v>
      </c>
      <c r="CP611" s="7">
        <v>0.79590000000000005</v>
      </c>
      <c r="CQ611" s="7">
        <v>0.80020000000000002</v>
      </c>
      <c r="CR611" s="7">
        <v>0.8044</v>
      </c>
      <c r="CS611" s="7">
        <v>0.80859999999999999</v>
      </c>
      <c r="CT611" s="7">
        <v>0.81279999999999997</v>
      </c>
      <c r="CU611" s="7">
        <v>0.81699999999999995</v>
      </c>
      <c r="CV611" s="7">
        <v>0.82120000000000004</v>
      </c>
      <c r="CW611" s="7">
        <v>0.82540000000000002</v>
      </c>
      <c r="CX611" s="7">
        <v>0.82950000000000002</v>
      </c>
      <c r="CY611" s="7">
        <v>0.8337</v>
      </c>
      <c r="CZ611" s="7">
        <v>0.83779999999999999</v>
      </c>
      <c r="DA611" s="7">
        <v>0.84199999999999997</v>
      </c>
      <c r="DB611" s="7">
        <v>0.84609999999999996</v>
      </c>
      <c r="DC611" s="7">
        <v>0.85019999999999996</v>
      </c>
      <c r="DD611" s="7">
        <v>0.85429999999999995</v>
      </c>
      <c r="DE611" s="7">
        <v>0.85840000000000005</v>
      </c>
      <c r="DF611" s="7">
        <v>0.86250000000000004</v>
      </c>
      <c r="DG611" s="7">
        <v>0.86660000000000004</v>
      </c>
      <c r="DH611" s="7">
        <v>0.87070000000000003</v>
      </c>
      <c r="DI611" s="7">
        <v>0.87480000000000002</v>
      </c>
      <c r="DJ611" s="7">
        <v>0.87890000000000001</v>
      </c>
      <c r="DK611" s="7">
        <v>0.88300000000000001</v>
      </c>
      <c r="DL611" s="7">
        <v>0.8871</v>
      </c>
      <c r="DM611" s="7">
        <v>0.89119999999999999</v>
      </c>
      <c r="DN611" s="7">
        <v>0.89529999999999998</v>
      </c>
      <c r="DO611" s="7">
        <v>0.89939999999999998</v>
      </c>
      <c r="DP611" s="7">
        <v>0.90349999999999997</v>
      </c>
      <c r="DQ611" s="7">
        <v>0.90759999999999996</v>
      </c>
      <c r="DR611" s="7">
        <v>0.91169999999999995</v>
      </c>
      <c r="DS611" s="7">
        <v>0.91579999999999995</v>
      </c>
      <c r="DT611" s="7">
        <v>0.91990000000000005</v>
      </c>
      <c r="DU611" s="7">
        <v>0.92400000000000004</v>
      </c>
      <c r="DV611" s="7">
        <v>0.92810000000000004</v>
      </c>
      <c r="DW611" s="7">
        <v>0.93220000000000003</v>
      </c>
      <c r="DX611" s="7">
        <v>0.93620000000000003</v>
      </c>
      <c r="DY611" s="7">
        <v>0.94030000000000002</v>
      </c>
      <c r="DZ611" s="7">
        <v>0.94430000000000003</v>
      </c>
      <c r="EA611" s="7">
        <v>0.94840000000000002</v>
      </c>
      <c r="EB611" s="7">
        <v>0.95240000000000002</v>
      </c>
      <c r="EC611" s="7">
        <v>0.95640000000000003</v>
      </c>
      <c r="ED611" s="7">
        <v>0.96030000000000004</v>
      </c>
      <c r="EE611" s="7">
        <v>0.96430000000000005</v>
      </c>
      <c r="EF611" s="7">
        <v>0.96819999999999995</v>
      </c>
      <c r="EG611" s="7">
        <v>0.97199999999999998</v>
      </c>
      <c r="EH611" s="7">
        <v>0.97589999999999999</v>
      </c>
      <c r="EI611" s="7">
        <v>0.97970000000000002</v>
      </c>
      <c r="EJ611" s="7">
        <v>0.98340000000000005</v>
      </c>
      <c r="EK611" s="7">
        <v>0.98709999999999998</v>
      </c>
      <c r="EL611" s="7">
        <v>0.99070000000000003</v>
      </c>
      <c r="EM611" s="7">
        <v>0.99429999999999996</v>
      </c>
      <c r="EN611" s="7">
        <v>0.99780000000000002</v>
      </c>
      <c r="EO611" s="7">
        <v>1.0009999999999999</v>
      </c>
      <c r="EP611" s="7">
        <v>1.0009999999999999</v>
      </c>
      <c r="EQ611" s="7">
        <v>1.0009999999999999</v>
      </c>
      <c r="ER611" s="7">
        <v>1.0009999999999999</v>
      </c>
      <c r="ES611" s="7">
        <v>1.0009999999999999</v>
      </c>
      <c r="ET611" s="7">
        <v>1.0009999999999999</v>
      </c>
      <c r="EU611" s="7">
        <v>1.0009999999999999</v>
      </c>
      <c r="EV611" s="7">
        <v>1.0009999999999999</v>
      </c>
      <c r="EW611" s="7">
        <v>1.0009999999999999</v>
      </c>
      <c r="EX611" s="7">
        <v>1.0009999999999999</v>
      </c>
      <c r="EY611" s="7">
        <v>1.0009999999999999</v>
      </c>
      <c r="EZ611" s="7">
        <v>1.0009999999999999</v>
      </c>
      <c r="FA611" s="7">
        <v>1.0009999999999999</v>
      </c>
      <c r="FB611" s="7">
        <v>1.0009999999999999</v>
      </c>
      <c r="FC611" s="7">
        <v>1.0009999999999999</v>
      </c>
      <c r="FE611" s="50">
        <f t="shared" ca="1" si="65"/>
        <v>0.93299902110737232</v>
      </c>
      <c r="FF611" s="50">
        <f t="shared" ca="1" si="66"/>
        <v>0.93043047100288367</v>
      </c>
      <c r="FG611" s="50">
        <f t="shared" ca="1" si="67"/>
        <v>0.92778906040268461</v>
      </c>
      <c r="FH611" s="50">
        <f t="shared" ca="1" si="68"/>
        <v>0.92503738255033563</v>
      </c>
      <c r="FI611" s="50"/>
      <c r="FK611" s="50">
        <f t="shared" ca="1" si="64"/>
        <v>0.93043047100288367</v>
      </c>
      <c r="FL611" s="50"/>
      <c r="FM611" s="50"/>
      <c r="FN611" s="50"/>
    </row>
    <row r="612" spans="49:170" hidden="1">
      <c r="AW612" s="112">
        <v>33.113</v>
      </c>
      <c r="AX612" s="7">
        <v>0.57389999999999997</v>
      </c>
      <c r="AY612" s="7">
        <v>0.57989999999999997</v>
      </c>
      <c r="AZ612" s="7">
        <v>0.58589999999999998</v>
      </c>
      <c r="BA612" s="7">
        <v>0.59179999999999999</v>
      </c>
      <c r="BB612" s="7">
        <v>0.59770000000000001</v>
      </c>
      <c r="BC612" s="7">
        <v>0.60350000000000004</v>
      </c>
      <c r="BD612" s="7">
        <v>0.60919999999999996</v>
      </c>
      <c r="BE612" s="7">
        <v>0.6149</v>
      </c>
      <c r="BF612" s="7">
        <v>0.62050000000000005</v>
      </c>
      <c r="BG612" s="7">
        <v>0.626</v>
      </c>
      <c r="BH612" s="7">
        <v>0.63160000000000005</v>
      </c>
      <c r="BI612" s="7">
        <v>0.63700000000000001</v>
      </c>
      <c r="BJ612" s="7">
        <v>0.64239999999999997</v>
      </c>
      <c r="BK612" s="7">
        <v>0.64780000000000004</v>
      </c>
      <c r="BL612" s="7">
        <v>0.65310000000000001</v>
      </c>
      <c r="BM612" s="7">
        <v>0.6583</v>
      </c>
      <c r="BN612" s="7">
        <v>0.66349999999999998</v>
      </c>
      <c r="BO612" s="7">
        <v>0.66869999999999996</v>
      </c>
      <c r="BP612" s="7">
        <v>0.67379999999999995</v>
      </c>
      <c r="BQ612" s="7">
        <v>0.67879999999999996</v>
      </c>
      <c r="BR612" s="7">
        <v>0.68379999999999996</v>
      </c>
      <c r="BS612" s="7">
        <v>0.68879999999999997</v>
      </c>
      <c r="BT612" s="7">
        <v>0.69379999999999997</v>
      </c>
      <c r="BU612" s="7">
        <v>0.6986</v>
      </c>
      <c r="BV612" s="7">
        <v>0.70350000000000001</v>
      </c>
      <c r="BW612" s="7">
        <v>0.70830000000000004</v>
      </c>
      <c r="BX612" s="7">
        <v>0.71309999999999996</v>
      </c>
      <c r="BY612" s="7">
        <v>0.71779999999999999</v>
      </c>
      <c r="BZ612" s="7">
        <v>0.72250000000000003</v>
      </c>
      <c r="CA612" s="7">
        <v>0.72719999999999996</v>
      </c>
      <c r="CB612" s="7">
        <v>0.73180000000000001</v>
      </c>
      <c r="CC612" s="7">
        <v>0.73640000000000005</v>
      </c>
      <c r="CD612" s="7">
        <v>0.74099999999999999</v>
      </c>
      <c r="CE612" s="7">
        <v>0.74550000000000005</v>
      </c>
      <c r="CF612" s="7">
        <v>0.75</v>
      </c>
      <c r="CG612" s="7">
        <v>0.75449999999999995</v>
      </c>
      <c r="CH612" s="7">
        <v>0.75890000000000002</v>
      </c>
      <c r="CI612" s="7">
        <v>0.76339999999999997</v>
      </c>
      <c r="CJ612" s="7">
        <v>0.76770000000000005</v>
      </c>
      <c r="CK612" s="7">
        <v>0.77210000000000001</v>
      </c>
      <c r="CL612" s="7">
        <v>0.77649999999999997</v>
      </c>
      <c r="CM612" s="7">
        <v>0.78080000000000005</v>
      </c>
      <c r="CN612" s="7">
        <v>0.78510000000000002</v>
      </c>
      <c r="CO612" s="7">
        <v>0.78939999999999999</v>
      </c>
      <c r="CP612" s="7">
        <v>0.79359999999999997</v>
      </c>
      <c r="CQ612" s="7">
        <v>0.79790000000000005</v>
      </c>
      <c r="CR612" s="7">
        <v>0.80210000000000004</v>
      </c>
      <c r="CS612" s="7">
        <v>0.80630000000000002</v>
      </c>
      <c r="CT612" s="7">
        <v>0.8105</v>
      </c>
      <c r="CU612" s="7">
        <v>0.81469999999999998</v>
      </c>
      <c r="CV612" s="7">
        <v>0.81889999999999996</v>
      </c>
      <c r="CW612" s="7">
        <v>0.82299999999999995</v>
      </c>
      <c r="CX612" s="7">
        <v>0.82720000000000005</v>
      </c>
      <c r="CY612" s="7">
        <v>0.83130000000000004</v>
      </c>
      <c r="CZ612" s="7">
        <v>0.83550000000000002</v>
      </c>
      <c r="DA612" s="7">
        <v>0.83960000000000001</v>
      </c>
      <c r="DB612" s="7">
        <v>0.84370000000000001</v>
      </c>
      <c r="DC612" s="7">
        <v>0.8478</v>
      </c>
      <c r="DD612" s="7">
        <v>0.85189999999999999</v>
      </c>
      <c r="DE612" s="7">
        <v>0.85599999999999998</v>
      </c>
      <c r="DF612" s="7">
        <v>0.86009999999999998</v>
      </c>
      <c r="DG612" s="7">
        <v>0.86419999999999997</v>
      </c>
      <c r="DH612" s="7">
        <v>0.86829999999999996</v>
      </c>
      <c r="DI612" s="7">
        <v>0.87239999999999995</v>
      </c>
      <c r="DJ612" s="7">
        <v>0.87649999999999995</v>
      </c>
      <c r="DK612" s="7">
        <v>0.88049999999999995</v>
      </c>
      <c r="DL612" s="7">
        <v>0.88460000000000005</v>
      </c>
      <c r="DM612" s="7">
        <v>0.88870000000000005</v>
      </c>
      <c r="DN612" s="7">
        <v>0.89280000000000004</v>
      </c>
      <c r="DO612" s="7">
        <v>0.89690000000000003</v>
      </c>
      <c r="DP612" s="7">
        <v>0.90100000000000002</v>
      </c>
      <c r="DQ612" s="7">
        <v>0.90510000000000002</v>
      </c>
      <c r="DR612" s="7">
        <v>0.90910000000000002</v>
      </c>
      <c r="DS612" s="7">
        <v>0.91320000000000001</v>
      </c>
      <c r="DT612" s="7">
        <v>0.9173</v>
      </c>
      <c r="DU612" s="7">
        <v>0.9214</v>
      </c>
      <c r="DV612" s="7">
        <v>0.9254</v>
      </c>
      <c r="DW612" s="7">
        <v>0.92949999999999999</v>
      </c>
      <c r="DX612" s="7">
        <v>0.93359999999999999</v>
      </c>
      <c r="DY612" s="7">
        <v>0.93759999999999999</v>
      </c>
      <c r="DZ612" s="7">
        <v>0.94159999999999999</v>
      </c>
      <c r="EA612" s="7">
        <v>0.94569999999999999</v>
      </c>
      <c r="EB612" s="7">
        <v>0.94969999999999999</v>
      </c>
      <c r="EC612" s="7">
        <v>0.9536</v>
      </c>
      <c r="ED612" s="7">
        <v>0.95760000000000001</v>
      </c>
      <c r="EE612" s="7">
        <v>0.96150000000000002</v>
      </c>
      <c r="EF612" s="7">
        <v>0.96540000000000004</v>
      </c>
      <c r="EG612" s="7">
        <v>0.96930000000000005</v>
      </c>
      <c r="EH612" s="7">
        <v>0.97309999999999997</v>
      </c>
      <c r="EI612" s="7">
        <v>0.97689999999999999</v>
      </c>
      <c r="EJ612" s="7">
        <v>0.98060000000000003</v>
      </c>
      <c r="EK612" s="7">
        <v>0.98429999999999995</v>
      </c>
      <c r="EL612" s="7">
        <v>0.9879</v>
      </c>
      <c r="EM612" s="7">
        <v>0.99150000000000005</v>
      </c>
      <c r="EN612" s="7">
        <v>0.99490000000000001</v>
      </c>
      <c r="EO612" s="7">
        <v>0.99839999999999995</v>
      </c>
      <c r="EP612" s="7">
        <v>1.0009999999999999</v>
      </c>
      <c r="EQ612" s="7">
        <v>1.0009999999999999</v>
      </c>
      <c r="ER612" s="7">
        <v>1.0009999999999999</v>
      </c>
      <c r="ES612" s="7">
        <v>1.0009999999999999</v>
      </c>
      <c r="ET612" s="7">
        <v>1.0009999999999999</v>
      </c>
      <c r="EU612" s="7">
        <v>1.0009999999999999</v>
      </c>
      <c r="EV612" s="7">
        <v>1.0009999999999999</v>
      </c>
      <c r="EW612" s="7">
        <v>1.0009999999999999</v>
      </c>
      <c r="EX612" s="7">
        <v>1.0009999999999999</v>
      </c>
      <c r="EY612" s="7">
        <v>1.0009999999999999</v>
      </c>
      <c r="EZ612" s="7">
        <v>1.0009999999999999</v>
      </c>
      <c r="FA612" s="7">
        <v>1.0009999999999999</v>
      </c>
      <c r="FB612" s="7">
        <v>1.0009999999999999</v>
      </c>
      <c r="FC612" s="7">
        <v>1.0009999999999999</v>
      </c>
      <c r="FE612" s="50">
        <f t="shared" ca="1" si="65"/>
        <v>0.93031899663505657</v>
      </c>
      <c r="FF612" s="50">
        <f t="shared" ca="1" si="66"/>
        <v>0.92773047100288375</v>
      </c>
      <c r="FG612" s="50">
        <f t="shared" ca="1" si="67"/>
        <v>0.92509664429530203</v>
      </c>
      <c r="FH612" s="50">
        <f t="shared" ca="1" si="68"/>
        <v>0.9224120805369127</v>
      </c>
      <c r="FI612" s="50"/>
      <c r="FK612" s="50">
        <f t="shared" ca="1" si="64"/>
        <v>0.92773047100288375</v>
      </c>
      <c r="FL612" s="50"/>
      <c r="FM612" s="50"/>
      <c r="FN612" s="50"/>
    </row>
    <row r="613" spans="49:170" hidden="1">
      <c r="AW613" s="112">
        <v>35.481000000000002</v>
      </c>
      <c r="AX613" s="7">
        <v>0.57230000000000003</v>
      </c>
      <c r="AY613" s="7">
        <v>0.57830000000000004</v>
      </c>
      <c r="AZ613" s="7">
        <v>0.58430000000000004</v>
      </c>
      <c r="BA613" s="7">
        <v>0.59019999999999995</v>
      </c>
      <c r="BB613" s="7">
        <v>0.59599999999999997</v>
      </c>
      <c r="BC613" s="7">
        <v>0.6018</v>
      </c>
      <c r="BD613" s="7">
        <v>0.60750000000000004</v>
      </c>
      <c r="BE613" s="7">
        <v>0.61309999999999998</v>
      </c>
      <c r="BF613" s="7">
        <v>0.61870000000000003</v>
      </c>
      <c r="BG613" s="7">
        <v>0.62429999999999997</v>
      </c>
      <c r="BH613" s="7">
        <v>0.62980000000000003</v>
      </c>
      <c r="BI613" s="7">
        <v>0.63519999999999999</v>
      </c>
      <c r="BJ613" s="7">
        <v>0.64059999999999995</v>
      </c>
      <c r="BK613" s="7">
        <v>0.64590000000000003</v>
      </c>
      <c r="BL613" s="7">
        <v>0.6512</v>
      </c>
      <c r="BM613" s="7">
        <v>0.65649999999999997</v>
      </c>
      <c r="BN613" s="7">
        <v>0.66159999999999997</v>
      </c>
      <c r="BO613" s="7">
        <v>0.66679999999999995</v>
      </c>
      <c r="BP613" s="7">
        <v>0.67190000000000005</v>
      </c>
      <c r="BQ613" s="7">
        <v>0.67689999999999995</v>
      </c>
      <c r="BR613" s="7">
        <v>0.68189999999999995</v>
      </c>
      <c r="BS613" s="7">
        <v>0.68689999999999996</v>
      </c>
      <c r="BT613" s="7">
        <v>0.69179999999999997</v>
      </c>
      <c r="BU613" s="7">
        <v>0.69669999999999999</v>
      </c>
      <c r="BV613" s="7">
        <v>0.70150000000000001</v>
      </c>
      <c r="BW613" s="7">
        <v>0.70630000000000004</v>
      </c>
      <c r="BX613" s="7">
        <v>0.71109999999999995</v>
      </c>
      <c r="BY613" s="7">
        <v>0.71579999999999999</v>
      </c>
      <c r="BZ613" s="7">
        <v>0.72050000000000003</v>
      </c>
      <c r="CA613" s="7">
        <v>0.72509999999999997</v>
      </c>
      <c r="CB613" s="7">
        <v>0.7298</v>
      </c>
      <c r="CC613" s="7">
        <v>0.73429999999999995</v>
      </c>
      <c r="CD613" s="7">
        <v>0.7389</v>
      </c>
      <c r="CE613" s="7">
        <v>0.74339999999999995</v>
      </c>
      <c r="CF613" s="7">
        <v>0.74790000000000001</v>
      </c>
      <c r="CG613" s="7">
        <v>0.75239999999999996</v>
      </c>
      <c r="CH613" s="7">
        <v>0.75680000000000003</v>
      </c>
      <c r="CI613" s="7">
        <v>0.76119999999999999</v>
      </c>
      <c r="CJ613" s="7">
        <v>0.76559999999999995</v>
      </c>
      <c r="CK613" s="7">
        <v>0.77</v>
      </c>
      <c r="CL613" s="7">
        <v>0.77429999999999999</v>
      </c>
      <c r="CM613" s="7">
        <v>0.77859999999999996</v>
      </c>
      <c r="CN613" s="7">
        <v>0.78290000000000004</v>
      </c>
      <c r="CO613" s="7">
        <v>0.78720000000000001</v>
      </c>
      <c r="CP613" s="7">
        <v>0.79139999999999999</v>
      </c>
      <c r="CQ613" s="7">
        <v>0.79559999999999997</v>
      </c>
      <c r="CR613" s="7">
        <v>0.79990000000000006</v>
      </c>
      <c r="CS613" s="7">
        <v>0.80410000000000004</v>
      </c>
      <c r="CT613" s="7">
        <v>0.80820000000000003</v>
      </c>
      <c r="CU613" s="7">
        <v>0.81240000000000001</v>
      </c>
      <c r="CV613" s="7">
        <v>0.81659999999999999</v>
      </c>
      <c r="CW613" s="7">
        <v>0.82069999999999999</v>
      </c>
      <c r="CX613" s="7">
        <v>0.82489999999999997</v>
      </c>
      <c r="CY613" s="7">
        <v>0.82899999999999996</v>
      </c>
      <c r="CZ613" s="7">
        <v>0.83309999999999995</v>
      </c>
      <c r="DA613" s="7">
        <v>0.83720000000000006</v>
      </c>
      <c r="DB613" s="7">
        <v>0.84130000000000005</v>
      </c>
      <c r="DC613" s="7">
        <v>0.84540000000000004</v>
      </c>
      <c r="DD613" s="7">
        <v>0.84950000000000003</v>
      </c>
      <c r="DE613" s="7">
        <v>0.85360000000000003</v>
      </c>
      <c r="DF613" s="7">
        <v>0.85770000000000002</v>
      </c>
      <c r="DG613" s="7">
        <v>0.86180000000000001</v>
      </c>
      <c r="DH613" s="7">
        <v>0.86580000000000001</v>
      </c>
      <c r="DI613" s="7">
        <v>0.86990000000000001</v>
      </c>
      <c r="DJ613" s="7">
        <v>0.874</v>
      </c>
      <c r="DK613" s="7">
        <v>0.87809999999999999</v>
      </c>
      <c r="DL613" s="7">
        <v>0.8821</v>
      </c>
      <c r="DM613" s="7">
        <v>0.88619999999999999</v>
      </c>
      <c r="DN613" s="7">
        <v>0.89029999999999998</v>
      </c>
      <c r="DO613" s="7">
        <v>0.89439999999999997</v>
      </c>
      <c r="DP613" s="7">
        <v>0.89839999999999998</v>
      </c>
      <c r="DQ613" s="7">
        <v>0.90249999999999997</v>
      </c>
      <c r="DR613" s="7">
        <v>0.90659999999999996</v>
      </c>
      <c r="DS613" s="7">
        <v>0.91069999999999995</v>
      </c>
      <c r="DT613" s="7">
        <v>0.91469999999999996</v>
      </c>
      <c r="DU613" s="7">
        <v>0.91879999999999995</v>
      </c>
      <c r="DV613" s="7">
        <v>0.92290000000000005</v>
      </c>
      <c r="DW613" s="7">
        <v>0.92689999999999995</v>
      </c>
      <c r="DX613" s="7">
        <v>0.93089999999999995</v>
      </c>
      <c r="DY613" s="7">
        <v>0.93500000000000005</v>
      </c>
      <c r="DZ613" s="7">
        <v>0.93899999999999995</v>
      </c>
      <c r="EA613" s="7">
        <v>0.94299999999999995</v>
      </c>
      <c r="EB613" s="7">
        <v>0.94699999999999995</v>
      </c>
      <c r="EC613" s="7">
        <v>0.95099999999999996</v>
      </c>
      <c r="ED613" s="7">
        <v>0.95489999999999997</v>
      </c>
      <c r="EE613" s="7">
        <v>0.95879999999999999</v>
      </c>
      <c r="EF613" s="7">
        <v>0.9627</v>
      </c>
      <c r="EG613" s="7">
        <v>0.96660000000000001</v>
      </c>
      <c r="EH613" s="7">
        <v>0.97040000000000004</v>
      </c>
      <c r="EI613" s="7">
        <v>0.97409999999999997</v>
      </c>
      <c r="EJ613" s="7">
        <v>0.97789999999999999</v>
      </c>
      <c r="EK613" s="7">
        <v>0.98150000000000004</v>
      </c>
      <c r="EL613" s="7">
        <v>0.98509999999999998</v>
      </c>
      <c r="EM613" s="7">
        <v>0.98870000000000002</v>
      </c>
      <c r="EN613" s="7">
        <v>0.99219999999999997</v>
      </c>
      <c r="EO613" s="7">
        <v>0.99560000000000004</v>
      </c>
      <c r="EP613" s="7">
        <v>0.99890000000000001</v>
      </c>
      <c r="EQ613" s="7">
        <v>1.0009999999999999</v>
      </c>
      <c r="ER613" s="7">
        <v>1.0009999999999999</v>
      </c>
      <c r="ES613" s="7">
        <v>1.0009999999999999</v>
      </c>
      <c r="ET613" s="7">
        <v>1.0009999999999999</v>
      </c>
      <c r="EU613" s="7">
        <v>1.0009999999999999</v>
      </c>
      <c r="EV613" s="7">
        <v>1.0009999999999999</v>
      </c>
      <c r="EW613" s="7">
        <v>1.0009999999999999</v>
      </c>
      <c r="EX613" s="7">
        <v>1.0009999999999999</v>
      </c>
      <c r="EY613" s="7">
        <v>1.0009999999999999</v>
      </c>
      <c r="EZ613" s="7">
        <v>1.0009999999999999</v>
      </c>
      <c r="FA613" s="7">
        <v>1.0009999999999999</v>
      </c>
      <c r="FB613" s="7">
        <v>1.0009999999999999</v>
      </c>
      <c r="FC613" s="7">
        <v>1.0009999999999999</v>
      </c>
      <c r="FE613" s="50">
        <f t="shared" ca="1" si="65"/>
        <v>0.92769902110737223</v>
      </c>
      <c r="FF613" s="50">
        <f t="shared" ca="1" si="66"/>
        <v>0.92517363024671595</v>
      </c>
      <c r="FG613" s="50">
        <f t="shared" ca="1" si="67"/>
        <v>0.92258906040268451</v>
      </c>
      <c r="FH613" s="50">
        <f t="shared" ca="1" si="68"/>
        <v>0.91983738255033554</v>
      </c>
      <c r="FI613" s="50"/>
      <c r="FK613" s="50">
        <f t="shared" ca="1" si="64"/>
        <v>0.92517363024671595</v>
      </c>
      <c r="FL613" s="50"/>
      <c r="FM613" s="50"/>
      <c r="FN613" s="50"/>
    </row>
    <row r="614" spans="49:170" hidden="1">
      <c r="AW614" s="112">
        <v>38.018999999999998</v>
      </c>
      <c r="AX614" s="7">
        <v>0.57069999999999999</v>
      </c>
      <c r="AY614" s="7">
        <v>0.57669999999999999</v>
      </c>
      <c r="AZ614" s="7">
        <v>0.58260000000000001</v>
      </c>
      <c r="BA614" s="7">
        <v>0.58850000000000002</v>
      </c>
      <c r="BB614" s="7">
        <v>0.59430000000000005</v>
      </c>
      <c r="BC614" s="7">
        <v>0.60009999999999997</v>
      </c>
      <c r="BD614" s="7">
        <v>0.60580000000000001</v>
      </c>
      <c r="BE614" s="7">
        <v>0.61140000000000005</v>
      </c>
      <c r="BF614" s="7">
        <v>0.61699999999999999</v>
      </c>
      <c r="BG614" s="7">
        <v>0.62260000000000004</v>
      </c>
      <c r="BH614" s="7">
        <v>0.628</v>
      </c>
      <c r="BI614" s="7">
        <v>0.63349999999999995</v>
      </c>
      <c r="BJ614" s="7">
        <v>0.63880000000000003</v>
      </c>
      <c r="BK614" s="7">
        <v>0.64410000000000001</v>
      </c>
      <c r="BL614" s="7">
        <v>0.64939999999999998</v>
      </c>
      <c r="BM614" s="7">
        <v>0.65459999999999996</v>
      </c>
      <c r="BN614" s="7">
        <v>0.65980000000000005</v>
      </c>
      <c r="BO614" s="7">
        <v>0.66490000000000005</v>
      </c>
      <c r="BP614" s="7">
        <v>0.67</v>
      </c>
      <c r="BQ614" s="7">
        <v>0.67510000000000003</v>
      </c>
      <c r="BR614" s="7">
        <v>0.68</v>
      </c>
      <c r="BS614" s="7">
        <v>0.68500000000000005</v>
      </c>
      <c r="BT614" s="7">
        <v>0.68989999999999996</v>
      </c>
      <c r="BU614" s="7">
        <v>0.69479999999999997</v>
      </c>
      <c r="BV614" s="7">
        <v>0.6996</v>
      </c>
      <c r="BW614" s="7">
        <v>0.70440000000000003</v>
      </c>
      <c r="BX614" s="7">
        <v>0.70909999999999995</v>
      </c>
      <c r="BY614" s="7">
        <v>0.71379999999999999</v>
      </c>
      <c r="BZ614" s="7">
        <v>0.71850000000000003</v>
      </c>
      <c r="CA614" s="7">
        <v>0.72309999999999997</v>
      </c>
      <c r="CB614" s="7">
        <v>0.72770000000000001</v>
      </c>
      <c r="CC614" s="7">
        <v>0.73229999999999995</v>
      </c>
      <c r="CD614" s="7">
        <v>0.73680000000000001</v>
      </c>
      <c r="CE614" s="7">
        <v>0.74139999999999995</v>
      </c>
      <c r="CF614" s="7">
        <v>0.74580000000000002</v>
      </c>
      <c r="CG614" s="7">
        <v>0.75029999999999997</v>
      </c>
      <c r="CH614" s="7">
        <v>0.75470000000000004</v>
      </c>
      <c r="CI614" s="7">
        <v>0.7591</v>
      </c>
      <c r="CJ614" s="7">
        <v>0.76349999999999996</v>
      </c>
      <c r="CK614" s="7">
        <v>0.76780000000000004</v>
      </c>
      <c r="CL614" s="7">
        <v>0.77210000000000001</v>
      </c>
      <c r="CM614" s="7">
        <v>0.77639999999999998</v>
      </c>
      <c r="CN614" s="7">
        <v>0.78069999999999995</v>
      </c>
      <c r="CO614" s="7">
        <v>0.78500000000000003</v>
      </c>
      <c r="CP614" s="7">
        <v>0.78920000000000001</v>
      </c>
      <c r="CQ614" s="7">
        <v>0.79339999999999999</v>
      </c>
      <c r="CR614" s="7">
        <v>0.79759999999999998</v>
      </c>
      <c r="CS614" s="7">
        <v>0.80179999999999996</v>
      </c>
      <c r="CT614" s="7">
        <v>0.80600000000000005</v>
      </c>
      <c r="CU614" s="7">
        <v>0.81020000000000003</v>
      </c>
      <c r="CV614" s="7">
        <v>0.81430000000000002</v>
      </c>
      <c r="CW614" s="7">
        <v>0.81850000000000001</v>
      </c>
      <c r="CX614" s="7">
        <v>0.8226</v>
      </c>
      <c r="CY614" s="7">
        <v>0.82669999999999999</v>
      </c>
      <c r="CZ614" s="7">
        <v>0.83079999999999998</v>
      </c>
      <c r="DA614" s="7">
        <v>0.83489999999999998</v>
      </c>
      <c r="DB614" s="7">
        <v>0.83899999999999997</v>
      </c>
      <c r="DC614" s="7">
        <v>0.84309999999999996</v>
      </c>
      <c r="DD614" s="7">
        <v>0.84719999999999995</v>
      </c>
      <c r="DE614" s="7">
        <v>0.85119999999999996</v>
      </c>
      <c r="DF614" s="7">
        <v>0.85529999999999995</v>
      </c>
      <c r="DG614" s="7">
        <v>0.85940000000000005</v>
      </c>
      <c r="DH614" s="7">
        <v>0.86339999999999995</v>
      </c>
      <c r="DI614" s="7">
        <v>0.86750000000000005</v>
      </c>
      <c r="DJ614" s="7">
        <v>0.87160000000000004</v>
      </c>
      <c r="DK614" s="7">
        <v>0.87560000000000004</v>
      </c>
      <c r="DL614" s="7">
        <v>0.87970000000000004</v>
      </c>
      <c r="DM614" s="7">
        <v>0.88380000000000003</v>
      </c>
      <c r="DN614" s="7">
        <v>0.88780000000000003</v>
      </c>
      <c r="DO614" s="7">
        <v>0.89190000000000003</v>
      </c>
      <c r="DP614" s="7">
        <v>0.89600000000000002</v>
      </c>
      <c r="DQ614" s="7">
        <v>0.9</v>
      </c>
      <c r="DR614" s="7">
        <v>0.90410000000000001</v>
      </c>
      <c r="DS614" s="7">
        <v>0.90810000000000002</v>
      </c>
      <c r="DT614" s="7">
        <v>0.91220000000000001</v>
      </c>
      <c r="DU614" s="7">
        <v>0.91620000000000001</v>
      </c>
      <c r="DV614" s="7">
        <v>0.92030000000000001</v>
      </c>
      <c r="DW614" s="7">
        <v>0.92430000000000001</v>
      </c>
      <c r="DX614" s="7">
        <v>0.9284</v>
      </c>
      <c r="DY614" s="7">
        <v>0.93240000000000001</v>
      </c>
      <c r="DZ614" s="7">
        <v>0.93640000000000001</v>
      </c>
      <c r="EA614" s="7">
        <v>0.94040000000000001</v>
      </c>
      <c r="EB614" s="7">
        <v>0.94440000000000002</v>
      </c>
      <c r="EC614" s="7">
        <v>0.94830000000000003</v>
      </c>
      <c r="ED614" s="7">
        <v>0.95230000000000004</v>
      </c>
      <c r="EE614" s="7">
        <v>0.95620000000000005</v>
      </c>
      <c r="EF614" s="7">
        <v>0.96</v>
      </c>
      <c r="EG614" s="7">
        <v>0.96389999999999998</v>
      </c>
      <c r="EH614" s="7">
        <v>0.9677</v>
      </c>
      <c r="EI614" s="7">
        <v>0.97140000000000004</v>
      </c>
      <c r="EJ614" s="7">
        <v>0.97519999999999996</v>
      </c>
      <c r="EK614" s="7">
        <v>0.9788</v>
      </c>
      <c r="EL614" s="7">
        <v>0.98240000000000005</v>
      </c>
      <c r="EM614" s="7">
        <v>0.9859</v>
      </c>
      <c r="EN614" s="7">
        <v>0.98939999999999995</v>
      </c>
      <c r="EO614" s="7">
        <v>0.99280000000000002</v>
      </c>
      <c r="EP614" s="7">
        <v>0.99609999999999999</v>
      </c>
      <c r="EQ614" s="7">
        <v>0.99929999999999997</v>
      </c>
      <c r="ER614" s="7">
        <v>1.0009999999999999</v>
      </c>
      <c r="ES614" s="7">
        <v>1.0009999999999999</v>
      </c>
      <c r="ET614" s="7">
        <v>1.0009999999999999</v>
      </c>
      <c r="EU614" s="7">
        <v>1.0009999999999999</v>
      </c>
      <c r="EV614" s="7">
        <v>1.0009999999999999</v>
      </c>
      <c r="EW614" s="7">
        <v>1.0009999999999999</v>
      </c>
      <c r="EX614" s="7">
        <v>1.0009999999999999</v>
      </c>
      <c r="EY614" s="7">
        <v>1.0009999999999999</v>
      </c>
      <c r="EZ614" s="7">
        <v>1.0009999999999999</v>
      </c>
      <c r="FA614" s="7">
        <v>1.0009999999999999</v>
      </c>
      <c r="FB614" s="7">
        <v>1.0009999999999999</v>
      </c>
      <c r="FC614" s="7">
        <v>1.0009999999999999</v>
      </c>
      <c r="FE614" s="50">
        <f t="shared" ca="1" si="65"/>
        <v>0.92511899663505659</v>
      </c>
      <c r="FF614" s="50">
        <f t="shared" ca="1" si="66"/>
        <v>0.92257363024671579</v>
      </c>
      <c r="FG614" s="50">
        <f t="shared" ca="1" si="67"/>
        <v>0.91998906040268458</v>
      </c>
      <c r="FH614" s="50">
        <f t="shared" ca="1" si="68"/>
        <v>0.9172373825503356</v>
      </c>
      <c r="FI614" s="50"/>
      <c r="FK614" s="50">
        <f t="shared" ca="1" si="64"/>
        <v>0.92257363024671579</v>
      </c>
      <c r="FL614" s="50"/>
      <c r="FM614" s="50"/>
      <c r="FN614" s="50"/>
    </row>
    <row r="615" spans="49:170" hidden="1">
      <c r="AW615" s="112">
        <v>40.738</v>
      </c>
      <c r="AX615" s="7">
        <v>0.56910000000000005</v>
      </c>
      <c r="AY615" s="7">
        <v>0.57509999999999994</v>
      </c>
      <c r="AZ615" s="7">
        <v>0.58099999999999996</v>
      </c>
      <c r="BA615" s="7">
        <v>0.58689999999999998</v>
      </c>
      <c r="BB615" s="7">
        <v>0.5927</v>
      </c>
      <c r="BC615" s="7">
        <v>0.59840000000000004</v>
      </c>
      <c r="BD615" s="7">
        <v>0.60409999999999997</v>
      </c>
      <c r="BE615" s="7">
        <v>0.60980000000000001</v>
      </c>
      <c r="BF615" s="7">
        <v>0.61529999999999996</v>
      </c>
      <c r="BG615" s="7">
        <v>0.62080000000000002</v>
      </c>
      <c r="BH615" s="7">
        <v>0.62629999999999997</v>
      </c>
      <c r="BI615" s="7">
        <v>0.63170000000000004</v>
      </c>
      <c r="BJ615" s="7">
        <v>0.6371</v>
      </c>
      <c r="BK615" s="7">
        <v>0.64239999999999997</v>
      </c>
      <c r="BL615" s="7">
        <v>0.64759999999999995</v>
      </c>
      <c r="BM615" s="7">
        <v>0.65280000000000005</v>
      </c>
      <c r="BN615" s="7">
        <v>0.65800000000000003</v>
      </c>
      <c r="BO615" s="7">
        <v>0.66310000000000002</v>
      </c>
      <c r="BP615" s="7">
        <v>0.66820000000000002</v>
      </c>
      <c r="BQ615" s="7">
        <v>0.67320000000000002</v>
      </c>
      <c r="BR615" s="7">
        <v>0.67820000000000003</v>
      </c>
      <c r="BS615" s="7">
        <v>0.68310000000000004</v>
      </c>
      <c r="BT615" s="7">
        <v>0.68799999999999994</v>
      </c>
      <c r="BU615" s="7">
        <v>0.69289999999999996</v>
      </c>
      <c r="BV615" s="7">
        <v>0.69769999999999999</v>
      </c>
      <c r="BW615" s="7">
        <v>0.70240000000000002</v>
      </c>
      <c r="BX615" s="7">
        <v>0.70720000000000005</v>
      </c>
      <c r="BY615" s="7">
        <v>0.71189999999999998</v>
      </c>
      <c r="BZ615" s="7">
        <v>0.71650000000000003</v>
      </c>
      <c r="CA615" s="7">
        <v>0.72109999999999996</v>
      </c>
      <c r="CB615" s="7">
        <v>0.72570000000000001</v>
      </c>
      <c r="CC615" s="7">
        <v>0.73029999999999995</v>
      </c>
      <c r="CD615" s="7">
        <v>0.73480000000000001</v>
      </c>
      <c r="CE615" s="7">
        <v>0.73929999999999996</v>
      </c>
      <c r="CF615" s="7">
        <v>0.74380000000000002</v>
      </c>
      <c r="CG615" s="7">
        <v>0.74819999999999998</v>
      </c>
      <c r="CH615" s="7">
        <v>0.75260000000000005</v>
      </c>
      <c r="CI615" s="7">
        <v>0.75700000000000001</v>
      </c>
      <c r="CJ615" s="7">
        <v>0.76139999999999997</v>
      </c>
      <c r="CK615" s="7">
        <v>0.76570000000000005</v>
      </c>
      <c r="CL615" s="7">
        <v>0.77</v>
      </c>
      <c r="CM615" s="7">
        <v>0.77429999999999999</v>
      </c>
      <c r="CN615" s="7">
        <v>0.77859999999999996</v>
      </c>
      <c r="CO615" s="7">
        <v>0.78280000000000005</v>
      </c>
      <c r="CP615" s="7">
        <v>0.78710000000000002</v>
      </c>
      <c r="CQ615" s="7">
        <v>0.7913</v>
      </c>
      <c r="CR615" s="7">
        <v>0.79549999999999998</v>
      </c>
      <c r="CS615" s="7">
        <v>0.79959999999999998</v>
      </c>
      <c r="CT615" s="7">
        <v>0.80379999999999996</v>
      </c>
      <c r="CU615" s="7">
        <v>0.80789999999999995</v>
      </c>
      <c r="CV615" s="7">
        <v>0.81210000000000004</v>
      </c>
      <c r="CW615" s="7">
        <v>0.81620000000000004</v>
      </c>
      <c r="CX615" s="7">
        <v>0.82030000000000003</v>
      </c>
      <c r="CY615" s="7">
        <v>0.82440000000000002</v>
      </c>
      <c r="CZ615" s="7">
        <v>0.82850000000000001</v>
      </c>
      <c r="DA615" s="7">
        <v>0.83260000000000001</v>
      </c>
      <c r="DB615" s="7">
        <v>0.8367</v>
      </c>
      <c r="DC615" s="7">
        <v>0.84079999999999999</v>
      </c>
      <c r="DD615" s="7">
        <v>0.8448</v>
      </c>
      <c r="DE615" s="7">
        <v>0.84889999999999999</v>
      </c>
      <c r="DF615" s="7">
        <v>0.85299999999999998</v>
      </c>
      <c r="DG615" s="7">
        <v>0.85699999999999998</v>
      </c>
      <c r="DH615" s="7">
        <v>0.86109999999999998</v>
      </c>
      <c r="DI615" s="7">
        <v>0.86509999999999998</v>
      </c>
      <c r="DJ615" s="7">
        <v>0.86919999999999997</v>
      </c>
      <c r="DK615" s="7">
        <v>0.87319999999999998</v>
      </c>
      <c r="DL615" s="7">
        <v>0.87729999999999997</v>
      </c>
      <c r="DM615" s="7">
        <v>0.88129999999999997</v>
      </c>
      <c r="DN615" s="7">
        <v>0.88539999999999996</v>
      </c>
      <c r="DO615" s="7">
        <v>0.88939999999999997</v>
      </c>
      <c r="DP615" s="7">
        <v>0.89349999999999996</v>
      </c>
      <c r="DQ615" s="7">
        <v>0.89759999999999995</v>
      </c>
      <c r="DR615" s="7">
        <v>0.90159999999999996</v>
      </c>
      <c r="DS615" s="7">
        <v>0.90559999999999996</v>
      </c>
      <c r="DT615" s="7">
        <v>0.90969999999999995</v>
      </c>
      <c r="DU615" s="7">
        <v>0.91369999999999996</v>
      </c>
      <c r="DV615" s="7">
        <v>0.91779999999999995</v>
      </c>
      <c r="DW615" s="7">
        <v>0.92179999999999995</v>
      </c>
      <c r="DX615" s="7">
        <v>0.92579999999999996</v>
      </c>
      <c r="DY615" s="7">
        <v>0.92979999999999996</v>
      </c>
      <c r="DZ615" s="7">
        <v>0.93379999999999996</v>
      </c>
      <c r="EA615" s="7">
        <v>0.93779999999999997</v>
      </c>
      <c r="EB615" s="7">
        <v>0.94179999999999997</v>
      </c>
      <c r="EC615" s="7">
        <v>0.94569999999999999</v>
      </c>
      <c r="ED615" s="7">
        <v>0.94969999999999999</v>
      </c>
      <c r="EE615" s="7">
        <v>0.95350000000000001</v>
      </c>
      <c r="EF615" s="7">
        <v>0.95740000000000003</v>
      </c>
      <c r="EG615" s="7">
        <v>0.96120000000000005</v>
      </c>
      <c r="EH615" s="7">
        <v>0.96499999999999997</v>
      </c>
      <c r="EI615" s="7">
        <v>0.96879999999999999</v>
      </c>
      <c r="EJ615" s="7">
        <v>0.97250000000000003</v>
      </c>
      <c r="EK615" s="7">
        <v>0.97609999999999997</v>
      </c>
      <c r="EL615" s="7">
        <v>0.97970000000000002</v>
      </c>
      <c r="EM615" s="7">
        <v>0.98319999999999996</v>
      </c>
      <c r="EN615" s="7">
        <v>0.98670000000000002</v>
      </c>
      <c r="EO615" s="7">
        <v>0.99009999999999998</v>
      </c>
      <c r="EP615" s="7">
        <v>0.99339999999999995</v>
      </c>
      <c r="EQ615" s="7">
        <v>0.99660000000000004</v>
      </c>
      <c r="ER615" s="7">
        <v>0.99970000000000003</v>
      </c>
      <c r="ES615" s="7">
        <v>1.0009999999999999</v>
      </c>
      <c r="ET615" s="7">
        <v>1.0009999999999999</v>
      </c>
      <c r="EU615" s="7">
        <v>1.0009999999999999</v>
      </c>
      <c r="EV615" s="7">
        <v>1.0009999999999999</v>
      </c>
      <c r="EW615" s="7">
        <v>1.0009999999999999</v>
      </c>
      <c r="EX615" s="7">
        <v>1.0009999999999999</v>
      </c>
      <c r="EY615" s="7">
        <v>1.0009999999999999</v>
      </c>
      <c r="EZ615" s="7">
        <v>1.0009999999999999</v>
      </c>
      <c r="FA615" s="7">
        <v>1.0009999999999999</v>
      </c>
      <c r="FB615" s="7">
        <v>1.0009999999999999</v>
      </c>
      <c r="FC615" s="7">
        <v>1.0009999999999999</v>
      </c>
      <c r="FE615" s="50">
        <f t="shared" ca="1" si="65"/>
        <v>0.92259902110737224</v>
      </c>
      <c r="FF615" s="50">
        <f t="shared" ca="1" si="66"/>
        <v>0.92007363024671573</v>
      </c>
      <c r="FG615" s="50">
        <f t="shared" ca="1" si="67"/>
        <v>0.91748906040268452</v>
      </c>
      <c r="FH615" s="50">
        <f t="shared" ca="1" si="68"/>
        <v>0.91473738255033554</v>
      </c>
      <c r="FI615" s="50"/>
      <c r="FK615" s="50">
        <f t="shared" ca="1" si="64"/>
        <v>0.92007363024671573</v>
      </c>
      <c r="FL615" s="50"/>
      <c r="FM615" s="50"/>
      <c r="FN615" s="50"/>
    </row>
    <row r="616" spans="49:170" hidden="1">
      <c r="AW616" s="112">
        <v>43.652000000000001</v>
      </c>
      <c r="AX616" s="7">
        <v>0.56759999999999999</v>
      </c>
      <c r="AY616" s="7">
        <v>0.5736</v>
      </c>
      <c r="AZ616" s="7">
        <v>0.57950000000000002</v>
      </c>
      <c r="BA616" s="7">
        <v>0.58530000000000004</v>
      </c>
      <c r="BB616" s="7">
        <v>0.59109999999999996</v>
      </c>
      <c r="BC616" s="7">
        <v>0.5968</v>
      </c>
      <c r="BD616" s="7">
        <v>0.60250000000000004</v>
      </c>
      <c r="BE616" s="7">
        <v>0.60809999999999997</v>
      </c>
      <c r="BF616" s="7">
        <v>0.61370000000000002</v>
      </c>
      <c r="BG616" s="7">
        <v>0.61919999999999997</v>
      </c>
      <c r="BH616" s="7">
        <v>0.62460000000000004</v>
      </c>
      <c r="BI616" s="7">
        <v>0.63</v>
      </c>
      <c r="BJ616" s="7">
        <v>0.63539999999999996</v>
      </c>
      <c r="BK616" s="7">
        <v>0.64059999999999995</v>
      </c>
      <c r="BL616" s="7">
        <v>0.64590000000000003</v>
      </c>
      <c r="BM616" s="7">
        <v>0.65110000000000001</v>
      </c>
      <c r="BN616" s="7">
        <v>0.65620000000000001</v>
      </c>
      <c r="BO616" s="7">
        <v>0.6613</v>
      </c>
      <c r="BP616" s="7">
        <v>0.66639999999999999</v>
      </c>
      <c r="BQ616" s="7">
        <v>0.6714</v>
      </c>
      <c r="BR616" s="7">
        <v>0.67630000000000001</v>
      </c>
      <c r="BS616" s="7">
        <v>0.68130000000000002</v>
      </c>
      <c r="BT616" s="7">
        <v>0.68610000000000004</v>
      </c>
      <c r="BU616" s="7">
        <v>0.69099999999999995</v>
      </c>
      <c r="BV616" s="7">
        <v>0.69579999999999997</v>
      </c>
      <c r="BW616" s="7">
        <v>0.70050000000000001</v>
      </c>
      <c r="BX616" s="7">
        <v>0.70520000000000005</v>
      </c>
      <c r="BY616" s="7">
        <v>0.70989999999999998</v>
      </c>
      <c r="BZ616" s="7">
        <v>0.71460000000000001</v>
      </c>
      <c r="CA616" s="7">
        <v>0.71919999999999995</v>
      </c>
      <c r="CB616" s="7">
        <v>0.7238</v>
      </c>
      <c r="CC616" s="7">
        <v>0.72829999999999995</v>
      </c>
      <c r="CD616" s="7">
        <v>0.73280000000000001</v>
      </c>
      <c r="CE616" s="7">
        <v>0.73729999999999996</v>
      </c>
      <c r="CF616" s="7">
        <v>0.74180000000000001</v>
      </c>
      <c r="CG616" s="7">
        <v>0.74619999999999997</v>
      </c>
      <c r="CH616" s="7">
        <v>0.75060000000000004</v>
      </c>
      <c r="CI616" s="7">
        <v>0.755</v>
      </c>
      <c r="CJ616" s="7">
        <v>0.75929999999999997</v>
      </c>
      <c r="CK616" s="7">
        <v>0.76359999999999995</v>
      </c>
      <c r="CL616" s="7">
        <v>0.76790000000000003</v>
      </c>
      <c r="CM616" s="7">
        <v>0.7722</v>
      </c>
      <c r="CN616" s="7">
        <v>0.77649999999999997</v>
      </c>
      <c r="CO616" s="7">
        <v>0.78069999999999995</v>
      </c>
      <c r="CP616" s="7">
        <v>0.78490000000000004</v>
      </c>
      <c r="CQ616" s="7">
        <v>0.78910000000000002</v>
      </c>
      <c r="CR616" s="7">
        <v>0.79330000000000001</v>
      </c>
      <c r="CS616" s="7">
        <v>0.79749999999999999</v>
      </c>
      <c r="CT616" s="7">
        <v>0.80159999999999998</v>
      </c>
      <c r="CU616" s="7">
        <v>0.80579999999999996</v>
      </c>
      <c r="CV616" s="7">
        <v>0.80989999999999995</v>
      </c>
      <c r="CW616" s="7">
        <v>0.81399999999999995</v>
      </c>
      <c r="CX616" s="7">
        <v>0.81810000000000005</v>
      </c>
      <c r="CY616" s="7">
        <v>0.82220000000000004</v>
      </c>
      <c r="CZ616" s="7">
        <v>0.82630000000000003</v>
      </c>
      <c r="DA616" s="7">
        <v>0.83040000000000003</v>
      </c>
      <c r="DB616" s="7">
        <v>0.83440000000000003</v>
      </c>
      <c r="DC616" s="7">
        <v>0.83850000000000002</v>
      </c>
      <c r="DD616" s="7">
        <v>0.84250000000000003</v>
      </c>
      <c r="DE616" s="7">
        <v>0.84660000000000002</v>
      </c>
      <c r="DF616" s="7">
        <v>0.85060000000000002</v>
      </c>
      <c r="DG616" s="7">
        <v>0.85470000000000002</v>
      </c>
      <c r="DH616" s="7">
        <v>0.85870000000000002</v>
      </c>
      <c r="DI616" s="7">
        <v>0.86280000000000001</v>
      </c>
      <c r="DJ616" s="7">
        <v>0.86680000000000001</v>
      </c>
      <c r="DK616" s="7">
        <v>0.87090000000000001</v>
      </c>
      <c r="DL616" s="7">
        <v>0.87490000000000001</v>
      </c>
      <c r="DM616" s="7">
        <v>0.879</v>
      </c>
      <c r="DN616" s="7">
        <v>0.88300000000000001</v>
      </c>
      <c r="DO616" s="7">
        <v>0.88700000000000001</v>
      </c>
      <c r="DP616" s="7">
        <v>0.8911</v>
      </c>
      <c r="DQ616" s="7">
        <v>0.89510000000000001</v>
      </c>
      <c r="DR616" s="7">
        <v>0.8992</v>
      </c>
      <c r="DS616" s="7">
        <v>0.9032</v>
      </c>
      <c r="DT616" s="7">
        <v>0.90720000000000001</v>
      </c>
      <c r="DU616" s="7">
        <v>0.9113</v>
      </c>
      <c r="DV616" s="7">
        <v>0.9153</v>
      </c>
      <c r="DW616" s="7">
        <v>0.91930000000000001</v>
      </c>
      <c r="DX616" s="7">
        <v>0.92330000000000001</v>
      </c>
      <c r="DY616" s="7">
        <v>0.92730000000000001</v>
      </c>
      <c r="DZ616" s="7">
        <v>0.93130000000000002</v>
      </c>
      <c r="EA616" s="7">
        <v>0.93530000000000002</v>
      </c>
      <c r="EB616" s="7">
        <v>0.93920000000000003</v>
      </c>
      <c r="EC616" s="7">
        <v>0.94320000000000004</v>
      </c>
      <c r="ED616" s="7">
        <v>0.94710000000000005</v>
      </c>
      <c r="EE616" s="7">
        <v>0.95099999999999996</v>
      </c>
      <c r="EF616" s="7">
        <v>0.95479999999999998</v>
      </c>
      <c r="EG616" s="7">
        <v>0.95860000000000001</v>
      </c>
      <c r="EH616" s="7">
        <v>0.96240000000000003</v>
      </c>
      <c r="EI616" s="7">
        <v>0.96619999999999995</v>
      </c>
      <c r="EJ616" s="7">
        <v>0.9698</v>
      </c>
      <c r="EK616" s="7">
        <v>0.97350000000000003</v>
      </c>
      <c r="EL616" s="7">
        <v>0.97709999999999997</v>
      </c>
      <c r="EM616" s="7">
        <v>0.98060000000000003</v>
      </c>
      <c r="EN616" s="7">
        <v>0.98399999999999999</v>
      </c>
      <c r="EO616" s="7">
        <v>0.98740000000000006</v>
      </c>
      <c r="EP616" s="7">
        <v>0.99070000000000003</v>
      </c>
      <c r="EQ616" s="7">
        <v>0.99390000000000001</v>
      </c>
      <c r="ER616" s="7">
        <v>0.997</v>
      </c>
      <c r="ES616" s="7">
        <v>1.0009999999999999</v>
      </c>
      <c r="ET616" s="7">
        <v>1.0009999999999999</v>
      </c>
      <c r="EU616" s="7">
        <v>1.0009999999999999</v>
      </c>
      <c r="EV616" s="7">
        <v>1.0009999999999999</v>
      </c>
      <c r="EW616" s="7">
        <v>1.0009999999999999</v>
      </c>
      <c r="EX616" s="7">
        <v>1.0009999999999999</v>
      </c>
      <c r="EY616" s="7">
        <v>1.0009999999999999</v>
      </c>
      <c r="EZ616" s="7">
        <v>1.0009999999999999</v>
      </c>
      <c r="FA616" s="7">
        <v>1.0009999999999999</v>
      </c>
      <c r="FB616" s="7">
        <v>1.0009999999999999</v>
      </c>
      <c r="FC616" s="7">
        <v>1.0009999999999999</v>
      </c>
      <c r="FE616" s="50">
        <f t="shared" ca="1" si="65"/>
        <v>0.92009902110737229</v>
      </c>
      <c r="FF616" s="50">
        <f t="shared" ca="1" si="66"/>
        <v>0.91757363024671579</v>
      </c>
      <c r="FG616" s="50">
        <f t="shared" ca="1" si="67"/>
        <v>0.91499664429530203</v>
      </c>
      <c r="FH616" s="50">
        <f t="shared" ca="1" si="68"/>
        <v>0.91231208053691271</v>
      </c>
      <c r="FI616" s="50"/>
      <c r="FK616" s="50">
        <f t="shared" ca="1" si="64"/>
        <v>0.91757363024671579</v>
      </c>
      <c r="FL616" s="50"/>
      <c r="FM616" s="50"/>
      <c r="FN616" s="50"/>
    </row>
    <row r="617" spans="49:170" hidden="1">
      <c r="AW617" s="112">
        <v>46.774000000000001</v>
      </c>
      <c r="AX617" s="7">
        <v>0.56610000000000005</v>
      </c>
      <c r="AY617" s="7">
        <v>0.57199999999999995</v>
      </c>
      <c r="AZ617" s="7">
        <v>0.57789999999999997</v>
      </c>
      <c r="BA617" s="7">
        <v>0.5837</v>
      </c>
      <c r="BB617" s="7">
        <v>0.58950000000000002</v>
      </c>
      <c r="BC617" s="7">
        <v>0.59519999999999995</v>
      </c>
      <c r="BD617" s="7">
        <v>0.60089999999999999</v>
      </c>
      <c r="BE617" s="7">
        <v>0.60650000000000004</v>
      </c>
      <c r="BF617" s="7">
        <v>0.61199999999999999</v>
      </c>
      <c r="BG617" s="7">
        <v>0.61750000000000005</v>
      </c>
      <c r="BH617" s="7">
        <v>0.62290000000000001</v>
      </c>
      <c r="BI617" s="7">
        <v>0.62829999999999997</v>
      </c>
      <c r="BJ617" s="7">
        <v>0.63360000000000005</v>
      </c>
      <c r="BK617" s="7">
        <v>0.63890000000000002</v>
      </c>
      <c r="BL617" s="7">
        <v>0.64419999999999999</v>
      </c>
      <c r="BM617" s="7">
        <v>0.64929999999999999</v>
      </c>
      <c r="BN617" s="7">
        <v>0.65449999999999997</v>
      </c>
      <c r="BO617" s="7">
        <v>0.65949999999999998</v>
      </c>
      <c r="BP617" s="7">
        <v>0.66459999999999997</v>
      </c>
      <c r="BQ617" s="7">
        <v>0.66959999999999997</v>
      </c>
      <c r="BR617" s="7">
        <v>0.67449999999999999</v>
      </c>
      <c r="BS617" s="7">
        <v>0.6794</v>
      </c>
      <c r="BT617" s="7">
        <v>0.68430000000000002</v>
      </c>
      <c r="BU617" s="7">
        <v>0.68910000000000005</v>
      </c>
      <c r="BV617" s="7">
        <v>0.69389999999999996</v>
      </c>
      <c r="BW617" s="7">
        <v>0.6986</v>
      </c>
      <c r="BX617" s="7">
        <v>0.70340000000000003</v>
      </c>
      <c r="BY617" s="7">
        <v>0.70799999999999996</v>
      </c>
      <c r="BZ617" s="7">
        <v>0.7127</v>
      </c>
      <c r="CA617" s="7">
        <v>0.71730000000000005</v>
      </c>
      <c r="CB617" s="7">
        <v>0.7218</v>
      </c>
      <c r="CC617" s="7">
        <v>0.72640000000000005</v>
      </c>
      <c r="CD617" s="7">
        <v>0.73089999999999999</v>
      </c>
      <c r="CE617" s="7">
        <v>0.73529999999999995</v>
      </c>
      <c r="CF617" s="7">
        <v>0.73980000000000001</v>
      </c>
      <c r="CG617" s="7">
        <v>0.74419999999999997</v>
      </c>
      <c r="CH617" s="7">
        <v>0.74860000000000004</v>
      </c>
      <c r="CI617" s="7">
        <v>0.75290000000000001</v>
      </c>
      <c r="CJ617" s="7">
        <v>0.75729999999999997</v>
      </c>
      <c r="CK617" s="7">
        <v>0.76160000000000005</v>
      </c>
      <c r="CL617" s="7">
        <v>0.76590000000000003</v>
      </c>
      <c r="CM617" s="7">
        <v>0.77010000000000001</v>
      </c>
      <c r="CN617" s="7">
        <v>0.77439999999999998</v>
      </c>
      <c r="CO617" s="7">
        <v>0.77859999999999996</v>
      </c>
      <c r="CP617" s="7">
        <v>0.78280000000000005</v>
      </c>
      <c r="CQ617" s="7">
        <v>0.78700000000000003</v>
      </c>
      <c r="CR617" s="7">
        <v>0.79120000000000001</v>
      </c>
      <c r="CS617" s="7">
        <v>0.79530000000000001</v>
      </c>
      <c r="CT617" s="7">
        <v>0.79949999999999999</v>
      </c>
      <c r="CU617" s="7">
        <v>0.80359999999999998</v>
      </c>
      <c r="CV617" s="7">
        <v>0.80769999999999997</v>
      </c>
      <c r="CW617" s="7">
        <v>0.81179999999999997</v>
      </c>
      <c r="CX617" s="7">
        <v>0.81589999999999996</v>
      </c>
      <c r="CY617" s="7">
        <v>0.82</v>
      </c>
      <c r="CZ617" s="7">
        <v>0.82410000000000005</v>
      </c>
      <c r="DA617" s="7">
        <v>0.82809999999999995</v>
      </c>
      <c r="DB617" s="7">
        <v>0.83220000000000005</v>
      </c>
      <c r="DC617" s="7">
        <v>0.83620000000000005</v>
      </c>
      <c r="DD617" s="7">
        <v>0.84030000000000005</v>
      </c>
      <c r="DE617" s="7">
        <v>0.84430000000000005</v>
      </c>
      <c r="DF617" s="7">
        <v>0.84840000000000004</v>
      </c>
      <c r="DG617" s="7">
        <v>0.85240000000000005</v>
      </c>
      <c r="DH617" s="7">
        <v>0.85640000000000005</v>
      </c>
      <c r="DI617" s="7">
        <v>0.86050000000000004</v>
      </c>
      <c r="DJ617" s="7">
        <v>0.86450000000000005</v>
      </c>
      <c r="DK617" s="7">
        <v>0.86850000000000005</v>
      </c>
      <c r="DL617" s="7">
        <v>0.87260000000000004</v>
      </c>
      <c r="DM617" s="7">
        <v>0.87660000000000005</v>
      </c>
      <c r="DN617" s="7">
        <v>0.88060000000000005</v>
      </c>
      <c r="DO617" s="7">
        <v>0.88470000000000004</v>
      </c>
      <c r="DP617" s="7">
        <v>0.88870000000000005</v>
      </c>
      <c r="DQ617" s="7">
        <v>0.89270000000000005</v>
      </c>
      <c r="DR617" s="7">
        <v>0.89670000000000005</v>
      </c>
      <c r="DS617" s="7">
        <v>0.90080000000000005</v>
      </c>
      <c r="DT617" s="7">
        <v>0.90480000000000005</v>
      </c>
      <c r="DU617" s="7">
        <v>0.90880000000000005</v>
      </c>
      <c r="DV617" s="7">
        <v>0.91279999999999994</v>
      </c>
      <c r="DW617" s="7">
        <v>0.91679999999999995</v>
      </c>
      <c r="DX617" s="7">
        <v>0.92079999999999995</v>
      </c>
      <c r="DY617" s="7">
        <v>0.92479999999999996</v>
      </c>
      <c r="DZ617" s="7">
        <v>0.92879999999999996</v>
      </c>
      <c r="EA617" s="7">
        <v>0.93279999999999996</v>
      </c>
      <c r="EB617" s="7">
        <v>0.93669999999999998</v>
      </c>
      <c r="EC617" s="7">
        <v>0.94059999999999999</v>
      </c>
      <c r="ED617" s="7">
        <v>0.94450000000000001</v>
      </c>
      <c r="EE617" s="7">
        <v>0.94840000000000002</v>
      </c>
      <c r="EF617" s="7">
        <v>0.95230000000000004</v>
      </c>
      <c r="EG617" s="7">
        <v>0.95609999999999995</v>
      </c>
      <c r="EH617" s="7">
        <v>0.95979999999999999</v>
      </c>
      <c r="EI617" s="7">
        <v>0.96360000000000001</v>
      </c>
      <c r="EJ617" s="7">
        <v>0.96719999999999995</v>
      </c>
      <c r="EK617" s="7">
        <v>0.97089999999999999</v>
      </c>
      <c r="EL617" s="7">
        <v>0.97440000000000004</v>
      </c>
      <c r="EM617" s="7">
        <v>0.97789999999999999</v>
      </c>
      <c r="EN617" s="7">
        <v>0.98140000000000005</v>
      </c>
      <c r="EO617" s="7">
        <v>0.98470000000000002</v>
      </c>
      <c r="EP617" s="7">
        <v>0.98799999999999999</v>
      </c>
      <c r="EQ617" s="7">
        <v>0.99119999999999997</v>
      </c>
      <c r="ER617" s="7">
        <v>0.99429999999999996</v>
      </c>
      <c r="ES617" s="7">
        <v>0.99739999999999995</v>
      </c>
      <c r="ET617" s="7">
        <v>1.0009999999999999</v>
      </c>
      <c r="EU617" s="7">
        <v>1.0009999999999999</v>
      </c>
      <c r="EV617" s="7">
        <v>1.0009999999999999</v>
      </c>
      <c r="EW617" s="7">
        <v>1.0009999999999999</v>
      </c>
      <c r="EX617" s="7">
        <v>1.0009999999999999</v>
      </c>
      <c r="EY617" s="7">
        <v>1.0009999999999999</v>
      </c>
      <c r="EZ617" s="7">
        <v>1.0009999999999999</v>
      </c>
      <c r="FA617" s="7">
        <v>1.0009999999999999</v>
      </c>
      <c r="FB617" s="7">
        <v>1.0009999999999999</v>
      </c>
      <c r="FC617" s="7">
        <v>1.0009999999999999</v>
      </c>
      <c r="FE617" s="50">
        <f t="shared" ca="1" si="65"/>
        <v>0.91759902110737224</v>
      </c>
      <c r="FF617" s="50">
        <f t="shared" ca="1" si="66"/>
        <v>0.91507363024671573</v>
      </c>
      <c r="FG617" s="50">
        <f t="shared" ca="1" si="67"/>
        <v>0.91249664429530208</v>
      </c>
      <c r="FH617" s="50">
        <f t="shared" ca="1" si="68"/>
        <v>0.90981208053691287</v>
      </c>
      <c r="FI617" s="50"/>
      <c r="FK617" s="50">
        <f t="shared" ca="1" si="64"/>
        <v>0.91507363024671573</v>
      </c>
      <c r="FL617" s="50"/>
      <c r="FM617" s="50"/>
      <c r="FN617" s="50"/>
    </row>
    <row r="618" spans="49:170" hidden="1">
      <c r="AW618" s="112">
        <v>50.119</v>
      </c>
      <c r="AX618" s="7">
        <v>0.56459999999999999</v>
      </c>
      <c r="AY618" s="7">
        <v>0.57050000000000001</v>
      </c>
      <c r="AZ618" s="7">
        <v>0.57640000000000002</v>
      </c>
      <c r="BA618" s="7">
        <v>0.58220000000000005</v>
      </c>
      <c r="BB618" s="7">
        <v>0.58799999999999997</v>
      </c>
      <c r="BC618" s="7">
        <v>0.59360000000000002</v>
      </c>
      <c r="BD618" s="7">
        <v>0.59930000000000005</v>
      </c>
      <c r="BE618" s="7">
        <v>0.60489999999999999</v>
      </c>
      <c r="BF618" s="7">
        <v>0.61040000000000005</v>
      </c>
      <c r="BG618" s="7">
        <v>0.6159</v>
      </c>
      <c r="BH618" s="7">
        <v>0.62129999999999996</v>
      </c>
      <c r="BI618" s="7">
        <v>0.62670000000000003</v>
      </c>
      <c r="BJ618" s="7">
        <v>0.63200000000000001</v>
      </c>
      <c r="BK618" s="7">
        <v>0.63719999999999999</v>
      </c>
      <c r="BL618" s="7">
        <v>0.64239999999999997</v>
      </c>
      <c r="BM618" s="7">
        <v>0.64759999999999995</v>
      </c>
      <c r="BN618" s="7">
        <v>0.65269999999999995</v>
      </c>
      <c r="BO618" s="7">
        <v>0.65780000000000005</v>
      </c>
      <c r="BP618" s="7">
        <v>0.66279999999999994</v>
      </c>
      <c r="BQ618" s="7">
        <v>0.66779999999999995</v>
      </c>
      <c r="BR618" s="7">
        <v>0.67269999999999996</v>
      </c>
      <c r="BS618" s="7">
        <v>0.67759999999999998</v>
      </c>
      <c r="BT618" s="7">
        <v>0.6825</v>
      </c>
      <c r="BU618" s="7">
        <v>0.68730000000000002</v>
      </c>
      <c r="BV618" s="7">
        <v>0.69210000000000005</v>
      </c>
      <c r="BW618" s="7">
        <v>0.69679999999999997</v>
      </c>
      <c r="BX618" s="7">
        <v>0.70150000000000001</v>
      </c>
      <c r="BY618" s="7">
        <v>0.70620000000000005</v>
      </c>
      <c r="BZ618" s="7">
        <v>0.71079999999999999</v>
      </c>
      <c r="CA618" s="7">
        <v>0.71540000000000004</v>
      </c>
      <c r="CB618" s="7">
        <v>0.71989999999999998</v>
      </c>
      <c r="CC618" s="7">
        <v>0.72440000000000004</v>
      </c>
      <c r="CD618" s="7">
        <v>0.72889999999999999</v>
      </c>
      <c r="CE618" s="7">
        <v>0.73340000000000005</v>
      </c>
      <c r="CF618" s="7">
        <v>0.73780000000000001</v>
      </c>
      <c r="CG618" s="7">
        <v>0.74219999999999997</v>
      </c>
      <c r="CH618" s="7">
        <v>0.74660000000000004</v>
      </c>
      <c r="CI618" s="7">
        <v>0.75090000000000001</v>
      </c>
      <c r="CJ618" s="7">
        <v>0.75529999999999997</v>
      </c>
      <c r="CK618" s="7">
        <v>0.75960000000000005</v>
      </c>
      <c r="CL618" s="7">
        <v>0.76380000000000003</v>
      </c>
      <c r="CM618" s="7">
        <v>0.7681</v>
      </c>
      <c r="CN618" s="7">
        <v>0.77229999999999999</v>
      </c>
      <c r="CO618" s="7">
        <v>0.77649999999999997</v>
      </c>
      <c r="CP618" s="7">
        <v>0.78069999999999995</v>
      </c>
      <c r="CQ618" s="7">
        <v>0.78490000000000004</v>
      </c>
      <c r="CR618" s="7">
        <v>0.78910000000000002</v>
      </c>
      <c r="CS618" s="7">
        <v>0.79320000000000002</v>
      </c>
      <c r="CT618" s="7">
        <v>0.79730000000000001</v>
      </c>
      <c r="CU618" s="7">
        <v>0.80149999999999999</v>
      </c>
      <c r="CV618" s="7">
        <v>0.80559999999999998</v>
      </c>
      <c r="CW618" s="7">
        <v>0.80969999999999998</v>
      </c>
      <c r="CX618" s="7">
        <v>0.81369999999999998</v>
      </c>
      <c r="CY618" s="7">
        <v>0.81779999999999997</v>
      </c>
      <c r="CZ618" s="7">
        <v>0.82189999999999996</v>
      </c>
      <c r="DA618" s="7">
        <v>0.82589999999999997</v>
      </c>
      <c r="DB618" s="7">
        <v>0.83</v>
      </c>
      <c r="DC618" s="7">
        <v>0.83399999999999996</v>
      </c>
      <c r="DD618" s="7">
        <v>0.83809999999999996</v>
      </c>
      <c r="DE618" s="7">
        <v>0.84209999999999996</v>
      </c>
      <c r="DF618" s="7">
        <v>0.84609999999999996</v>
      </c>
      <c r="DG618" s="7">
        <v>0.85009999999999997</v>
      </c>
      <c r="DH618" s="7">
        <v>0.85419999999999996</v>
      </c>
      <c r="DI618" s="7">
        <v>0.85819999999999996</v>
      </c>
      <c r="DJ618" s="7">
        <v>0.86219999999999997</v>
      </c>
      <c r="DK618" s="7">
        <v>0.86619999999999997</v>
      </c>
      <c r="DL618" s="7">
        <v>0.87029999999999996</v>
      </c>
      <c r="DM618" s="7">
        <v>0.87429999999999997</v>
      </c>
      <c r="DN618" s="7">
        <v>0.87829999999999997</v>
      </c>
      <c r="DO618" s="7">
        <v>0.88229999999999997</v>
      </c>
      <c r="DP618" s="7">
        <v>0.88629999999999998</v>
      </c>
      <c r="DQ618" s="7">
        <v>0.89039999999999997</v>
      </c>
      <c r="DR618" s="7">
        <v>0.89439999999999997</v>
      </c>
      <c r="DS618" s="7">
        <v>0.89839999999999998</v>
      </c>
      <c r="DT618" s="7">
        <v>0.90239999999999998</v>
      </c>
      <c r="DU618" s="7">
        <v>0.90639999999999998</v>
      </c>
      <c r="DV618" s="7">
        <v>0.91039999999999999</v>
      </c>
      <c r="DW618" s="7">
        <v>0.91439999999999999</v>
      </c>
      <c r="DX618" s="7">
        <v>0.91839999999999999</v>
      </c>
      <c r="DY618" s="7">
        <v>0.9224</v>
      </c>
      <c r="DZ618" s="7">
        <v>0.92630000000000001</v>
      </c>
      <c r="EA618" s="7">
        <v>0.93030000000000002</v>
      </c>
      <c r="EB618" s="7">
        <v>0.93420000000000003</v>
      </c>
      <c r="EC618" s="7">
        <v>0.93810000000000004</v>
      </c>
      <c r="ED618" s="7">
        <v>0.94199999999999995</v>
      </c>
      <c r="EE618" s="7">
        <v>0.94589999999999996</v>
      </c>
      <c r="EF618" s="7">
        <v>0.94969999999999999</v>
      </c>
      <c r="EG618" s="7">
        <v>0.95350000000000001</v>
      </c>
      <c r="EH618" s="7">
        <v>0.95730000000000004</v>
      </c>
      <c r="EI618" s="7">
        <v>0.96099999999999997</v>
      </c>
      <c r="EJ618" s="7">
        <v>0.9647</v>
      </c>
      <c r="EK618" s="7">
        <v>0.96830000000000005</v>
      </c>
      <c r="EL618" s="7">
        <v>0.97189999999999999</v>
      </c>
      <c r="EM618" s="7">
        <v>0.97540000000000004</v>
      </c>
      <c r="EN618" s="7">
        <v>0.9788</v>
      </c>
      <c r="EO618" s="7">
        <v>0.98209999999999997</v>
      </c>
      <c r="EP618" s="7">
        <v>0.98540000000000005</v>
      </c>
      <c r="EQ618" s="7">
        <v>0.98860000000000003</v>
      </c>
      <c r="ER618" s="7">
        <v>0.99170000000000003</v>
      </c>
      <c r="ES618" s="7">
        <v>0.99470000000000003</v>
      </c>
      <c r="ET618" s="7">
        <v>0.99760000000000004</v>
      </c>
      <c r="EU618" s="7">
        <v>1.0009999999999999</v>
      </c>
      <c r="EV618" s="7">
        <v>1.0009999999999999</v>
      </c>
      <c r="EW618" s="7">
        <v>1.0009999999999999</v>
      </c>
      <c r="EX618" s="7">
        <v>1.0009999999999999</v>
      </c>
      <c r="EY618" s="7">
        <v>1.0009999999999999</v>
      </c>
      <c r="EZ618" s="7">
        <v>1.0009999999999999</v>
      </c>
      <c r="FA618" s="7">
        <v>1.0009999999999999</v>
      </c>
      <c r="FB618" s="7">
        <v>1.0009999999999999</v>
      </c>
      <c r="FC618" s="7">
        <v>1.0009999999999999</v>
      </c>
      <c r="FE618" s="50">
        <f t="shared" ca="1" si="65"/>
        <v>0.91519902110737228</v>
      </c>
      <c r="FF618" s="50">
        <f t="shared" ca="1" si="66"/>
        <v>0.91267363024671577</v>
      </c>
      <c r="FG618" s="50">
        <f t="shared" ca="1" si="67"/>
        <v>0.91009664429530202</v>
      </c>
      <c r="FH618" s="50">
        <f t="shared" ca="1" si="68"/>
        <v>0.90741208053691269</v>
      </c>
      <c r="FI618" s="50"/>
      <c r="FK618" s="50">
        <f t="shared" ca="1" si="64"/>
        <v>0.91267363024671577</v>
      </c>
      <c r="FL618" s="50"/>
      <c r="FM618" s="50"/>
      <c r="FN618" s="50"/>
    </row>
    <row r="619" spans="49:170" hidden="1">
      <c r="AW619" s="112">
        <v>53.703000000000003</v>
      </c>
      <c r="AX619" s="7">
        <v>0.56310000000000004</v>
      </c>
      <c r="AY619" s="7">
        <v>0.56899999999999995</v>
      </c>
      <c r="AZ619" s="7">
        <v>0.57489999999999997</v>
      </c>
      <c r="BA619" s="7">
        <v>0.58069999999999999</v>
      </c>
      <c r="BB619" s="7">
        <v>0.58640000000000003</v>
      </c>
      <c r="BC619" s="7">
        <v>0.59209999999999996</v>
      </c>
      <c r="BD619" s="7">
        <v>0.59770000000000001</v>
      </c>
      <c r="BE619" s="7">
        <v>0.60329999999999995</v>
      </c>
      <c r="BF619" s="7">
        <v>0.60880000000000001</v>
      </c>
      <c r="BG619" s="7">
        <v>0.61429999999999996</v>
      </c>
      <c r="BH619" s="7">
        <v>0.61970000000000003</v>
      </c>
      <c r="BI619" s="7">
        <v>0.625</v>
      </c>
      <c r="BJ619" s="7">
        <v>0.63029999999999997</v>
      </c>
      <c r="BK619" s="7">
        <v>0.63560000000000005</v>
      </c>
      <c r="BL619" s="7">
        <v>0.64080000000000004</v>
      </c>
      <c r="BM619" s="7">
        <v>0.64590000000000003</v>
      </c>
      <c r="BN619" s="7">
        <v>0.65100000000000002</v>
      </c>
      <c r="BO619" s="7">
        <v>0.65610000000000002</v>
      </c>
      <c r="BP619" s="7">
        <v>0.66110000000000002</v>
      </c>
      <c r="BQ619" s="7">
        <v>0.66600000000000004</v>
      </c>
      <c r="BR619" s="7">
        <v>0.67100000000000004</v>
      </c>
      <c r="BS619" s="7">
        <v>0.67589999999999995</v>
      </c>
      <c r="BT619" s="7">
        <v>0.68069999999999997</v>
      </c>
      <c r="BU619" s="7">
        <v>0.6855</v>
      </c>
      <c r="BV619" s="7">
        <v>0.69020000000000004</v>
      </c>
      <c r="BW619" s="7">
        <v>0.69499999999999995</v>
      </c>
      <c r="BX619" s="7">
        <v>0.69969999999999999</v>
      </c>
      <c r="BY619" s="7">
        <v>0.70430000000000004</v>
      </c>
      <c r="BZ619" s="7">
        <v>0.70889999999999997</v>
      </c>
      <c r="CA619" s="7">
        <v>0.71350000000000002</v>
      </c>
      <c r="CB619" s="7">
        <v>0.71799999999999997</v>
      </c>
      <c r="CC619" s="7">
        <v>0.72250000000000003</v>
      </c>
      <c r="CD619" s="7">
        <v>0.72699999999999998</v>
      </c>
      <c r="CE619" s="7">
        <v>0.73150000000000004</v>
      </c>
      <c r="CF619" s="7">
        <v>0.7359</v>
      </c>
      <c r="CG619" s="7">
        <v>0.74029999999999996</v>
      </c>
      <c r="CH619" s="7">
        <v>0.74460000000000004</v>
      </c>
      <c r="CI619" s="7">
        <v>0.749</v>
      </c>
      <c r="CJ619" s="7">
        <v>0.75329999999999997</v>
      </c>
      <c r="CK619" s="7">
        <v>0.75760000000000005</v>
      </c>
      <c r="CL619" s="7">
        <v>0.76180000000000003</v>
      </c>
      <c r="CM619" s="7">
        <v>0.7661</v>
      </c>
      <c r="CN619" s="7">
        <v>0.77029999999999998</v>
      </c>
      <c r="CO619" s="7">
        <v>0.77449999999999997</v>
      </c>
      <c r="CP619" s="7">
        <v>0.77869999999999995</v>
      </c>
      <c r="CQ619" s="7">
        <v>0.78290000000000004</v>
      </c>
      <c r="CR619" s="7">
        <v>0.78700000000000003</v>
      </c>
      <c r="CS619" s="7">
        <v>0.79110000000000003</v>
      </c>
      <c r="CT619" s="7">
        <v>0.79530000000000001</v>
      </c>
      <c r="CU619" s="7">
        <v>0.7994</v>
      </c>
      <c r="CV619" s="7">
        <v>0.80349999999999999</v>
      </c>
      <c r="CW619" s="7">
        <v>0.8075</v>
      </c>
      <c r="CX619" s="7">
        <v>0.81159999999999999</v>
      </c>
      <c r="CY619" s="7">
        <v>0.81569999999999998</v>
      </c>
      <c r="CZ619" s="7">
        <v>0.81969999999999998</v>
      </c>
      <c r="DA619" s="7">
        <v>0.82379999999999998</v>
      </c>
      <c r="DB619" s="7">
        <v>0.82779999999999998</v>
      </c>
      <c r="DC619" s="7">
        <v>0.83179999999999998</v>
      </c>
      <c r="DD619" s="7">
        <v>0.83589999999999998</v>
      </c>
      <c r="DE619" s="7">
        <v>0.83989999999999998</v>
      </c>
      <c r="DF619" s="7">
        <v>0.84389999999999998</v>
      </c>
      <c r="DG619" s="7">
        <v>0.84789999999999999</v>
      </c>
      <c r="DH619" s="7">
        <v>0.85189999999999999</v>
      </c>
      <c r="DI619" s="7">
        <v>0.85589999999999999</v>
      </c>
      <c r="DJ619" s="7">
        <v>0.86</v>
      </c>
      <c r="DK619" s="7">
        <v>0.86399999999999999</v>
      </c>
      <c r="DL619" s="7">
        <v>0.86799999999999999</v>
      </c>
      <c r="DM619" s="7">
        <v>0.872</v>
      </c>
      <c r="DN619" s="7">
        <v>0.876</v>
      </c>
      <c r="DO619" s="7">
        <v>0.88</v>
      </c>
      <c r="DP619" s="7">
        <v>0.88400000000000001</v>
      </c>
      <c r="DQ619" s="7">
        <v>0.88800000000000001</v>
      </c>
      <c r="DR619" s="7">
        <v>0.89200000000000002</v>
      </c>
      <c r="DS619" s="7">
        <v>0.89600000000000002</v>
      </c>
      <c r="DT619" s="7">
        <v>0.9</v>
      </c>
      <c r="DU619" s="7">
        <v>0.90400000000000003</v>
      </c>
      <c r="DV619" s="7">
        <v>0.90800000000000003</v>
      </c>
      <c r="DW619" s="7">
        <v>0.91200000000000003</v>
      </c>
      <c r="DX619" s="7">
        <v>0.91600000000000004</v>
      </c>
      <c r="DY619" s="7">
        <v>0.92</v>
      </c>
      <c r="DZ619" s="7">
        <v>0.92390000000000005</v>
      </c>
      <c r="EA619" s="7">
        <v>0.92789999999999995</v>
      </c>
      <c r="EB619" s="7">
        <v>0.93179999999999996</v>
      </c>
      <c r="EC619" s="7">
        <v>0.93569999999999998</v>
      </c>
      <c r="ED619" s="7">
        <v>0.93959999999999999</v>
      </c>
      <c r="EE619" s="7">
        <v>0.94340000000000002</v>
      </c>
      <c r="EF619" s="7">
        <v>0.94720000000000004</v>
      </c>
      <c r="EG619" s="7">
        <v>0.95099999999999996</v>
      </c>
      <c r="EH619" s="7">
        <v>0.95479999999999998</v>
      </c>
      <c r="EI619" s="7">
        <v>0.95850000000000002</v>
      </c>
      <c r="EJ619" s="7">
        <v>0.96209999999999996</v>
      </c>
      <c r="EK619" s="7">
        <v>0.96579999999999999</v>
      </c>
      <c r="EL619" s="7">
        <v>0.96930000000000005</v>
      </c>
      <c r="EM619" s="7">
        <v>0.9728</v>
      </c>
      <c r="EN619" s="7">
        <v>0.97619999999999996</v>
      </c>
      <c r="EO619" s="7">
        <v>0.97960000000000003</v>
      </c>
      <c r="EP619" s="7">
        <v>0.98280000000000001</v>
      </c>
      <c r="EQ619" s="7">
        <v>0.98599999999999999</v>
      </c>
      <c r="ER619" s="7">
        <v>0.98909999999999998</v>
      </c>
      <c r="ES619" s="7">
        <v>0.99209999999999998</v>
      </c>
      <c r="ET619" s="7">
        <v>0.995</v>
      </c>
      <c r="EU619" s="7">
        <v>0.99780000000000002</v>
      </c>
      <c r="EV619" s="7">
        <v>1.0009999999999999</v>
      </c>
      <c r="EW619" s="7">
        <v>1.0009999999999999</v>
      </c>
      <c r="EX619" s="7">
        <v>1.0009999999999999</v>
      </c>
      <c r="EY619" s="7">
        <v>1.0009999999999999</v>
      </c>
      <c r="EZ619" s="7">
        <v>1.0009999999999999</v>
      </c>
      <c r="FA619" s="7">
        <v>1.0009999999999999</v>
      </c>
      <c r="FB619" s="7">
        <v>1.0009999999999999</v>
      </c>
      <c r="FC619" s="7">
        <v>1.0009999999999999</v>
      </c>
      <c r="FE619" s="50">
        <f t="shared" ca="1" si="65"/>
        <v>0.91279902110737232</v>
      </c>
      <c r="FF619" s="50">
        <f t="shared" ca="1" si="66"/>
        <v>0.91027363024671581</v>
      </c>
      <c r="FG619" s="50">
        <f t="shared" ca="1" si="67"/>
        <v>0.90769664429530206</v>
      </c>
      <c r="FH619" s="50">
        <f t="shared" ca="1" si="68"/>
        <v>0.90501208053691273</v>
      </c>
      <c r="FI619" s="50"/>
      <c r="FK619" s="50">
        <f t="shared" ca="1" si="64"/>
        <v>0.91027363024671581</v>
      </c>
      <c r="FL619" s="50"/>
      <c r="FM619" s="50"/>
      <c r="FN619" s="50"/>
    </row>
    <row r="620" spans="49:170" hidden="1">
      <c r="AW620" s="112">
        <v>57.543999999999997</v>
      </c>
      <c r="AX620" s="7">
        <v>0.56159999999999999</v>
      </c>
      <c r="AY620" s="7">
        <v>0.5675</v>
      </c>
      <c r="AZ620" s="7">
        <v>0.57340000000000002</v>
      </c>
      <c r="BA620" s="7">
        <v>0.57920000000000005</v>
      </c>
      <c r="BB620" s="7">
        <v>0.58489999999999998</v>
      </c>
      <c r="BC620" s="7">
        <v>0.59060000000000001</v>
      </c>
      <c r="BD620" s="7">
        <v>0.59619999999999995</v>
      </c>
      <c r="BE620" s="7">
        <v>0.60170000000000001</v>
      </c>
      <c r="BF620" s="7">
        <v>0.60719999999999996</v>
      </c>
      <c r="BG620" s="7">
        <v>0.61270000000000002</v>
      </c>
      <c r="BH620" s="7">
        <v>0.61809999999999998</v>
      </c>
      <c r="BI620" s="7">
        <v>0.62339999999999995</v>
      </c>
      <c r="BJ620" s="7">
        <v>0.62870000000000004</v>
      </c>
      <c r="BK620" s="7">
        <v>0.63390000000000002</v>
      </c>
      <c r="BL620" s="7">
        <v>0.6391</v>
      </c>
      <c r="BM620" s="7">
        <v>0.64419999999999999</v>
      </c>
      <c r="BN620" s="7">
        <v>0.64929999999999999</v>
      </c>
      <c r="BO620" s="7">
        <v>0.65439999999999998</v>
      </c>
      <c r="BP620" s="7">
        <v>0.65939999999999999</v>
      </c>
      <c r="BQ620" s="7">
        <v>0.6643</v>
      </c>
      <c r="BR620" s="7">
        <v>0.66920000000000002</v>
      </c>
      <c r="BS620" s="7">
        <v>0.67410000000000003</v>
      </c>
      <c r="BT620" s="7">
        <v>0.67889999999999995</v>
      </c>
      <c r="BU620" s="7">
        <v>0.68369999999999997</v>
      </c>
      <c r="BV620" s="7">
        <v>0.6885</v>
      </c>
      <c r="BW620" s="7">
        <v>0.69320000000000004</v>
      </c>
      <c r="BX620" s="7">
        <v>0.69779999999999998</v>
      </c>
      <c r="BY620" s="7">
        <v>0.70250000000000001</v>
      </c>
      <c r="BZ620" s="7">
        <v>0.70709999999999995</v>
      </c>
      <c r="CA620" s="7">
        <v>0.71160000000000001</v>
      </c>
      <c r="CB620" s="7">
        <v>0.71619999999999995</v>
      </c>
      <c r="CC620" s="7">
        <v>0.72070000000000001</v>
      </c>
      <c r="CD620" s="7">
        <v>0.72509999999999997</v>
      </c>
      <c r="CE620" s="7">
        <v>0.72960000000000003</v>
      </c>
      <c r="CF620" s="7">
        <v>0.73399999999999999</v>
      </c>
      <c r="CG620" s="7">
        <v>0.73839999999999995</v>
      </c>
      <c r="CH620" s="7">
        <v>0.74270000000000003</v>
      </c>
      <c r="CI620" s="7">
        <v>0.747</v>
      </c>
      <c r="CJ620" s="7">
        <v>0.75129999999999997</v>
      </c>
      <c r="CK620" s="7">
        <v>0.75560000000000005</v>
      </c>
      <c r="CL620" s="7">
        <v>0.75990000000000002</v>
      </c>
      <c r="CM620" s="7">
        <v>0.7641</v>
      </c>
      <c r="CN620" s="7">
        <v>0.76829999999999998</v>
      </c>
      <c r="CO620" s="7">
        <v>0.77249999999999996</v>
      </c>
      <c r="CP620" s="7">
        <v>0.77669999999999995</v>
      </c>
      <c r="CQ620" s="7">
        <v>0.78080000000000005</v>
      </c>
      <c r="CR620" s="7">
        <v>0.78500000000000003</v>
      </c>
      <c r="CS620" s="7">
        <v>0.78910000000000002</v>
      </c>
      <c r="CT620" s="7">
        <v>0.79320000000000002</v>
      </c>
      <c r="CU620" s="7">
        <v>0.79730000000000001</v>
      </c>
      <c r="CV620" s="7">
        <v>0.8014</v>
      </c>
      <c r="CW620" s="7">
        <v>0.8054</v>
      </c>
      <c r="CX620" s="7">
        <v>0.8095</v>
      </c>
      <c r="CY620" s="7">
        <v>0.81359999999999999</v>
      </c>
      <c r="CZ620" s="7">
        <v>0.81759999999999999</v>
      </c>
      <c r="DA620" s="7">
        <v>0.8216</v>
      </c>
      <c r="DB620" s="7">
        <v>0.82569999999999999</v>
      </c>
      <c r="DC620" s="7">
        <v>0.82969999999999999</v>
      </c>
      <c r="DD620" s="7">
        <v>0.8337</v>
      </c>
      <c r="DE620" s="7">
        <v>0.8377</v>
      </c>
      <c r="DF620" s="7">
        <v>0.8417</v>
      </c>
      <c r="DG620" s="7">
        <v>0.84570000000000001</v>
      </c>
      <c r="DH620" s="7">
        <v>0.84970000000000001</v>
      </c>
      <c r="DI620" s="7">
        <v>0.85370000000000001</v>
      </c>
      <c r="DJ620" s="7">
        <v>0.85770000000000002</v>
      </c>
      <c r="DK620" s="7">
        <v>0.86170000000000002</v>
      </c>
      <c r="DL620" s="7">
        <v>0.86570000000000003</v>
      </c>
      <c r="DM620" s="7">
        <v>0.86970000000000003</v>
      </c>
      <c r="DN620" s="7">
        <v>0.87370000000000003</v>
      </c>
      <c r="DO620" s="7">
        <v>0.87770000000000004</v>
      </c>
      <c r="DP620" s="7">
        <v>0.88170000000000004</v>
      </c>
      <c r="DQ620" s="7">
        <v>0.88570000000000004</v>
      </c>
      <c r="DR620" s="7">
        <v>0.88970000000000005</v>
      </c>
      <c r="DS620" s="7">
        <v>0.89370000000000005</v>
      </c>
      <c r="DT620" s="7">
        <v>0.89770000000000005</v>
      </c>
      <c r="DU620" s="7">
        <v>0.90169999999999995</v>
      </c>
      <c r="DV620" s="7">
        <v>0.90569999999999995</v>
      </c>
      <c r="DW620" s="7">
        <v>0.90959999999999996</v>
      </c>
      <c r="DX620" s="7">
        <v>0.91359999999999997</v>
      </c>
      <c r="DY620" s="7">
        <v>0.91759999999999997</v>
      </c>
      <c r="DZ620" s="7">
        <v>0.92149999999999999</v>
      </c>
      <c r="EA620" s="7">
        <v>0.9254</v>
      </c>
      <c r="EB620" s="7">
        <v>0.9294</v>
      </c>
      <c r="EC620" s="7">
        <v>0.93330000000000002</v>
      </c>
      <c r="ED620" s="7">
        <v>0.93710000000000004</v>
      </c>
      <c r="EE620" s="7">
        <v>0.94099999999999995</v>
      </c>
      <c r="EF620" s="7">
        <v>0.94479999999999997</v>
      </c>
      <c r="EG620" s="7">
        <v>0.9486</v>
      </c>
      <c r="EH620" s="7">
        <v>0.95230000000000004</v>
      </c>
      <c r="EI620" s="7">
        <v>0.95599999999999996</v>
      </c>
      <c r="EJ620" s="7">
        <v>0.9597</v>
      </c>
      <c r="EK620" s="7">
        <v>0.96330000000000005</v>
      </c>
      <c r="EL620" s="7">
        <v>0.96679999999999999</v>
      </c>
      <c r="EM620" s="7">
        <v>0.97030000000000005</v>
      </c>
      <c r="EN620" s="7">
        <v>0.97370000000000001</v>
      </c>
      <c r="EO620" s="7">
        <v>0.97699999999999998</v>
      </c>
      <c r="EP620" s="7">
        <v>0.98029999999999995</v>
      </c>
      <c r="EQ620" s="7">
        <v>0.98350000000000004</v>
      </c>
      <c r="ER620" s="7">
        <v>0.98650000000000004</v>
      </c>
      <c r="ES620" s="7">
        <v>0.98950000000000005</v>
      </c>
      <c r="ET620" s="7">
        <v>0.99239999999999995</v>
      </c>
      <c r="EU620" s="7">
        <v>0.99519999999999997</v>
      </c>
      <c r="EV620" s="7">
        <v>0.99790000000000001</v>
      </c>
      <c r="EW620" s="7">
        <v>1.0009999999999999</v>
      </c>
      <c r="EX620" s="7">
        <v>1.0009999999999999</v>
      </c>
      <c r="EY620" s="7">
        <v>1.0009999999999999</v>
      </c>
      <c r="EZ620" s="7">
        <v>1.0009999999999999</v>
      </c>
      <c r="FA620" s="7">
        <v>1.0009999999999999</v>
      </c>
      <c r="FB620" s="7">
        <v>1.0009999999999999</v>
      </c>
      <c r="FC620" s="7">
        <v>1.0009999999999999</v>
      </c>
      <c r="FE620" s="50">
        <f t="shared" ca="1" si="65"/>
        <v>0.91039902110737225</v>
      </c>
      <c r="FF620" s="50">
        <f t="shared" ca="1" si="66"/>
        <v>0.90791678949054788</v>
      </c>
      <c r="FG620" s="50">
        <f t="shared" ca="1" si="67"/>
        <v>0.90539664429530198</v>
      </c>
      <c r="FH620" s="50">
        <f t="shared" ca="1" si="68"/>
        <v>0.90271208053691265</v>
      </c>
      <c r="FI620" s="50"/>
      <c r="FK620" s="50">
        <f t="shared" ca="1" si="64"/>
        <v>0.90791678949054788</v>
      </c>
      <c r="FL620" s="50"/>
      <c r="FM620" s="50"/>
      <c r="FN620" s="50"/>
    </row>
    <row r="621" spans="49:170" hidden="1">
      <c r="AW621" s="112">
        <v>61.66</v>
      </c>
      <c r="AX621" s="7">
        <v>0.56020000000000003</v>
      </c>
      <c r="AY621" s="7">
        <v>0.56610000000000005</v>
      </c>
      <c r="AZ621" s="7">
        <v>0.57189999999999996</v>
      </c>
      <c r="BA621" s="7">
        <v>0.57769999999999999</v>
      </c>
      <c r="BB621" s="7">
        <v>0.58340000000000003</v>
      </c>
      <c r="BC621" s="7">
        <v>0.58899999999999997</v>
      </c>
      <c r="BD621" s="7">
        <v>0.59460000000000002</v>
      </c>
      <c r="BE621" s="7">
        <v>0.60019999999999996</v>
      </c>
      <c r="BF621" s="7">
        <v>0.60570000000000002</v>
      </c>
      <c r="BG621" s="7">
        <v>0.61109999999999998</v>
      </c>
      <c r="BH621" s="7">
        <v>0.61650000000000005</v>
      </c>
      <c r="BI621" s="7">
        <v>0.62180000000000002</v>
      </c>
      <c r="BJ621" s="7">
        <v>0.62709999999999999</v>
      </c>
      <c r="BK621" s="7">
        <v>0.63229999999999997</v>
      </c>
      <c r="BL621" s="7">
        <v>0.63749999999999996</v>
      </c>
      <c r="BM621" s="7">
        <v>0.64259999999999995</v>
      </c>
      <c r="BN621" s="7">
        <v>0.64770000000000005</v>
      </c>
      <c r="BO621" s="7">
        <v>0.65269999999999995</v>
      </c>
      <c r="BP621" s="7">
        <v>0.65769999999999995</v>
      </c>
      <c r="BQ621" s="7">
        <v>0.66259999999999997</v>
      </c>
      <c r="BR621" s="7">
        <v>0.66749999999999998</v>
      </c>
      <c r="BS621" s="7">
        <v>0.6724</v>
      </c>
      <c r="BT621" s="7">
        <v>0.67720000000000002</v>
      </c>
      <c r="BU621" s="7">
        <v>0.68200000000000005</v>
      </c>
      <c r="BV621" s="7">
        <v>0.68669999999999998</v>
      </c>
      <c r="BW621" s="7">
        <v>0.69140000000000001</v>
      </c>
      <c r="BX621" s="7">
        <v>0.69599999999999995</v>
      </c>
      <c r="BY621" s="7">
        <v>0.70069999999999999</v>
      </c>
      <c r="BZ621" s="7">
        <v>0.70530000000000004</v>
      </c>
      <c r="CA621" s="7">
        <v>0.70979999999999999</v>
      </c>
      <c r="CB621" s="7">
        <v>0.71430000000000005</v>
      </c>
      <c r="CC621" s="7">
        <v>0.71879999999999999</v>
      </c>
      <c r="CD621" s="7">
        <v>0.72330000000000005</v>
      </c>
      <c r="CE621" s="7">
        <v>0.72770000000000001</v>
      </c>
      <c r="CF621" s="7">
        <v>0.73209999999999997</v>
      </c>
      <c r="CG621" s="7">
        <v>0.73650000000000004</v>
      </c>
      <c r="CH621" s="7">
        <v>0.74080000000000001</v>
      </c>
      <c r="CI621" s="7">
        <v>0.74509999999999998</v>
      </c>
      <c r="CJ621" s="7">
        <v>0.74939999999999996</v>
      </c>
      <c r="CK621" s="7">
        <v>0.75370000000000004</v>
      </c>
      <c r="CL621" s="7">
        <v>0.75790000000000002</v>
      </c>
      <c r="CM621" s="7">
        <v>0.7621</v>
      </c>
      <c r="CN621" s="7">
        <v>0.76629999999999998</v>
      </c>
      <c r="CO621" s="7">
        <v>0.77049999999999996</v>
      </c>
      <c r="CP621" s="7">
        <v>0.77470000000000006</v>
      </c>
      <c r="CQ621" s="7">
        <v>0.77880000000000005</v>
      </c>
      <c r="CR621" s="7">
        <v>0.78300000000000003</v>
      </c>
      <c r="CS621" s="7">
        <v>0.78710000000000002</v>
      </c>
      <c r="CT621" s="7">
        <v>0.79120000000000001</v>
      </c>
      <c r="CU621" s="7">
        <v>0.79520000000000002</v>
      </c>
      <c r="CV621" s="7">
        <v>0.79930000000000001</v>
      </c>
      <c r="CW621" s="7">
        <v>0.8034</v>
      </c>
      <c r="CX621" s="7">
        <v>0.80740000000000001</v>
      </c>
      <c r="CY621" s="7">
        <v>0.8115</v>
      </c>
      <c r="CZ621" s="7">
        <v>0.8155</v>
      </c>
      <c r="DA621" s="7">
        <v>0.81950000000000001</v>
      </c>
      <c r="DB621" s="7">
        <v>0.82350000000000001</v>
      </c>
      <c r="DC621" s="7">
        <v>0.82750000000000001</v>
      </c>
      <c r="DD621" s="7">
        <v>0.83160000000000001</v>
      </c>
      <c r="DE621" s="7">
        <v>0.83560000000000001</v>
      </c>
      <c r="DF621" s="7">
        <v>0.83960000000000001</v>
      </c>
      <c r="DG621" s="7">
        <v>0.84350000000000003</v>
      </c>
      <c r="DH621" s="7">
        <v>0.84750000000000003</v>
      </c>
      <c r="DI621" s="7">
        <v>0.85150000000000003</v>
      </c>
      <c r="DJ621" s="7">
        <v>0.85550000000000004</v>
      </c>
      <c r="DK621" s="7">
        <v>0.85950000000000004</v>
      </c>
      <c r="DL621" s="7">
        <v>0.86350000000000005</v>
      </c>
      <c r="DM621" s="7">
        <v>0.86750000000000005</v>
      </c>
      <c r="DN621" s="7">
        <v>0.87150000000000005</v>
      </c>
      <c r="DO621" s="7">
        <v>0.87549999999999994</v>
      </c>
      <c r="DP621" s="7">
        <v>0.87949999999999995</v>
      </c>
      <c r="DQ621" s="7">
        <v>0.88339999999999996</v>
      </c>
      <c r="DR621" s="7">
        <v>0.88739999999999997</v>
      </c>
      <c r="DS621" s="7">
        <v>0.89139999999999997</v>
      </c>
      <c r="DT621" s="7">
        <v>0.89539999999999997</v>
      </c>
      <c r="DU621" s="7">
        <v>0.89939999999999998</v>
      </c>
      <c r="DV621" s="7">
        <v>0.90329999999999999</v>
      </c>
      <c r="DW621" s="7">
        <v>0.9073</v>
      </c>
      <c r="DX621" s="7">
        <v>0.9113</v>
      </c>
      <c r="DY621" s="7">
        <v>0.91520000000000001</v>
      </c>
      <c r="DZ621" s="7">
        <v>0.91920000000000002</v>
      </c>
      <c r="EA621" s="7">
        <v>0.92310000000000003</v>
      </c>
      <c r="EB621" s="7">
        <v>0.92700000000000005</v>
      </c>
      <c r="EC621" s="7">
        <v>0.93089999999999995</v>
      </c>
      <c r="ED621" s="7">
        <v>0.93469999999999998</v>
      </c>
      <c r="EE621" s="7">
        <v>0.93859999999999999</v>
      </c>
      <c r="EF621" s="7">
        <v>0.94240000000000002</v>
      </c>
      <c r="EG621" s="7">
        <v>0.94610000000000005</v>
      </c>
      <c r="EH621" s="7">
        <v>0.94989999999999997</v>
      </c>
      <c r="EI621" s="7">
        <v>0.9536</v>
      </c>
      <c r="EJ621" s="7">
        <v>0.95720000000000005</v>
      </c>
      <c r="EK621" s="7">
        <v>0.96079999999999999</v>
      </c>
      <c r="EL621" s="7">
        <v>0.96430000000000005</v>
      </c>
      <c r="EM621" s="7">
        <v>0.96779999999999999</v>
      </c>
      <c r="EN621" s="7">
        <v>0.97119999999999995</v>
      </c>
      <c r="EO621" s="7">
        <v>0.97450000000000003</v>
      </c>
      <c r="EP621" s="7">
        <v>0.9778</v>
      </c>
      <c r="EQ621" s="7">
        <v>0.98089999999999999</v>
      </c>
      <c r="ER621" s="7">
        <v>0.98399999999999999</v>
      </c>
      <c r="ES621" s="7">
        <v>0.98699999999999999</v>
      </c>
      <c r="ET621" s="7">
        <v>0.9899</v>
      </c>
      <c r="EU621" s="7">
        <v>0.99270000000000003</v>
      </c>
      <c r="EV621" s="7">
        <v>0.99539999999999995</v>
      </c>
      <c r="EW621" s="7">
        <v>0.99790000000000001</v>
      </c>
      <c r="EX621" s="7">
        <v>1.0009999999999999</v>
      </c>
      <c r="EY621" s="7">
        <v>1.0009999999999999</v>
      </c>
      <c r="EZ621" s="7">
        <v>1.0009999999999999</v>
      </c>
      <c r="FA621" s="7">
        <v>1.0009999999999999</v>
      </c>
      <c r="FB621" s="7">
        <v>1.0009999999999999</v>
      </c>
      <c r="FC621" s="7">
        <v>1.0009999999999999</v>
      </c>
      <c r="FE621" s="50">
        <f t="shared" ca="1" si="65"/>
        <v>0.90809902110737228</v>
      </c>
      <c r="FF621" s="50">
        <f t="shared" ca="1" si="66"/>
        <v>0.90557363024671578</v>
      </c>
      <c r="FG621" s="50">
        <f t="shared" ca="1" si="67"/>
        <v>0.90300422818791948</v>
      </c>
      <c r="FH621" s="50">
        <f t="shared" ca="1" si="68"/>
        <v>0.90038677852348992</v>
      </c>
      <c r="FI621" s="50"/>
      <c r="FK621" s="50">
        <f t="shared" ca="1" si="64"/>
        <v>0.90557363024671578</v>
      </c>
      <c r="FL621" s="50"/>
      <c r="FM621" s="50"/>
      <c r="FN621" s="50"/>
    </row>
    <row r="622" spans="49:170" hidden="1">
      <c r="AW622" s="112">
        <v>66.069000000000003</v>
      </c>
      <c r="AX622" s="7">
        <v>0.55879999999999996</v>
      </c>
      <c r="AY622" s="7">
        <v>0.56459999999999999</v>
      </c>
      <c r="AZ622" s="7">
        <v>0.57050000000000001</v>
      </c>
      <c r="BA622" s="7">
        <v>0.57620000000000005</v>
      </c>
      <c r="BB622" s="7">
        <v>0.58189999999999997</v>
      </c>
      <c r="BC622" s="7">
        <v>0.58750000000000002</v>
      </c>
      <c r="BD622" s="7">
        <v>0.59309999999999996</v>
      </c>
      <c r="BE622" s="7">
        <v>0.59870000000000001</v>
      </c>
      <c r="BF622" s="7">
        <v>0.60409999999999997</v>
      </c>
      <c r="BG622" s="7">
        <v>0.60950000000000004</v>
      </c>
      <c r="BH622" s="7">
        <v>0.6149</v>
      </c>
      <c r="BI622" s="7">
        <v>0.62019999999999997</v>
      </c>
      <c r="BJ622" s="7">
        <v>0.62549999999999994</v>
      </c>
      <c r="BK622" s="7">
        <v>0.63070000000000004</v>
      </c>
      <c r="BL622" s="7">
        <v>0.63580000000000003</v>
      </c>
      <c r="BM622" s="7">
        <v>0.64100000000000001</v>
      </c>
      <c r="BN622" s="7">
        <v>0.64600000000000002</v>
      </c>
      <c r="BO622" s="7">
        <v>0.65100000000000002</v>
      </c>
      <c r="BP622" s="7">
        <v>0.65600000000000003</v>
      </c>
      <c r="BQ622" s="7">
        <v>0.66090000000000004</v>
      </c>
      <c r="BR622" s="7">
        <v>0.66579999999999995</v>
      </c>
      <c r="BS622" s="7">
        <v>0.67069999999999996</v>
      </c>
      <c r="BT622" s="7">
        <v>0.67549999999999999</v>
      </c>
      <c r="BU622" s="7">
        <v>0.68020000000000003</v>
      </c>
      <c r="BV622" s="7">
        <v>0.68489999999999995</v>
      </c>
      <c r="BW622" s="7">
        <v>0.68959999999999999</v>
      </c>
      <c r="BX622" s="7">
        <v>0.69430000000000003</v>
      </c>
      <c r="BY622" s="7">
        <v>0.69889999999999997</v>
      </c>
      <c r="BZ622" s="7">
        <v>0.70350000000000001</v>
      </c>
      <c r="CA622" s="7">
        <v>0.70799999999999996</v>
      </c>
      <c r="CB622" s="7">
        <v>0.71250000000000002</v>
      </c>
      <c r="CC622" s="7">
        <v>0.71699999999999997</v>
      </c>
      <c r="CD622" s="7">
        <v>0.72140000000000004</v>
      </c>
      <c r="CE622" s="7">
        <v>0.72589999999999999</v>
      </c>
      <c r="CF622" s="7">
        <v>0.73019999999999996</v>
      </c>
      <c r="CG622" s="7">
        <v>0.73460000000000003</v>
      </c>
      <c r="CH622" s="7">
        <v>0.7389</v>
      </c>
      <c r="CI622" s="7">
        <v>0.74319999999999997</v>
      </c>
      <c r="CJ622" s="7">
        <v>0.74750000000000005</v>
      </c>
      <c r="CK622" s="7">
        <v>0.75180000000000002</v>
      </c>
      <c r="CL622" s="7">
        <v>0.75600000000000001</v>
      </c>
      <c r="CM622" s="7">
        <v>0.76019999999999999</v>
      </c>
      <c r="CN622" s="7">
        <v>0.76439999999999997</v>
      </c>
      <c r="CO622" s="7">
        <v>0.76859999999999995</v>
      </c>
      <c r="CP622" s="7">
        <v>0.77270000000000005</v>
      </c>
      <c r="CQ622" s="7">
        <v>0.77680000000000005</v>
      </c>
      <c r="CR622" s="7">
        <v>0.78100000000000003</v>
      </c>
      <c r="CS622" s="7">
        <v>0.78510000000000002</v>
      </c>
      <c r="CT622" s="7">
        <v>0.78920000000000001</v>
      </c>
      <c r="CU622" s="7">
        <v>0.79320000000000002</v>
      </c>
      <c r="CV622" s="7">
        <v>0.79730000000000001</v>
      </c>
      <c r="CW622" s="7">
        <v>0.80130000000000001</v>
      </c>
      <c r="CX622" s="7">
        <v>0.8054</v>
      </c>
      <c r="CY622" s="7">
        <v>0.80940000000000001</v>
      </c>
      <c r="CZ622" s="7">
        <v>0.81340000000000001</v>
      </c>
      <c r="DA622" s="7">
        <v>0.81740000000000002</v>
      </c>
      <c r="DB622" s="7">
        <v>0.82140000000000002</v>
      </c>
      <c r="DC622" s="7">
        <v>0.82540000000000002</v>
      </c>
      <c r="DD622" s="7">
        <v>0.82940000000000003</v>
      </c>
      <c r="DE622" s="7">
        <v>0.83340000000000003</v>
      </c>
      <c r="DF622" s="7">
        <v>0.83740000000000003</v>
      </c>
      <c r="DG622" s="7">
        <v>0.84140000000000004</v>
      </c>
      <c r="DH622" s="7">
        <v>0.84540000000000004</v>
      </c>
      <c r="DI622" s="7">
        <v>0.84940000000000004</v>
      </c>
      <c r="DJ622" s="7">
        <v>0.85340000000000005</v>
      </c>
      <c r="DK622" s="7">
        <v>0.85729999999999995</v>
      </c>
      <c r="DL622" s="7">
        <v>0.86129999999999995</v>
      </c>
      <c r="DM622" s="7">
        <v>0.86529999999999996</v>
      </c>
      <c r="DN622" s="7">
        <v>0.86929999999999996</v>
      </c>
      <c r="DO622" s="7">
        <v>0.87319999999999998</v>
      </c>
      <c r="DP622" s="7">
        <v>0.87719999999999998</v>
      </c>
      <c r="DQ622" s="7">
        <v>0.88119999999999998</v>
      </c>
      <c r="DR622" s="7">
        <v>0.88519999999999999</v>
      </c>
      <c r="DS622" s="7">
        <v>0.8891</v>
      </c>
      <c r="DT622" s="7">
        <v>0.8931</v>
      </c>
      <c r="DU622" s="7">
        <v>0.89710000000000001</v>
      </c>
      <c r="DV622" s="7">
        <v>0.90110000000000001</v>
      </c>
      <c r="DW622" s="7">
        <v>0.90500000000000003</v>
      </c>
      <c r="DX622" s="7">
        <v>0.90900000000000003</v>
      </c>
      <c r="DY622" s="7">
        <v>0.91290000000000004</v>
      </c>
      <c r="DZ622" s="7">
        <v>0.91679999999999995</v>
      </c>
      <c r="EA622" s="7">
        <v>0.92069999999999996</v>
      </c>
      <c r="EB622" s="7">
        <v>0.92459999999999998</v>
      </c>
      <c r="EC622" s="7">
        <v>0.92849999999999999</v>
      </c>
      <c r="ED622" s="7">
        <v>0.93240000000000001</v>
      </c>
      <c r="EE622" s="7">
        <v>0.93620000000000003</v>
      </c>
      <c r="EF622" s="7">
        <v>0.94</v>
      </c>
      <c r="EG622" s="7">
        <v>0.94369999999999998</v>
      </c>
      <c r="EH622" s="7">
        <v>0.94750000000000001</v>
      </c>
      <c r="EI622" s="7">
        <v>0.95109999999999995</v>
      </c>
      <c r="EJ622" s="7">
        <v>0.95479999999999998</v>
      </c>
      <c r="EK622" s="7">
        <v>0.95830000000000004</v>
      </c>
      <c r="EL622" s="7">
        <v>0.96189999999999998</v>
      </c>
      <c r="EM622" s="7">
        <v>0.96530000000000005</v>
      </c>
      <c r="EN622" s="7">
        <v>0.96870000000000001</v>
      </c>
      <c r="EO622" s="7">
        <v>0.97199999999999998</v>
      </c>
      <c r="EP622" s="7">
        <v>0.97529999999999994</v>
      </c>
      <c r="EQ622" s="7">
        <v>0.97840000000000005</v>
      </c>
      <c r="ER622" s="7">
        <v>0.98150000000000004</v>
      </c>
      <c r="ES622" s="7">
        <v>0.98450000000000004</v>
      </c>
      <c r="ET622" s="7">
        <v>0.98740000000000006</v>
      </c>
      <c r="EU622" s="7">
        <v>0.99019999999999997</v>
      </c>
      <c r="EV622" s="7">
        <v>0.99280000000000002</v>
      </c>
      <c r="EW622" s="7">
        <v>0.99539999999999995</v>
      </c>
      <c r="EX622" s="7">
        <v>0.99790000000000001</v>
      </c>
      <c r="EY622" s="7">
        <v>1.0009999999999999</v>
      </c>
      <c r="EZ622" s="7">
        <v>1.0009999999999999</v>
      </c>
      <c r="FA622" s="7">
        <v>1.0009999999999999</v>
      </c>
      <c r="FB622" s="7">
        <v>1.0009999999999999</v>
      </c>
      <c r="FC622" s="7">
        <v>1.0009999999999999</v>
      </c>
      <c r="FE622" s="50">
        <f t="shared" ca="1" si="65"/>
        <v>0.90579902110737232</v>
      </c>
      <c r="FF622" s="50">
        <f t="shared" ca="1" si="66"/>
        <v>0.90331678949054794</v>
      </c>
      <c r="FG622" s="50">
        <f t="shared" ca="1" si="67"/>
        <v>0.90079664429530204</v>
      </c>
      <c r="FH622" s="50">
        <f t="shared" ca="1" si="68"/>
        <v>0.89811208053691272</v>
      </c>
      <c r="FI622" s="50"/>
      <c r="FK622" s="50">
        <f t="shared" ca="1" si="64"/>
        <v>0.90331678949054794</v>
      </c>
      <c r="FL622" s="50"/>
      <c r="FM622" s="50"/>
      <c r="FN622" s="50"/>
    </row>
    <row r="623" spans="49:170" hidden="1">
      <c r="AW623" s="112">
        <v>70.795000000000002</v>
      </c>
      <c r="AX623" s="7">
        <v>0.55740000000000001</v>
      </c>
      <c r="AY623" s="7">
        <v>0.56320000000000003</v>
      </c>
      <c r="AZ623" s="7">
        <v>0.56899999999999995</v>
      </c>
      <c r="BA623" s="7">
        <v>0.57479999999999998</v>
      </c>
      <c r="BB623" s="7">
        <v>0.58040000000000003</v>
      </c>
      <c r="BC623" s="7">
        <v>0.58609999999999995</v>
      </c>
      <c r="BD623" s="7">
        <v>0.59160000000000001</v>
      </c>
      <c r="BE623" s="7">
        <v>0.59719999999999995</v>
      </c>
      <c r="BF623" s="7">
        <v>0.60260000000000002</v>
      </c>
      <c r="BG623" s="7">
        <v>0.60799999999999998</v>
      </c>
      <c r="BH623" s="7">
        <v>0.61339999999999995</v>
      </c>
      <c r="BI623" s="7">
        <v>0.61870000000000003</v>
      </c>
      <c r="BJ623" s="7">
        <v>0.62390000000000001</v>
      </c>
      <c r="BK623" s="7">
        <v>0.62909999999999999</v>
      </c>
      <c r="BL623" s="7">
        <v>0.63419999999999999</v>
      </c>
      <c r="BM623" s="7">
        <v>0.63929999999999998</v>
      </c>
      <c r="BN623" s="7">
        <v>0.64439999999999997</v>
      </c>
      <c r="BO623" s="7">
        <v>0.64939999999999998</v>
      </c>
      <c r="BP623" s="7">
        <v>0.65439999999999998</v>
      </c>
      <c r="BQ623" s="7">
        <v>0.6593</v>
      </c>
      <c r="BR623" s="7">
        <v>0.66410000000000002</v>
      </c>
      <c r="BS623" s="7">
        <v>0.66900000000000004</v>
      </c>
      <c r="BT623" s="7">
        <v>0.67379999999999995</v>
      </c>
      <c r="BU623" s="7">
        <v>0.67849999999999999</v>
      </c>
      <c r="BV623" s="7">
        <v>0.68320000000000003</v>
      </c>
      <c r="BW623" s="7">
        <v>0.68789999999999996</v>
      </c>
      <c r="BX623" s="7">
        <v>0.6925</v>
      </c>
      <c r="BY623" s="7">
        <v>0.69710000000000005</v>
      </c>
      <c r="BZ623" s="7">
        <v>0.70169999999999999</v>
      </c>
      <c r="CA623" s="7">
        <v>0.70620000000000005</v>
      </c>
      <c r="CB623" s="7">
        <v>0.7107</v>
      </c>
      <c r="CC623" s="7">
        <v>0.71519999999999995</v>
      </c>
      <c r="CD623" s="7">
        <v>0.71960000000000002</v>
      </c>
      <c r="CE623" s="7">
        <v>0.72399999999999998</v>
      </c>
      <c r="CF623" s="7">
        <v>0.72840000000000005</v>
      </c>
      <c r="CG623" s="7">
        <v>0.73270000000000002</v>
      </c>
      <c r="CH623" s="7">
        <v>0.73709999999999998</v>
      </c>
      <c r="CI623" s="7">
        <v>0.74139999999999995</v>
      </c>
      <c r="CJ623" s="7">
        <v>0.74560000000000004</v>
      </c>
      <c r="CK623" s="7">
        <v>0.74990000000000001</v>
      </c>
      <c r="CL623" s="7">
        <v>0.75409999999999999</v>
      </c>
      <c r="CM623" s="7">
        <v>0.75829999999999997</v>
      </c>
      <c r="CN623" s="7">
        <v>0.76249999999999996</v>
      </c>
      <c r="CO623" s="7">
        <v>0.76659999999999995</v>
      </c>
      <c r="CP623" s="7">
        <v>0.77080000000000004</v>
      </c>
      <c r="CQ623" s="7">
        <v>0.77490000000000003</v>
      </c>
      <c r="CR623" s="7">
        <v>0.77900000000000003</v>
      </c>
      <c r="CS623" s="7">
        <v>0.78310000000000002</v>
      </c>
      <c r="CT623" s="7">
        <v>0.78720000000000001</v>
      </c>
      <c r="CU623" s="7">
        <v>0.79120000000000001</v>
      </c>
      <c r="CV623" s="7">
        <v>0.79530000000000001</v>
      </c>
      <c r="CW623" s="7">
        <v>0.79930000000000001</v>
      </c>
      <c r="CX623" s="7">
        <v>0.8034</v>
      </c>
      <c r="CY623" s="7">
        <v>0.80740000000000001</v>
      </c>
      <c r="CZ623" s="7">
        <v>0.81140000000000001</v>
      </c>
      <c r="DA623" s="7">
        <v>0.81540000000000001</v>
      </c>
      <c r="DB623" s="7">
        <v>0.81940000000000002</v>
      </c>
      <c r="DC623" s="7">
        <v>0.82340000000000002</v>
      </c>
      <c r="DD623" s="7">
        <v>0.82740000000000002</v>
      </c>
      <c r="DE623" s="7">
        <v>0.83130000000000004</v>
      </c>
      <c r="DF623" s="7">
        <v>0.83530000000000004</v>
      </c>
      <c r="DG623" s="7">
        <v>0.83930000000000005</v>
      </c>
      <c r="DH623" s="7">
        <v>0.84330000000000005</v>
      </c>
      <c r="DI623" s="7">
        <v>0.84719999999999995</v>
      </c>
      <c r="DJ623" s="7">
        <v>0.85119999999999996</v>
      </c>
      <c r="DK623" s="7">
        <v>0.85519999999999996</v>
      </c>
      <c r="DL623" s="7">
        <v>0.85909999999999997</v>
      </c>
      <c r="DM623" s="7">
        <v>0.86309999999999998</v>
      </c>
      <c r="DN623" s="7">
        <v>0.86709999999999998</v>
      </c>
      <c r="DO623" s="7">
        <v>0.87109999999999999</v>
      </c>
      <c r="DP623" s="7">
        <v>0.875</v>
      </c>
      <c r="DQ623" s="7">
        <v>0.879</v>
      </c>
      <c r="DR623" s="7">
        <v>0.88300000000000001</v>
      </c>
      <c r="DS623" s="7">
        <v>0.88690000000000002</v>
      </c>
      <c r="DT623" s="7">
        <v>0.89090000000000003</v>
      </c>
      <c r="DU623" s="7">
        <v>0.89480000000000004</v>
      </c>
      <c r="DV623" s="7">
        <v>0.89880000000000004</v>
      </c>
      <c r="DW623" s="7">
        <v>0.90269999999999995</v>
      </c>
      <c r="DX623" s="7">
        <v>0.90669999999999995</v>
      </c>
      <c r="DY623" s="7">
        <v>0.91059999999999997</v>
      </c>
      <c r="DZ623" s="7">
        <v>0.91449999999999998</v>
      </c>
      <c r="EA623" s="7">
        <v>0.91839999999999999</v>
      </c>
      <c r="EB623" s="7">
        <v>0.92230000000000001</v>
      </c>
      <c r="EC623" s="7">
        <v>0.92620000000000002</v>
      </c>
      <c r="ED623" s="7">
        <v>0.93</v>
      </c>
      <c r="EE623" s="7">
        <v>0.93379999999999996</v>
      </c>
      <c r="EF623" s="7">
        <v>0.93759999999999999</v>
      </c>
      <c r="EG623" s="7">
        <v>0.94140000000000001</v>
      </c>
      <c r="EH623" s="7">
        <v>0.94510000000000005</v>
      </c>
      <c r="EI623" s="7">
        <v>0.94869999999999999</v>
      </c>
      <c r="EJ623" s="7">
        <v>0.95240000000000002</v>
      </c>
      <c r="EK623" s="7">
        <v>0.95589999999999997</v>
      </c>
      <c r="EL623" s="7">
        <v>0.95940000000000003</v>
      </c>
      <c r="EM623" s="7">
        <v>0.96289999999999998</v>
      </c>
      <c r="EN623" s="7">
        <v>0.96630000000000005</v>
      </c>
      <c r="EO623" s="7">
        <v>0.96960000000000002</v>
      </c>
      <c r="EP623" s="7">
        <v>0.9728</v>
      </c>
      <c r="EQ623" s="7">
        <v>0.97599999999999998</v>
      </c>
      <c r="ER623" s="7">
        <v>0.97899999999999998</v>
      </c>
      <c r="ES623" s="7">
        <v>0.98199999999999998</v>
      </c>
      <c r="ET623" s="7">
        <v>0.9849</v>
      </c>
      <c r="EU623" s="7">
        <v>0.98770000000000002</v>
      </c>
      <c r="EV623" s="7">
        <v>0.99029999999999996</v>
      </c>
      <c r="EW623" s="7">
        <v>0.9929</v>
      </c>
      <c r="EX623" s="7">
        <v>0.99539999999999995</v>
      </c>
      <c r="EY623" s="7">
        <v>0.99770000000000003</v>
      </c>
      <c r="EZ623" s="7">
        <v>0.99990000000000001</v>
      </c>
      <c r="FA623" s="7">
        <v>1.0009999999999999</v>
      </c>
      <c r="FB623" s="7">
        <v>1.0009999999999999</v>
      </c>
      <c r="FC623" s="7">
        <v>1.0009999999999999</v>
      </c>
      <c r="FE623" s="50">
        <f t="shared" ca="1" si="65"/>
        <v>0.90349902110737224</v>
      </c>
      <c r="FF623" s="50">
        <f t="shared" ca="1" si="66"/>
        <v>0.90101678949054786</v>
      </c>
      <c r="FG623" s="50">
        <f t="shared" ca="1" si="67"/>
        <v>0.89849664429530207</v>
      </c>
      <c r="FH623" s="50">
        <f t="shared" ca="1" si="68"/>
        <v>0.89581208053691275</v>
      </c>
      <c r="FI623" s="50"/>
      <c r="FK623" s="50">
        <f t="shared" ca="1" si="64"/>
        <v>0.90101678949054786</v>
      </c>
      <c r="FL623" s="50"/>
      <c r="FM623" s="50"/>
      <c r="FN623" s="50"/>
    </row>
    <row r="624" spans="49:170" hidden="1">
      <c r="AW624" s="112">
        <v>75.858000000000004</v>
      </c>
      <c r="AX624" s="7">
        <v>0.55600000000000005</v>
      </c>
      <c r="AY624" s="7">
        <v>0.56179999999999997</v>
      </c>
      <c r="AZ624" s="7">
        <v>0.56759999999999999</v>
      </c>
      <c r="BA624" s="7">
        <v>0.57330000000000003</v>
      </c>
      <c r="BB624" s="7">
        <v>0.57899999999999996</v>
      </c>
      <c r="BC624" s="7">
        <v>0.58460000000000001</v>
      </c>
      <c r="BD624" s="7">
        <v>0.59019999999999995</v>
      </c>
      <c r="BE624" s="7">
        <v>0.59570000000000001</v>
      </c>
      <c r="BF624" s="7">
        <v>0.60109999999999997</v>
      </c>
      <c r="BG624" s="7">
        <v>0.60650000000000004</v>
      </c>
      <c r="BH624" s="7">
        <v>0.61180000000000001</v>
      </c>
      <c r="BI624" s="7">
        <v>0.61709999999999998</v>
      </c>
      <c r="BJ624" s="7">
        <v>0.62239999999999995</v>
      </c>
      <c r="BK624" s="7">
        <v>0.62749999999999995</v>
      </c>
      <c r="BL624" s="7">
        <v>0.63270000000000004</v>
      </c>
      <c r="BM624" s="7">
        <v>0.63780000000000003</v>
      </c>
      <c r="BN624" s="7">
        <v>0.64280000000000004</v>
      </c>
      <c r="BO624" s="7">
        <v>0.64780000000000004</v>
      </c>
      <c r="BP624" s="7">
        <v>0.65269999999999995</v>
      </c>
      <c r="BQ624" s="7">
        <v>0.65759999999999996</v>
      </c>
      <c r="BR624" s="7">
        <v>0.66249999999999998</v>
      </c>
      <c r="BS624" s="7">
        <v>0.6673</v>
      </c>
      <c r="BT624" s="7">
        <v>0.67210000000000003</v>
      </c>
      <c r="BU624" s="7">
        <v>0.67679999999999996</v>
      </c>
      <c r="BV624" s="7">
        <v>0.68149999999999999</v>
      </c>
      <c r="BW624" s="7">
        <v>0.68620000000000003</v>
      </c>
      <c r="BX624" s="7">
        <v>0.69079999999999997</v>
      </c>
      <c r="BY624" s="7">
        <v>0.69540000000000002</v>
      </c>
      <c r="BZ624" s="7">
        <v>0.7</v>
      </c>
      <c r="CA624" s="7">
        <v>0.70450000000000002</v>
      </c>
      <c r="CB624" s="7">
        <v>0.70899999999999996</v>
      </c>
      <c r="CC624" s="7">
        <v>0.71340000000000003</v>
      </c>
      <c r="CD624" s="7">
        <v>0.71779999999999999</v>
      </c>
      <c r="CE624" s="7">
        <v>0.72219999999999995</v>
      </c>
      <c r="CF624" s="7">
        <v>0.72660000000000002</v>
      </c>
      <c r="CG624" s="7">
        <v>0.73089999999999999</v>
      </c>
      <c r="CH624" s="7">
        <v>0.73519999999999996</v>
      </c>
      <c r="CI624" s="7">
        <v>0.73950000000000005</v>
      </c>
      <c r="CJ624" s="7">
        <v>0.74380000000000002</v>
      </c>
      <c r="CK624" s="7">
        <v>0.748</v>
      </c>
      <c r="CL624" s="7">
        <v>0.75219999999999998</v>
      </c>
      <c r="CM624" s="7">
        <v>0.75639999999999996</v>
      </c>
      <c r="CN624" s="7">
        <v>0.76060000000000005</v>
      </c>
      <c r="CO624" s="7">
        <v>0.76470000000000005</v>
      </c>
      <c r="CP624" s="7">
        <v>0.76890000000000003</v>
      </c>
      <c r="CQ624" s="7">
        <v>0.77300000000000002</v>
      </c>
      <c r="CR624" s="7">
        <v>0.77710000000000001</v>
      </c>
      <c r="CS624" s="7">
        <v>0.78120000000000001</v>
      </c>
      <c r="CT624" s="7">
        <v>0.78520000000000001</v>
      </c>
      <c r="CU624" s="7">
        <v>0.7893</v>
      </c>
      <c r="CV624" s="7">
        <v>0.79330000000000001</v>
      </c>
      <c r="CW624" s="7">
        <v>0.79730000000000001</v>
      </c>
      <c r="CX624" s="7">
        <v>0.8014</v>
      </c>
      <c r="CY624" s="7">
        <v>0.8054</v>
      </c>
      <c r="CZ624" s="7">
        <v>0.80940000000000001</v>
      </c>
      <c r="DA624" s="7">
        <v>0.81340000000000001</v>
      </c>
      <c r="DB624" s="7">
        <v>0.81730000000000003</v>
      </c>
      <c r="DC624" s="7">
        <v>0.82130000000000003</v>
      </c>
      <c r="DD624" s="7">
        <v>0.82530000000000003</v>
      </c>
      <c r="DE624" s="7">
        <v>0.82930000000000004</v>
      </c>
      <c r="DF624" s="7">
        <v>0.83320000000000005</v>
      </c>
      <c r="DG624" s="7">
        <v>0.83720000000000006</v>
      </c>
      <c r="DH624" s="7">
        <v>0.84119999999999995</v>
      </c>
      <c r="DI624" s="7">
        <v>0.84509999999999996</v>
      </c>
      <c r="DJ624" s="7">
        <v>0.84909999999999997</v>
      </c>
      <c r="DK624" s="7">
        <v>0.85309999999999997</v>
      </c>
      <c r="DL624" s="7">
        <v>0.85699999999999998</v>
      </c>
      <c r="DM624" s="7">
        <v>0.86099999999999999</v>
      </c>
      <c r="DN624" s="7">
        <v>0.8649</v>
      </c>
      <c r="DO624" s="7">
        <v>0.86890000000000001</v>
      </c>
      <c r="DP624" s="7">
        <v>0.87280000000000002</v>
      </c>
      <c r="DQ624" s="7">
        <v>0.87680000000000002</v>
      </c>
      <c r="DR624" s="7">
        <v>0.88080000000000003</v>
      </c>
      <c r="DS624" s="7">
        <v>0.88470000000000004</v>
      </c>
      <c r="DT624" s="7">
        <v>0.88870000000000005</v>
      </c>
      <c r="DU624" s="7">
        <v>0.89259999999999995</v>
      </c>
      <c r="DV624" s="7">
        <v>0.89659999999999995</v>
      </c>
      <c r="DW624" s="7">
        <v>0.90049999999999997</v>
      </c>
      <c r="DX624" s="7">
        <v>0.90439999999999998</v>
      </c>
      <c r="DY624" s="7">
        <v>0.9083</v>
      </c>
      <c r="DZ624" s="7">
        <v>0.91220000000000001</v>
      </c>
      <c r="EA624" s="7">
        <v>0.91610000000000003</v>
      </c>
      <c r="EB624" s="7">
        <v>0.92</v>
      </c>
      <c r="EC624" s="7">
        <v>0.92390000000000005</v>
      </c>
      <c r="ED624" s="7">
        <v>0.92769999999999997</v>
      </c>
      <c r="EE624" s="7">
        <v>0.93149999999999999</v>
      </c>
      <c r="EF624" s="7">
        <v>0.93530000000000002</v>
      </c>
      <c r="EG624" s="7">
        <v>0.93899999999999995</v>
      </c>
      <c r="EH624" s="7">
        <v>0.94269999999999998</v>
      </c>
      <c r="EI624" s="7">
        <v>0.94640000000000002</v>
      </c>
      <c r="EJ624" s="7">
        <v>0.95</v>
      </c>
      <c r="EK624" s="7">
        <v>0.9536</v>
      </c>
      <c r="EL624" s="7">
        <v>0.95709999999999995</v>
      </c>
      <c r="EM624" s="7">
        <v>0.96050000000000002</v>
      </c>
      <c r="EN624" s="7">
        <v>0.96389999999999998</v>
      </c>
      <c r="EO624" s="7">
        <v>0.96719999999999995</v>
      </c>
      <c r="EP624" s="7">
        <v>0.97040000000000004</v>
      </c>
      <c r="EQ624" s="7">
        <v>0.97360000000000002</v>
      </c>
      <c r="ER624" s="7">
        <v>0.97660000000000002</v>
      </c>
      <c r="ES624" s="7">
        <v>0.97960000000000003</v>
      </c>
      <c r="ET624" s="7">
        <v>0.98250000000000004</v>
      </c>
      <c r="EU624" s="7">
        <v>0.98519999999999996</v>
      </c>
      <c r="EV624" s="7">
        <v>0.9879</v>
      </c>
      <c r="EW624" s="7">
        <v>0.99039999999999995</v>
      </c>
      <c r="EX624" s="7">
        <v>0.9929</v>
      </c>
      <c r="EY624" s="7">
        <v>0.99519999999999997</v>
      </c>
      <c r="EZ624" s="7">
        <v>0.99739999999999995</v>
      </c>
      <c r="FA624" s="7">
        <v>0.99950000000000006</v>
      </c>
      <c r="FB624" s="7">
        <v>1.0009999999999999</v>
      </c>
      <c r="FC624" s="7">
        <v>1.0009999999999999</v>
      </c>
      <c r="FE624" s="50">
        <f t="shared" ca="1" si="65"/>
        <v>0.90127904557968797</v>
      </c>
      <c r="FF624" s="50">
        <f t="shared" ca="1" si="66"/>
        <v>0.89881678949054788</v>
      </c>
      <c r="FG624" s="50">
        <f t="shared" ca="1" si="67"/>
        <v>0.89629664429530198</v>
      </c>
      <c r="FH624" s="50">
        <f t="shared" ca="1" si="68"/>
        <v>0.89361208053691266</v>
      </c>
      <c r="FI624" s="50"/>
      <c r="FK624" s="50">
        <f t="shared" ca="1" si="64"/>
        <v>0.89881678949054788</v>
      </c>
      <c r="FL624" s="50"/>
      <c r="FM624" s="50"/>
      <c r="FN624" s="50"/>
    </row>
    <row r="625" spans="49:170" hidden="1">
      <c r="AW625" s="112">
        <v>81.283000000000001</v>
      </c>
      <c r="AX625" s="7">
        <v>0.55459999999999998</v>
      </c>
      <c r="AY625" s="7">
        <v>0.56040000000000001</v>
      </c>
      <c r="AZ625" s="7">
        <v>0.56620000000000004</v>
      </c>
      <c r="BA625" s="7">
        <v>0.57189999999999996</v>
      </c>
      <c r="BB625" s="7">
        <v>0.5776</v>
      </c>
      <c r="BC625" s="7">
        <v>0.58320000000000005</v>
      </c>
      <c r="BD625" s="7">
        <v>0.5887</v>
      </c>
      <c r="BE625" s="7">
        <v>0.59419999999999995</v>
      </c>
      <c r="BF625" s="7">
        <v>0.59960000000000002</v>
      </c>
      <c r="BG625" s="7">
        <v>0.60499999999999998</v>
      </c>
      <c r="BH625" s="7">
        <v>0.61029999999999995</v>
      </c>
      <c r="BI625" s="7">
        <v>0.61560000000000004</v>
      </c>
      <c r="BJ625" s="7">
        <v>0.62080000000000002</v>
      </c>
      <c r="BK625" s="7">
        <v>0.626</v>
      </c>
      <c r="BL625" s="7">
        <v>0.63109999999999999</v>
      </c>
      <c r="BM625" s="7">
        <v>0.63619999999999999</v>
      </c>
      <c r="BN625" s="7">
        <v>0.64119999999999999</v>
      </c>
      <c r="BO625" s="7">
        <v>0.6462</v>
      </c>
      <c r="BP625" s="7">
        <v>0.65110000000000001</v>
      </c>
      <c r="BQ625" s="7">
        <v>0.65600000000000003</v>
      </c>
      <c r="BR625" s="7">
        <v>0.66090000000000004</v>
      </c>
      <c r="BS625" s="7">
        <v>0.66569999999999996</v>
      </c>
      <c r="BT625" s="7">
        <v>0.6704</v>
      </c>
      <c r="BU625" s="7">
        <v>0.67520000000000002</v>
      </c>
      <c r="BV625" s="7">
        <v>0.67989999999999995</v>
      </c>
      <c r="BW625" s="7">
        <v>0.6845</v>
      </c>
      <c r="BX625" s="7">
        <v>0.68910000000000005</v>
      </c>
      <c r="BY625" s="7">
        <v>0.69369999999999998</v>
      </c>
      <c r="BZ625" s="7">
        <v>0.69820000000000004</v>
      </c>
      <c r="CA625" s="7">
        <v>0.70269999999999999</v>
      </c>
      <c r="CB625" s="7">
        <v>0.70720000000000005</v>
      </c>
      <c r="CC625" s="7">
        <v>0.7117</v>
      </c>
      <c r="CD625" s="7">
        <v>0.71609999999999996</v>
      </c>
      <c r="CE625" s="7">
        <v>0.72050000000000003</v>
      </c>
      <c r="CF625" s="7">
        <v>0.7248</v>
      </c>
      <c r="CG625" s="7">
        <v>0.72909999999999997</v>
      </c>
      <c r="CH625" s="7">
        <v>0.73340000000000005</v>
      </c>
      <c r="CI625" s="7">
        <v>0.73770000000000002</v>
      </c>
      <c r="CJ625" s="7">
        <v>0.74199999999999999</v>
      </c>
      <c r="CK625" s="7">
        <v>0.74619999999999997</v>
      </c>
      <c r="CL625" s="7">
        <v>0.75039999999999996</v>
      </c>
      <c r="CM625" s="7">
        <v>0.75460000000000005</v>
      </c>
      <c r="CN625" s="7">
        <v>0.75870000000000004</v>
      </c>
      <c r="CO625" s="7">
        <v>0.76290000000000002</v>
      </c>
      <c r="CP625" s="7">
        <v>0.76700000000000002</v>
      </c>
      <c r="CQ625" s="7">
        <v>0.77110000000000001</v>
      </c>
      <c r="CR625" s="7">
        <v>0.7752</v>
      </c>
      <c r="CS625" s="7">
        <v>0.7792</v>
      </c>
      <c r="CT625" s="7">
        <v>0.7833</v>
      </c>
      <c r="CU625" s="7">
        <v>0.7873</v>
      </c>
      <c r="CV625" s="7">
        <v>0.79139999999999999</v>
      </c>
      <c r="CW625" s="7">
        <v>0.7954</v>
      </c>
      <c r="CX625" s="7">
        <v>0.7994</v>
      </c>
      <c r="CY625" s="7">
        <v>0.8034</v>
      </c>
      <c r="CZ625" s="7">
        <v>0.80740000000000001</v>
      </c>
      <c r="DA625" s="7">
        <v>0.81140000000000001</v>
      </c>
      <c r="DB625" s="7">
        <v>0.81530000000000002</v>
      </c>
      <c r="DC625" s="7">
        <v>0.81930000000000003</v>
      </c>
      <c r="DD625" s="7">
        <v>0.82330000000000003</v>
      </c>
      <c r="DE625" s="7">
        <v>0.82720000000000005</v>
      </c>
      <c r="DF625" s="7">
        <v>0.83120000000000005</v>
      </c>
      <c r="DG625" s="7">
        <v>0.83520000000000005</v>
      </c>
      <c r="DH625" s="7">
        <v>0.83909999999999996</v>
      </c>
      <c r="DI625" s="7">
        <v>0.84309999999999996</v>
      </c>
      <c r="DJ625" s="7">
        <v>0.84699999999999998</v>
      </c>
      <c r="DK625" s="7">
        <v>0.85099999999999998</v>
      </c>
      <c r="DL625" s="7">
        <v>0.85489999999999999</v>
      </c>
      <c r="DM625" s="7">
        <v>0.8589</v>
      </c>
      <c r="DN625" s="7">
        <v>0.86280000000000001</v>
      </c>
      <c r="DO625" s="7">
        <v>0.86680000000000001</v>
      </c>
      <c r="DP625" s="7">
        <v>0.87070000000000003</v>
      </c>
      <c r="DQ625" s="7">
        <v>0.87470000000000003</v>
      </c>
      <c r="DR625" s="7">
        <v>0.87860000000000005</v>
      </c>
      <c r="DS625" s="7">
        <v>0.88249999999999995</v>
      </c>
      <c r="DT625" s="7">
        <v>0.88649999999999995</v>
      </c>
      <c r="DU625" s="7">
        <v>0.89039999999999997</v>
      </c>
      <c r="DV625" s="7">
        <v>0.89439999999999997</v>
      </c>
      <c r="DW625" s="7">
        <v>0.89829999999999999</v>
      </c>
      <c r="DX625" s="7">
        <v>0.9022</v>
      </c>
      <c r="DY625" s="7">
        <v>0.90610000000000002</v>
      </c>
      <c r="DZ625" s="7">
        <v>0.91</v>
      </c>
      <c r="EA625" s="7">
        <v>0.91390000000000005</v>
      </c>
      <c r="EB625" s="7">
        <v>0.91779999999999995</v>
      </c>
      <c r="EC625" s="7">
        <v>0.92159999999999997</v>
      </c>
      <c r="ED625" s="7">
        <v>0.9254</v>
      </c>
      <c r="EE625" s="7">
        <v>0.92920000000000003</v>
      </c>
      <c r="EF625" s="7">
        <v>0.93300000000000005</v>
      </c>
      <c r="EG625" s="7">
        <v>0.93669999999999998</v>
      </c>
      <c r="EH625" s="7">
        <v>0.94040000000000001</v>
      </c>
      <c r="EI625" s="7">
        <v>0.94410000000000005</v>
      </c>
      <c r="EJ625" s="7">
        <v>0.94769999999999999</v>
      </c>
      <c r="EK625" s="7">
        <v>0.95120000000000005</v>
      </c>
      <c r="EL625" s="7">
        <v>0.95469999999999999</v>
      </c>
      <c r="EM625" s="7">
        <v>0.95820000000000005</v>
      </c>
      <c r="EN625" s="7">
        <v>0.96150000000000002</v>
      </c>
      <c r="EO625" s="7">
        <v>0.96479999999999999</v>
      </c>
      <c r="EP625" s="7">
        <v>0.96799999999999997</v>
      </c>
      <c r="EQ625" s="7">
        <v>0.97119999999999995</v>
      </c>
      <c r="ER625" s="7">
        <v>0.97419999999999995</v>
      </c>
      <c r="ES625" s="7">
        <v>0.97719999999999996</v>
      </c>
      <c r="ET625" s="7">
        <v>0.98</v>
      </c>
      <c r="EU625" s="7">
        <v>0.98280000000000001</v>
      </c>
      <c r="EV625" s="7">
        <v>0.98550000000000004</v>
      </c>
      <c r="EW625" s="7">
        <v>0.98799999999999999</v>
      </c>
      <c r="EX625" s="7">
        <v>0.99039999999999995</v>
      </c>
      <c r="EY625" s="7">
        <v>0.99280000000000002</v>
      </c>
      <c r="EZ625" s="7">
        <v>0.995</v>
      </c>
      <c r="FA625" s="7">
        <v>0.99709999999999999</v>
      </c>
      <c r="FB625" s="7">
        <v>0.999</v>
      </c>
      <c r="FC625" s="7">
        <v>1.0009999999999999</v>
      </c>
      <c r="FE625" s="50">
        <f t="shared" ca="1" si="65"/>
        <v>0.89907904557968799</v>
      </c>
      <c r="FF625" s="50">
        <f t="shared" ca="1" si="66"/>
        <v>0.89661678949054791</v>
      </c>
      <c r="FG625" s="50">
        <f t="shared" ca="1" si="67"/>
        <v>0.894096644295302</v>
      </c>
      <c r="FH625" s="50">
        <f t="shared" ca="1" si="68"/>
        <v>0.89141208053691268</v>
      </c>
      <c r="FI625" s="50"/>
      <c r="FK625" s="50">
        <f t="shared" ca="1" si="64"/>
        <v>0.89661678949054791</v>
      </c>
      <c r="FL625" s="50"/>
      <c r="FM625" s="50"/>
      <c r="FN625" s="50"/>
    </row>
    <row r="626" spans="49:170" hidden="1">
      <c r="AW626" s="112">
        <v>87.096000000000004</v>
      </c>
      <c r="AX626" s="7">
        <v>0.55330000000000001</v>
      </c>
      <c r="AY626" s="7">
        <v>0.55910000000000004</v>
      </c>
      <c r="AZ626" s="7">
        <v>0.56479999999999997</v>
      </c>
      <c r="BA626" s="7">
        <v>0.57050000000000001</v>
      </c>
      <c r="BB626" s="7">
        <v>0.57620000000000005</v>
      </c>
      <c r="BC626" s="7">
        <v>0.58179999999999998</v>
      </c>
      <c r="BD626" s="7">
        <v>0.58730000000000004</v>
      </c>
      <c r="BE626" s="7">
        <v>0.59279999999999999</v>
      </c>
      <c r="BF626" s="7">
        <v>0.59819999999999995</v>
      </c>
      <c r="BG626" s="7">
        <v>0.60350000000000004</v>
      </c>
      <c r="BH626" s="7">
        <v>0.60880000000000001</v>
      </c>
      <c r="BI626" s="7">
        <v>0.61409999999999998</v>
      </c>
      <c r="BJ626" s="7">
        <v>0.61929999999999996</v>
      </c>
      <c r="BK626" s="7">
        <v>0.62450000000000006</v>
      </c>
      <c r="BL626" s="7">
        <v>0.62960000000000005</v>
      </c>
      <c r="BM626" s="7">
        <v>0.63460000000000005</v>
      </c>
      <c r="BN626" s="7">
        <v>0.63970000000000005</v>
      </c>
      <c r="BO626" s="7">
        <v>0.64459999999999995</v>
      </c>
      <c r="BP626" s="7">
        <v>0.64949999999999997</v>
      </c>
      <c r="BQ626" s="7">
        <v>0.65439999999999998</v>
      </c>
      <c r="BR626" s="7">
        <v>0.6593</v>
      </c>
      <c r="BS626" s="7">
        <v>0.66410000000000002</v>
      </c>
      <c r="BT626" s="7">
        <v>0.66879999999999995</v>
      </c>
      <c r="BU626" s="7">
        <v>0.67349999999999999</v>
      </c>
      <c r="BV626" s="7">
        <v>0.67820000000000003</v>
      </c>
      <c r="BW626" s="7">
        <v>0.68279999999999996</v>
      </c>
      <c r="BX626" s="7">
        <v>0.68740000000000001</v>
      </c>
      <c r="BY626" s="7">
        <v>0.69199999999999995</v>
      </c>
      <c r="BZ626" s="7">
        <v>0.69650000000000001</v>
      </c>
      <c r="CA626" s="7">
        <v>0.70099999999999996</v>
      </c>
      <c r="CB626" s="7">
        <v>0.70550000000000002</v>
      </c>
      <c r="CC626" s="7">
        <v>0.70989999999999998</v>
      </c>
      <c r="CD626" s="7">
        <v>0.71430000000000005</v>
      </c>
      <c r="CE626" s="7">
        <v>0.71870000000000001</v>
      </c>
      <c r="CF626" s="7">
        <v>0.72299999999999998</v>
      </c>
      <c r="CG626" s="7">
        <v>0.72740000000000005</v>
      </c>
      <c r="CH626" s="7">
        <v>0.73160000000000003</v>
      </c>
      <c r="CI626" s="7">
        <v>0.7359</v>
      </c>
      <c r="CJ626" s="7">
        <v>0.74009999999999998</v>
      </c>
      <c r="CK626" s="7">
        <v>0.74439999999999995</v>
      </c>
      <c r="CL626" s="7">
        <v>0.74860000000000004</v>
      </c>
      <c r="CM626" s="7">
        <v>0.75270000000000004</v>
      </c>
      <c r="CN626" s="7">
        <v>0.75690000000000002</v>
      </c>
      <c r="CO626" s="7">
        <v>0.76100000000000001</v>
      </c>
      <c r="CP626" s="7">
        <v>0.7651</v>
      </c>
      <c r="CQ626" s="7">
        <v>0.76919999999999999</v>
      </c>
      <c r="CR626" s="7">
        <v>0.77329999999999999</v>
      </c>
      <c r="CS626" s="7">
        <v>0.77729999999999999</v>
      </c>
      <c r="CT626" s="7">
        <v>0.78139999999999998</v>
      </c>
      <c r="CU626" s="7">
        <v>0.78539999999999999</v>
      </c>
      <c r="CV626" s="7">
        <v>0.78939999999999999</v>
      </c>
      <c r="CW626" s="7">
        <v>0.79339999999999999</v>
      </c>
      <c r="CX626" s="7">
        <v>0.7974</v>
      </c>
      <c r="CY626" s="7">
        <v>0.8014</v>
      </c>
      <c r="CZ626" s="7">
        <v>0.8054</v>
      </c>
      <c r="DA626" s="7">
        <v>0.80940000000000001</v>
      </c>
      <c r="DB626" s="7">
        <v>0.81340000000000001</v>
      </c>
      <c r="DC626" s="7">
        <v>0.81730000000000003</v>
      </c>
      <c r="DD626" s="7">
        <v>0.82130000000000003</v>
      </c>
      <c r="DE626" s="7">
        <v>0.82520000000000004</v>
      </c>
      <c r="DF626" s="7">
        <v>0.82920000000000005</v>
      </c>
      <c r="DG626" s="7">
        <v>0.83309999999999995</v>
      </c>
      <c r="DH626" s="7">
        <v>0.83709999999999996</v>
      </c>
      <c r="DI626" s="7">
        <v>0.84099999999999997</v>
      </c>
      <c r="DJ626" s="7">
        <v>0.84489999999999998</v>
      </c>
      <c r="DK626" s="7">
        <v>0.84889999999999999</v>
      </c>
      <c r="DL626" s="7">
        <v>0.8528</v>
      </c>
      <c r="DM626" s="7">
        <v>0.85680000000000001</v>
      </c>
      <c r="DN626" s="7">
        <v>0.86070000000000002</v>
      </c>
      <c r="DO626" s="7">
        <v>0.86460000000000004</v>
      </c>
      <c r="DP626" s="7">
        <v>0.86860000000000004</v>
      </c>
      <c r="DQ626" s="7">
        <v>0.87250000000000005</v>
      </c>
      <c r="DR626" s="7">
        <v>0.87649999999999995</v>
      </c>
      <c r="DS626" s="7">
        <v>0.88039999999999996</v>
      </c>
      <c r="DT626" s="7">
        <v>0.88429999999999997</v>
      </c>
      <c r="DU626" s="7">
        <v>0.88829999999999998</v>
      </c>
      <c r="DV626" s="7">
        <v>0.89219999999999999</v>
      </c>
      <c r="DW626" s="7">
        <v>0.89610000000000001</v>
      </c>
      <c r="DX626" s="7">
        <v>0.9</v>
      </c>
      <c r="DY626" s="7">
        <v>0.90390000000000004</v>
      </c>
      <c r="DZ626" s="7">
        <v>0.90780000000000005</v>
      </c>
      <c r="EA626" s="7">
        <v>0.91169999999999995</v>
      </c>
      <c r="EB626" s="7">
        <v>0.91549999999999998</v>
      </c>
      <c r="EC626" s="7">
        <v>0.9194</v>
      </c>
      <c r="ED626" s="7">
        <v>0.92320000000000002</v>
      </c>
      <c r="EE626" s="7">
        <v>0.92700000000000005</v>
      </c>
      <c r="EF626" s="7">
        <v>0.93069999999999997</v>
      </c>
      <c r="EG626" s="7">
        <v>0.93440000000000001</v>
      </c>
      <c r="EH626" s="7">
        <v>0.93810000000000004</v>
      </c>
      <c r="EI626" s="7">
        <v>0.94179999999999997</v>
      </c>
      <c r="EJ626" s="7">
        <v>0.94540000000000002</v>
      </c>
      <c r="EK626" s="7">
        <v>0.94889999999999997</v>
      </c>
      <c r="EL626" s="7">
        <v>0.95240000000000002</v>
      </c>
      <c r="EM626" s="7">
        <v>0.95579999999999998</v>
      </c>
      <c r="EN626" s="7">
        <v>0.95920000000000005</v>
      </c>
      <c r="EO626" s="7">
        <v>0.96250000000000002</v>
      </c>
      <c r="EP626" s="7">
        <v>0.9657</v>
      </c>
      <c r="EQ626" s="7">
        <v>0.96879999999999999</v>
      </c>
      <c r="ER626" s="7">
        <v>0.9718</v>
      </c>
      <c r="ES626" s="7">
        <v>0.9748</v>
      </c>
      <c r="ET626" s="7">
        <v>0.97770000000000001</v>
      </c>
      <c r="EU626" s="7">
        <v>0.98040000000000005</v>
      </c>
      <c r="EV626" s="7">
        <v>0.98309999999999997</v>
      </c>
      <c r="EW626" s="7">
        <v>0.98560000000000003</v>
      </c>
      <c r="EX626" s="7">
        <v>0.98799999999999999</v>
      </c>
      <c r="EY626" s="7">
        <v>0.99039999999999995</v>
      </c>
      <c r="EZ626" s="7">
        <v>0.99260000000000004</v>
      </c>
      <c r="FA626" s="7">
        <v>0.99460000000000004</v>
      </c>
      <c r="FB626" s="7">
        <v>0.99660000000000004</v>
      </c>
      <c r="FC626" s="7">
        <v>0.99850000000000005</v>
      </c>
      <c r="FE626" s="50">
        <f t="shared" ca="1" si="65"/>
        <v>0.89687904557968801</v>
      </c>
      <c r="FF626" s="50">
        <f t="shared" ca="1" si="66"/>
        <v>0.89441678949054793</v>
      </c>
      <c r="FG626" s="50">
        <f t="shared" ca="1" si="67"/>
        <v>0.89190422818791948</v>
      </c>
      <c r="FH626" s="50">
        <f t="shared" ca="1" si="68"/>
        <v>0.88928677852348992</v>
      </c>
      <c r="FI626" s="50"/>
      <c r="FK626" s="50">
        <f t="shared" ca="1" si="64"/>
        <v>0.89441678949054793</v>
      </c>
      <c r="FL626" s="50"/>
      <c r="FM626" s="50"/>
      <c r="FN626" s="50"/>
    </row>
    <row r="627" spans="49:170" hidden="1">
      <c r="AW627" s="112">
        <v>93.325000000000003</v>
      </c>
      <c r="AX627" s="7">
        <v>0.55189999999999995</v>
      </c>
      <c r="AY627" s="7">
        <v>0.55769999999999997</v>
      </c>
      <c r="AZ627" s="7">
        <v>0.5635</v>
      </c>
      <c r="BA627" s="7">
        <v>0.56920000000000004</v>
      </c>
      <c r="BB627" s="7">
        <v>0.57479999999999998</v>
      </c>
      <c r="BC627" s="7">
        <v>0.58040000000000003</v>
      </c>
      <c r="BD627" s="7">
        <v>0.58589999999999998</v>
      </c>
      <c r="BE627" s="7">
        <v>0.59130000000000005</v>
      </c>
      <c r="BF627" s="7">
        <v>0.59670000000000001</v>
      </c>
      <c r="BG627" s="7">
        <v>0.60209999999999997</v>
      </c>
      <c r="BH627" s="7">
        <v>0.60740000000000005</v>
      </c>
      <c r="BI627" s="7">
        <v>0.61260000000000003</v>
      </c>
      <c r="BJ627" s="7">
        <v>0.61780000000000002</v>
      </c>
      <c r="BK627" s="7">
        <v>0.623</v>
      </c>
      <c r="BL627" s="7">
        <v>0.62809999999999999</v>
      </c>
      <c r="BM627" s="7">
        <v>0.6331</v>
      </c>
      <c r="BN627" s="7">
        <v>0.6381</v>
      </c>
      <c r="BO627" s="7">
        <v>0.6431</v>
      </c>
      <c r="BP627" s="7">
        <v>0.64800000000000002</v>
      </c>
      <c r="BQ627" s="7">
        <v>0.65290000000000004</v>
      </c>
      <c r="BR627" s="7">
        <v>0.65769999999999995</v>
      </c>
      <c r="BS627" s="7">
        <v>0.66249999999999998</v>
      </c>
      <c r="BT627" s="7">
        <v>0.66720000000000002</v>
      </c>
      <c r="BU627" s="7">
        <v>0.67190000000000005</v>
      </c>
      <c r="BV627" s="7">
        <v>0.67659999999999998</v>
      </c>
      <c r="BW627" s="7">
        <v>0.68120000000000003</v>
      </c>
      <c r="BX627" s="7">
        <v>0.68579999999999997</v>
      </c>
      <c r="BY627" s="7">
        <v>0.69030000000000002</v>
      </c>
      <c r="BZ627" s="7">
        <v>0.69489999999999996</v>
      </c>
      <c r="CA627" s="7">
        <v>0.69940000000000002</v>
      </c>
      <c r="CB627" s="7">
        <v>0.70379999999999998</v>
      </c>
      <c r="CC627" s="7">
        <v>0.70820000000000005</v>
      </c>
      <c r="CD627" s="7">
        <v>0.71260000000000001</v>
      </c>
      <c r="CE627" s="7">
        <v>0.71699999999999997</v>
      </c>
      <c r="CF627" s="7">
        <v>0.72130000000000005</v>
      </c>
      <c r="CG627" s="7">
        <v>0.72560000000000002</v>
      </c>
      <c r="CH627" s="7">
        <v>0.72989999999999999</v>
      </c>
      <c r="CI627" s="7">
        <v>0.73409999999999997</v>
      </c>
      <c r="CJ627" s="7">
        <v>0.73839999999999995</v>
      </c>
      <c r="CK627" s="7">
        <v>0.74260000000000004</v>
      </c>
      <c r="CL627" s="7">
        <v>0.74680000000000002</v>
      </c>
      <c r="CM627" s="7">
        <v>0.75090000000000001</v>
      </c>
      <c r="CN627" s="7">
        <v>0.755</v>
      </c>
      <c r="CO627" s="7">
        <v>0.75919999999999999</v>
      </c>
      <c r="CP627" s="7">
        <v>0.76329999999999998</v>
      </c>
      <c r="CQ627" s="7">
        <v>0.76739999999999997</v>
      </c>
      <c r="CR627" s="7">
        <v>0.77139999999999997</v>
      </c>
      <c r="CS627" s="7">
        <v>0.77549999999999997</v>
      </c>
      <c r="CT627" s="7">
        <v>0.77949999999999997</v>
      </c>
      <c r="CU627" s="7">
        <v>0.78349999999999997</v>
      </c>
      <c r="CV627" s="7">
        <v>0.78749999999999998</v>
      </c>
      <c r="CW627" s="7">
        <v>0.79149999999999998</v>
      </c>
      <c r="CX627" s="7">
        <v>0.79549999999999998</v>
      </c>
      <c r="CY627" s="7">
        <v>0.79949999999999999</v>
      </c>
      <c r="CZ627" s="7">
        <v>0.80349999999999999</v>
      </c>
      <c r="DA627" s="7">
        <v>0.80740000000000001</v>
      </c>
      <c r="DB627" s="7">
        <v>0.81140000000000001</v>
      </c>
      <c r="DC627" s="7">
        <v>0.81540000000000001</v>
      </c>
      <c r="DD627" s="7">
        <v>0.81930000000000003</v>
      </c>
      <c r="DE627" s="7">
        <v>0.82320000000000004</v>
      </c>
      <c r="DF627" s="7">
        <v>0.82720000000000005</v>
      </c>
      <c r="DG627" s="7">
        <v>0.83109999999999995</v>
      </c>
      <c r="DH627" s="7">
        <v>0.83509999999999995</v>
      </c>
      <c r="DI627" s="7">
        <v>0.83899999999999997</v>
      </c>
      <c r="DJ627" s="7">
        <v>0.84289999999999998</v>
      </c>
      <c r="DK627" s="7">
        <v>0.8468</v>
      </c>
      <c r="DL627" s="7">
        <v>0.8508</v>
      </c>
      <c r="DM627" s="7">
        <v>0.85470000000000002</v>
      </c>
      <c r="DN627" s="7">
        <v>0.85860000000000003</v>
      </c>
      <c r="DO627" s="7">
        <v>0.86260000000000003</v>
      </c>
      <c r="DP627" s="7">
        <v>0.86650000000000005</v>
      </c>
      <c r="DQ627" s="7">
        <v>0.87039999999999995</v>
      </c>
      <c r="DR627" s="7">
        <v>0.87439999999999996</v>
      </c>
      <c r="DS627" s="7">
        <v>0.87829999999999997</v>
      </c>
      <c r="DT627" s="7">
        <v>0.88219999999999998</v>
      </c>
      <c r="DU627" s="7">
        <v>0.8861</v>
      </c>
      <c r="DV627" s="7">
        <v>0.89</v>
      </c>
      <c r="DW627" s="7">
        <v>0.89390000000000003</v>
      </c>
      <c r="DX627" s="7">
        <v>0.89780000000000004</v>
      </c>
      <c r="DY627" s="7">
        <v>0.90169999999999995</v>
      </c>
      <c r="DZ627" s="7">
        <v>0.90559999999999996</v>
      </c>
      <c r="EA627" s="7">
        <v>0.90949999999999998</v>
      </c>
      <c r="EB627" s="7">
        <v>0.9133</v>
      </c>
      <c r="EC627" s="7">
        <v>0.91710000000000003</v>
      </c>
      <c r="ED627" s="7">
        <v>0.92100000000000004</v>
      </c>
      <c r="EE627" s="7">
        <v>0.92469999999999997</v>
      </c>
      <c r="EF627" s="7">
        <v>0.92849999999999999</v>
      </c>
      <c r="EG627" s="7">
        <v>0.93220000000000003</v>
      </c>
      <c r="EH627" s="7">
        <v>0.93589999999999995</v>
      </c>
      <c r="EI627" s="7">
        <v>0.9395</v>
      </c>
      <c r="EJ627" s="7">
        <v>0.94310000000000005</v>
      </c>
      <c r="EK627" s="7">
        <v>0.9466</v>
      </c>
      <c r="EL627" s="7">
        <v>0.95009999999999994</v>
      </c>
      <c r="EM627" s="7">
        <v>0.95350000000000001</v>
      </c>
      <c r="EN627" s="7">
        <v>0.95689999999999997</v>
      </c>
      <c r="EO627" s="7">
        <v>0.96020000000000005</v>
      </c>
      <c r="EP627" s="7">
        <v>0.96340000000000003</v>
      </c>
      <c r="EQ627" s="7">
        <v>0.96650000000000003</v>
      </c>
      <c r="ER627" s="7">
        <v>0.96950000000000003</v>
      </c>
      <c r="ES627" s="7">
        <v>0.97250000000000003</v>
      </c>
      <c r="ET627" s="7">
        <v>0.97529999999999994</v>
      </c>
      <c r="EU627" s="7">
        <v>0.97799999999999998</v>
      </c>
      <c r="EV627" s="7">
        <v>0.98070000000000002</v>
      </c>
      <c r="EW627" s="7">
        <v>0.98319999999999996</v>
      </c>
      <c r="EX627" s="7">
        <v>0.98570000000000002</v>
      </c>
      <c r="EY627" s="7">
        <v>0.98799999999999999</v>
      </c>
      <c r="EZ627" s="7">
        <v>0.99019999999999997</v>
      </c>
      <c r="FA627" s="7">
        <v>0.99229999999999996</v>
      </c>
      <c r="FB627" s="7">
        <v>0.99419999999999997</v>
      </c>
      <c r="FC627" s="7">
        <v>0.99609999999999999</v>
      </c>
      <c r="FE627" s="50">
        <f t="shared" ca="1" si="65"/>
        <v>0.89467904557968803</v>
      </c>
      <c r="FF627" s="50">
        <f t="shared" ca="1" si="66"/>
        <v>0.89221678949054795</v>
      </c>
      <c r="FG627" s="50">
        <f t="shared" ca="1" si="67"/>
        <v>0.8897042281879195</v>
      </c>
      <c r="FH627" s="50">
        <f t="shared" ca="1" si="68"/>
        <v>0.88708677852348994</v>
      </c>
      <c r="FI627" s="50"/>
      <c r="FK627" s="50">
        <f t="shared" ca="1" si="64"/>
        <v>0.89221678949054795</v>
      </c>
      <c r="FL627" s="50"/>
      <c r="FM627" s="50"/>
      <c r="FN627" s="50"/>
    </row>
    <row r="628" spans="49:170" hidden="1">
      <c r="AW628" s="112">
        <v>100</v>
      </c>
      <c r="AX628" s="7">
        <v>0.55059999999999998</v>
      </c>
      <c r="AY628" s="7">
        <v>0.55640000000000001</v>
      </c>
      <c r="AZ628" s="7">
        <v>0.56210000000000004</v>
      </c>
      <c r="BA628" s="7">
        <v>0.56779999999999997</v>
      </c>
      <c r="BB628" s="7">
        <v>0.57340000000000002</v>
      </c>
      <c r="BC628" s="7">
        <v>0.57899999999999996</v>
      </c>
      <c r="BD628" s="7">
        <v>0.58450000000000002</v>
      </c>
      <c r="BE628" s="7">
        <v>0.58989999999999998</v>
      </c>
      <c r="BF628" s="7">
        <v>0.59530000000000005</v>
      </c>
      <c r="BG628" s="7">
        <v>0.60070000000000001</v>
      </c>
      <c r="BH628" s="7">
        <v>0.60589999999999999</v>
      </c>
      <c r="BI628" s="7">
        <v>0.61119999999999997</v>
      </c>
      <c r="BJ628" s="7">
        <v>0.61639999999999995</v>
      </c>
      <c r="BK628" s="7">
        <v>0.62150000000000005</v>
      </c>
      <c r="BL628" s="7">
        <v>0.62660000000000005</v>
      </c>
      <c r="BM628" s="7">
        <v>0.63160000000000005</v>
      </c>
      <c r="BN628" s="7">
        <v>0.63660000000000005</v>
      </c>
      <c r="BO628" s="7">
        <v>0.64149999999999996</v>
      </c>
      <c r="BP628" s="7">
        <v>0.64639999999999997</v>
      </c>
      <c r="BQ628" s="7">
        <v>0.65129999999999999</v>
      </c>
      <c r="BR628" s="7">
        <v>0.65610000000000002</v>
      </c>
      <c r="BS628" s="7">
        <v>0.66090000000000004</v>
      </c>
      <c r="BT628" s="7">
        <v>0.66559999999999997</v>
      </c>
      <c r="BU628" s="7">
        <v>0.67030000000000001</v>
      </c>
      <c r="BV628" s="7">
        <v>0.67500000000000004</v>
      </c>
      <c r="BW628" s="7">
        <v>0.67959999999999998</v>
      </c>
      <c r="BX628" s="7">
        <v>0.68420000000000003</v>
      </c>
      <c r="BY628" s="7">
        <v>0.68869999999999998</v>
      </c>
      <c r="BZ628" s="7">
        <v>0.69320000000000004</v>
      </c>
      <c r="CA628" s="7">
        <v>0.69769999999999999</v>
      </c>
      <c r="CB628" s="7">
        <v>0.70209999999999995</v>
      </c>
      <c r="CC628" s="7">
        <v>0.70650000000000002</v>
      </c>
      <c r="CD628" s="7">
        <v>0.71089999999999998</v>
      </c>
      <c r="CE628" s="7">
        <v>0.71530000000000005</v>
      </c>
      <c r="CF628" s="7">
        <v>0.71960000000000002</v>
      </c>
      <c r="CG628" s="7">
        <v>0.72389999999999999</v>
      </c>
      <c r="CH628" s="7">
        <v>0.72819999999999996</v>
      </c>
      <c r="CI628" s="7">
        <v>0.73240000000000005</v>
      </c>
      <c r="CJ628" s="7">
        <v>0.73660000000000003</v>
      </c>
      <c r="CK628" s="7">
        <v>0.74080000000000001</v>
      </c>
      <c r="CL628" s="7">
        <v>0.745</v>
      </c>
      <c r="CM628" s="7">
        <v>0.74909999999999999</v>
      </c>
      <c r="CN628" s="7">
        <v>0.75329999999999997</v>
      </c>
      <c r="CO628" s="7">
        <v>0.75739999999999996</v>
      </c>
      <c r="CP628" s="7">
        <v>0.76149999999999995</v>
      </c>
      <c r="CQ628" s="7">
        <v>0.76549999999999996</v>
      </c>
      <c r="CR628" s="7">
        <v>0.76959999999999995</v>
      </c>
      <c r="CS628" s="7">
        <v>0.77359999999999995</v>
      </c>
      <c r="CT628" s="7">
        <v>0.77759999999999996</v>
      </c>
      <c r="CU628" s="7">
        <v>0.78169999999999995</v>
      </c>
      <c r="CV628" s="7">
        <v>0.78569999999999995</v>
      </c>
      <c r="CW628" s="7">
        <v>0.78969999999999996</v>
      </c>
      <c r="CX628" s="7">
        <v>0.79359999999999997</v>
      </c>
      <c r="CY628" s="7">
        <v>0.79759999999999998</v>
      </c>
      <c r="CZ628" s="7">
        <v>0.80159999999999998</v>
      </c>
      <c r="DA628" s="7">
        <v>0.80549999999999999</v>
      </c>
      <c r="DB628" s="7">
        <v>0.8095</v>
      </c>
      <c r="DC628" s="7">
        <v>0.81340000000000001</v>
      </c>
      <c r="DD628" s="7">
        <v>0.81740000000000002</v>
      </c>
      <c r="DE628" s="7">
        <v>0.82130000000000003</v>
      </c>
      <c r="DF628" s="7">
        <v>0.82520000000000004</v>
      </c>
      <c r="DG628" s="7">
        <v>0.82909999999999995</v>
      </c>
      <c r="DH628" s="7">
        <v>0.83309999999999995</v>
      </c>
      <c r="DI628" s="7">
        <v>0.83699999999999997</v>
      </c>
      <c r="DJ628" s="7">
        <v>0.84089999999999998</v>
      </c>
      <c r="DK628" s="7">
        <v>0.8448</v>
      </c>
      <c r="DL628" s="7">
        <v>0.8488</v>
      </c>
      <c r="DM628" s="7">
        <v>0.85270000000000001</v>
      </c>
      <c r="DN628" s="7">
        <v>0.85660000000000003</v>
      </c>
      <c r="DO628" s="7">
        <v>0.86050000000000004</v>
      </c>
      <c r="DP628" s="7">
        <v>0.86439999999999995</v>
      </c>
      <c r="DQ628" s="7">
        <v>0.86839999999999995</v>
      </c>
      <c r="DR628" s="7">
        <v>0.87229999999999996</v>
      </c>
      <c r="DS628" s="7">
        <v>0.87619999999999998</v>
      </c>
      <c r="DT628" s="7">
        <v>0.88009999999999999</v>
      </c>
      <c r="DU628" s="7">
        <v>0.88400000000000001</v>
      </c>
      <c r="DV628" s="7">
        <v>0.88790000000000002</v>
      </c>
      <c r="DW628" s="7">
        <v>0.89180000000000004</v>
      </c>
      <c r="DX628" s="7">
        <v>0.89570000000000005</v>
      </c>
      <c r="DY628" s="7">
        <v>0.89959999999999996</v>
      </c>
      <c r="DZ628" s="7">
        <v>0.90349999999999997</v>
      </c>
      <c r="EA628" s="7">
        <v>0.9073</v>
      </c>
      <c r="EB628" s="7">
        <v>0.91110000000000002</v>
      </c>
      <c r="EC628" s="7">
        <v>0.91500000000000004</v>
      </c>
      <c r="ED628" s="7">
        <v>0.91879999999999995</v>
      </c>
      <c r="EE628" s="7">
        <v>0.92249999999999999</v>
      </c>
      <c r="EF628" s="7">
        <v>0.92630000000000001</v>
      </c>
      <c r="EG628" s="7">
        <v>0.93</v>
      </c>
      <c r="EH628" s="7">
        <v>0.93359999999999999</v>
      </c>
      <c r="EI628" s="7">
        <v>0.93730000000000002</v>
      </c>
      <c r="EJ628" s="7">
        <v>0.94079999999999997</v>
      </c>
      <c r="EK628" s="7">
        <v>0.94440000000000002</v>
      </c>
      <c r="EL628" s="7">
        <v>0.94779999999999998</v>
      </c>
      <c r="EM628" s="7">
        <v>0.95130000000000003</v>
      </c>
      <c r="EN628" s="7">
        <v>0.9546</v>
      </c>
      <c r="EO628" s="7">
        <v>0.95789999999999997</v>
      </c>
      <c r="EP628" s="7">
        <v>0.96109999999999995</v>
      </c>
      <c r="EQ628" s="7">
        <v>0.96419999999999995</v>
      </c>
      <c r="ER628" s="7">
        <v>0.96719999999999995</v>
      </c>
      <c r="ES628" s="7">
        <v>0.97009999999999996</v>
      </c>
      <c r="ET628" s="7">
        <v>0.97299999999999998</v>
      </c>
      <c r="EU628" s="7">
        <v>0.97570000000000001</v>
      </c>
      <c r="EV628" s="7">
        <v>0.97840000000000005</v>
      </c>
      <c r="EW628" s="7">
        <v>0.98089999999999999</v>
      </c>
      <c r="EX628" s="7">
        <v>0.98329999999999995</v>
      </c>
      <c r="EY628" s="7">
        <v>0.98560000000000003</v>
      </c>
      <c r="EZ628" s="7">
        <v>0.98780000000000001</v>
      </c>
      <c r="FA628" s="7">
        <v>0.9899</v>
      </c>
      <c r="FB628" s="7">
        <v>0.9919</v>
      </c>
      <c r="FC628" s="7">
        <v>0.99370000000000003</v>
      </c>
      <c r="FE628" s="50">
        <f t="shared" ca="1" si="65"/>
        <v>0.89257904557968804</v>
      </c>
      <c r="FF628" s="50">
        <f t="shared" ca="1" si="66"/>
        <v>0.89011678949054795</v>
      </c>
      <c r="FG628" s="50">
        <f t="shared" ca="1" si="67"/>
        <v>0.88760422818791951</v>
      </c>
      <c r="FH628" s="50">
        <f t="shared" ca="1" si="68"/>
        <v>0.88498677852348995</v>
      </c>
      <c r="FI628" s="50"/>
      <c r="FK628" s="50">
        <f t="shared" ca="1" si="64"/>
        <v>0.89011678949054795</v>
      </c>
      <c r="FL628" s="50"/>
      <c r="FM628" s="50"/>
      <c r="FN628" s="50"/>
    </row>
  </sheetData>
  <sheetProtection password="CD8C" sheet="1" objects="1" scenarios="1"/>
  <mergeCells count="202">
    <mergeCell ref="P43:Q43"/>
    <mergeCell ref="C42:Q42"/>
    <mergeCell ref="C36:Q36"/>
    <mergeCell ref="C34:I34"/>
    <mergeCell ref="J33:K33"/>
    <mergeCell ref="L33:M33"/>
    <mergeCell ref="P34:Q34"/>
    <mergeCell ref="C44:I44"/>
    <mergeCell ref="C47:I47"/>
    <mergeCell ref="N34:O34"/>
    <mergeCell ref="P33:Q33"/>
    <mergeCell ref="N39:O39"/>
    <mergeCell ref="L39:M39"/>
    <mergeCell ref="J37:K37"/>
    <mergeCell ref="J38:K38"/>
    <mergeCell ref="J39:K39"/>
    <mergeCell ref="C37:I37"/>
    <mergeCell ref="C38:I38"/>
    <mergeCell ref="C39:I39"/>
    <mergeCell ref="J34:K34"/>
    <mergeCell ref="P37:Q37"/>
    <mergeCell ref="C45:I45"/>
    <mergeCell ref="J44:K44"/>
    <mergeCell ref="L45:M45"/>
    <mergeCell ref="L44:M44"/>
    <mergeCell ref="L47:M47"/>
    <mergeCell ref="L46:M46"/>
    <mergeCell ref="N24:O24"/>
    <mergeCell ref="N17:O17"/>
    <mergeCell ref="C16:M16"/>
    <mergeCell ref="N16:O16"/>
    <mergeCell ref="C15:M15"/>
    <mergeCell ref="N15:O15"/>
    <mergeCell ref="C25:I25"/>
    <mergeCell ref="C26:I26"/>
    <mergeCell ref="C27:I27"/>
    <mergeCell ref="Y5:AB5"/>
    <mergeCell ref="C9:K9"/>
    <mergeCell ref="C10:K10"/>
    <mergeCell ref="C11:K11"/>
    <mergeCell ref="C12:K12"/>
    <mergeCell ref="L9:O9"/>
    <mergeCell ref="L10:O10"/>
    <mergeCell ref="L11:O11"/>
    <mergeCell ref="L12:O12"/>
    <mergeCell ref="Q8:Z8"/>
    <mergeCell ref="Q10:Y10"/>
    <mergeCell ref="Q12:Y12"/>
    <mergeCell ref="C8:O8"/>
    <mergeCell ref="X9:AA9"/>
    <mergeCell ref="Z10:AA10"/>
    <mergeCell ref="Z11:AA11"/>
    <mergeCell ref="Z12:AA12"/>
    <mergeCell ref="Q9:W9"/>
    <mergeCell ref="C5:D5"/>
    <mergeCell ref="E5:P5"/>
    <mergeCell ref="Q5:S5"/>
    <mergeCell ref="T5:V5"/>
    <mergeCell ref="W5:X5"/>
    <mergeCell ref="Q11:Y11"/>
    <mergeCell ref="B1:R1"/>
    <mergeCell ref="S1:AB1"/>
    <mergeCell ref="E2:P4"/>
    <mergeCell ref="Q2:V3"/>
    <mergeCell ref="W3:X3"/>
    <mergeCell ref="Y3:AB3"/>
    <mergeCell ref="Q4:S4"/>
    <mergeCell ref="T4:V4"/>
    <mergeCell ref="W4:X4"/>
    <mergeCell ref="Y4:AB4"/>
    <mergeCell ref="L50:M50"/>
    <mergeCell ref="L51:M51"/>
    <mergeCell ref="J47:K47"/>
    <mergeCell ref="J46:K46"/>
    <mergeCell ref="J48:K48"/>
    <mergeCell ref="J49:K49"/>
    <mergeCell ref="J50:K50"/>
    <mergeCell ref="N26:O26"/>
    <mergeCell ref="N27:O27"/>
    <mergeCell ref="L32:M32"/>
    <mergeCell ref="L34:M34"/>
    <mergeCell ref="N35:O35"/>
    <mergeCell ref="N32:O32"/>
    <mergeCell ref="N48:O48"/>
    <mergeCell ref="N49:O49"/>
    <mergeCell ref="N50:O50"/>
    <mergeCell ref="C31:Q31"/>
    <mergeCell ref="C51:I51"/>
    <mergeCell ref="J51:K51"/>
    <mergeCell ref="P50:Q50"/>
    <mergeCell ref="P49:Q49"/>
    <mergeCell ref="P48:Q48"/>
    <mergeCell ref="P46:Q46"/>
    <mergeCell ref="P47:Q47"/>
    <mergeCell ref="C35:I35"/>
    <mergeCell ref="J35:K35"/>
    <mergeCell ref="L35:M35"/>
    <mergeCell ref="J32:K32"/>
    <mergeCell ref="C32:I32"/>
    <mergeCell ref="C33:I33"/>
    <mergeCell ref="J25:K25"/>
    <mergeCell ref="AV528:AV536"/>
    <mergeCell ref="AV107:AV112"/>
    <mergeCell ref="C54:AA54"/>
    <mergeCell ref="C56:AA56"/>
    <mergeCell ref="C57:AA57"/>
    <mergeCell ref="C58:AA58"/>
    <mergeCell ref="C59:AA59"/>
    <mergeCell ref="AO43:AQ43"/>
    <mergeCell ref="AI44:AJ44"/>
    <mergeCell ref="AL44:AM44"/>
    <mergeCell ref="AO44:AP44"/>
    <mergeCell ref="C43:I43"/>
    <mergeCell ref="J43:K43"/>
    <mergeCell ref="L43:M43"/>
    <mergeCell ref="N43:O43"/>
    <mergeCell ref="L48:M48"/>
    <mergeCell ref="L49:M49"/>
    <mergeCell ref="N14:O14"/>
    <mergeCell ref="C17:M17"/>
    <mergeCell ref="Z14:AA14"/>
    <mergeCell ref="N19:O19"/>
    <mergeCell ref="Q13:Y13"/>
    <mergeCell ref="Q14:Y14"/>
    <mergeCell ref="C14:M14"/>
    <mergeCell ref="Z13:AA13"/>
    <mergeCell ref="C13:M13"/>
    <mergeCell ref="N13:O13"/>
    <mergeCell ref="Q15:Y15"/>
    <mergeCell ref="Q16:Y16"/>
    <mergeCell ref="C18:M18"/>
    <mergeCell ref="N18:O18"/>
    <mergeCell ref="C19:M19"/>
    <mergeCell ref="C28:I28"/>
    <mergeCell ref="J28:K28"/>
    <mergeCell ref="L28:M28"/>
    <mergeCell ref="N28:O28"/>
    <mergeCell ref="P28:Q28"/>
    <mergeCell ref="Q18:AA18"/>
    <mergeCell ref="Q19:AA19"/>
    <mergeCell ref="P25:Q25"/>
    <mergeCell ref="N25:O25"/>
    <mergeCell ref="L25:M25"/>
    <mergeCell ref="P23:Q23"/>
    <mergeCell ref="J26:K26"/>
    <mergeCell ref="J27:K27"/>
    <mergeCell ref="L26:M26"/>
    <mergeCell ref="L27:M27"/>
    <mergeCell ref="L24:M24"/>
    <mergeCell ref="J24:K24"/>
    <mergeCell ref="C24:I24"/>
    <mergeCell ref="C23:O23"/>
    <mergeCell ref="C22:Q22"/>
    <mergeCell ref="S22:AA22"/>
    <mergeCell ref="P39:Q39"/>
    <mergeCell ref="AI57:AJ57"/>
    <mergeCell ref="AK57:AN57"/>
    <mergeCell ref="AO57:AQ57"/>
    <mergeCell ref="AI58:AJ58"/>
    <mergeCell ref="AL58:AM58"/>
    <mergeCell ref="AO58:AP58"/>
    <mergeCell ref="AG24:AO24"/>
    <mergeCell ref="FQ8:FU8"/>
    <mergeCell ref="FQ14:FU17"/>
    <mergeCell ref="Z15:AA15"/>
    <mergeCell ref="Z16:AA16"/>
    <mergeCell ref="Q17:AA17"/>
    <mergeCell ref="AL13:AO13"/>
    <mergeCell ref="AK43:AN43"/>
    <mergeCell ref="AI43:AJ43"/>
    <mergeCell ref="AG42:AT42"/>
    <mergeCell ref="P24:Q24"/>
    <mergeCell ref="P26:Q26"/>
    <mergeCell ref="P27:Q27"/>
    <mergeCell ref="P32:Q32"/>
    <mergeCell ref="P51:Q51"/>
    <mergeCell ref="P44:Q44"/>
    <mergeCell ref="P45:Q45"/>
    <mergeCell ref="C29:Q29"/>
    <mergeCell ref="C55:AA55"/>
    <mergeCell ref="AL33:AM33"/>
    <mergeCell ref="AN33:AO33"/>
    <mergeCell ref="AG56:AT56"/>
    <mergeCell ref="AL34:AM34"/>
    <mergeCell ref="AN34:AO34"/>
    <mergeCell ref="P38:Q38"/>
    <mergeCell ref="N37:O37"/>
    <mergeCell ref="N45:O45"/>
    <mergeCell ref="N44:O44"/>
    <mergeCell ref="N47:O47"/>
    <mergeCell ref="N46:O46"/>
    <mergeCell ref="P35:Q35"/>
    <mergeCell ref="N33:O33"/>
    <mergeCell ref="N38:O38"/>
    <mergeCell ref="L37:M37"/>
    <mergeCell ref="L38:M38"/>
    <mergeCell ref="C46:I46"/>
    <mergeCell ref="C48:I48"/>
    <mergeCell ref="C49:I49"/>
    <mergeCell ref="C50:I50"/>
    <mergeCell ref="N51:O51"/>
    <mergeCell ref="J45:K45"/>
  </mergeCells>
  <conditionalFormatting sqref="Q8:AA19">
    <cfRule type="expression" dxfId="50" priority="115">
      <formula>IF($L$10=$AD$8,1,0)</formula>
    </cfRule>
  </conditionalFormatting>
  <conditionalFormatting sqref="P23:Q23">
    <cfRule type="expression" dxfId="49" priority="116">
      <formula>IF($L$11=$AD$11,1,0)</formula>
    </cfRule>
  </conditionalFormatting>
  <conditionalFormatting sqref="L34:Q35 L37:Q38">
    <cfRule type="expression" dxfId="48" priority="10">
      <formula>IF($L$11=$AD$11,1,0)</formula>
    </cfRule>
  </conditionalFormatting>
  <conditionalFormatting sqref="L33:Q33">
    <cfRule type="expression" dxfId="47" priority="9">
      <formula>IF($L$11=$AD$11,1,0)</formula>
    </cfRule>
  </conditionalFormatting>
  <conditionalFormatting sqref="J37:Q38">
    <cfRule type="expression" dxfId="46" priority="8">
      <formula>IF($L$12=$AD$14,1,0)</formula>
    </cfRule>
  </conditionalFormatting>
  <conditionalFormatting sqref="L35:Q35">
    <cfRule type="expression" dxfId="45" priority="7">
      <formula>IF($L$11=$AD$11,1,0)</formula>
    </cfRule>
  </conditionalFormatting>
  <conditionalFormatting sqref="J35:Q35">
    <cfRule type="expression" dxfId="44" priority="147">
      <formula>IF(J$33=$AD$19,1,0)</formula>
    </cfRule>
  </conditionalFormatting>
  <conditionalFormatting sqref="C44:Q48">
    <cfRule type="expression" dxfId="43" priority="5">
      <formula>IF($L$10=$AD$8,1,0)</formula>
    </cfRule>
  </conditionalFormatting>
  <conditionalFormatting sqref="C25:Q25">
    <cfRule type="expression" dxfId="42" priority="4">
      <formula>IF($L$11=$AD$11,1,0)</formula>
    </cfRule>
  </conditionalFormatting>
  <conditionalFormatting sqref="S22:AA34">
    <cfRule type="expression" dxfId="41" priority="3">
      <formula>IF($L$11=$AD$11,1,0)</formula>
    </cfRule>
  </conditionalFormatting>
  <conditionalFormatting sqref="FQ14:FU17">
    <cfRule type="expression" dxfId="40" priority="2">
      <formula>$FQ$14&lt;&gt;""</formula>
    </cfRule>
  </conditionalFormatting>
  <dataValidations count="6">
    <dataValidation type="whole" allowBlank="1" showErrorMessage="1" errorTitle="Wind on long face" error="Enter from 0° to 180° in whole numbers." sqref="P23" xr:uid="{00000000-0002-0000-0100-000000000000}">
      <formula1>0</formula1>
      <formula2>180</formula2>
    </dataValidation>
    <dataValidation type="list" allowBlank="1" showInputMessage="1" showErrorMessage="1" sqref="L10:O10" xr:uid="{00000000-0002-0000-0100-000001000000}">
      <formula1>$AD$7:$AD$8</formula1>
    </dataValidation>
    <dataValidation type="list" allowBlank="1" showInputMessage="1" showErrorMessage="1" sqref="L11:O11" xr:uid="{00000000-0002-0000-0100-000002000000}">
      <formula1>$AD$10:$AD$11</formula1>
    </dataValidation>
    <dataValidation type="list" allowBlank="1" showInputMessage="1" showErrorMessage="1" sqref="L12:O12" xr:uid="{00000000-0002-0000-0100-000003000000}">
      <formula1>$AD$13:$AD$14</formula1>
    </dataValidation>
    <dataValidation type="list" allowBlank="1" showInputMessage="1" showErrorMessage="1" sqref="J33:Q33" xr:uid="{00000000-0002-0000-0100-000004000000}">
      <formula1>$AD$19:$AD$20</formula1>
    </dataValidation>
    <dataValidation type="list" allowBlank="1" sqref="L9:O9" xr:uid="{00000000-0002-0000-0100-000005000000}">
      <formula1>City_database</formula1>
    </dataValidation>
  </dataValidations>
  <hyperlinks>
    <hyperlink ref="C61" r:id="rId1" xr:uid="{00000000-0004-0000-0100-000000000000}"/>
  </hyperlinks>
  <pageMargins left="0.74803149606299213" right="0.31496062992125984" top="0.74803149606299202" bottom="0.43307086614173229" header="0" footer="0"/>
  <pageSetup paperSize="9" scale="74"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6000000}">
          <x14:formula1>
            <xm:f>Database!$P$15:$P$16</xm:f>
          </x14:formula1>
          <xm:sqref>X9:AA9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FD348"/>
  <sheetViews>
    <sheetView showGridLines="0" topLeftCell="A61" zoomScaleNormal="100" zoomScaleSheetLayoutView="100" workbookViewId="0">
      <selection activeCell="T67" sqref="T67"/>
    </sheetView>
  </sheetViews>
  <sheetFormatPr defaultRowHeight="15"/>
  <cols>
    <col min="1" max="1" width="2.5703125" style="13" customWidth="1"/>
    <col min="2" max="2" width="2" style="13" customWidth="1"/>
    <col min="3" max="3" width="6.140625" style="13" customWidth="1"/>
    <col min="4" max="27" width="4.7109375" style="13" customWidth="1"/>
    <col min="28" max="28" width="2" style="13" customWidth="1"/>
    <col min="29" max="29" width="3" style="13" customWidth="1"/>
    <col min="30" max="33" width="9.140625" style="13" hidden="1" customWidth="1"/>
    <col min="34" max="34" width="2.42578125" style="13" hidden="1" customWidth="1"/>
    <col min="35" max="36" width="9.140625" style="13" hidden="1" customWidth="1"/>
    <col min="37" max="45" width="9.140625" style="43" hidden="1" customWidth="1"/>
    <col min="46" max="46" width="9.140625" style="44" hidden="1" customWidth="1"/>
    <col min="47" max="52" width="9.140625" style="43" hidden="1" customWidth="1"/>
    <col min="53" max="53" width="9.140625" style="45" hidden="1" customWidth="1"/>
    <col min="54" max="159" width="9.140625" style="43" hidden="1" customWidth="1"/>
    <col min="160" max="160" width="9.140625" style="13" hidden="1" customWidth="1"/>
    <col min="161" max="16384" width="9.140625" style="13"/>
  </cols>
  <sheetData>
    <row r="1" spans="1:160" ht="15.75" thickBot="1">
      <c r="A1" s="133"/>
      <c r="B1" s="684" t="s">
        <v>486</v>
      </c>
      <c r="C1" s="684"/>
      <c r="D1" s="684"/>
      <c r="E1" s="684"/>
      <c r="F1" s="684"/>
      <c r="G1" s="684"/>
      <c r="H1" s="684"/>
      <c r="I1" s="684"/>
      <c r="J1" s="684"/>
      <c r="K1" s="684"/>
      <c r="L1" s="684"/>
      <c r="M1" s="684"/>
      <c r="N1" s="684"/>
      <c r="O1" s="684"/>
      <c r="P1" s="684"/>
      <c r="Q1" s="684"/>
      <c r="R1" s="684"/>
      <c r="S1" s="685" t="s">
        <v>487</v>
      </c>
      <c r="T1" s="685"/>
      <c r="U1" s="685"/>
      <c r="V1" s="685"/>
      <c r="W1" s="685"/>
      <c r="X1" s="685"/>
      <c r="Y1" s="685"/>
      <c r="Z1" s="685"/>
      <c r="AA1" s="685"/>
      <c r="AB1" s="685"/>
      <c r="AS1" s="43" t="s">
        <v>213</v>
      </c>
      <c r="FB1" s="45"/>
    </row>
    <row r="2" spans="1:160" ht="29.25" customHeight="1">
      <c r="A2" s="133"/>
      <c r="B2" s="228"/>
      <c r="C2" s="229"/>
      <c r="D2" s="229"/>
      <c r="E2" s="229"/>
      <c r="F2" s="229"/>
      <c r="G2" s="229"/>
      <c r="H2" s="229"/>
      <c r="I2" s="229"/>
      <c r="J2" s="229"/>
      <c r="K2" s="229"/>
      <c r="L2" s="229"/>
      <c r="M2" s="229"/>
      <c r="N2" s="229"/>
      <c r="O2" s="229"/>
      <c r="P2" s="229"/>
      <c r="Q2" s="229"/>
      <c r="R2" s="229"/>
      <c r="S2" s="229"/>
      <c r="T2" s="229"/>
      <c r="U2" s="229"/>
      <c r="V2" s="229"/>
      <c r="W2" s="230"/>
      <c r="X2" s="230"/>
      <c r="Y2" s="231"/>
      <c r="Z2" s="231"/>
      <c r="AA2" s="231"/>
      <c r="AB2" s="232"/>
      <c r="AS2" s="101" t="s">
        <v>193</v>
      </c>
      <c r="AT2" s="102">
        <v>1</v>
      </c>
      <c r="AU2" s="101">
        <v>2</v>
      </c>
      <c r="AV2" s="101">
        <v>3</v>
      </c>
      <c r="AW2" s="101">
        <v>4</v>
      </c>
      <c r="AX2" s="101">
        <v>5</v>
      </c>
      <c r="AY2" s="101">
        <v>6</v>
      </c>
      <c r="AZ2" s="101">
        <v>7</v>
      </c>
      <c r="BA2" s="312">
        <v>8</v>
      </c>
      <c r="BB2" s="101">
        <v>9</v>
      </c>
      <c r="BC2" s="101">
        <v>10</v>
      </c>
      <c r="BD2" s="101">
        <v>11</v>
      </c>
      <c r="BE2" s="101">
        <v>12</v>
      </c>
      <c r="BF2" s="101">
        <v>13</v>
      </c>
      <c r="BG2" s="101">
        <v>14</v>
      </c>
      <c r="BH2" s="101">
        <v>15</v>
      </c>
      <c r="BI2" s="101">
        <v>16</v>
      </c>
      <c r="BJ2" s="101">
        <v>17</v>
      </c>
      <c r="BK2" s="101">
        <v>18</v>
      </c>
      <c r="BL2" s="101">
        <v>19</v>
      </c>
      <c r="BM2" s="101">
        <v>20</v>
      </c>
      <c r="BN2" s="101">
        <v>21</v>
      </c>
      <c r="BO2" s="101">
        <v>22</v>
      </c>
      <c r="BP2" s="101">
        <v>23</v>
      </c>
      <c r="BQ2" s="101">
        <v>24</v>
      </c>
      <c r="BR2" s="101">
        <v>25</v>
      </c>
      <c r="BS2" s="101">
        <v>26</v>
      </c>
      <c r="BT2" s="101">
        <v>27</v>
      </c>
      <c r="BU2" s="101">
        <v>28</v>
      </c>
      <c r="BV2" s="101">
        <v>29</v>
      </c>
      <c r="BW2" s="101">
        <v>30</v>
      </c>
      <c r="BX2" s="101">
        <v>31</v>
      </c>
      <c r="BY2" s="101">
        <v>32</v>
      </c>
      <c r="BZ2" s="101">
        <v>33</v>
      </c>
      <c r="CA2" s="101">
        <v>34</v>
      </c>
      <c r="CB2" s="101">
        <v>35</v>
      </c>
      <c r="CC2" s="101">
        <v>36</v>
      </c>
      <c r="CD2" s="101">
        <v>37</v>
      </c>
      <c r="CE2" s="101">
        <v>38</v>
      </c>
      <c r="CF2" s="101">
        <v>39</v>
      </c>
      <c r="CG2" s="101">
        <v>40</v>
      </c>
      <c r="CH2" s="101">
        <v>41</v>
      </c>
      <c r="CI2" s="101">
        <v>42</v>
      </c>
      <c r="CJ2" s="101">
        <v>43</v>
      </c>
      <c r="CK2" s="101">
        <v>44</v>
      </c>
      <c r="CL2" s="101">
        <v>45</v>
      </c>
      <c r="CM2" s="101">
        <v>46</v>
      </c>
      <c r="CN2" s="101">
        <v>47</v>
      </c>
      <c r="CO2" s="101">
        <v>48</v>
      </c>
      <c r="CP2" s="101">
        <v>49</v>
      </c>
      <c r="CQ2" s="101">
        <v>50</v>
      </c>
      <c r="CR2" s="101">
        <v>51</v>
      </c>
      <c r="CS2" s="101">
        <v>52</v>
      </c>
      <c r="CT2" s="101">
        <v>53</v>
      </c>
      <c r="CU2" s="101">
        <v>54</v>
      </c>
      <c r="CV2" s="101">
        <v>55</v>
      </c>
      <c r="CW2" s="101">
        <v>56</v>
      </c>
      <c r="CX2" s="101">
        <v>57</v>
      </c>
      <c r="CY2" s="101">
        <v>58</v>
      </c>
      <c r="CZ2" s="101">
        <v>59</v>
      </c>
      <c r="DA2" s="101">
        <v>60</v>
      </c>
      <c r="DB2" s="101">
        <v>61</v>
      </c>
      <c r="DC2" s="101">
        <v>62</v>
      </c>
      <c r="DD2" s="101">
        <v>63</v>
      </c>
      <c r="DE2" s="101">
        <v>64</v>
      </c>
      <c r="DF2" s="101">
        <v>65</v>
      </c>
      <c r="DG2" s="101">
        <v>66</v>
      </c>
      <c r="DH2" s="101">
        <v>67</v>
      </c>
      <c r="DI2" s="101">
        <v>68</v>
      </c>
      <c r="DJ2" s="101">
        <v>69</v>
      </c>
      <c r="DK2" s="101">
        <v>70</v>
      </c>
      <c r="DL2" s="101">
        <v>71</v>
      </c>
      <c r="DM2" s="101">
        <v>72</v>
      </c>
      <c r="DN2" s="101">
        <v>73</v>
      </c>
      <c r="DO2" s="101">
        <v>74</v>
      </c>
      <c r="DP2" s="101">
        <v>75</v>
      </c>
      <c r="DQ2" s="101">
        <v>76</v>
      </c>
      <c r="DR2" s="101">
        <v>77</v>
      </c>
      <c r="DS2" s="101">
        <v>78</v>
      </c>
      <c r="DT2" s="101">
        <v>79</v>
      </c>
      <c r="DU2" s="101">
        <v>80</v>
      </c>
      <c r="DV2" s="101">
        <v>81</v>
      </c>
      <c r="DW2" s="101">
        <v>82</v>
      </c>
      <c r="DX2" s="101">
        <v>83</v>
      </c>
      <c r="DY2" s="101">
        <v>84</v>
      </c>
      <c r="DZ2" s="101">
        <v>85</v>
      </c>
      <c r="EA2" s="101">
        <v>86</v>
      </c>
      <c r="EB2" s="101">
        <v>87</v>
      </c>
      <c r="EC2" s="101">
        <v>88</v>
      </c>
      <c r="ED2" s="101">
        <v>89</v>
      </c>
      <c r="EE2" s="101">
        <v>90</v>
      </c>
      <c r="EF2" s="101">
        <v>91</v>
      </c>
      <c r="EG2" s="101">
        <v>92</v>
      </c>
      <c r="EH2" s="101">
        <v>93</v>
      </c>
      <c r="EI2" s="101">
        <v>94</v>
      </c>
      <c r="EJ2" s="101">
        <v>95</v>
      </c>
      <c r="EK2" s="101">
        <v>96</v>
      </c>
      <c r="EL2" s="101">
        <v>97</v>
      </c>
      <c r="EM2" s="101">
        <v>98</v>
      </c>
      <c r="EN2" s="101">
        <v>99</v>
      </c>
      <c r="EO2" s="101">
        <v>100</v>
      </c>
      <c r="EP2" s="101">
        <v>101</v>
      </c>
      <c r="EQ2" s="101">
        <v>102</v>
      </c>
      <c r="ER2" s="101">
        <v>103</v>
      </c>
      <c r="ES2" s="101">
        <v>104</v>
      </c>
      <c r="ET2" s="101">
        <v>105</v>
      </c>
      <c r="EU2" s="101">
        <v>106</v>
      </c>
      <c r="EV2" s="101">
        <v>107</v>
      </c>
      <c r="EW2" s="101">
        <v>108</v>
      </c>
      <c r="EX2" s="101">
        <v>109</v>
      </c>
      <c r="EY2" s="101">
        <v>110</v>
      </c>
      <c r="EZ2" s="101">
        <v>111</v>
      </c>
      <c r="FB2" s="103">
        <v>113</v>
      </c>
      <c r="FD2" s="103">
        <v>115</v>
      </c>
    </row>
    <row r="3" spans="1:160" ht="19.5" customHeight="1">
      <c r="A3" s="133"/>
      <c r="B3" s="196"/>
      <c r="C3" s="233"/>
      <c r="D3" s="233"/>
      <c r="E3" s="233"/>
      <c r="F3" s="233"/>
      <c r="G3" s="233"/>
      <c r="H3" s="233"/>
      <c r="I3" s="233"/>
      <c r="J3" s="233"/>
      <c r="K3" s="233"/>
      <c r="L3" s="233"/>
      <c r="M3" s="233"/>
      <c r="N3" s="233"/>
      <c r="O3" s="233"/>
      <c r="P3" s="233"/>
      <c r="Q3" s="233"/>
      <c r="R3" s="233"/>
      <c r="S3" s="233"/>
      <c r="T3" s="233"/>
      <c r="U3" s="233"/>
      <c r="V3" s="233"/>
      <c r="W3" s="197"/>
      <c r="X3" s="197"/>
      <c r="Y3" s="234"/>
      <c r="Z3" s="234"/>
      <c r="AA3" s="234"/>
      <c r="AB3" s="198"/>
      <c r="AN3" s="183"/>
      <c r="AO3" s="183"/>
      <c r="AS3" s="600" t="s">
        <v>191</v>
      </c>
      <c r="AT3" s="104"/>
      <c r="AU3" s="104">
        <v>2</v>
      </c>
      <c r="AV3" s="104">
        <v>2.0939999999999999</v>
      </c>
      <c r="AW3" s="104">
        <v>2.1930000000000001</v>
      </c>
      <c r="AX3" s="104">
        <v>2.2959999999999998</v>
      </c>
      <c r="AY3" s="104">
        <v>2.4049999999999998</v>
      </c>
      <c r="AZ3" s="104">
        <v>2.5179999999999998</v>
      </c>
      <c r="BA3" s="313">
        <v>2.637</v>
      </c>
      <c r="BB3" s="104">
        <v>2.7610000000000001</v>
      </c>
      <c r="BC3" s="104">
        <v>2.891</v>
      </c>
      <c r="BD3" s="104">
        <v>3.0270000000000001</v>
      </c>
      <c r="BE3" s="104">
        <v>3.17</v>
      </c>
      <c r="BF3" s="104">
        <v>3.319</v>
      </c>
      <c r="BG3" s="104">
        <v>3.476</v>
      </c>
      <c r="BH3" s="104">
        <v>3.6389999999999998</v>
      </c>
      <c r="BI3" s="104">
        <v>3.8109999999999999</v>
      </c>
      <c r="BJ3" s="104">
        <v>3.9910000000000001</v>
      </c>
      <c r="BK3" s="104">
        <v>4.1790000000000003</v>
      </c>
      <c r="BL3" s="104">
        <v>4.3760000000000003</v>
      </c>
      <c r="BM3" s="104">
        <v>4.5819999999999999</v>
      </c>
      <c r="BN3" s="104">
        <v>4.798</v>
      </c>
      <c r="BO3" s="104">
        <v>5.024</v>
      </c>
      <c r="BP3" s="104">
        <v>5.2610000000000001</v>
      </c>
      <c r="BQ3" s="104">
        <v>5.508</v>
      </c>
      <c r="BR3" s="104">
        <v>5.7679999999999998</v>
      </c>
      <c r="BS3" s="104">
        <v>6.04</v>
      </c>
      <c r="BT3" s="104">
        <v>6.3250000000000002</v>
      </c>
      <c r="BU3" s="104">
        <v>6.6230000000000002</v>
      </c>
      <c r="BV3" s="104">
        <v>6.9349999999999996</v>
      </c>
      <c r="BW3" s="104">
        <v>7.2619999999999996</v>
      </c>
      <c r="BX3" s="104">
        <v>7.6040000000000001</v>
      </c>
      <c r="BY3" s="104">
        <v>7.9619999999999997</v>
      </c>
      <c r="BZ3" s="104">
        <v>8.3369999999999997</v>
      </c>
      <c r="CA3" s="104">
        <v>8.73</v>
      </c>
      <c r="CB3" s="104">
        <v>9.1419999999999995</v>
      </c>
      <c r="CC3" s="104">
        <v>9.5730000000000004</v>
      </c>
      <c r="CD3" s="104">
        <v>10.023999999999999</v>
      </c>
      <c r="CE3" s="104">
        <v>10.496</v>
      </c>
      <c r="CF3" s="104">
        <v>10.991</v>
      </c>
      <c r="CG3" s="104">
        <v>11.509</v>
      </c>
      <c r="CH3" s="104">
        <v>12.051</v>
      </c>
      <c r="CI3" s="104">
        <v>12.619</v>
      </c>
      <c r="CJ3" s="104">
        <v>13.214</v>
      </c>
      <c r="CK3" s="104">
        <v>13.837</v>
      </c>
      <c r="CL3" s="104">
        <v>14.489000000000001</v>
      </c>
      <c r="CM3" s="104">
        <v>15.172000000000001</v>
      </c>
      <c r="CN3" s="104">
        <v>15.887</v>
      </c>
      <c r="CO3" s="104">
        <v>16.635000000000002</v>
      </c>
      <c r="CP3" s="104">
        <v>17.419</v>
      </c>
      <c r="CQ3" s="104">
        <v>18.239999999999998</v>
      </c>
      <c r="CR3" s="104">
        <v>19.100000000000001</v>
      </c>
      <c r="CS3" s="104">
        <v>20</v>
      </c>
      <c r="CT3" s="104">
        <v>20.943000000000001</v>
      </c>
      <c r="CU3" s="104">
        <v>21.93</v>
      </c>
      <c r="CV3" s="104">
        <v>22.963000000000001</v>
      </c>
      <c r="CW3" s="104">
        <v>24.045000000000002</v>
      </c>
      <c r="CX3" s="104">
        <v>25.178999999999998</v>
      </c>
      <c r="CY3" s="104">
        <v>26.364999999999998</v>
      </c>
      <c r="CZ3" s="104">
        <v>27.608000000000001</v>
      </c>
      <c r="DA3" s="104">
        <v>28.908999999999999</v>
      </c>
      <c r="DB3" s="104">
        <v>30.271000000000001</v>
      </c>
      <c r="DC3" s="104">
        <v>31.698</v>
      </c>
      <c r="DD3" s="104">
        <v>33.192</v>
      </c>
      <c r="DE3" s="104">
        <v>34.756</v>
      </c>
      <c r="DF3" s="104">
        <v>36.393999999999998</v>
      </c>
      <c r="DG3" s="104">
        <v>38.109000000000002</v>
      </c>
      <c r="DH3" s="104">
        <v>39.905000000000001</v>
      </c>
      <c r="DI3" s="104">
        <v>41.786000000000001</v>
      </c>
      <c r="DJ3" s="104">
        <v>43.755000000000003</v>
      </c>
      <c r="DK3" s="104">
        <v>45.817</v>
      </c>
      <c r="DL3" s="104">
        <v>47.976999999999997</v>
      </c>
      <c r="DM3" s="104">
        <v>50.238</v>
      </c>
      <c r="DN3" s="104">
        <v>52.604999999999997</v>
      </c>
      <c r="DO3" s="104">
        <v>55.085000000000001</v>
      </c>
      <c r="DP3" s="104">
        <v>57.680999999999997</v>
      </c>
      <c r="DQ3" s="104">
        <v>60.399000000000001</v>
      </c>
      <c r="DR3" s="104">
        <v>63.246000000000002</v>
      </c>
      <c r="DS3" s="104">
        <v>66.225999999999999</v>
      </c>
      <c r="DT3" s="104">
        <v>69.346999999999994</v>
      </c>
      <c r="DU3" s="104">
        <v>72.616</v>
      </c>
      <c r="DV3" s="104">
        <v>76.037999999999997</v>
      </c>
      <c r="DW3" s="104">
        <v>79.620999999999995</v>
      </c>
      <c r="DX3" s="104">
        <v>83.373999999999995</v>
      </c>
      <c r="DY3" s="104">
        <v>87.302999999999997</v>
      </c>
      <c r="DZ3" s="104">
        <v>91.418000000000006</v>
      </c>
      <c r="EA3" s="104">
        <v>95.725999999999999</v>
      </c>
      <c r="EB3" s="104">
        <v>100.23699999999999</v>
      </c>
      <c r="EC3" s="104">
        <v>104.961</v>
      </c>
      <c r="ED3" s="104">
        <v>109.908</v>
      </c>
      <c r="EE3" s="104">
        <v>115.08799999999999</v>
      </c>
      <c r="EF3" s="104">
        <v>120.512</v>
      </c>
      <c r="EG3" s="104">
        <v>126.191</v>
      </c>
      <c r="EH3" s="104">
        <v>132.13900000000001</v>
      </c>
      <c r="EI3" s="104">
        <v>138.36600000000001</v>
      </c>
      <c r="EJ3" s="104">
        <v>144.887</v>
      </c>
      <c r="EK3" s="104">
        <v>151.71600000000001</v>
      </c>
      <c r="EL3" s="104">
        <v>158.86600000000001</v>
      </c>
      <c r="EM3" s="104">
        <v>166.35300000000001</v>
      </c>
      <c r="EN3" s="104">
        <v>174.19300000000001</v>
      </c>
      <c r="EO3" s="104">
        <v>182.40199999999999</v>
      </c>
      <c r="EP3" s="104">
        <v>190.999</v>
      </c>
      <c r="EQ3" s="104">
        <v>200</v>
      </c>
      <c r="ER3" s="104">
        <v>209.42599999999999</v>
      </c>
      <c r="ES3" s="104">
        <v>219.29599999999999</v>
      </c>
      <c r="ET3" s="104">
        <v>229.631</v>
      </c>
      <c r="EU3" s="104">
        <v>240.453</v>
      </c>
      <c r="EV3" s="104">
        <v>251.785</v>
      </c>
      <c r="EW3" s="104">
        <v>263.65100000000001</v>
      </c>
      <c r="EX3" s="104">
        <v>276.077</v>
      </c>
      <c r="EY3" s="104">
        <v>289.08800000000002</v>
      </c>
      <c r="EZ3" s="105">
        <v>302.71199999999999</v>
      </c>
      <c r="FB3" s="50"/>
    </row>
    <row r="4" spans="1:160" ht="20.100000000000001" customHeight="1">
      <c r="A4" s="133"/>
      <c r="B4" s="196"/>
      <c r="C4" s="240"/>
      <c r="D4" s="240"/>
      <c r="E4" s="233"/>
      <c r="F4" s="233"/>
      <c r="G4" s="233"/>
      <c r="H4" s="233"/>
      <c r="I4" s="233"/>
      <c r="J4" s="233"/>
      <c r="K4" s="233"/>
      <c r="L4" s="233"/>
      <c r="M4" s="233"/>
      <c r="N4" s="233"/>
      <c r="O4" s="233"/>
      <c r="P4" s="233"/>
      <c r="Q4" s="197"/>
      <c r="R4" s="197"/>
      <c r="S4" s="197"/>
      <c r="T4" s="197"/>
      <c r="U4" s="197"/>
      <c r="V4" s="197"/>
      <c r="W4" s="240"/>
      <c r="X4" s="197"/>
      <c r="Y4" s="234"/>
      <c r="Z4" s="234"/>
      <c r="AA4" s="234"/>
      <c r="AB4" s="198"/>
      <c r="AN4" s="183"/>
      <c r="AO4" s="183"/>
      <c r="AS4" s="600"/>
      <c r="AT4" s="104">
        <v>0.1</v>
      </c>
      <c r="AU4" s="8">
        <v>2</v>
      </c>
      <c r="AV4" s="8">
        <v>2</v>
      </c>
      <c r="AW4" s="8">
        <v>2</v>
      </c>
      <c r="AX4" s="8">
        <v>2</v>
      </c>
      <c r="AY4" s="8">
        <v>2</v>
      </c>
      <c r="AZ4" s="8">
        <v>2</v>
      </c>
      <c r="BA4" s="314">
        <v>1</v>
      </c>
      <c r="BB4" s="315">
        <v>1</v>
      </c>
      <c r="BC4" s="315">
        <v>1</v>
      </c>
      <c r="BD4" s="315">
        <v>1</v>
      </c>
      <c r="BE4" s="315">
        <v>1</v>
      </c>
      <c r="BF4" s="315">
        <v>1</v>
      </c>
      <c r="BG4" s="315">
        <v>1</v>
      </c>
      <c r="BH4" s="315">
        <v>1</v>
      </c>
      <c r="BI4" s="315">
        <v>1</v>
      </c>
      <c r="BJ4" s="315">
        <v>1</v>
      </c>
      <c r="BK4" s="315">
        <v>1</v>
      </c>
      <c r="BL4" s="315">
        <v>1</v>
      </c>
      <c r="BM4" s="315">
        <v>1</v>
      </c>
      <c r="BN4" s="315">
        <v>1</v>
      </c>
      <c r="BO4" s="315">
        <v>1</v>
      </c>
      <c r="BP4" s="315">
        <v>1</v>
      </c>
      <c r="BQ4" s="315">
        <v>1</v>
      </c>
      <c r="BR4" s="315">
        <v>1</v>
      </c>
      <c r="BS4" s="315">
        <v>1</v>
      </c>
      <c r="BT4" s="315">
        <v>1</v>
      </c>
      <c r="BU4" s="315">
        <v>1</v>
      </c>
      <c r="BV4" s="315">
        <v>1</v>
      </c>
      <c r="BW4" s="315">
        <v>1</v>
      </c>
      <c r="BX4" s="315">
        <v>1</v>
      </c>
      <c r="BY4" s="315">
        <v>1</v>
      </c>
      <c r="BZ4" s="315">
        <v>1</v>
      </c>
      <c r="CA4" s="315">
        <v>1</v>
      </c>
      <c r="CB4" s="315">
        <v>1</v>
      </c>
      <c r="CC4" s="315">
        <v>1</v>
      </c>
      <c r="CD4" s="315">
        <v>1</v>
      </c>
      <c r="CE4" s="315">
        <v>1</v>
      </c>
      <c r="CF4" s="315">
        <v>1</v>
      </c>
      <c r="CG4" s="315">
        <v>1</v>
      </c>
      <c r="CH4" s="315">
        <v>1</v>
      </c>
      <c r="CI4" s="315">
        <v>1</v>
      </c>
      <c r="CJ4" s="315">
        <v>1</v>
      </c>
      <c r="CK4" s="315">
        <v>1</v>
      </c>
      <c r="CL4" s="315">
        <v>1</v>
      </c>
      <c r="CM4" s="315">
        <v>1</v>
      </c>
      <c r="CN4" s="315">
        <v>1</v>
      </c>
      <c r="CO4" s="315">
        <v>1</v>
      </c>
      <c r="CP4" s="315">
        <v>1</v>
      </c>
      <c r="CQ4" s="315">
        <v>1</v>
      </c>
      <c r="CR4" s="315">
        <v>1</v>
      </c>
      <c r="CS4" s="315">
        <v>1</v>
      </c>
      <c r="CT4" s="315">
        <v>1</v>
      </c>
      <c r="CU4" s="315">
        <v>1</v>
      </c>
      <c r="CV4" s="315">
        <v>1</v>
      </c>
      <c r="CW4" s="315">
        <v>1</v>
      </c>
      <c r="CX4" s="315">
        <v>1</v>
      </c>
      <c r="CY4" s="315">
        <v>1</v>
      </c>
      <c r="CZ4" s="315">
        <v>1</v>
      </c>
      <c r="DA4" s="315">
        <v>1</v>
      </c>
      <c r="DB4" s="315">
        <v>1</v>
      </c>
      <c r="DC4" s="315">
        <v>1</v>
      </c>
      <c r="DD4" s="315">
        <v>1</v>
      </c>
      <c r="DE4" s="315">
        <v>1</v>
      </c>
      <c r="DF4" s="315">
        <v>1</v>
      </c>
      <c r="DG4" s="315">
        <v>1</v>
      </c>
      <c r="DH4" s="315">
        <v>1</v>
      </c>
      <c r="DI4" s="315">
        <v>1</v>
      </c>
      <c r="DJ4" s="315">
        <v>1</v>
      </c>
      <c r="DK4" s="315">
        <v>1</v>
      </c>
      <c r="DL4" s="315">
        <v>1</v>
      </c>
      <c r="DM4" s="315">
        <v>1</v>
      </c>
      <c r="DN4" s="315">
        <v>1</v>
      </c>
      <c r="DO4" s="315">
        <v>1</v>
      </c>
      <c r="DP4" s="315">
        <v>1</v>
      </c>
      <c r="DQ4" s="315">
        <v>1</v>
      </c>
      <c r="DR4" s="315">
        <v>1</v>
      </c>
      <c r="DS4" s="315">
        <v>1</v>
      </c>
      <c r="DT4" s="315">
        <v>1</v>
      </c>
      <c r="DU4" s="315">
        <v>1</v>
      </c>
      <c r="DV4" s="315">
        <v>1</v>
      </c>
      <c r="DW4" s="315">
        <v>1</v>
      </c>
      <c r="DX4" s="315">
        <v>1</v>
      </c>
      <c r="DY4" s="315">
        <v>1</v>
      </c>
      <c r="DZ4" s="315">
        <v>1</v>
      </c>
      <c r="EA4" s="315">
        <v>1</v>
      </c>
      <c r="EB4" s="315">
        <v>1</v>
      </c>
      <c r="EC4" s="315">
        <v>1</v>
      </c>
      <c r="ED4" s="315">
        <v>1</v>
      </c>
      <c r="EE4" s="315">
        <v>1</v>
      </c>
      <c r="EF4" s="315">
        <v>1</v>
      </c>
      <c r="EG4" s="315">
        <v>1</v>
      </c>
      <c r="EH4" s="315">
        <v>1</v>
      </c>
      <c r="EI4" s="315">
        <v>1</v>
      </c>
      <c r="EJ4" s="315">
        <v>1</v>
      </c>
      <c r="EK4" s="315">
        <v>1</v>
      </c>
      <c r="EL4" s="315">
        <v>1</v>
      </c>
      <c r="EM4" s="315">
        <v>1</v>
      </c>
      <c r="EN4" s="315">
        <v>1</v>
      </c>
      <c r="EO4" s="315">
        <v>1</v>
      </c>
      <c r="EP4" s="315">
        <v>1</v>
      </c>
      <c r="EQ4" s="315">
        <v>1</v>
      </c>
      <c r="ER4" s="315">
        <v>1</v>
      </c>
      <c r="ES4" s="315">
        <v>1</v>
      </c>
      <c r="ET4" s="315">
        <v>1</v>
      </c>
      <c r="EU4" s="315">
        <v>1</v>
      </c>
      <c r="EV4" s="315">
        <v>1</v>
      </c>
      <c r="EW4" s="315">
        <v>1</v>
      </c>
      <c r="EX4" s="315">
        <v>1</v>
      </c>
      <c r="EY4" s="315">
        <v>1</v>
      </c>
      <c r="EZ4" s="315">
        <v>1</v>
      </c>
      <c r="FB4" s="50">
        <f>HLOOKUP(M16,$AU$3:$EZ$104,2,TRUE)</f>
        <v>1</v>
      </c>
      <c r="FD4" s="50">
        <f>HLOOKUP(AL42,$AU$3:$EZ$104,2,TRUE)</f>
        <v>1</v>
      </c>
    </row>
    <row r="5" spans="1:160" ht="20.100000000000001" customHeight="1">
      <c r="A5" s="133"/>
      <c r="B5" s="196"/>
      <c r="C5" s="240"/>
      <c r="D5" s="240"/>
      <c r="E5" s="197"/>
      <c r="F5" s="197"/>
      <c r="G5" s="197"/>
      <c r="H5" s="197"/>
      <c r="I5" s="197"/>
      <c r="J5" s="197"/>
      <c r="K5" s="197"/>
      <c r="L5" s="197"/>
      <c r="M5" s="197"/>
      <c r="N5" s="197"/>
      <c r="O5" s="197"/>
      <c r="P5" s="197"/>
      <c r="Q5" s="240"/>
      <c r="R5" s="240"/>
      <c r="S5" s="197"/>
      <c r="T5" s="197"/>
      <c r="U5" s="197"/>
      <c r="V5" s="197"/>
      <c r="W5" s="240"/>
      <c r="X5" s="197"/>
      <c r="Y5" s="241"/>
      <c r="Z5" s="241"/>
      <c r="AA5" s="241"/>
      <c r="AB5" s="242"/>
      <c r="AN5" s="183"/>
      <c r="AO5" s="183"/>
      <c r="AS5" s="600"/>
      <c r="AT5" s="104">
        <v>0.107</v>
      </c>
      <c r="AU5" s="8">
        <v>2</v>
      </c>
      <c r="AV5" s="8">
        <v>2</v>
      </c>
      <c r="AW5" s="8">
        <v>2</v>
      </c>
      <c r="AX5" s="8">
        <v>2</v>
      </c>
      <c r="AY5" s="8">
        <v>2</v>
      </c>
      <c r="AZ5" s="8">
        <v>2</v>
      </c>
      <c r="BA5" s="314">
        <v>1</v>
      </c>
      <c r="BB5" s="315">
        <v>1</v>
      </c>
      <c r="BC5" s="315">
        <v>1</v>
      </c>
      <c r="BD5" s="315">
        <v>1</v>
      </c>
      <c r="BE5" s="315">
        <v>1</v>
      </c>
      <c r="BF5" s="315">
        <v>1</v>
      </c>
      <c r="BG5" s="315">
        <v>1</v>
      </c>
      <c r="BH5" s="315">
        <v>1</v>
      </c>
      <c r="BI5" s="315">
        <v>1</v>
      </c>
      <c r="BJ5" s="315">
        <v>1</v>
      </c>
      <c r="BK5" s="315">
        <v>1</v>
      </c>
      <c r="BL5" s="315">
        <v>1</v>
      </c>
      <c r="BM5" s="315">
        <v>1</v>
      </c>
      <c r="BN5" s="315">
        <v>1</v>
      </c>
      <c r="BO5" s="315">
        <v>1</v>
      </c>
      <c r="BP5" s="315">
        <v>1</v>
      </c>
      <c r="BQ5" s="315">
        <v>1</v>
      </c>
      <c r="BR5" s="315">
        <v>1</v>
      </c>
      <c r="BS5" s="315">
        <v>1</v>
      </c>
      <c r="BT5" s="315">
        <v>1</v>
      </c>
      <c r="BU5" s="315">
        <v>1</v>
      </c>
      <c r="BV5" s="315">
        <v>1</v>
      </c>
      <c r="BW5" s="315">
        <v>1</v>
      </c>
      <c r="BX5" s="315">
        <v>1</v>
      </c>
      <c r="BY5" s="315">
        <v>1</v>
      </c>
      <c r="BZ5" s="315">
        <v>1</v>
      </c>
      <c r="CA5" s="315">
        <v>1</v>
      </c>
      <c r="CB5" s="315">
        <v>1</v>
      </c>
      <c r="CC5" s="315">
        <v>1</v>
      </c>
      <c r="CD5" s="315">
        <v>1</v>
      </c>
      <c r="CE5" s="315">
        <v>1</v>
      </c>
      <c r="CF5" s="315">
        <v>1</v>
      </c>
      <c r="CG5" s="315">
        <v>1</v>
      </c>
      <c r="CH5" s="315">
        <v>1</v>
      </c>
      <c r="CI5" s="315">
        <v>1</v>
      </c>
      <c r="CJ5" s="315">
        <v>1</v>
      </c>
      <c r="CK5" s="315">
        <v>1</v>
      </c>
      <c r="CL5" s="315">
        <v>1</v>
      </c>
      <c r="CM5" s="315">
        <v>1</v>
      </c>
      <c r="CN5" s="315">
        <v>1</v>
      </c>
      <c r="CO5" s="315">
        <v>1</v>
      </c>
      <c r="CP5" s="315">
        <v>1</v>
      </c>
      <c r="CQ5" s="315">
        <v>1</v>
      </c>
      <c r="CR5" s="315">
        <v>1</v>
      </c>
      <c r="CS5" s="315">
        <v>1</v>
      </c>
      <c r="CT5" s="315">
        <v>1</v>
      </c>
      <c r="CU5" s="315">
        <v>1</v>
      </c>
      <c r="CV5" s="315">
        <v>1</v>
      </c>
      <c r="CW5" s="315">
        <v>1</v>
      </c>
      <c r="CX5" s="315">
        <v>1</v>
      </c>
      <c r="CY5" s="315">
        <v>1</v>
      </c>
      <c r="CZ5" s="315">
        <v>1</v>
      </c>
      <c r="DA5" s="315">
        <v>1</v>
      </c>
      <c r="DB5" s="315">
        <v>1</v>
      </c>
      <c r="DC5" s="315">
        <v>1</v>
      </c>
      <c r="DD5" s="315">
        <v>1</v>
      </c>
      <c r="DE5" s="315">
        <v>1</v>
      </c>
      <c r="DF5" s="315">
        <v>1</v>
      </c>
      <c r="DG5" s="315">
        <v>1</v>
      </c>
      <c r="DH5" s="315">
        <v>1</v>
      </c>
      <c r="DI5" s="315">
        <v>1</v>
      </c>
      <c r="DJ5" s="315">
        <v>1</v>
      </c>
      <c r="DK5" s="315">
        <v>1</v>
      </c>
      <c r="DL5" s="315">
        <v>1</v>
      </c>
      <c r="DM5" s="315">
        <v>1</v>
      </c>
      <c r="DN5" s="315">
        <v>1</v>
      </c>
      <c r="DO5" s="315">
        <v>1</v>
      </c>
      <c r="DP5" s="315">
        <v>1</v>
      </c>
      <c r="DQ5" s="315">
        <v>1</v>
      </c>
      <c r="DR5" s="315">
        <v>1</v>
      </c>
      <c r="DS5" s="315">
        <v>1</v>
      </c>
      <c r="DT5" s="315">
        <v>1</v>
      </c>
      <c r="DU5" s="315">
        <v>1</v>
      </c>
      <c r="DV5" s="315">
        <v>1</v>
      </c>
      <c r="DW5" s="315">
        <v>1</v>
      </c>
      <c r="DX5" s="315">
        <v>1</v>
      </c>
      <c r="DY5" s="315">
        <v>1</v>
      </c>
      <c r="DZ5" s="315">
        <v>1</v>
      </c>
      <c r="EA5" s="315">
        <v>1</v>
      </c>
      <c r="EB5" s="315">
        <v>1</v>
      </c>
      <c r="EC5" s="315">
        <v>1</v>
      </c>
      <c r="ED5" s="315">
        <v>1</v>
      </c>
      <c r="EE5" s="315">
        <v>1</v>
      </c>
      <c r="EF5" s="315">
        <v>1</v>
      </c>
      <c r="EG5" s="315">
        <v>1</v>
      </c>
      <c r="EH5" s="315">
        <v>1</v>
      </c>
      <c r="EI5" s="315">
        <v>1</v>
      </c>
      <c r="EJ5" s="315">
        <v>1</v>
      </c>
      <c r="EK5" s="315">
        <v>1</v>
      </c>
      <c r="EL5" s="315">
        <v>1</v>
      </c>
      <c r="EM5" s="315">
        <v>1</v>
      </c>
      <c r="EN5" s="315">
        <v>1</v>
      </c>
      <c r="EO5" s="315">
        <v>1</v>
      </c>
      <c r="EP5" s="315">
        <v>1</v>
      </c>
      <c r="EQ5" s="315">
        <v>1</v>
      </c>
      <c r="ER5" s="315">
        <v>1</v>
      </c>
      <c r="ES5" s="315">
        <v>1</v>
      </c>
      <c r="ET5" s="315">
        <v>1</v>
      </c>
      <c r="EU5" s="315">
        <v>1</v>
      </c>
      <c r="EV5" s="315">
        <v>1</v>
      </c>
      <c r="EW5" s="315">
        <v>1</v>
      </c>
      <c r="EX5" s="315">
        <v>1</v>
      </c>
      <c r="EY5" s="315">
        <v>1</v>
      </c>
      <c r="EZ5" s="315">
        <v>1</v>
      </c>
      <c r="FB5" s="50">
        <f>HLOOKUP(M16,$AU$3:$EZ$104,3,TRUE)</f>
        <v>1</v>
      </c>
      <c r="FD5" s="50">
        <f>HLOOKUP(AL42,$AU$3:$EZ$104,3,TRUE)</f>
        <v>1</v>
      </c>
    </row>
    <row r="6" spans="1:160" ht="17.100000000000001" customHeight="1">
      <c r="A6" s="133"/>
      <c r="B6" s="196"/>
      <c r="C6" s="197"/>
      <c r="D6" s="197"/>
      <c r="E6" s="197"/>
      <c r="F6" s="197"/>
      <c r="G6" s="197"/>
      <c r="H6" s="197"/>
      <c r="I6" s="197"/>
      <c r="J6" s="197"/>
      <c r="K6" s="197"/>
      <c r="L6" s="197"/>
      <c r="M6" s="197"/>
      <c r="N6" s="197"/>
      <c r="O6" s="197"/>
      <c r="P6" s="197"/>
      <c r="Q6" s="197"/>
      <c r="R6" s="197"/>
      <c r="S6" s="197"/>
      <c r="T6" s="197"/>
      <c r="U6" s="197"/>
      <c r="V6" s="197"/>
      <c r="W6" s="197"/>
      <c r="X6" s="197"/>
      <c r="Y6" s="197"/>
      <c r="Z6" s="197"/>
      <c r="AA6" s="197"/>
      <c r="AB6" s="198"/>
      <c r="AS6" s="600"/>
      <c r="AT6" s="104">
        <v>0.115</v>
      </c>
      <c r="AU6" s="8">
        <v>2</v>
      </c>
      <c r="AV6" s="8">
        <v>2</v>
      </c>
      <c r="AW6" s="8">
        <v>2</v>
      </c>
      <c r="AX6" s="8">
        <v>2</v>
      </c>
      <c r="AY6" s="8">
        <v>2</v>
      </c>
      <c r="AZ6" s="8">
        <v>2</v>
      </c>
      <c r="BA6" s="316">
        <v>2</v>
      </c>
      <c r="BB6" s="315">
        <v>1</v>
      </c>
      <c r="BC6" s="315">
        <v>1</v>
      </c>
      <c r="BD6" s="315">
        <v>1</v>
      </c>
      <c r="BE6" s="315">
        <v>1</v>
      </c>
      <c r="BF6" s="315">
        <v>1</v>
      </c>
      <c r="BG6" s="315">
        <v>1</v>
      </c>
      <c r="BH6" s="315">
        <v>1</v>
      </c>
      <c r="BI6" s="315">
        <v>1</v>
      </c>
      <c r="BJ6" s="315">
        <v>1</v>
      </c>
      <c r="BK6" s="315">
        <v>1</v>
      </c>
      <c r="BL6" s="315">
        <v>1</v>
      </c>
      <c r="BM6" s="315">
        <v>1</v>
      </c>
      <c r="BN6" s="315">
        <v>1</v>
      </c>
      <c r="BO6" s="315">
        <v>1</v>
      </c>
      <c r="BP6" s="315">
        <v>1</v>
      </c>
      <c r="BQ6" s="315">
        <v>1</v>
      </c>
      <c r="BR6" s="315">
        <v>1</v>
      </c>
      <c r="BS6" s="315">
        <v>1</v>
      </c>
      <c r="BT6" s="315">
        <v>1</v>
      </c>
      <c r="BU6" s="315">
        <v>1</v>
      </c>
      <c r="BV6" s="315">
        <v>1</v>
      </c>
      <c r="BW6" s="315">
        <v>1</v>
      </c>
      <c r="BX6" s="315">
        <v>1</v>
      </c>
      <c r="BY6" s="315">
        <v>1</v>
      </c>
      <c r="BZ6" s="315">
        <v>1</v>
      </c>
      <c r="CA6" s="315">
        <v>1</v>
      </c>
      <c r="CB6" s="315">
        <v>1</v>
      </c>
      <c r="CC6" s="315">
        <v>1</v>
      </c>
      <c r="CD6" s="315">
        <v>1</v>
      </c>
      <c r="CE6" s="315">
        <v>1</v>
      </c>
      <c r="CF6" s="315">
        <v>1</v>
      </c>
      <c r="CG6" s="315">
        <v>1</v>
      </c>
      <c r="CH6" s="315">
        <v>1</v>
      </c>
      <c r="CI6" s="315">
        <v>1</v>
      </c>
      <c r="CJ6" s="315">
        <v>1</v>
      </c>
      <c r="CK6" s="315">
        <v>1</v>
      </c>
      <c r="CL6" s="315">
        <v>1</v>
      </c>
      <c r="CM6" s="315">
        <v>1</v>
      </c>
      <c r="CN6" s="315">
        <v>1</v>
      </c>
      <c r="CO6" s="315">
        <v>1</v>
      </c>
      <c r="CP6" s="315">
        <v>1</v>
      </c>
      <c r="CQ6" s="315">
        <v>1</v>
      </c>
      <c r="CR6" s="315">
        <v>1</v>
      </c>
      <c r="CS6" s="315">
        <v>1</v>
      </c>
      <c r="CT6" s="315">
        <v>1</v>
      </c>
      <c r="CU6" s="315">
        <v>1</v>
      </c>
      <c r="CV6" s="315">
        <v>1</v>
      </c>
      <c r="CW6" s="315">
        <v>1</v>
      </c>
      <c r="CX6" s="315">
        <v>1</v>
      </c>
      <c r="CY6" s="315">
        <v>1</v>
      </c>
      <c r="CZ6" s="315">
        <v>1</v>
      </c>
      <c r="DA6" s="315">
        <v>1</v>
      </c>
      <c r="DB6" s="315">
        <v>1</v>
      </c>
      <c r="DC6" s="315">
        <v>1</v>
      </c>
      <c r="DD6" s="315">
        <v>1</v>
      </c>
      <c r="DE6" s="315">
        <v>1</v>
      </c>
      <c r="DF6" s="315">
        <v>1</v>
      </c>
      <c r="DG6" s="315">
        <v>1</v>
      </c>
      <c r="DH6" s="315">
        <v>1</v>
      </c>
      <c r="DI6" s="315">
        <v>1</v>
      </c>
      <c r="DJ6" s="315">
        <v>1</v>
      </c>
      <c r="DK6" s="315">
        <v>1</v>
      </c>
      <c r="DL6" s="315">
        <v>1</v>
      </c>
      <c r="DM6" s="315">
        <v>1</v>
      </c>
      <c r="DN6" s="315">
        <v>1</v>
      </c>
      <c r="DO6" s="315">
        <v>1</v>
      </c>
      <c r="DP6" s="315">
        <v>1</v>
      </c>
      <c r="DQ6" s="315">
        <v>1</v>
      </c>
      <c r="DR6" s="315">
        <v>1</v>
      </c>
      <c r="DS6" s="315">
        <v>1</v>
      </c>
      <c r="DT6" s="315">
        <v>1</v>
      </c>
      <c r="DU6" s="315">
        <v>1</v>
      </c>
      <c r="DV6" s="315">
        <v>1</v>
      </c>
      <c r="DW6" s="315">
        <v>1</v>
      </c>
      <c r="DX6" s="315">
        <v>1</v>
      </c>
      <c r="DY6" s="315">
        <v>1</v>
      </c>
      <c r="DZ6" s="315">
        <v>1</v>
      </c>
      <c r="EA6" s="315">
        <v>1</v>
      </c>
      <c r="EB6" s="315">
        <v>1</v>
      </c>
      <c r="EC6" s="315">
        <v>1</v>
      </c>
      <c r="ED6" s="315">
        <v>1</v>
      </c>
      <c r="EE6" s="315">
        <v>1</v>
      </c>
      <c r="EF6" s="315">
        <v>1</v>
      </c>
      <c r="EG6" s="315">
        <v>1</v>
      </c>
      <c r="EH6" s="315">
        <v>1</v>
      </c>
      <c r="EI6" s="315">
        <v>1</v>
      </c>
      <c r="EJ6" s="315">
        <v>1</v>
      </c>
      <c r="EK6" s="315">
        <v>1</v>
      </c>
      <c r="EL6" s="315">
        <v>1</v>
      </c>
      <c r="EM6" s="315">
        <v>1</v>
      </c>
      <c r="EN6" s="315">
        <v>1</v>
      </c>
      <c r="EO6" s="315">
        <v>1</v>
      </c>
      <c r="EP6" s="315">
        <v>1</v>
      </c>
      <c r="EQ6" s="315">
        <v>1</v>
      </c>
      <c r="ER6" s="315">
        <v>1</v>
      </c>
      <c r="ES6" s="315">
        <v>1</v>
      </c>
      <c r="ET6" s="315">
        <v>1</v>
      </c>
      <c r="EU6" s="315">
        <v>1</v>
      </c>
      <c r="EV6" s="315">
        <v>1</v>
      </c>
      <c r="EW6" s="315">
        <v>1</v>
      </c>
      <c r="EX6" s="315">
        <v>1</v>
      </c>
      <c r="EY6" s="315">
        <v>1</v>
      </c>
      <c r="EZ6" s="315">
        <v>1</v>
      </c>
      <c r="FB6" s="50">
        <f>HLOOKUP(M16,$AU$3:$EZ$104,4,TRUE)</f>
        <v>1</v>
      </c>
      <c r="FD6" s="50">
        <f>HLOOKUP(AL42,$AU$3:$EZ$104,4,TRUE)</f>
        <v>1</v>
      </c>
    </row>
    <row r="7" spans="1:160" ht="17.100000000000001" customHeight="1">
      <c r="B7" s="119"/>
      <c r="C7" s="23"/>
      <c r="D7" s="23"/>
      <c r="E7" s="23"/>
      <c r="F7" s="23"/>
      <c r="G7" s="23"/>
      <c r="H7" s="23"/>
      <c r="I7" s="23"/>
      <c r="J7" s="23"/>
      <c r="K7" s="23"/>
      <c r="L7" s="23"/>
      <c r="M7" s="23"/>
      <c r="N7" s="23"/>
      <c r="O7" s="23"/>
      <c r="P7" s="23"/>
      <c r="Q7" s="23"/>
      <c r="R7" s="23"/>
      <c r="S7" s="23"/>
      <c r="T7" s="23"/>
      <c r="U7" s="23"/>
      <c r="V7" s="23"/>
      <c r="W7" s="23"/>
      <c r="X7" s="23"/>
      <c r="Y7" s="23"/>
      <c r="Z7" s="23"/>
      <c r="AA7" s="23"/>
      <c r="AB7" s="120"/>
      <c r="AS7" s="600"/>
      <c r="AT7" s="104">
        <v>0.123</v>
      </c>
      <c r="AU7" s="8">
        <v>2</v>
      </c>
      <c r="AV7" s="8">
        <v>2</v>
      </c>
      <c r="AW7" s="8">
        <v>2</v>
      </c>
      <c r="AX7" s="8">
        <v>2</v>
      </c>
      <c r="AY7" s="8">
        <v>2</v>
      </c>
      <c r="AZ7" s="8">
        <v>2</v>
      </c>
      <c r="BA7" s="316">
        <v>2</v>
      </c>
      <c r="BB7" s="8">
        <v>2</v>
      </c>
      <c r="BC7" s="8">
        <v>2</v>
      </c>
      <c r="BD7" s="315">
        <v>1</v>
      </c>
      <c r="BE7" s="315">
        <v>1</v>
      </c>
      <c r="BF7" s="315">
        <v>1</v>
      </c>
      <c r="BG7" s="315">
        <v>1</v>
      </c>
      <c r="BH7" s="315">
        <v>1</v>
      </c>
      <c r="BI7" s="315">
        <v>1</v>
      </c>
      <c r="BJ7" s="315">
        <v>1</v>
      </c>
      <c r="BK7" s="315">
        <v>1</v>
      </c>
      <c r="BL7" s="315">
        <v>1</v>
      </c>
      <c r="BM7" s="315">
        <v>1</v>
      </c>
      <c r="BN7" s="315">
        <v>1</v>
      </c>
      <c r="BO7" s="315">
        <v>1</v>
      </c>
      <c r="BP7" s="315">
        <v>1</v>
      </c>
      <c r="BQ7" s="315">
        <v>1</v>
      </c>
      <c r="BR7" s="315">
        <v>1</v>
      </c>
      <c r="BS7" s="315">
        <v>1</v>
      </c>
      <c r="BT7" s="315">
        <v>1</v>
      </c>
      <c r="BU7" s="315">
        <v>1</v>
      </c>
      <c r="BV7" s="315">
        <v>1</v>
      </c>
      <c r="BW7" s="315">
        <v>1</v>
      </c>
      <c r="BX7" s="315">
        <v>1</v>
      </c>
      <c r="BY7" s="315">
        <v>1</v>
      </c>
      <c r="BZ7" s="315">
        <v>1</v>
      </c>
      <c r="CA7" s="315">
        <v>1</v>
      </c>
      <c r="CB7" s="315">
        <v>1</v>
      </c>
      <c r="CC7" s="315">
        <v>1</v>
      </c>
      <c r="CD7" s="315">
        <v>1</v>
      </c>
      <c r="CE7" s="315">
        <v>1</v>
      </c>
      <c r="CF7" s="315">
        <v>1</v>
      </c>
      <c r="CG7" s="315">
        <v>1</v>
      </c>
      <c r="CH7" s="315">
        <v>1</v>
      </c>
      <c r="CI7" s="315">
        <v>1</v>
      </c>
      <c r="CJ7" s="315">
        <v>1</v>
      </c>
      <c r="CK7" s="315">
        <v>1</v>
      </c>
      <c r="CL7" s="315">
        <v>1</v>
      </c>
      <c r="CM7" s="315">
        <v>1</v>
      </c>
      <c r="CN7" s="315">
        <v>1</v>
      </c>
      <c r="CO7" s="315">
        <v>1</v>
      </c>
      <c r="CP7" s="315">
        <v>1</v>
      </c>
      <c r="CQ7" s="315">
        <v>1</v>
      </c>
      <c r="CR7" s="315">
        <v>1</v>
      </c>
      <c r="CS7" s="315">
        <v>1</v>
      </c>
      <c r="CT7" s="315">
        <v>1</v>
      </c>
      <c r="CU7" s="315">
        <v>1</v>
      </c>
      <c r="CV7" s="315">
        <v>1</v>
      </c>
      <c r="CW7" s="315">
        <v>1</v>
      </c>
      <c r="CX7" s="315">
        <v>1</v>
      </c>
      <c r="CY7" s="315">
        <v>1</v>
      </c>
      <c r="CZ7" s="315">
        <v>1</v>
      </c>
      <c r="DA7" s="315">
        <v>1</v>
      </c>
      <c r="DB7" s="315">
        <v>1</v>
      </c>
      <c r="DC7" s="315">
        <v>1</v>
      </c>
      <c r="DD7" s="315">
        <v>1</v>
      </c>
      <c r="DE7" s="315">
        <v>1</v>
      </c>
      <c r="DF7" s="315">
        <v>1</v>
      </c>
      <c r="DG7" s="315">
        <v>1</v>
      </c>
      <c r="DH7" s="315">
        <v>1</v>
      </c>
      <c r="DI7" s="315">
        <v>1</v>
      </c>
      <c r="DJ7" s="315">
        <v>1</v>
      </c>
      <c r="DK7" s="315">
        <v>1</v>
      </c>
      <c r="DL7" s="315">
        <v>1</v>
      </c>
      <c r="DM7" s="315">
        <v>1</v>
      </c>
      <c r="DN7" s="315">
        <v>1</v>
      </c>
      <c r="DO7" s="315">
        <v>1</v>
      </c>
      <c r="DP7" s="315">
        <v>1</v>
      </c>
      <c r="DQ7" s="315">
        <v>1</v>
      </c>
      <c r="DR7" s="315">
        <v>1</v>
      </c>
      <c r="DS7" s="315">
        <v>1</v>
      </c>
      <c r="DT7" s="315">
        <v>1</v>
      </c>
      <c r="DU7" s="315">
        <v>1</v>
      </c>
      <c r="DV7" s="315">
        <v>1</v>
      </c>
      <c r="DW7" s="315">
        <v>1</v>
      </c>
      <c r="DX7" s="315">
        <v>1</v>
      </c>
      <c r="DY7" s="315">
        <v>1</v>
      </c>
      <c r="DZ7" s="315">
        <v>1</v>
      </c>
      <c r="EA7" s="315">
        <v>1</v>
      </c>
      <c r="EB7" s="315">
        <v>1</v>
      </c>
      <c r="EC7" s="315">
        <v>1</v>
      </c>
      <c r="ED7" s="315">
        <v>1</v>
      </c>
      <c r="EE7" s="315">
        <v>1</v>
      </c>
      <c r="EF7" s="315">
        <v>1</v>
      </c>
      <c r="EG7" s="315">
        <v>1</v>
      </c>
      <c r="EH7" s="315">
        <v>1</v>
      </c>
      <c r="EI7" s="315">
        <v>1</v>
      </c>
      <c r="EJ7" s="315">
        <v>1</v>
      </c>
      <c r="EK7" s="315">
        <v>1</v>
      </c>
      <c r="EL7" s="315">
        <v>1</v>
      </c>
      <c r="EM7" s="315">
        <v>1</v>
      </c>
      <c r="EN7" s="315">
        <v>1</v>
      </c>
      <c r="EO7" s="315">
        <v>1</v>
      </c>
      <c r="EP7" s="315">
        <v>1</v>
      </c>
      <c r="EQ7" s="315">
        <v>1</v>
      </c>
      <c r="ER7" s="315">
        <v>1</v>
      </c>
      <c r="ES7" s="315">
        <v>1</v>
      </c>
      <c r="ET7" s="315">
        <v>1</v>
      </c>
      <c r="EU7" s="315">
        <v>1</v>
      </c>
      <c r="EV7" s="315">
        <v>1</v>
      </c>
      <c r="EW7" s="315">
        <v>1</v>
      </c>
      <c r="EX7" s="315">
        <v>1</v>
      </c>
      <c r="EY7" s="315">
        <v>1</v>
      </c>
      <c r="EZ7" s="315">
        <v>1</v>
      </c>
      <c r="FB7" s="50">
        <f>HLOOKUP(M16,$AU$3:$EZ$104,5,TRUE)</f>
        <v>1</v>
      </c>
      <c r="FD7" s="50">
        <f>HLOOKUP(AL42,$AU$3:$EZ$104,5,TRUE)</f>
        <v>1</v>
      </c>
    </row>
    <row r="8" spans="1:160" ht="17.100000000000001" customHeight="1" thickBot="1">
      <c r="B8" s="119"/>
      <c r="C8" s="573" t="s">
        <v>348</v>
      </c>
      <c r="D8" s="574"/>
      <c r="E8" s="574"/>
      <c r="F8" s="574"/>
      <c r="G8" s="574"/>
      <c r="H8" s="574"/>
      <c r="I8" s="574"/>
      <c r="J8" s="574"/>
      <c r="K8" s="574"/>
      <c r="L8" s="574"/>
      <c r="M8" s="574"/>
      <c r="N8" s="575"/>
      <c r="O8" s="23"/>
      <c r="P8" s="573" t="s">
        <v>349</v>
      </c>
      <c r="Q8" s="574"/>
      <c r="R8" s="574"/>
      <c r="S8" s="574"/>
      <c r="T8" s="574"/>
      <c r="U8" s="574"/>
      <c r="V8" s="574"/>
      <c r="W8" s="574"/>
      <c r="X8" s="574"/>
      <c r="Y8" s="574"/>
      <c r="Z8" s="574"/>
      <c r="AA8" s="575"/>
      <c r="AB8" s="120"/>
      <c r="AD8" s="13" t="s">
        <v>579</v>
      </c>
      <c r="AE8" s="398" t="str">
        <f>'Vertical walls'!AE8</f>
        <v>Vertical walls</v>
      </c>
      <c r="AI8" s="16" t="s">
        <v>297</v>
      </c>
      <c r="AL8" s="43" t="s">
        <v>662</v>
      </c>
      <c r="AO8" s="43" t="s">
        <v>667</v>
      </c>
      <c r="AS8" s="600"/>
      <c r="AT8" s="104">
        <v>0.13200000000000001</v>
      </c>
      <c r="AU8" s="8">
        <v>2</v>
      </c>
      <c r="AV8" s="8">
        <v>2</v>
      </c>
      <c r="AW8" s="8">
        <v>2</v>
      </c>
      <c r="AX8" s="8">
        <v>2</v>
      </c>
      <c r="AY8" s="8">
        <v>2</v>
      </c>
      <c r="AZ8" s="8">
        <v>2</v>
      </c>
      <c r="BA8" s="316">
        <v>2</v>
      </c>
      <c r="BB8" s="8">
        <v>2</v>
      </c>
      <c r="BC8" s="8">
        <v>2</v>
      </c>
      <c r="BD8" s="8">
        <v>2</v>
      </c>
      <c r="BE8" s="315">
        <v>1</v>
      </c>
      <c r="BF8" s="315">
        <v>1</v>
      </c>
      <c r="BG8" s="315">
        <v>1</v>
      </c>
      <c r="BH8" s="315">
        <v>1</v>
      </c>
      <c r="BI8" s="315">
        <v>1</v>
      </c>
      <c r="BJ8" s="315">
        <v>1</v>
      </c>
      <c r="BK8" s="315">
        <v>1</v>
      </c>
      <c r="BL8" s="315">
        <v>1</v>
      </c>
      <c r="BM8" s="315">
        <v>1</v>
      </c>
      <c r="BN8" s="315">
        <v>1</v>
      </c>
      <c r="BO8" s="315">
        <v>1</v>
      </c>
      <c r="BP8" s="315">
        <v>1</v>
      </c>
      <c r="BQ8" s="315">
        <v>1</v>
      </c>
      <c r="BR8" s="315">
        <v>1</v>
      </c>
      <c r="BS8" s="315">
        <v>1</v>
      </c>
      <c r="BT8" s="315">
        <v>1</v>
      </c>
      <c r="BU8" s="315">
        <v>1</v>
      </c>
      <c r="BV8" s="315">
        <v>1</v>
      </c>
      <c r="BW8" s="315">
        <v>1</v>
      </c>
      <c r="BX8" s="315">
        <v>1</v>
      </c>
      <c r="BY8" s="315">
        <v>1</v>
      </c>
      <c r="BZ8" s="315">
        <v>1</v>
      </c>
      <c r="CA8" s="315">
        <v>1</v>
      </c>
      <c r="CB8" s="315">
        <v>1</v>
      </c>
      <c r="CC8" s="315">
        <v>1</v>
      </c>
      <c r="CD8" s="315">
        <v>1</v>
      </c>
      <c r="CE8" s="315">
        <v>1</v>
      </c>
      <c r="CF8" s="315">
        <v>1</v>
      </c>
      <c r="CG8" s="315">
        <v>1</v>
      </c>
      <c r="CH8" s="315">
        <v>1</v>
      </c>
      <c r="CI8" s="315">
        <v>1</v>
      </c>
      <c r="CJ8" s="315">
        <v>1</v>
      </c>
      <c r="CK8" s="315">
        <v>1</v>
      </c>
      <c r="CL8" s="315">
        <v>1</v>
      </c>
      <c r="CM8" s="315">
        <v>1</v>
      </c>
      <c r="CN8" s="315">
        <v>1</v>
      </c>
      <c r="CO8" s="315">
        <v>1</v>
      </c>
      <c r="CP8" s="315">
        <v>1</v>
      </c>
      <c r="CQ8" s="315">
        <v>1</v>
      </c>
      <c r="CR8" s="315">
        <v>1</v>
      </c>
      <c r="CS8" s="315">
        <v>1</v>
      </c>
      <c r="CT8" s="315">
        <v>1</v>
      </c>
      <c r="CU8" s="315">
        <v>1</v>
      </c>
      <c r="CV8" s="315">
        <v>1</v>
      </c>
      <c r="CW8" s="315">
        <v>1</v>
      </c>
      <c r="CX8" s="315">
        <v>1</v>
      </c>
      <c r="CY8" s="315">
        <v>1</v>
      </c>
      <c r="CZ8" s="315">
        <v>1</v>
      </c>
      <c r="DA8" s="315">
        <v>1</v>
      </c>
      <c r="DB8" s="315">
        <v>1</v>
      </c>
      <c r="DC8" s="315">
        <v>1</v>
      </c>
      <c r="DD8" s="315">
        <v>1</v>
      </c>
      <c r="DE8" s="315">
        <v>1</v>
      </c>
      <c r="DF8" s="315">
        <v>1</v>
      </c>
      <c r="DG8" s="315">
        <v>1</v>
      </c>
      <c r="DH8" s="315">
        <v>1</v>
      </c>
      <c r="DI8" s="315">
        <v>1</v>
      </c>
      <c r="DJ8" s="315">
        <v>1</v>
      </c>
      <c r="DK8" s="315">
        <v>1</v>
      </c>
      <c r="DL8" s="315">
        <v>1</v>
      </c>
      <c r="DM8" s="315">
        <v>1</v>
      </c>
      <c r="DN8" s="315">
        <v>1</v>
      </c>
      <c r="DO8" s="315">
        <v>1</v>
      </c>
      <c r="DP8" s="315">
        <v>1</v>
      </c>
      <c r="DQ8" s="315">
        <v>1</v>
      </c>
      <c r="DR8" s="315">
        <v>1</v>
      </c>
      <c r="DS8" s="315">
        <v>1</v>
      </c>
      <c r="DT8" s="315">
        <v>1</v>
      </c>
      <c r="DU8" s="315">
        <v>1</v>
      </c>
      <c r="DV8" s="315">
        <v>1</v>
      </c>
      <c r="DW8" s="315">
        <v>1</v>
      </c>
      <c r="DX8" s="315">
        <v>1</v>
      </c>
      <c r="DY8" s="315">
        <v>1</v>
      </c>
      <c r="DZ8" s="315">
        <v>1</v>
      </c>
      <c r="EA8" s="315">
        <v>1</v>
      </c>
      <c r="EB8" s="315">
        <v>1</v>
      </c>
      <c r="EC8" s="315">
        <v>1</v>
      </c>
      <c r="ED8" s="315">
        <v>1</v>
      </c>
      <c r="EE8" s="315">
        <v>1</v>
      </c>
      <c r="EF8" s="315">
        <v>1</v>
      </c>
      <c r="EG8" s="315">
        <v>1</v>
      </c>
      <c r="EH8" s="315">
        <v>1</v>
      </c>
      <c r="EI8" s="315">
        <v>1</v>
      </c>
      <c r="EJ8" s="315">
        <v>1</v>
      </c>
      <c r="EK8" s="315">
        <v>1</v>
      </c>
      <c r="EL8" s="315">
        <v>1</v>
      </c>
      <c r="EM8" s="315">
        <v>1</v>
      </c>
      <c r="EN8" s="315">
        <v>1</v>
      </c>
      <c r="EO8" s="315">
        <v>1</v>
      </c>
      <c r="EP8" s="315">
        <v>1</v>
      </c>
      <c r="EQ8" s="315">
        <v>1</v>
      </c>
      <c r="ER8" s="315">
        <v>1</v>
      </c>
      <c r="ES8" s="315">
        <v>1</v>
      </c>
      <c r="ET8" s="315">
        <v>1</v>
      </c>
      <c r="EU8" s="315">
        <v>1</v>
      </c>
      <c r="EV8" s="315">
        <v>1</v>
      </c>
      <c r="EW8" s="315">
        <v>1</v>
      </c>
      <c r="EX8" s="315">
        <v>1</v>
      </c>
      <c r="EY8" s="315">
        <v>1</v>
      </c>
      <c r="EZ8" s="315">
        <v>1</v>
      </c>
      <c r="FB8" s="50">
        <f>HLOOKUP(M16,$AU$3:$EZ$104,6,TRUE)</f>
        <v>1</v>
      </c>
      <c r="FD8" s="50">
        <f>HLOOKUP(AL42,$AU$3:$EZ$104,6,TRUE)</f>
        <v>1</v>
      </c>
    </row>
    <row r="9" spans="1:160" ht="17.100000000000001" customHeight="1" thickBot="1">
      <c r="B9" s="119"/>
      <c r="C9" s="690" t="s">
        <v>370</v>
      </c>
      <c r="D9" s="691"/>
      <c r="E9" s="691"/>
      <c r="F9" s="691"/>
      <c r="G9" s="637" t="str">
        <f>AE8</f>
        <v>Vertical walls</v>
      </c>
      <c r="H9" s="637"/>
      <c r="I9" s="637"/>
      <c r="J9" s="637"/>
      <c r="K9" s="637"/>
      <c r="L9" s="637"/>
      <c r="M9" s="637"/>
      <c r="N9" s="638"/>
      <c r="O9" s="23"/>
      <c r="P9" s="702" t="s">
        <v>368</v>
      </c>
      <c r="Q9" s="703"/>
      <c r="R9" s="703"/>
      <c r="S9" s="703"/>
      <c r="T9" s="703"/>
      <c r="U9" s="703"/>
      <c r="V9" s="703"/>
      <c r="W9" s="703"/>
      <c r="X9" s="703"/>
      <c r="Y9" s="704" t="str">
        <f>AI10</f>
        <v>town</v>
      </c>
      <c r="Z9" s="704"/>
      <c r="AA9" s="705"/>
      <c r="AB9" s="120"/>
      <c r="AD9" s="13" t="s">
        <v>580</v>
      </c>
      <c r="AE9" s="398" t="str">
        <f>'Vertical walls'!AE9</f>
        <v>Reinforced concrete building</v>
      </c>
      <c r="AH9" s="13">
        <v>1</v>
      </c>
      <c r="AI9" s="13" t="s">
        <v>298</v>
      </c>
      <c r="AL9" s="317" t="s">
        <v>55</v>
      </c>
      <c r="AM9" s="137">
        <f>VLOOKUP(15,AT4:FB104,113,TRUE)</f>
        <v>2</v>
      </c>
      <c r="AN9" s="183"/>
      <c r="AO9" s="317" t="s">
        <v>55</v>
      </c>
      <c r="AP9" s="137">
        <f>VLOOKUP(15,AT4:FD104,115,TRUE)</f>
        <v>2</v>
      </c>
      <c r="AS9" s="69"/>
      <c r="AT9" s="104">
        <v>0.14099999999999999</v>
      </c>
      <c r="AU9" s="8">
        <v>2</v>
      </c>
      <c r="AV9" s="8">
        <v>2</v>
      </c>
      <c r="AW9" s="8">
        <v>2</v>
      </c>
      <c r="AX9" s="8">
        <v>2</v>
      </c>
      <c r="AY9" s="8">
        <v>2</v>
      </c>
      <c r="AZ9" s="8">
        <v>2</v>
      </c>
      <c r="BA9" s="316">
        <v>2</v>
      </c>
      <c r="BB9" s="8">
        <v>2</v>
      </c>
      <c r="BC9" s="8">
        <v>2</v>
      </c>
      <c r="BD9" s="8">
        <v>2</v>
      </c>
      <c r="BE9" s="8">
        <v>2</v>
      </c>
      <c r="BF9" s="315">
        <v>1</v>
      </c>
      <c r="BG9" s="315">
        <v>1</v>
      </c>
      <c r="BH9" s="315">
        <v>1</v>
      </c>
      <c r="BI9" s="315">
        <v>1</v>
      </c>
      <c r="BJ9" s="315">
        <v>1</v>
      </c>
      <c r="BK9" s="315">
        <v>1</v>
      </c>
      <c r="BL9" s="315">
        <v>1</v>
      </c>
      <c r="BM9" s="315">
        <v>1</v>
      </c>
      <c r="BN9" s="315">
        <v>1</v>
      </c>
      <c r="BO9" s="315">
        <v>1</v>
      </c>
      <c r="BP9" s="315">
        <v>1</v>
      </c>
      <c r="BQ9" s="315">
        <v>1</v>
      </c>
      <c r="BR9" s="315">
        <v>1</v>
      </c>
      <c r="BS9" s="315">
        <v>1</v>
      </c>
      <c r="BT9" s="315">
        <v>1</v>
      </c>
      <c r="BU9" s="315">
        <v>1</v>
      </c>
      <c r="BV9" s="315">
        <v>1</v>
      </c>
      <c r="BW9" s="315">
        <v>1</v>
      </c>
      <c r="BX9" s="315">
        <v>1</v>
      </c>
      <c r="BY9" s="315">
        <v>1</v>
      </c>
      <c r="BZ9" s="315">
        <v>1</v>
      </c>
      <c r="CA9" s="315">
        <v>1</v>
      </c>
      <c r="CB9" s="315">
        <v>1</v>
      </c>
      <c r="CC9" s="315">
        <v>1</v>
      </c>
      <c r="CD9" s="315">
        <v>1</v>
      </c>
      <c r="CE9" s="315">
        <v>1</v>
      </c>
      <c r="CF9" s="315">
        <v>1</v>
      </c>
      <c r="CG9" s="315">
        <v>1</v>
      </c>
      <c r="CH9" s="315">
        <v>1</v>
      </c>
      <c r="CI9" s="315">
        <v>1</v>
      </c>
      <c r="CJ9" s="315">
        <v>1</v>
      </c>
      <c r="CK9" s="315">
        <v>1</v>
      </c>
      <c r="CL9" s="315">
        <v>1</v>
      </c>
      <c r="CM9" s="315">
        <v>1</v>
      </c>
      <c r="CN9" s="315">
        <v>1</v>
      </c>
      <c r="CO9" s="315">
        <v>1</v>
      </c>
      <c r="CP9" s="315">
        <v>1</v>
      </c>
      <c r="CQ9" s="315">
        <v>1</v>
      </c>
      <c r="CR9" s="315">
        <v>1</v>
      </c>
      <c r="CS9" s="315">
        <v>1</v>
      </c>
      <c r="CT9" s="315">
        <v>1</v>
      </c>
      <c r="CU9" s="315">
        <v>1</v>
      </c>
      <c r="CV9" s="315">
        <v>1</v>
      </c>
      <c r="CW9" s="315">
        <v>1</v>
      </c>
      <c r="CX9" s="315">
        <v>1</v>
      </c>
      <c r="CY9" s="315">
        <v>1</v>
      </c>
      <c r="CZ9" s="315">
        <v>1</v>
      </c>
      <c r="DA9" s="315">
        <v>1</v>
      </c>
      <c r="DB9" s="315">
        <v>1</v>
      </c>
      <c r="DC9" s="315">
        <v>1</v>
      </c>
      <c r="DD9" s="315">
        <v>1</v>
      </c>
      <c r="DE9" s="315">
        <v>1</v>
      </c>
      <c r="DF9" s="315">
        <v>1</v>
      </c>
      <c r="DG9" s="315">
        <v>1</v>
      </c>
      <c r="DH9" s="315">
        <v>1</v>
      </c>
      <c r="DI9" s="315">
        <v>1</v>
      </c>
      <c r="DJ9" s="315">
        <v>1</v>
      </c>
      <c r="DK9" s="315">
        <v>1</v>
      </c>
      <c r="DL9" s="315">
        <v>1</v>
      </c>
      <c r="DM9" s="315">
        <v>1</v>
      </c>
      <c r="DN9" s="315">
        <v>1</v>
      </c>
      <c r="DO9" s="315">
        <v>1</v>
      </c>
      <c r="DP9" s="315">
        <v>1</v>
      </c>
      <c r="DQ9" s="315">
        <v>1</v>
      </c>
      <c r="DR9" s="315">
        <v>1</v>
      </c>
      <c r="DS9" s="315">
        <v>1</v>
      </c>
      <c r="DT9" s="315">
        <v>1</v>
      </c>
      <c r="DU9" s="315">
        <v>1</v>
      </c>
      <c r="DV9" s="315">
        <v>1</v>
      </c>
      <c r="DW9" s="315">
        <v>1</v>
      </c>
      <c r="DX9" s="315">
        <v>1</v>
      </c>
      <c r="DY9" s="315">
        <v>1</v>
      </c>
      <c r="DZ9" s="315">
        <v>1</v>
      </c>
      <c r="EA9" s="315">
        <v>1</v>
      </c>
      <c r="EB9" s="315">
        <v>1</v>
      </c>
      <c r="EC9" s="315">
        <v>1</v>
      </c>
      <c r="ED9" s="315">
        <v>1</v>
      </c>
      <c r="EE9" s="315">
        <v>1</v>
      </c>
      <c r="EF9" s="315">
        <v>1</v>
      </c>
      <c r="EG9" s="315">
        <v>1</v>
      </c>
      <c r="EH9" s="315">
        <v>1</v>
      </c>
      <c r="EI9" s="315">
        <v>1</v>
      </c>
      <c r="EJ9" s="315">
        <v>1</v>
      </c>
      <c r="EK9" s="315">
        <v>1</v>
      </c>
      <c r="EL9" s="315">
        <v>1</v>
      </c>
      <c r="EM9" s="315">
        <v>1</v>
      </c>
      <c r="EN9" s="315">
        <v>1</v>
      </c>
      <c r="EO9" s="315">
        <v>1</v>
      </c>
      <c r="EP9" s="315">
        <v>1</v>
      </c>
      <c r="EQ9" s="315">
        <v>1</v>
      </c>
      <c r="ER9" s="315">
        <v>1</v>
      </c>
      <c r="ES9" s="315">
        <v>1</v>
      </c>
      <c r="ET9" s="315">
        <v>1</v>
      </c>
      <c r="EU9" s="315">
        <v>1</v>
      </c>
      <c r="EV9" s="315">
        <v>1</v>
      </c>
      <c r="EW9" s="315">
        <v>1</v>
      </c>
      <c r="EX9" s="315">
        <v>1</v>
      </c>
      <c r="EY9" s="315">
        <v>1</v>
      </c>
      <c r="EZ9" s="315">
        <v>1</v>
      </c>
      <c r="FB9" s="50">
        <f>HLOOKUP(M16,$AU$3:$EZ$104,7,TRUE)</f>
        <v>1</v>
      </c>
      <c r="FD9" s="50">
        <f>HLOOKUP(AL42,$AU$3:$EZ$104,7,TRUE)</f>
        <v>1</v>
      </c>
    </row>
    <row r="10" spans="1:160" ht="17.100000000000001" customHeight="1">
      <c r="B10" s="119"/>
      <c r="C10" s="696" t="s">
        <v>351</v>
      </c>
      <c r="D10" s="697"/>
      <c r="E10" s="697"/>
      <c r="F10" s="697"/>
      <c r="G10" s="639" t="str">
        <f>AE9</f>
        <v>Reinforced concrete building</v>
      </c>
      <c r="H10" s="639"/>
      <c r="I10" s="639"/>
      <c r="J10" s="639"/>
      <c r="K10" s="639"/>
      <c r="L10" s="639"/>
      <c r="M10" s="639"/>
      <c r="N10" s="640"/>
      <c r="O10" s="23"/>
      <c r="P10" s="592" t="s">
        <v>366</v>
      </c>
      <c r="Q10" s="593"/>
      <c r="R10" s="593"/>
      <c r="S10" s="593"/>
      <c r="T10" s="593"/>
      <c r="U10" s="593"/>
      <c r="V10" s="593"/>
      <c r="W10" s="593"/>
      <c r="X10" s="593"/>
      <c r="Y10" s="593"/>
      <c r="Z10" s="688">
        <v>15</v>
      </c>
      <c r="AA10" s="689"/>
      <c r="AB10" s="120"/>
      <c r="AD10" s="13" t="s">
        <v>581</v>
      </c>
      <c r="AE10" s="398" t="str">
        <f>'Vertical walls'!AE10</f>
        <v>Smooth (e.g. smooth concrete, steel)</v>
      </c>
      <c r="AH10" s="13">
        <v>2</v>
      </c>
      <c r="AI10" s="13" t="s">
        <v>299</v>
      </c>
      <c r="AL10" s="186" t="s">
        <v>76</v>
      </c>
      <c r="AM10" s="204">
        <v>1</v>
      </c>
      <c r="AN10" s="183"/>
      <c r="AO10" s="440" t="s">
        <v>76</v>
      </c>
      <c r="AP10" s="442">
        <v>1</v>
      </c>
      <c r="AS10" s="69"/>
      <c r="AT10" s="104">
        <v>0.151</v>
      </c>
      <c r="AU10" s="8">
        <v>2</v>
      </c>
      <c r="AV10" s="8">
        <v>2</v>
      </c>
      <c r="AW10" s="8">
        <v>2</v>
      </c>
      <c r="AX10" s="8">
        <v>2</v>
      </c>
      <c r="AY10" s="8">
        <v>2</v>
      </c>
      <c r="AZ10" s="8">
        <v>2</v>
      </c>
      <c r="BA10" s="316">
        <v>2</v>
      </c>
      <c r="BB10" s="8">
        <v>2</v>
      </c>
      <c r="BC10" s="8">
        <v>2</v>
      </c>
      <c r="BD10" s="8">
        <v>2</v>
      </c>
      <c r="BE10" s="8">
        <v>2</v>
      </c>
      <c r="BF10" s="8">
        <v>2</v>
      </c>
      <c r="BG10" s="315">
        <v>1</v>
      </c>
      <c r="BH10" s="315">
        <v>1</v>
      </c>
      <c r="BI10" s="315">
        <v>1</v>
      </c>
      <c r="BJ10" s="315">
        <v>1</v>
      </c>
      <c r="BK10" s="315">
        <v>1</v>
      </c>
      <c r="BL10" s="315">
        <v>1</v>
      </c>
      <c r="BM10" s="315">
        <v>1</v>
      </c>
      <c r="BN10" s="315">
        <v>1</v>
      </c>
      <c r="BO10" s="315">
        <v>1</v>
      </c>
      <c r="BP10" s="315">
        <v>1</v>
      </c>
      <c r="BQ10" s="315">
        <v>1</v>
      </c>
      <c r="BR10" s="315">
        <v>1</v>
      </c>
      <c r="BS10" s="315">
        <v>1</v>
      </c>
      <c r="BT10" s="315">
        <v>1</v>
      </c>
      <c r="BU10" s="315">
        <v>1</v>
      </c>
      <c r="BV10" s="315">
        <v>1</v>
      </c>
      <c r="BW10" s="315">
        <v>1</v>
      </c>
      <c r="BX10" s="315">
        <v>1</v>
      </c>
      <c r="BY10" s="315">
        <v>1</v>
      </c>
      <c r="BZ10" s="315">
        <v>1</v>
      </c>
      <c r="CA10" s="315">
        <v>1</v>
      </c>
      <c r="CB10" s="315">
        <v>1</v>
      </c>
      <c r="CC10" s="315">
        <v>1</v>
      </c>
      <c r="CD10" s="315">
        <v>1</v>
      </c>
      <c r="CE10" s="315">
        <v>1</v>
      </c>
      <c r="CF10" s="315">
        <v>1</v>
      </c>
      <c r="CG10" s="315">
        <v>1</v>
      </c>
      <c r="CH10" s="315">
        <v>1</v>
      </c>
      <c r="CI10" s="315">
        <v>1</v>
      </c>
      <c r="CJ10" s="315">
        <v>1</v>
      </c>
      <c r="CK10" s="315">
        <v>1</v>
      </c>
      <c r="CL10" s="315">
        <v>1</v>
      </c>
      <c r="CM10" s="315">
        <v>1</v>
      </c>
      <c r="CN10" s="315">
        <v>1</v>
      </c>
      <c r="CO10" s="315">
        <v>1</v>
      </c>
      <c r="CP10" s="315">
        <v>1</v>
      </c>
      <c r="CQ10" s="315">
        <v>1</v>
      </c>
      <c r="CR10" s="315">
        <v>1</v>
      </c>
      <c r="CS10" s="315">
        <v>1</v>
      </c>
      <c r="CT10" s="315">
        <v>1</v>
      </c>
      <c r="CU10" s="315">
        <v>1</v>
      </c>
      <c r="CV10" s="315">
        <v>1</v>
      </c>
      <c r="CW10" s="315">
        <v>1</v>
      </c>
      <c r="CX10" s="315">
        <v>1</v>
      </c>
      <c r="CY10" s="315">
        <v>1</v>
      </c>
      <c r="CZ10" s="315">
        <v>1</v>
      </c>
      <c r="DA10" s="315">
        <v>1</v>
      </c>
      <c r="DB10" s="315">
        <v>1</v>
      </c>
      <c r="DC10" s="315">
        <v>1</v>
      </c>
      <c r="DD10" s="315">
        <v>1</v>
      </c>
      <c r="DE10" s="315">
        <v>1</v>
      </c>
      <c r="DF10" s="315">
        <v>1</v>
      </c>
      <c r="DG10" s="315">
        <v>1</v>
      </c>
      <c r="DH10" s="315">
        <v>1</v>
      </c>
      <c r="DI10" s="315">
        <v>1</v>
      </c>
      <c r="DJ10" s="315">
        <v>1</v>
      </c>
      <c r="DK10" s="315">
        <v>1</v>
      </c>
      <c r="DL10" s="315">
        <v>1</v>
      </c>
      <c r="DM10" s="315">
        <v>1</v>
      </c>
      <c r="DN10" s="315">
        <v>1</v>
      </c>
      <c r="DO10" s="315">
        <v>1</v>
      </c>
      <c r="DP10" s="315">
        <v>1</v>
      </c>
      <c r="DQ10" s="315">
        <v>1</v>
      </c>
      <c r="DR10" s="315">
        <v>1</v>
      </c>
      <c r="DS10" s="315">
        <v>1</v>
      </c>
      <c r="DT10" s="315">
        <v>1</v>
      </c>
      <c r="DU10" s="315">
        <v>1</v>
      </c>
      <c r="DV10" s="315">
        <v>1</v>
      </c>
      <c r="DW10" s="315">
        <v>1</v>
      </c>
      <c r="DX10" s="315">
        <v>1</v>
      </c>
      <c r="DY10" s="315">
        <v>1</v>
      </c>
      <c r="DZ10" s="315">
        <v>1</v>
      </c>
      <c r="EA10" s="315">
        <v>1</v>
      </c>
      <c r="EB10" s="315">
        <v>1</v>
      </c>
      <c r="EC10" s="315">
        <v>1</v>
      </c>
      <c r="ED10" s="315">
        <v>1</v>
      </c>
      <c r="EE10" s="315">
        <v>1</v>
      </c>
      <c r="EF10" s="315">
        <v>1</v>
      </c>
      <c r="EG10" s="315">
        <v>1</v>
      </c>
      <c r="EH10" s="315">
        <v>1</v>
      </c>
      <c r="EI10" s="315">
        <v>1</v>
      </c>
      <c r="EJ10" s="315">
        <v>1</v>
      </c>
      <c r="EK10" s="315">
        <v>1</v>
      </c>
      <c r="EL10" s="315">
        <v>1</v>
      </c>
      <c r="EM10" s="315">
        <v>1</v>
      </c>
      <c r="EN10" s="315">
        <v>1</v>
      </c>
      <c r="EO10" s="315">
        <v>1</v>
      </c>
      <c r="EP10" s="315">
        <v>1</v>
      </c>
      <c r="EQ10" s="315">
        <v>1</v>
      </c>
      <c r="ER10" s="315">
        <v>1</v>
      </c>
      <c r="ES10" s="315">
        <v>1</v>
      </c>
      <c r="ET10" s="315">
        <v>1</v>
      </c>
      <c r="EU10" s="315">
        <v>1</v>
      </c>
      <c r="EV10" s="315">
        <v>1</v>
      </c>
      <c r="EW10" s="315">
        <v>1</v>
      </c>
      <c r="EX10" s="315">
        <v>1</v>
      </c>
      <c r="EY10" s="315">
        <v>1</v>
      </c>
      <c r="EZ10" s="315">
        <v>1</v>
      </c>
      <c r="FB10" s="50">
        <f>HLOOKUP(M16,$AU$3:$EZ$104,8,TRUE)</f>
        <v>1</v>
      </c>
      <c r="FD10" s="50">
        <f>HLOOKUP(AL42,$AU$3:$EZ$104,8,TRUE)</f>
        <v>1</v>
      </c>
    </row>
    <row r="11" spans="1:160" ht="17.100000000000001" customHeight="1">
      <c r="B11" s="119"/>
      <c r="C11" s="696" t="s">
        <v>356</v>
      </c>
      <c r="D11" s="697"/>
      <c r="E11" s="697"/>
      <c r="F11" s="697"/>
      <c r="G11" s="639" t="str">
        <f>AE10</f>
        <v>Smooth (e.g. smooth concrete, steel)</v>
      </c>
      <c r="H11" s="639"/>
      <c r="I11" s="639"/>
      <c r="J11" s="639"/>
      <c r="K11" s="639"/>
      <c r="L11" s="639"/>
      <c r="M11" s="639"/>
      <c r="N11" s="640"/>
      <c r="O11" s="23"/>
      <c r="P11" s="692" t="s">
        <v>367</v>
      </c>
      <c r="Q11" s="693"/>
      <c r="R11" s="693"/>
      <c r="S11" s="693"/>
      <c r="T11" s="693"/>
      <c r="U11" s="693"/>
      <c r="V11" s="693"/>
      <c r="W11" s="693"/>
      <c r="X11" s="693"/>
      <c r="Y11" s="693"/>
      <c r="Z11" s="694">
        <v>10</v>
      </c>
      <c r="AA11" s="695"/>
      <c r="AB11" s="120"/>
      <c r="AD11" s="13" t="s">
        <v>537</v>
      </c>
      <c r="AE11" s="399">
        <f>'Vertical walls'!AE11</f>
        <v>1.35</v>
      </c>
      <c r="AI11" s="16" t="s">
        <v>350</v>
      </c>
      <c r="AL11" s="186" t="s">
        <v>77</v>
      </c>
      <c r="AM11" s="186">
        <v>2</v>
      </c>
      <c r="AN11" s="183"/>
      <c r="AO11" s="440" t="s">
        <v>77</v>
      </c>
      <c r="AP11" s="440">
        <v>2</v>
      </c>
      <c r="AS11" s="69"/>
      <c r="AT11" s="104">
        <v>0.16200000000000001</v>
      </c>
      <c r="AU11" s="8">
        <v>2</v>
      </c>
      <c r="AV11" s="8">
        <v>2</v>
      </c>
      <c r="AW11" s="8">
        <v>2</v>
      </c>
      <c r="AX11" s="8">
        <v>2</v>
      </c>
      <c r="AY11" s="8">
        <v>2</v>
      </c>
      <c r="AZ11" s="8">
        <v>2</v>
      </c>
      <c r="BA11" s="316">
        <v>2</v>
      </c>
      <c r="BB11" s="8">
        <v>2</v>
      </c>
      <c r="BC11" s="8">
        <v>2</v>
      </c>
      <c r="BD11" s="8">
        <v>2</v>
      </c>
      <c r="BE11" s="8">
        <v>2</v>
      </c>
      <c r="BF11" s="8">
        <v>2</v>
      </c>
      <c r="BG11" s="8">
        <v>2</v>
      </c>
      <c r="BH11" s="315">
        <v>1</v>
      </c>
      <c r="BI11" s="315">
        <v>1</v>
      </c>
      <c r="BJ11" s="315">
        <v>1</v>
      </c>
      <c r="BK11" s="315">
        <v>1</v>
      </c>
      <c r="BL11" s="315">
        <v>1</v>
      </c>
      <c r="BM11" s="315">
        <v>1</v>
      </c>
      <c r="BN11" s="315">
        <v>1</v>
      </c>
      <c r="BO11" s="315">
        <v>1</v>
      </c>
      <c r="BP11" s="315">
        <v>1</v>
      </c>
      <c r="BQ11" s="315">
        <v>1</v>
      </c>
      <c r="BR11" s="315">
        <v>1</v>
      </c>
      <c r="BS11" s="315">
        <v>1</v>
      </c>
      <c r="BT11" s="315">
        <v>1</v>
      </c>
      <c r="BU11" s="315">
        <v>1</v>
      </c>
      <c r="BV11" s="315">
        <v>1</v>
      </c>
      <c r="BW11" s="315">
        <v>1</v>
      </c>
      <c r="BX11" s="315">
        <v>1</v>
      </c>
      <c r="BY11" s="315">
        <v>1</v>
      </c>
      <c r="BZ11" s="315">
        <v>1</v>
      </c>
      <c r="CA11" s="315">
        <v>1</v>
      </c>
      <c r="CB11" s="315">
        <v>1</v>
      </c>
      <c r="CC11" s="315">
        <v>1</v>
      </c>
      <c r="CD11" s="315">
        <v>1</v>
      </c>
      <c r="CE11" s="315">
        <v>1</v>
      </c>
      <c r="CF11" s="315">
        <v>1</v>
      </c>
      <c r="CG11" s="315">
        <v>1</v>
      </c>
      <c r="CH11" s="315">
        <v>1</v>
      </c>
      <c r="CI11" s="315">
        <v>1</v>
      </c>
      <c r="CJ11" s="315">
        <v>1</v>
      </c>
      <c r="CK11" s="315">
        <v>1</v>
      </c>
      <c r="CL11" s="315">
        <v>1</v>
      </c>
      <c r="CM11" s="315">
        <v>1</v>
      </c>
      <c r="CN11" s="315">
        <v>1</v>
      </c>
      <c r="CO11" s="315">
        <v>1</v>
      </c>
      <c r="CP11" s="315">
        <v>1</v>
      </c>
      <c r="CQ11" s="315">
        <v>1</v>
      </c>
      <c r="CR11" s="315">
        <v>1</v>
      </c>
      <c r="CS11" s="315">
        <v>1</v>
      </c>
      <c r="CT11" s="315">
        <v>1</v>
      </c>
      <c r="CU11" s="315">
        <v>1</v>
      </c>
      <c r="CV11" s="315">
        <v>1</v>
      </c>
      <c r="CW11" s="315">
        <v>1</v>
      </c>
      <c r="CX11" s="315">
        <v>1</v>
      </c>
      <c r="CY11" s="315">
        <v>1</v>
      </c>
      <c r="CZ11" s="315">
        <v>1</v>
      </c>
      <c r="DA11" s="315">
        <v>1</v>
      </c>
      <c r="DB11" s="315">
        <v>1</v>
      </c>
      <c r="DC11" s="315">
        <v>1</v>
      </c>
      <c r="DD11" s="315">
        <v>1</v>
      </c>
      <c r="DE11" s="315">
        <v>1</v>
      </c>
      <c r="DF11" s="315">
        <v>1</v>
      </c>
      <c r="DG11" s="315">
        <v>1</v>
      </c>
      <c r="DH11" s="315">
        <v>1</v>
      </c>
      <c r="DI11" s="315">
        <v>1</v>
      </c>
      <c r="DJ11" s="315">
        <v>1</v>
      </c>
      <c r="DK11" s="315">
        <v>1</v>
      </c>
      <c r="DL11" s="315">
        <v>1</v>
      </c>
      <c r="DM11" s="315">
        <v>1</v>
      </c>
      <c r="DN11" s="315">
        <v>1</v>
      </c>
      <c r="DO11" s="315">
        <v>1</v>
      </c>
      <c r="DP11" s="315">
        <v>1</v>
      </c>
      <c r="DQ11" s="315">
        <v>1</v>
      </c>
      <c r="DR11" s="315">
        <v>1</v>
      </c>
      <c r="DS11" s="315">
        <v>1</v>
      </c>
      <c r="DT11" s="315">
        <v>1</v>
      </c>
      <c r="DU11" s="315">
        <v>1</v>
      </c>
      <c r="DV11" s="315">
        <v>1</v>
      </c>
      <c r="DW11" s="315">
        <v>1</v>
      </c>
      <c r="DX11" s="315">
        <v>1</v>
      </c>
      <c r="DY11" s="315">
        <v>1</v>
      </c>
      <c r="DZ11" s="315">
        <v>1</v>
      </c>
      <c r="EA11" s="315">
        <v>1</v>
      </c>
      <c r="EB11" s="315">
        <v>1</v>
      </c>
      <c r="EC11" s="315">
        <v>1</v>
      </c>
      <c r="ED11" s="315">
        <v>1</v>
      </c>
      <c r="EE11" s="315">
        <v>1</v>
      </c>
      <c r="EF11" s="315">
        <v>1</v>
      </c>
      <c r="EG11" s="315">
        <v>1</v>
      </c>
      <c r="EH11" s="315">
        <v>1</v>
      </c>
      <c r="EI11" s="315">
        <v>1</v>
      </c>
      <c r="EJ11" s="315">
        <v>1</v>
      </c>
      <c r="EK11" s="315">
        <v>1</v>
      </c>
      <c r="EL11" s="315">
        <v>1</v>
      </c>
      <c r="EM11" s="315">
        <v>1</v>
      </c>
      <c r="EN11" s="315">
        <v>1</v>
      </c>
      <c r="EO11" s="315">
        <v>1</v>
      </c>
      <c r="EP11" s="315">
        <v>1</v>
      </c>
      <c r="EQ11" s="315">
        <v>1</v>
      </c>
      <c r="ER11" s="315">
        <v>1</v>
      </c>
      <c r="ES11" s="315">
        <v>1</v>
      </c>
      <c r="ET11" s="315">
        <v>1</v>
      </c>
      <c r="EU11" s="315">
        <v>1</v>
      </c>
      <c r="EV11" s="315">
        <v>1</v>
      </c>
      <c r="EW11" s="315">
        <v>1</v>
      </c>
      <c r="EX11" s="315">
        <v>1</v>
      </c>
      <c r="EY11" s="315">
        <v>1</v>
      </c>
      <c r="EZ11" s="315">
        <v>1</v>
      </c>
      <c r="FB11" s="50">
        <f>HLOOKUP(M16,$AU$3:$EZ$104,9,TRUE)</f>
        <v>1</v>
      </c>
      <c r="FD11" s="50">
        <f>HLOOKUP(AL42,$AU$3:$EZ$104,9,TRUE)</f>
        <v>1</v>
      </c>
    </row>
    <row r="12" spans="1:160" ht="17.100000000000001" customHeight="1">
      <c r="B12" s="119"/>
      <c r="C12" s="686" t="s">
        <v>347</v>
      </c>
      <c r="D12" s="687"/>
      <c r="E12" s="687"/>
      <c r="F12" s="687"/>
      <c r="G12" s="687"/>
      <c r="H12" s="687"/>
      <c r="I12" s="687"/>
      <c r="J12" s="687"/>
      <c r="K12" s="687"/>
      <c r="L12" s="687"/>
      <c r="M12" s="688">
        <v>1.35</v>
      </c>
      <c r="N12" s="689"/>
      <c r="O12" s="23"/>
      <c r="P12" s="23"/>
      <c r="Q12" s="23"/>
      <c r="R12" s="23"/>
      <c r="S12" s="23"/>
      <c r="T12" s="23"/>
      <c r="U12" s="23"/>
      <c r="V12" s="23"/>
      <c r="W12" s="23"/>
      <c r="X12" s="23"/>
      <c r="Y12" s="23"/>
      <c r="Z12" s="23"/>
      <c r="AA12" s="23"/>
      <c r="AB12" s="120"/>
      <c r="AD12" s="13" t="s">
        <v>555</v>
      </c>
      <c r="AE12" s="399">
        <f>'Vertical walls'!AE12</f>
        <v>80</v>
      </c>
      <c r="AI12" s="318">
        <v>2</v>
      </c>
      <c r="AL12" s="45"/>
      <c r="AO12" s="439"/>
      <c r="AS12" s="69"/>
      <c r="AT12" s="104">
        <v>0.17399999999999999</v>
      </c>
      <c r="AU12" s="8">
        <v>2</v>
      </c>
      <c r="AV12" s="8">
        <v>2</v>
      </c>
      <c r="AW12" s="8">
        <v>2</v>
      </c>
      <c r="AX12" s="8">
        <v>2</v>
      </c>
      <c r="AY12" s="8">
        <v>2</v>
      </c>
      <c r="AZ12" s="8">
        <v>2</v>
      </c>
      <c r="BA12" s="316">
        <v>2</v>
      </c>
      <c r="BB12" s="8">
        <v>2</v>
      </c>
      <c r="BC12" s="8">
        <v>2</v>
      </c>
      <c r="BD12" s="8">
        <v>2</v>
      </c>
      <c r="BE12" s="8">
        <v>2</v>
      </c>
      <c r="BF12" s="8">
        <v>2</v>
      </c>
      <c r="BG12" s="8">
        <v>2</v>
      </c>
      <c r="BH12" s="8">
        <v>2</v>
      </c>
      <c r="BI12" s="8">
        <v>2</v>
      </c>
      <c r="BJ12" s="315">
        <v>1</v>
      </c>
      <c r="BK12" s="315">
        <v>1</v>
      </c>
      <c r="BL12" s="315">
        <v>1</v>
      </c>
      <c r="BM12" s="315">
        <v>1</v>
      </c>
      <c r="BN12" s="315">
        <v>1</v>
      </c>
      <c r="BO12" s="315">
        <v>1</v>
      </c>
      <c r="BP12" s="315">
        <v>1</v>
      </c>
      <c r="BQ12" s="315">
        <v>1</v>
      </c>
      <c r="BR12" s="315">
        <v>1</v>
      </c>
      <c r="BS12" s="315">
        <v>1</v>
      </c>
      <c r="BT12" s="315">
        <v>1</v>
      </c>
      <c r="BU12" s="315">
        <v>1</v>
      </c>
      <c r="BV12" s="315">
        <v>1</v>
      </c>
      <c r="BW12" s="315">
        <v>1</v>
      </c>
      <c r="BX12" s="315">
        <v>1</v>
      </c>
      <c r="BY12" s="315">
        <v>1</v>
      </c>
      <c r="BZ12" s="315">
        <v>1</v>
      </c>
      <c r="CA12" s="315">
        <v>1</v>
      </c>
      <c r="CB12" s="315">
        <v>1</v>
      </c>
      <c r="CC12" s="315">
        <v>1</v>
      </c>
      <c r="CD12" s="315">
        <v>1</v>
      </c>
      <c r="CE12" s="315">
        <v>1</v>
      </c>
      <c r="CF12" s="315">
        <v>1</v>
      </c>
      <c r="CG12" s="315">
        <v>1</v>
      </c>
      <c r="CH12" s="315">
        <v>1</v>
      </c>
      <c r="CI12" s="315">
        <v>1</v>
      </c>
      <c r="CJ12" s="315">
        <v>1</v>
      </c>
      <c r="CK12" s="315">
        <v>1</v>
      </c>
      <c r="CL12" s="315">
        <v>1</v>
      </c>
      <c r="CM12" s="315">
        <v>1</v>
      </c>
      <c r="CN12" s="315">
        <v>1</v>
      </c>
      <c r="CO12" s="315">
        <v>1</v>
      </c>
      <c r="CP12" s="315">
        <v>1</v>
      </c>
      <c r="CQ12" s="315">
        <v>1</v>
      </c>
      <c r="CR12" s="315">
        <v>1</v>
      </c>
      <c r="CS12" s="315">
        <v>1</v>
      </c>
      <c r="CT12" s="315">
        <v>1</v>
      </c>
      <c r="CU12" s="315">
        <v>1</v>
      </c>
      <c r="CV12" s="315">
        <v>1</v>
      </c>
      <c r="CW12" s="315">
        <v>1</v>
      </c>
      <c r="CX12" s="315">
        <v>1</v>
      </c>
      <c r="CY12" s="315">
        <v>1</v>
      </c>
      <c r="CZ12" s="315">
        <v>1</v>
      </c>
      <c r="DA12" s="315">
        <v>1</v>
      </c>
      <c r="DB12" s="315">
        <v>1</v>
      </c>
      <c r="DC12" s="315">
        <v>1</v>
      </c>
      <c r="DD12" s="315">
        <v>1</v>
      </c>
      <c r="DE12" s="315">
        <v>1</v>
      </c>
      <c r="DF12" s="315">
        <v>1</v>
      </c>
      <c r="DG12" s="315">
        <v>1</v>
      </c>
      <c r="DH12" s="315">
        <v>1</v>
      </c>
      <c r="DI12" s="315">
        <v>1</v>
      </c>
      <c r="DJ12" s="315">
        <v>1</v>
      </c>
      <c r="DK12" s="315">
        <v>1</v>
      </c>
      <c r="DL12" s="315">
        <v>1</v>
      </c>
      <c r="DM12" s="315">
        <v>1</v>
      </c>
      <c r="DN12" s="315">
        <v>1</v>
      </c>
      <c r="DO12" s="315">
        <v>1</v>
      </c>
      <c r="DP12" s="315">
        <v>1</v>
      </c>
      <c r="DQ12" s="315">
        <v>1</v>
      </c>
      <c r="DR12" s="315">
        <v>1</v>
      </c>
      <c r="DS12" s="315">
        <v>1</v>
      </c>
      <c r="DT12" s="315">
        <v>1</v>
      </c>
      <c r="DU12" s="315">
        <v>1</v>
      </c>
      <c r="DV12" s="315">
        <v>1</v>
      </c>
      <c r="DW12" s="315">
        <v>1</v>
      </c>
      <c r="DX12" s="315">
        <v>1</v>
      </c>
      <c r="DY12" s="315">
        <v>1</v>
      </c>
      <c r="DZ12" s="315">
        <v>1</v>
      </c>
      <c r="EA12" s="315">
        <v>1</v>
      </c>
      <c r="EB12" s="315">
        <v>1</v>
      </c>
      <c r="EC12" s="315">
        <v>1</v>
      </c>
      <c r="ED12" s="315">
        <v>1</v>
      </c>
      <c r="EE12" s="315">
        <v>1</v>
      </c>
      <c r="EF12" s="315">
        <v>1</v>
      </c>
      <c r="EG12" s="315">
        <v>1</v>
      </c>
      <c r="EH12" s="315">
        <v>1</v>
      </c>
      <c r="EI12" s="315">
        <v>1</v>
      </c>
      <c r="EJ12" s="315">
        <v>1</v>
      </c>
      <c r="EK12" s="315">
        <v>1</v>
      </c>
      <c r="EL12" s="315">
        <v>1</v>
      </c>
      <c r="EM12" s="315">
        <v>1</v>
      </c>
      <c r="EN12" s="315">
        <v>1</v>
      </c>
      <c r="EO12" s="315">
        <v>1</v>
      </c>
      <c r="EP12" s="315">
        <v>1</v>
      </c>
      <c r="EQ12" s="315">
        <v>1</v>
      </c>
      <c r="ER12" s="315">
        <v>1</v>
      </c>
      <c r="ES12" s="315">
        <v>1</v>
      </c>
      <c r="ET12" s="315">
        <v>1</v>
      </c>
      <c r="EU12" s="315">
        <v>1</v>
      </c>
      <c r="EV12" s="315">
        <v>1</v>
      </c>
      <c r="EW12" s="315">
        <v>1</v>
      </c>
      <c r="EX12" s="315">
        <v>1</v>
      </c>
      <c r="EY12" s="315">
        <v>1</v>
      </c>
      <c r="EZ12" s="315">
        <v>1</v>
      </c>
      <c r="FB12" s="50">
        <f>HLOOKUP(M16,$AU$3:$EZ$104,10,TRUE)</f>
        <v>1</v>
      </c>
      <c r="FD12" s="50">
        <f>HLOOKUP(AL42,$AU$3:$EZ$104,10,TRUE)</f>
        <v>1</v>
      </c>
    </row>
    <row r="13" spans="1:160" ht="17.100000000000001" customHeight="1" thickBot="1">
      <c r="B13" s="119"/>
      <c r="C13" s="686" t="s">
        <v>344</v>
      </c>
      <c r="D13" s="687"/>
      <c r="E13" s="687"/>
      <c r="F13" s="687"/>
      <c r="G13" s="687"/>
      <c r="H13" s="687"/>
      <c r="I13" s="687"/>
      <c r="J13" s="687"/>
      <c r="K13" s="687"/>
      <c r="L13" s="687"/>
      <c r="M13" s="653">
        <f>AE12</f>
        <v>80</v>
      </c>
      <c r="N13" s="654"/>
      <c r="O13" s="23"/>
      <c r="P13" s="573" t="s">
        <v>511</v>
      </c>
      <c r="Q13" s="574"/>
      <c r="R13" s="574"/>
      <c r="S13" s="574"/>
      <c r="T13" s="574"/>
      <c r="U13" s="574"/>
      <c r="V13" s="574"/>
      <c r="W13" s="574"/>
      <c r="X13" s="574"/>
      <c r="Y13" s="574"/>
      <c r="Z13" s="574"/>
      <c r="AA13" s="575"/>
      <c r="AB13" s="120"/>
      <c r="AD13" s="13" t="s">
        <v>540</v>
      </c>
      <c r="AE13" s="399">
        <f>'Vertical walls'!AE13</f>
        <v>50</v>
      </c>
      <c r="AI13" s="16" t="s">
        <v>371</v>
      </c>
      <c r="AS13" s="69"/>
      <c r="AT13" s="104">
        <v>0.186</v>
      </c>
      <c r="AU13" s="8">
        <v>2</v>
      </c>
      <c r="AV13" s="8">
        <v>2</v>
      </c>
      <c r="AW13" s="8">
        <v>2</v>
      </c>
      <c r="AX13" s="8">
        <v>2</v>
      </c>
      <c r="AY13" s="8">
        <v>2</v>
      </c>
      <c r="AZ13" s="8">
        <v>2</v>
      </c>
      <c r="BA13" s="316">
        <v>2</v>
      </c>
      <c r="BB13" s="8">
        <v>2</v>
      </c>
      <c r="BC13" s="8">
        <v>2</v>
      </c>
      <c r="BD13" s="8">
        <v>2</v>
      </c>
      <c r="BE13" s="8">
        <v>2</v>
      </c>
      <c r="BF13" s="8">
        <v>2</v>
      </c>
      <c r="BG13" s="8">
        <v>2</v>
      </c>
      <c r="BH13" s="8">
        <v>2</v>
      </c>
      <c r="BI13" s="8">
        <v>2</v>
      </c>
      <c r="BJ13" s="8">
        <v>2</v>
      </c>
      <c r="BK13" s="315">
        <v>1</v>
      </c>
      <c r="BL13" s="315">
        <v>1</v>
      </c>
      <c r="BM13" s="315">
        <v>1</v>
      </c>
      <c r="BN13" s="315">
        <v>1</v>
      </c>
      <c r="BO13" s="315">
        <v>1</v>
      </c>
      <c r="BP13" s="315">
        <v>1</v>
      </c>
      <c r="BQ13" s="315">
        <v>1</v>
      </c>
      <c r="BR13" s="315">
        <v>1</v>
      </c>
      <c r="BS13" s="315">
        <v>1</v>
      </c>
      <c r="BT13" s="315">
        <v>1</v>
      </c>
      <c r="BU13" s="315">
        <v>1</v>
      </c>
      <c r="BV13" s="315">
        <v>1</v>
      </c>
      <c r="BW13" s="315">
        <v>1</v>
      </c>
      <c r="BX13" s="315">
        <v>1</v>
      </c>
      <c r="BY13" s="315">
        <v>1</v>
      </c>
      <c r="BZ13" s="315">
        <v>1</v>
      </c>
      <c r="CA13" s="315">
        <v>1</v>
      </c>
      <c r="CB13" s="315">
        <v>1</v>
      </c>
      <c r="CC13" s="315">
        <v>1</v>
      </c>
      <c r="CD13" s="315">
        <v>1</v>
      </c>
      <c r="CE13" s="315">
        <v>1</v>
      </c>
      <c r="CF13" s="315">
        <v>1</v>
      </c>
      <c r="CG13" s="315">
        <v>1</v>
      </c>
      <c r="CH13" s="315">
        <v>1</v>
      </c>
      <c r="CI13" s="315">
        <v>1</v>
      </c>
      <c r="CJ13" s="315">
        <v>1</v>
      </c>
      <c r="CK13" s="315">
        <v>1</v>
      </c>
      <c r="CL13" s="315">
        <v>1</v>
      </c>
      <c r="CM13" s="315">
        <v>1</v>
      </c>
      <c r="CN13" s="315">
        <v>1</v>
      </c>
      <c r="CO13" s="315">
        <v>1</v>
      </c>
      <c r="CP13" s="315">
        <v>1</v>
      </c>
      <c r="CQ13" s="315">
        <v>1</v>
      </c>
      <c r="CR13" s="315">
        <v>1</v>
      </c>
      <c r="CS13" s="315">
        <v>1</v>
      </c>
      <c r="CT13" s="315">
        <v>1</v>
      </c>
      <c r="CU13" s="315">
        <v>1</v>
      </c>
      <c r="CV13" s="315">
        <v>1</v>
      </c>
      <c r="CW13" s="315">
        <v>1</v>
      </c>
      <c r="CX13" s="315">
        <v>1</v>
      </c>
      <c r="CY13" s="315">
        <v>1</v>
      </c>
      <c r="CZ13" s="315">
        <v>1</v>
      </c>
      <c r="DA13" s="315">
        <v>1</v>
      </c>
      <c r="DB13" s="315">
        <v>1</v>
      </c>
      <c r="DC13" s="315">
        <v>1</v>
      </c>
      <c r="DD13" s="315">
        <v>1</v>
      </c>
      <c r="DE13" s="315">
        <v>1</v>
      </c>
      <c r="DF13" s="315">
        <v>1</v>
      </c>
      <c r="DG13" s="315">
        <v>1</v>
      </c>
      <c r="DH13" s="315">
        <v>1</v>
      </c>
      <c r="DI13" s="315">
        <v>1</v>
      </c>
      <c r="DJ13" s="315">
        <v>1</v>
      </c>
      <c r="DK13" s="315">
        <v>1</v>
      </c>
      <c r="DL13" s="315">
        <v>1</v>
      </c>
      <c r="DM13" s="315">
        <v>1</v>
      </c>
      <c r="DN13" s="315">
        <v>1</v>
      </c>
      <c r="DO13" s="315">
        <v>1</v>
      </c>
      <c r="DP13" s="315">
        <v>1</v>
      </c>
      <c r="DQ13" s="315">
        <v>1</v>
      </c>
      <c r="DR13" s="315">
        <v>1</v>
      </c>
      <c r="DS13" s="315">
        <v>1</v>
      </c>
      <c r="DT13" s="315">
        <v>1</v>
      </c>
      <c r="DU13" s="315">
        <v>1</v>
      </c>
      <c r="DV13" s="315">
        <v>1</v>
      </c>
      <c r="DW13" s="315">
        <v>1</v>
      </c>
      <c r="DX13" s="315">
        <v>1</v>
      </c>
      <c r="DY13" s="315">
        <v>1</v>
      </c>
      <c r="DZ13" s="315">
        <v>1</v>
      </c>
      <c r="EA13" s="315">
        <v>1</v>
      </c>
      <c r="EB13" s="315">
        <v>1</v>
      </c>
      <c r="EC13" s="315">
        <v>1</v>
      </c>
      <c r="ED13" s="315">
        <v>1</v>
      </c>
      <c r="EE13" s="315">
        <v>1</v>
      </c>
      <c r="EF13" s="315">
        <v>1</v>
      </c>
      <c r="EG13" s="315">
        <v>1</v>
      </c>
      <c r="EH13" s="315">
        <v>1</v>
      </c>
      <c r="EI13" s="315">
        <v>1</v>
      </c>
      <c r="EJ13" s="315">
        <v>1</v>
      </c>
      <c r="EK13" s="315">
        <v>1</v>
      </c>
      <c r="EL13" s="315">
        <v>1</v>
      </c>
      <c r="EM13" s="315">
        <v>1</v>
      </c>
      <c r="EN13" s="315">
        <v>1</v>
      </c>
      <c r="EO13" s="315">
        <v>1</v>
      </c>
      <c r="EP13" s="315">
        <v>1</v>
      </c>
      <c r="EQ13" s="315">
        <v>1</v>
      </c>
      <c r="ER13" s="315">
        <v>1</v>
      </c>
      <c r="ES13" s="315">
        <v>1</v>
      </c>
      <c r="ET13" s="315">
        <v>1</v>
      </c>
      <c r="EU13" s="315">
        <v>1</v>
      </c>
      <c r="EV13" s="315">
        <v>1</v>
      </c>
      <c r="EW13" s="315">
        <v>1</v>
      </c>
      <c r="EX13" s="315">
        <v>1</v>
      </c>
      <c r="EY13" s="315">
        <v>1</v>
      </c>
      <c r="EZ13" s="315">
        <v>1</v>
      </c>
      <c r="FB13" s="50">
        <f>HLOOKUP(M16,$AU$3:$EZ$104,11,TRUE)</f>
        <v>1</v>
      </c>
      <c r="FD13" s="50">
        <f>HLOOKUP(AL42,$AU$3:$EZ$104,11,TRUE)</f>
        <v>1</v>
      </c>
    </row>
    <row r="14" spans="1:160" ht="17.100000000000001" customHeight="1" thickBot="1">
      <c r="B14" s="119"/>
      <c r="C14" s="686" t="s">
        <v>345</v>
      </c>
      <c r="D14" s="687"/>
      <c r="E14" s="687"/>
      <c r="F14" s="687"/>
      <c r="G14" s="687"/>
      <c r="H14" s="687"/>
      <c r="I14" s="687"/>
      <c r="J14" s="687"/>
      <c r="K14" s="687"/>
      <c r="L14" s="687"/>
      <c r="M14" s="653">
        <f>AE13</f>
        <v>50</v>
      </c>
      <c r="N14" s="654"/>
      <c r="O14" s="23"/>
      <c r="P14" s="702" t="s">
        <v>294</v>
      </c>
      <c r="Q14" s="703"/>
      <c r="R14" s="703"/>
      <c r="S14" s="703"/>
      <c r="T14" s="703"/>
      <c r="U14" s="703"/>
      <c r="V14" s="703"/>
      <c r="W14" s="703"/>
      <c r="X14" s="703"/>
      <c r="Y14" s="703"/>
      <c r="Z14" s="653" t="str">
        <f>'Vertical walls'!AV26</f>
        <v>I</v>
      </c>
      <c r="AA14" s="654"/>
      <c r="AB14" s="120"/>
      <c r="AD14" s="13" t="s">
        <v>539</v>
      </c>
      <c r="AE14" s="399">
        <f>'Vertical walls'!AE14</f>
        <v>82</v>
      </c>
      <c r="AI14" s="13" t="s">
        <v>372</v>
      </c>
      <c r="AL14" s="317" t="s">
        <v>56</v>
      </c>
      <c r="AM14" s="137">
        <f>VLOOKUP(10,AT113:FB213,113,TRUE)</f>
        <v>2</v>
      </c>
      <c r="AN14" s="183"/>
      <c r="AO14" s="317" t="s">
        <v>56</v>
      </c>
      <c r="AP14" s="137">
        <f>VLOOKUP(10,AT113:FD213,115,TRUE)</f>
        <v>2</v>
      </c>
      <c r="AS14" s="69"/>
      <c r="AT14" s="104">
        <v>0.2</v>
      </c>
      <c r="AU14" s="8">
        <v>2</v>
      </c>
      <c r="AV14" s="8">
        <v>2</v>
      </c>
      <c r="AW14" s="8">
        <v>2</v>
      </c>
      <c r="AX14" s="8">
        <v>2</v>
      </c>
      <c r="AY14" s="8">
        <v>2</v>
      </c>
      <c r="AZ14" s="8">
        <v>2</v>
      </c>
      <c r="BA14" s="316">
        <v>2</v>
      </c>
      <c r="BB14" s="8">
        <v>2</v>
      </c>
      <c r="BC14" s="8">
        <v>2</v>
      </c>
      <c r="BD14" s="8">
        <v>2</v>
      </c>
      <c r="BE14" s="8">
        <v>2</v>
      </c>
      <c r="BF14" s="8">
        <v>2</v>
      </c>
      <c r="BG14" s="8">
        <v>2</v>
      </c>
      <c r="BH14" s="8">
        <v>2</v>
      </c>
      <c r="BI14" s="8">
        <v>2</v>
      </c>
      <c r="BJ14" s="8">
        <v>2</v>
      </c>
      <c r="BK14" s="8">
        <v>2</v>
      </c>
      <c r="BL14" s="315">
        <v>1</v>
      </c>
      <c r="BM14" s="315">
        <v>1</v>
      </c>
      <c r="BN14" s="315">
        <v>1</v>
      </c>
      <c r="BO14" s="315">
        <v>1</v>
      </c>
      <c r="BP14" s="315">
        <v>1</v>
      </c>
      <c r="BQ14" s="315">
        <v>1</v>
      </c>
      <c r="BR14" s="315">
        <v>1</v>
      </c>
      <c r="BS14" s="315">
        <v>1</v>
      </c>
      <c r="BT14" s="315">
        <v>1</v>
      </c>
      <c r="BU14" s="315">
        <v>1</v>
      </c>
      <c r="BV14" s="315">
        <v>1</v>
      </c>
      <c r="BW14" s="315">
        <v>1</v>
      </c>
      <c r="BX14" s="315">
        <v>1</v>
      </c>
      <c r="BY14" s="315">
        <v>1</v>
      </c>
      <c r="BZ14" s="315">
        <v>1</v>
      </c>
      <c r="CA14" s="315">
        <v>1</v>
      </c>
      <c r="CB14" s="315">
        <v>1</v>
      </c>
      <c r="CC14" s="315">
        <v>1</v>
      </c>
      <c r="CD14" s="315">
        <v>1</v>
      </c>
      <c r="CE14" s="315">
        <v>1</v>
      </c>
      <c r="CF14" s="315">
        <v>1</v>
      </c>
      <c r="CG14" s="315">
        <v>1</v>
      </c>
      <c r="CH14" s="315">
        <v>1</v>
      </c>
      <c r="CI14" s="315">
        <v>1</v>
      </c>
      <c r="CJ14" s="315">
        <v>1</v>
      </c>
      <c r="CK14" s="315">
        <v>1</v>
      </c>
      <c r="CL14" s="315">
        <v>1</v>
      </c>
      <c r="CM14" s="315">
        <v>1</v>
      </c>
      <c r="CN14" s="315">
        <v>1</v>
      </c>
      <c r="CO14" s="315">
        <v>1</v>
      </c>
      <c r="CP14" s="315">
        <v>1</v>
      </c>
      <c r="CQ14" s="315">
        <v>1</v>
      </c>
      <c r="CR14" s="315">
        <v>1</v>
      </c>
      <c r="CS14" s="315">
        <v>1</v>
      </c>
      <c r="CT14" s="315">
        <v>1</v>
      </c>
      <c r="CU14" s="315">
        <v>1</v>
      </c>
      <c r="CV14" s="315">
        <v>1</v>
      </c>
      <c r="CW14" s="315">
        <v>1</v>
      </c>
      <c r="CX14" s="315">
        <v>1</v>
      </c>
      <c r="CY14" s="315">
        <v>1</v>
      </c>
      <c r="CZ14" s="315">
        <v>1</v>
      </c>
      <c r="DA14" s="315">
        <v>1</v>
      </c>
      <c r="DB14" s="315">
        <v>1</v>
      </c>
      <c r="DC14" s="315">
        <v>1</v>
      </c>
      <c r="DD14" s="315">
        <v>1</v>
      </c>
      <c r="DE14" s="315">
        <v>1</v>
      </c>
      <c r="DF14" s="315">
        <v>1</v>
      </c>
      <c r="DG14" s="315">
        <v>1</v>
      </c>
      <c r="DH14" s="315">
        <v>1</v>
      </c>
      <c r="DI14" s="315">
        <v>1</v>
      </c>
      <c r="DJ14" s="315">
        <v>1</v>
      </c>
      <c r="DK14" s="315">
        <v>1</v>
      </c>
      <c r="DL14" s="315">
        <v>1</v>
      </c>
      <c r="DM14" s="315">
        <v>1</v>
      </c>
      <c r="DN14" s="315">
        <v>1</v>
      </c>
      <c r="DO14" s="315">
        <v>1</v>
      </c>
      <c r="DP14" s="315">
        <v>1</v>
      </c>
      <c r="DQ14" s="315">
        <v>1</v>
      </c>
      <c r="DR14" s="315">
        <v>1</v>
      </c>
      <c r="DS14" s="315">
        <v>1</v>
      </c>
      <c r="DT14" s="315">
        <v>1</v>
      </c>
      <c r="DU14" s="315">
        <v>1</v>
      </c>
      <c r="DV14" s="315">
        <v>1</v>
      </c>
      <c r="DW14" s="315">
        <v>1</v>
      </c>
      <c r="DX14" s="315">
        <v>1</v>
      </c>
      <c r="DY14" s="315">
        <v>1</v>
      </c>
      <c r="DZ14" s="315">
        <v>1</v>
      </c>
      <c r="EA14" s="315">
        <v>1</v>
      </c>
      <c r="EB14" s="315">
        <v>1</v>
      </c>
      <c r="EC14" s="315">
        <v>1</v>
      </c>
      <c r="ED14" s="315">
        <v>1</v>
      </c>
      <c r="EE14" s="315">
        <v>1</v>
      </c>
      <c r="EF14" s="315">
        <v>1</v>
      </c>
      <c r="EG14" s="315">
        <v>1</v>
      </c>
      <c r="EH14" s="315">
        <v>1</v>
      </c>
      <c r="EI14" s="315">
        <v>1</v>
      </c>
      <c r="EJ14" s="315">
        <v>1</v>
      </c>
      <c r="EK14" s="315">
        <v>1</v>
      </c>
      <c r="EL14" s="315">
        <v>1</v>
      </c>
      <c r="EM14" s="315">
        <v>1</v>
      </c>
      <c r="EN14" s="315">
        <v>1</v>
      </c>
      <c r="EO14" s="315">
        <v>1</v>
      </c>
      <c r="EP14" s="315">
        <v>1</v>
      </c>
      <c r="EQ14" s="315">
        <v>1</v>
      </c>
      <c r="ER14" s="315">
        <v>1</v>
      </c>
      <c r="ES14" s="315">
        <v>1</v>
      </c>
      <c r="ET14" s="315">
        <v>1</v>
      </c>
      <c r="EU14" s="315">
        <v>1</v>
      </c>
      <c r="EV14" s="315">
        <v>1</v>
      </c>
      <c r="EW14" s="315">
        <v>1</v>
      </c>
      <c r="EX14" s="315">
        <v>1</v>
      </c>
      <c r="EY14" s="315">
        <v>1</v>
      </c>
      <c r="EZ14" s="315">
        <v>1</v>
      </c>
      <c r="FB14" s="50">
        <f>HLOOKUP(M16,$AU$3:$EZ$104,12,TRUE)</f>
        <v>1</v>
      </c>
      <c r="FD14" s="50">
        <f>HLOOKUP(AL42,$AU$3:$EZ$104,12,TRUE)</f>
        <v>1</v>
      </c>
    </row>
    <row r="15" spans="1:160" ht="17.100000000000001" customHeight="1">
      <c r="B15" s="119"/>
      <c r="C15" s="548" t="s">
        <v>324</v>
      </c>
      <c r="D15" s="549"/>
      <c r="E15" s="549"/>
      <c r="F15" s="549"/>
      <c r="G15" s="549"/>
      <c r="H15" s="549"/>
      <c r="I15" s="549"/>
      <c r="J15" s="549"/>
      <c r="K15" s="549"/>
      <c r="L15" s="549"/>
      <c r="M15" s="688">
        <v>81.8</v>
      </c>
      <c r="N15" s="689"/>
      <c r="O15" s="23"/>
      <c r="P15" s="536" t="s">
        <v>300</v>
      </c>
      <c r="Q15" s="537"/>
      <c r="R15" s="537"/>
      <c r="S15" s="537"/>
      <c r="T15" s="537"/>
      <c r="U15" s="537"/>
      <c r="V15" s="537"/>
      <c r="W15" s="537"/>
      <c r="X15" s="537"/>
      <c r="Y15" s="537"/>
      <c r="Z15" s="550">
        <f>INDEX('wind pressure'!J37:Q38,1,2*MATCH(Z14,AI24:AI27,0)-1)</f>
        <v>15</v>
      </c>
      <c r="AA15" s="551"/>
      <c r="AB15" s="120"/>
      <c r="AD15" s="13" t="s">
        <v>538</v>
      </c>
      <c r="AE15" s="399">
        <f>'Vertical walls'!AE15</f>
        <v>70</v>
      </c>
      <c r="AI15" s="13" t="s">
        <v>373</v>
      </c>
      <c r="AL15" s="187" t="s">
        <v>215</v>
      </c>
      <c r="AM15" s="204">
        <v>1</v>
      </c>
      <c r="AN15" s="183"/>
      <c r="AO15" s="441" t="s">
        <v>215</v>
      </c>
      <c r="AP15" s="442">
        <v>1</v>
      </c>
      <c r="AR15" s="154"/>
      <c r="AS15" s="69"/>
      <c r="AT15" s="104">
        <v>0.214</v>
      </c>
      <c r="AU15" s="8">
        <v>2</v>
      </c>
      <c r="AV15" s="8">
        <v>2</v>
      </c>
      <c r="AW15" s="8">
        <v>2</v>
      </c>
      <c r="AX15" s="8">
        <v>2</v>
      </c>
      <c r="AY15" s="8">
        <v>2</v>
      </c>
      <c r="AZ15" s="8">
        <v>2</v>
      </c>
      <c r="BA15" s="316">
        <v>2</v>
      </c>
      <c r="BB15" s="8">
        <v>2</v>
      </c>
      <c r="BC15" s="8">
        <v>2</v>
      </c>
      <c r="BD15" s="8">
        <v>2</v>
      </c>
      <c r="BE15" s="8">
        <v>2</v>
      </c>
      <c r="BF15" s="8">
        <v>2</v>
      </c>
      <c r="BG15" s="8">
        <v>2</v>
      </c>
      <c r="BH15" s="8">
        <v>2</v>
      </c>
      <c r="BI15" s="8">
        <v>2</v>
      </c>
      <c r="BJ15" s="8">
        <v>2</v>
      </c>
      <c r="BK15" s="8">
        <v>2</v>
      </c>
      <c r="BL15" s="315">
        <v>1</v>
      </c>
      <c r="BM15" s="315">
        <v>1</v>
      </c>
      <c r="BN15" s="315">
        <v>1</v>
      </c>
      <c r="BO15" s="315">
        <v>1</v>
      </c>
      <c r="BP15" s="315">
        <v>1</v>
      </c>
      <c r="BQ15" s="315">
        <v>1</v>
      </c>
      <c r="BR15" s="315">
        <v>1</v>
      </c>
      <c r="BS15" s="315">
        <v>1</v>
      </c>
      <c r="BT15" s="315">
        <v>1</v>
      </c>
      <c r="BU15" s="315">
        <v>1</v>
      </c>
      <c r="BV15" s="315">
        <v>1</v>
      </c>
      <c r="BW15" s="315">
        <v>1</v>
      </c>
      <c r="BX15" s="315">
        <v>1</v>
      </c>
      <c r="BY15" s="315">
        <v>1</v>
      </c>
      <c r="BZ15" s="315">
        <v>1</v>
      </c>
      <c r="CA15" s="315">
        <v>1</v>
      </c>
      <c r="CB15" s="315">
        <v>1</v>
      </c>
      <c r="CC15" s="315">
        <v>1</v>
      </c>
      <c r="CD15" s="315">
        <v>1</v>
      </c>
      <c r="CE15" s="315">
        <v>1</v>
      </c>
      <c r="CF15" s="315">
        <v>1</v>
      </c>
      <c r="CG15" s="315">
        <v>1</v>
      </c>
      <c r="CH15" s="315">
        <v>1</v>
      </c>
      <c r="CI15" s="315">
        <v>1</v>
      </c>
      <c r="CJ15" s="315">
        <v>1</v>
      </c>
      <c r="CK15" s="315">
        <v>1</v>
      </c>
      <c r="CL15" s="315">
        <v>1</v>
      </c>
      <c r="CM15" s="315">
        <v>1</v>
      </c>
      <c r="CN15" s="315">
        <v>1</v>
      </c>
      <c r="CO15" s="315">
        <v>1</v>
      </c>
      <c r="CP15" s="315">
        <v>1</v>
      </c>
      <c r="CQ15" s="315">
        <v>1</v>
      </c>
      <c r="CR15" s="315">
        <v>1</v>
      </c>
      <c r="CS15" s="315">
        <v>1</v>
      </c>
      <c r="CT15" s="315">
        <v>1</v>
      </c>
      <c r="CU15" s="315">
        <v>1</v>
      </c>
      <c r="CV15" s="315">
        <v>1</v>
      </c>
      <c r="CW15" s="315">
        <v>1</v>
      </c>
      <c r="CX15" s="315">
        <v>1</v>
      </c>
      <c r="CY15" s="315">
        <v>1</v>
      </c>
      <c r="CZ15" s="315">
        <v>1</v>
      </c>
      <c r="DA15" s="315">
        <v>1</v>
      </c>
      <c r="DB15" s="315">
        <v>1</v>
      </c>
      <c r="DC15" s="315">
        <v>1</v>
      </c>
      <c r="DD15" s="315">
        <v>1</v>
      </c>
      <c r="DE15" s="315">
        <v>1</v>
      </c>
      <c r="DF15" s="315">
        <v>1</v>
      </c>
      <c r="DG15" s="315">
        <v>1</v>
      </c>
      <c r="DH15" s="315">
        <v>1</v>
      </c>
      <c r="DI15" s="315">
        <v>1</v>
      </c>
      <c r="DJ15" s="315">
        <v>1</v>
      </c>
      <c r="DK15" s="315">
        <v>1</v>
      </c>
      <c r="DL15" s="315">
        <v>1</v>
      </c>
      <c r="DM15" s="315">
        <v>1</v>
      </c>
      <c r="DN15" s="315">
        <v>1</v>
      </c>
      <c r="DO15" s="315">
        <v>1</v>
      </c>
      <c r="DP15" s="315">
        <v>1</v>
      </c>
      <c r="DQ15" s="315">
        <v>1</v>
      </c>
      <c r="DR15" s="315">
        <v>1</v>
      </c>
      <c r="DS15" s="315">
        <v>1</v>
      </c>
      <c r="DT15" s="315">
        <v>1</v>
      </c>
      <c r="DU15" s="315">
        <v>1</v>
      </c>
      <c r="DV15" s="315">
        <v>1</v>
      </c>
      <c r="DW15" s="315">
        <v>1</v>
      </c>
      <c r="DX15" s="315">
        <v>1</v>
      </c>
      <c r="DY15" s="315">
        <v>1</v>
      </c>
      <c r="DZ15" s="315">
        <v>1</v>
      </c>
      <c r="EA15" s="315">
        <v>1</v>
      </c>
      <c r="EB15" s="315">
        <v>1</v>
      </c>
      <c r="EC15" s="315">
        <v>1</v>
      </c>
      <c r="ED15" s="315">
        <v>1</v>
      </c>
      <c r="EE15" s="315">
        <v>1</v>
      </c>
      <c r="EF15" s="315">
        <v>1</v>
      </c>
      <c r="EG15" s="315">
        <v>1</v>
      </c>
      <c r="EH15" s="315">
        <v>1</v>
      </c>
      <c r="EI15" s="315">
        <v>1</v>
      </c>
      <c r="EJ15" s="315">
        <v>1</v>
      </c>
      <c r="EK15" s="315">
        <v>1</v>
      </c>
      <c r="EL15" s="315">
        <v>1</v>
      </c>
      <c r="EM15" s="315">
        <v>1</v>
      </c>
      <c r="EN15" s="315">
        <v>1</v>
      </c>
      <c r="EO15" s="315">
        <v>1</v>
      </c>
      <c r="EP15" s="315">
        <v>1</v>
      </c>
      <c r="EQ15" s="315">
        <v>1</v>
      </c>
      <c r="ER15" s="315">
        <v>1</v>
      </c>
      <c r="ES15" s="315">
        <v>1</v>
      </c>
      <c r="ET15" s="315">
        <v>1</v>
      </c>
      <c r="EU15" s="315">
        <v>1</v>
      </c>
      <c r="EV15" s="315">
        <v>1</v>
      </c>
      <c r="EW15" s="315">
        <v>1</v>
      </c>
      <c r="EX15" s="315">
        <v>1</v>
      </c>
      <c r="EY15" s="315">
        <v>1</v>
      </c>
      <c r="EZ15" s="315">
        <v>1</v>
      </c>
      <c r="FB15" s="50">
        <f>HLOOKUP(M16,$AU$3:$EZ$104,13,TRUE)</f>
        <v>1</v>
      </c>
      <c r="FD15" s="50">
        <f>HLOOKUP(AL42,$AU$3:$EZ$104,13,TRUE)</f>
        <v>1</v>
      </c>
    </row>
    <row r="16" spans="1:160" ht="17.100000000000001" customHeight="1">
      <c r="B16" s="119"/>
      <c r="C16" s="680" t="s">
        <v>346</v>
      </c>
      <c r="D16" s="681"/>
      <c r="E16" s="681"/>
      <c r="F16" s="681"/>
      <c r="G16" s="681"/>
      <c r="H16" s="681"/>
      <c r="I16" s="681"/>
      <c r="J16" s="681"/>
      <c r="K16" s="681"/>
      <c r="L16" s="681"/>
      <c r="M16" s="682">
        <f>AE15</f>
        <v>70</v>
      </c>
      <c r="N16" s="683"/>
      <c r="O16" s="23"/>
      <c r="P16" s="554" t="s">
        <v>301</v>
      </c>
      <c r="Q16" s="555"/>
      <c r="R16" s="555"/>
      <c r="S16" s="555"/>
      <c r="T16" s="555"/>
      <c r="U16" s="555"/>
      <c r="V16" s="555"/>
      <c r="W16" s="555"/>
      <c r="X16" s="555"/>
      <c r="Y16" s="555"/>
      <c r="Z16" s="587">
        <f>INDEX('wind pressure'!J37:Q38,2,2*MATCH(Z14,AI24:AI27,0)-1)</f>
        <v>10</v>
      </c>
      <c r="AA16" s="588"/>
      <c r="AB16" s="120"/>
      <c r="AD16" s="13" t="s">
        <v>582</v>
      </c>
      <c r="AE16" s="398" t="str">
        <f>'Vertical walls'!AE16</f>
        <v>town</v>
      </c>
      <c r="AI16" s="13" t="s">
        <v>572</v>
      </c>
      <c r="AL16" s="186" t="s">
        <v>80</v>
      </c>
      <c r="AM16" s="186">
        <v>2</v>
      </c>
      <c r="AN16" s="183"/>
      <c r="AO16" s="440" t="s">
        <v>80</v>
      </c>
      <c r="AP16" s="440">
        <v>2</v>
      </c>
      <c r="AS16" s="69"/>
      <c r="AT16" s="104">
        <v>0.22900000000000001</v>
      </c>
      <c r="AU16" s="8">
        <v>2</v>
      </c>
      <c r="AV16" s="8">
        <v>2</v>
      </c>
      <c r="AW16" s="8">
        <v>2</v>
      </c>
      <c r="AX16" s="8">
        <v>2</v>
      </c>
      <c r="AY16" s="8">
        <v>2</v>
      </c>
      <c r="AZ16" s="8">
        <v>2</v>
      </c>
      <c r="BA16" s="316">
        <v>2</v>
      </c>
      <c r="BB16" s="8">
        <v>2</v>
      </c>
      <c r="BC16" s="8">
        <v>2</v>
      </c>
      <c r="BD16" s="8">
        <v>2</v>
      </c>
      <c r="BE16" s="8">
        <v>2</v>
      </c>
      <c r="BF16" s="8">
        <v>2</v>
      </c>
      <c r="BG16" s="8">
        <v>2</v>
      </c>
      <c r="BH16" s="8">
        <v>2</v>
      </c>
      <c r="BI16" s="8">
        <v>2</v>
      </c>
      <c r="BJ16" s="8">
        <v>2</v>
      </c>
      <c r="BK16" s="8">
        <v>2</v>
      </c>
      <c r="BL16" s="8">
        <v>2</v>
      </c>
      <c r="BM16" s="8">
        <v>2</v>
      </c>
      <c r="BN16" s="315">
        <v>1</v>
      </c>
      <c r="BO16" s="315">
        <v>1</v>
      </c>
      <c r="BP16" s="315">
        <v>1</v>
      </c>
      <c r="BQ16" s="315">
        <v>1</v>
      </c>
      <c r="BR16" s="315">
        <v>1</v>
      </c>
      <c r="BS16" s="315">
        <v>1</v>
      </c>
      <c r="BT16" s="315">
        <v>1</v>
      </c>
      <c r="BU16" s="315">
        <v>1</v>
      </c>
      <c r="BV16" s="315">
        <v>1</v>
      </c>
      <c r="BW16" s="315">
        <v>1</v>
      </c>
      <c r="BX16" s="315">
        <v>1</v>
      </c>
      <c r="BY16" s="315">
        <v>1</v>
      </c>
      <c r="BZ16" s="315">
        <v>1</v>
      </c>
      <c r="CA16" s="315">
        <v>1</v>
      </c>
      <c r="CB16" s="315">
        <v>1</v>
      </c>
      <c r="CC16" s="315">
        <v>1</v>
      </c>
      <c r="CD16" s="315">
        <v>1</v>
      </c>
      <c r="CE16" s="315">
        <v>1</v>
      </c>
      <c r="CF16" s="315">
        <v>1</v>
      </c>
      <c r="CG16" s="315">
        <v>1</v>
      </c>
      <c r="CH16" s="315">
        <v>1</v>
      </c>
      <c r="CI16" s="315">
        <v>1</v>
      </c>
      <c r="CJ16" s="315">
        <v>1</v>
      </c>
      <c r="CK16" s="315">
        <v>1</v>
      </c>
      <c r="CL16" s="315">
        <v>1</v>
      </c>
      <c r="CM16" s="315">
        <v>1</v>
      </c>
      <c r="CN16" s="315">
        <v>1</v>
      </c>
      <c r="CO16" s="315">
        <v>1</v>
      </c>
      <c r="CP16" s="315">
        <v>1</v>
      </c>
      <c r="CQ16" s="315">
        <v>1</v>
      </c>
      <c r="CR16" s="315">
        <v>1</v>
      </c>
      <c r="CS16" s="315">
        <v>1</v>
      </c>
      <c r="CT16" s="315">
        <v>1</v>
      </c>
      <c r="CU16" s="315">
        <v>1</v>
      </c>
      <c r="CV16" s="315">
        <v>1</v>
      </c>
      <c r="CW16" s="315">
        <v>1</v>
      </c>
      <c r="CX16" s="315">
        <v>1</v>
      </c>
      <c r="CY16" s="315">
        <v>1</v>
      </c>
      <c r="CZ16" s="315">
        <v>1</v>
      </c>
      <c r="DA16" s="315">
        <v>1</v>
      </c>
      <c r="DB16" s="315">
        <v>1</v>
      </c>
      <c r="DC16" s="315">
        <v>1</v>
      </c>
      <c r="DD16" s="315">
        <v>1</v>
      </c>
      <c r="DE16" s="315">
        <v>1</v>
      </c>
      <c r="DF16" s="315">
        <v>1</v>
      </c>
      <c r="DG16" s="315">
        <v>1</v>
      </c>
      <c r="DH16" s="315">
        <v>1</v>
      </c>
      <c r="DI16" s="315">
        <v>1</v>
      </c>
      <c r="DJ16" s="315">
        <v>1</v>
      </c>
      <c r="DK16" s="315">
        <v>1</v>
      </c>
      <c r="DL16" s="315">
        <v>1</v>
      </c>
      <c r="DM16" s="315">
        <v>1</v>
      </c>
      <c r="DN16" s="315">
        <v>1</v>
      </c>
      <c r="DO16" s="315">
        <v>1</v>
      </c>
      <c r="DP16" s="315">
        <v>1</v>
      </c>
      <c r="DQ16" s="315">
        <v>1</v>
      </c>
      <c r="DR16" s="315">
        <v>1</v>
      </c>
      <c r="DS16" s="315">
        <v>1</v>
      </c>
      <c r="DT16" s="315">
        <v>1</v>
      </c>
      <c r="DU16" s="315">
        <v>1</v>
      </c>
      <c r="DV16" s="315">
        <v>1</v>
      </c>
      <c r="DW16" s="315">
        <v>1</v>
      </c>
      <c r="DX16" s="315">
        <v>1</v>
      </c>
      <c r="DY16" s="315">
        <v>1</v>
      </c>
      <c r="DZ16" s="315">
        <v>1</v>
      </c>
      <c r="EA16" s="315">
        <v>1</v>
      </c>
      <c r="EB16" s="315">
        <v>1</v>
      </c>
      <c r="EC16" s="315">
        <v>1</v>
      </c>
      <c r="ED16" s="315">
        <v>1</v>
      </c>
      <c r="EE16" s="315">
        <v>1</v>
      </c>
      <c r="EF16" s="315">
        <v>1</v>
      </c>
      <c r="EG16" s="315">
        <v>1</v>
      </c>
      <c r="EH16" s="315">
        <v>1</v>
      </c>
      <c r="EI16" s="315">
        <v>1</v>
      </c>
      <c r="EJ16" s="315">
        <v>1</v>
      </c>
      <c r="EK16" s="315">
        <v>1</v>
      </c>
      <c r="EL16" s="315">
        <v>1</v>
      </c>
      <c r="EM16" s="315">
        <v>1</v>
      </c>
      <c r="EN16" s="315">
        <v>1</v>
      </c>
      <c r="EO16" s="315">
        <v>1</v>
      </c>
      <c r="EP16" s="315">
        <v>1</v>
      </c>
      <c r="EQ16" s="315">
        <v>1</v>
      </c>
      <c r="ER16" s="315">
        <v>1</v>
      </c>
      <c r="ES16" s="315">
        <v>1</v>
      </c>
      <c r="ET16" s="315">
        <v>1</v>
      </c>
      <c r="EU16" s="315">
        <v>1</v>
      </c>
      <c r="EV16" s="315">
        <v>1</v>
      </c>
      <c r="EW16" s="315">
        <v>1</v>
      </c>
      <c r="EX16" s="315">
        <v>1</v>
      </c>
      <c r="EY16" s="315">
        <v>1</v>
      </c>
      <c r="EZ16" s="315">
        <v>1</v>
      </c>
      <c r="FB16" s="50">
        <f>HLOOKUP(M16,$AU$3:$EZ$104,14,TRUE)</f>
        <v>1</v>
      </c>
      <c r="FD16" s="50">
        <f>HLOOKUP(AL42,$AU$3:$EZ$104,14,TRUE)</f>
        <v>1</v>
      </c>
    </row>
    <row r="17" spans="2:160" ht="17.100000000000001" customHeight="1">
      <c r="B17" s="119"/>
      <c r="C17" s="23"/>
      <c r="D17" s="23"/>
      <c r="E17" s="23"/>
      <c r="F17" s="23"/>
      <c r="G17" s="23"/>
      <c r="H17" s="23"/>
      <c r="I17" s="23"/>
      <c r="J17" s="23"/>
      <c r="K17" s="23"/>
      <c r="L17" s="23"/>
      <c r="M17" s="23"/>
      <c r="N17" s="23"/>
      <c r="O17" s="23"/>
      <c r="P17" s="23"/>
      <c r="Q17" s="23"/>
      <c r="R17" s="23"/>
      <c r="S17" s="23"/>
      <c r="T17" s="23"/>
      <c r="U17" s="23"/>
      <c r="V17" s="23"/>
      <c r="W17" s="23"/>
      <c r="X17" s="23"/>
      <c r="Y17" s="23"/>
      <c r="Z17" s="23"/>
      <c r="AA17" s="23"/>
      <c r="AB17" s="120"/>
      <c r="AD17" s="13" t="s">
        <v>541</v>
      </c>
      <c r="AE17" s="399">
        <f>'Vertical walls'!AE17</f>
        <v>15</v>
      </c>
      <c r="AI17" s="13" t="s">
        <v>573</v>
      </c>
      <c r="AQ17" s="200" t="s">
        <v>669</v>
      </c>
      <c r="AR17" s="154">
        <f>$M$13+82</f>
        <v>162</v>
      </c>
      <c r="AS17" s="69"/>
      <c r="AT17" s="104">
        <v>0.245</v>
      </c>
      <c r="AU17" s="8">
        <v>2</v>
      </c>
      <c r="AV17" s="8">
        <v>2</v>
      </c>
      <c r="AW17" s="8">
        <v>2</v>
      </c>
      <c r="AX17" s="8">
        <v>2</v>
      </c>
      <c r="AY17" s="8">
        <v>2</v>
      </c>
      <c r="AZ17" s="8">
        <v>2</v>
      </c>
      <c r="BA17" s="316">
        <v>2</v>
      </c>
      <c r="BB17" s="8">
        <v>2</v>
      </c>
      <c r="BC17" s="8">
        <v>2</v>
      </c>
      <c r="BD17" s="8">
        <v>2</v>
      </c>
      <c r="BE17" s="8">
        <v>2</v>
      </c>
      <c r="BF17" s="8">
        <v>2</v>
      </c>
      <c r="BG17" s="8">
        <v>2</v>
      </c>
      <c r="BH17" s="8">
        <v>2</v>
      </c>
      <c r="BI17" s="8">
        <v>2</v>
      </c>
      <c r="BJ17" s="8">
        <v>2</v>
      </c>
      <c r="BK17" s="8">
        <v>2</v>
      </c>
      <c r="BL17" s="8">
        <v>2</v>
      </c>
      <c r="BM17" s="8">
        <v>2</v>
      </c>
      <c r="BN17" s="8">
        <v>2</v>
      </c>
      <c r="BO17" s="8">
        <v>2</v>
      </c>
      <c r="BP17" s="315">
        <v>1</v>
      </c>
      <c r="BQ17" s="315">
        <v>1</v>
      </c>
      <c r="BR17" s="315">
        <v>1</v>
      </c>
      <c r="BS17" s="315">
        <v>1</v>
      </c>
      <c r="BT17" s="315">
        <v>1</v>
      </c>
      <c r="BU17" s="315">
        <v>1</v>
      </c>
      <c r="BV17" s="315">
        <v>1</v>
      </c>
      <c r="BW17" s="315">
        <v>1</v>
      </c>
      <c r="BX17" s="315">
        <v>1</v>
      </c>
      <c r="BY17" s="315">
        <v>1</v>
      </c>
      <c r="BZ17" s="315">
        <v>1</v>
      </c>
      <c r="CA17" s="315">
        <v>1</v>
      </c>
      <c r="CB17" s="315">
        <v>1</v>
      </c>
      <c r="CC17" s="315">
        <v>1</v>
      </c>
      <c r="CD17" s="315">
        <v>1</v>
      </c>
      <c r="CE17" s="315">
        <v>1</v>
      </c>
      <c r="CF17" s="315">
        <v>1</v>
      </c>
      <c r="CG17" s="315">
        <v>1</v>
      </c>
      <c r="CH17" s="315">
        <v>1</v>
      </c>
      <c r="CI17" s="315">
        <v>1</v>
      </c>
      <c r="CJ17" s="315">
        <v>1</v>
      </c>
      <c r="CK17" s="315">
        <v>1</v>
      </c>
      <c r="CL17" s="315">
        <v>1</v>
      </c>
      <c r="CM17" s="315">
        <v>1</v>
      </c>
      <c r="CN17" s="315">
        <v>1</v>
      </c>
      <c r="CO17" s="315">
        <v>1</v>
      </c>
      <c r="CP17" s="315">
        <v>1</v>
      </c>
      <c r="CQ17" s="315">
        <v>1</v>
      </c>
      <c r="CR17" s="315">
        <v>1</v>
      </c>
      <c r="CS17" s="315">
        <v>1</v>
      </c>
      <c r="CT17" s="315">
        <v>1</v>
      </c>
      <c r="CU17" s="315">
        <v>1</v>
      </c>
      <c r="CV17" s="315">
        <v>1</v>
      </c>
      <c r="CW17" s="315">
        <v>1</v>
      </c>
      <c r="CX17" s="315">
        <v>1</v>
      </c>
      <c r="CY17" s="315">
        <v>1</v>
      </c>
      <c r="CZ17" s="315">
        <v>1</v>
      </c>
      <c r="DA17" s="315">
        <v>1</v>
      </c>
      <c r="DB17" s="315">
        <v>1</v>
      </c>
      <c r="DC17" s="315">
        <v>1</v>
      </c>
      <c r="DD17" s="315">
        <v>1</v>
      </c>
      <c r="DE17" s="315">
        <v>1</v>
      </c>
      <c r="DF17" s="315">
        <v>1</v>
      </c>
      <c r="DG17" s="315">
        <v>1</v>
      </c>
      <c r="DH17" s="315">
        <v>1</v>
      </c>
      <c r="DI17" s="315">
        <v>1</v>
      </c>
      <c r="DJ17" s="315">
        <v>1</v>
      </c>
      <c r="DK17" s="315">
        <v>1</v>
      </c>
      <c r="DL17" s="315">
        <v>1</v>
      </c>
      <c r="DM17" s="315">
        <v>1</v>
      </c>
      <c r="DN17" s="315">
        <v>1</v>
      </c>
      <c r="DO17" s="315">
        <v>1</v>
      </c>
      <c r="DP17" s="315">
        <v>1</v>
      </c>
      <c r="DQ17" s="315">
        <v>1</v>
      </c>
      <c r="DR17" s="315">
        <v>1</v>
      </c>
      <c r="DS17" s="315">
        <v>1</v>
      </c>
      <c r="DT17" s="315">
        <v>1</v>
      </c>
      <c r="DU17" s="315">
        <v>1</v>
      </c>
      <c r="DV17" s="315">
        <v>1</v>
      </c>
      <c r="DW17" s="315">
        <v>1</v>
      </c>
      <c r="DX17" s="315">
        <v>1</v>
      </c>
      <c r="DY17" s="315">
        <v>1</v>
      </c>
      <c r="DZ17" s="315">
        <v>1</v>
      </c>
      <c r="EA17" s="315">
        <v>1</v>
      </c>
      <c r="EB17" s="315">
        <v>1</v>
      </c>
      <c r="EC17" s="315">
        <v>1</v>
      </c>
      <c r="ED17" s="315">
        <v>1</v>
      </c>
      <c r="EE17" s="315">
        <v>1</v>
      </c>
      <c r="EF17" s="315">
        <v>1</v>
      </c>
      <c r="EG17" s="315">
        <v>1</v>
      </c>
      <c r="EH17" s="315">
        <v>1</v>
      </c>
      <c r="EI17" s="315">
        <v>1</v>
      </c>
      <c r="EJ17" s="315">
        <v>1</v>
      </c>
      <c r="EK17" s="315">
        <v>1</v>
      </c>
      <c r="EL17" s="315">
        <v>1</v>
      </c>
      <c r="EM17" s="315">
        <v>1</v>
      </c>
      <c r="EN17" s="315">
        <v>1</v>
      </c>
      <c r="EO17" s="315">
        <v>1</v>
      </c>
      <c r="EP17" s="315">
        <v>1</v>
      </c>
      <c r="EQ17" s="315">
        <v>1</v>
      </c>
      <c r="ER17" s="315">
        <v>1</v>
      </c>
      <c r="ES17" s="315">
        <v>1</v>
      </c>
      <c r="ET17" s="315">
        <v>1</v>
      </c>
      <c r="EU17" s="315">
        <v>1</v>
      </c>
      <c r="EV17" s="315">
        <v>1</v>
      </c>
      <c r="EW17" s="315">
        <v>1</v>
      </c>
      <c r="EX17" s="315">
        <v>1</v>
      </c>
      <c r="EY17" s="315">
        <v>1</v>
      </c>
      <c r="EZ17" s="315">
        <v>1</v>
      </c>
      <c r="FB17" s="50">
        <f>HLOOKUP(M16,$AU$3:$EZ$104,15,TRUE)</f>
        <v>1</v>
      </c>
      <c r="FD17" s="50">
        <f>HLOOKUP(AL42,$AU$3:$EZ$104,15,TRUE)</f>
        <v>1</v>
      </c>
    </row>
    <row r="18" spans="2:160" ht="17.100000000000001" customHeight="1">
      <c r="B18" s="119"/>
      <c r="C18" s="573" t="s">
        <v>429</v>
      </c>
      <c r="D18" s="574"/>
      <c r="E18" s="574"/>
      <c r="F18" s="574"/>
      <c r="G18" s="574"/>
      <c r="H18" s="574"/>
      <c r="I18" s="574"/>
      <c r="J18" s="574"/>
      <c r="K18" s="574"/>
      <c r="L18" s="574"/>
      <c r="M18" s="574"/>
      <c r="N18" s="575"/>
      <c r="O18" s="23"/>
      <c r="P18" s="573" t="s">
        <v>510</v>
      </c>
      <c r="Q18" s="574"/>
      <c r="R18" s="574"/>
      <c r="S18" s="574"/>
      <c r="T18" s="574"/>
      <c r="U18" s="574"/>
      <c r="V18" s="574"/>
      <c r="W18" s="574"/>
      <c r="X18" s="574"/>
      <c r="Y18" s="574"/>
      <c r="Z18" s="574"/>
      <c r="AA18" s="575"/>
      <c r="AB18" s="120"/>
      <c r="AD18" s="13" t="s">
        <v>542</v>
      </c>
      <c r="AE18" s="399">
        <f>'Vertical walls'!AE18</f>
        <v>10</v>
      </c>
      <c r="AI18" s="13" t="s">
        <v>574</v>
      </c>
      <c r="AK18" s="186" t="s">
        <v>55</v>
      </c>
      <c r="AL18" s="186" t="s">
        <v>56</v>
      </c>
      <c r="AM18" s="91" t="s">
        <v>216</v>
      </c>
      <c r="AN18" s="91" t="s">
        <v>217</v>
      </c>
      <c r="AO18" s="186" t="s">
        <v>138</v>
      </c>
      <c r="AP18" s="203"/>
      <c r="AQ18" s="186" t="s">
        <v>220</v>
      </c>
      <c r="AR18" s="186" t="s">
        <v>230</v>
      </c>
      <c r="AS18" s="70"/>
      <c r="AT18" s="104">
        <v>0.26300000000000001</v>
      </c>
      <c r="AU18" s="8">
        <v>2</v>
      </c>
      <c r="AV18" s="8">
        <v>2</v>
      </c>
      <c r="AW18" s="8">
        <v>2</v>
      </c>
      <c r="AX18" s="8">
        <v>2</v>
      </c>
      <c r="AY18" s="8">
        <v>2</v>
      </c>
      <c r="AZ18" s="8">
        <v>2</v>
      </c>
      <c r="BA18" s="316">
        <v>2</v>
      </c>
      <c r="BB18" s="8">
        <v>2</v>
      </c>
      <c r="BC18" s="8">
        <v>2</v>
      </c>
      <c r="BD18" s="8">
        <v>2</v>
      </c>
      <c r="BE18" s="8">
        <v>2</v>
      </c>
      <c r="BF18" s="8">
        <v>2</v>
      </c>
      <c r="BG18" s="8">
        <v>2</v>
      </c>
      <c r="BH18" s="8">
        <v>2</v>
      </c>
      <c r="BI18" s="8">
        <v>2</v>
      </c>
      <c r="BJ18" s="8">
        <v>2</v>
      </c>
      <c r="BK18" s="8">
        <v>2</v>
      </c>
      <c r="BL18" s="8">
        <v>2</v>
      </c>
      <c r="BM18" s="8">
        <v>2</v>
      </c>
      <c r="BN18" s="8">
        <v>2</v>
      </c>
      <c r="BO18" s="8">
        <v>2</v>
      </c>
      <c r="BP18" s="8">
        <v>2</v>
      </c>
      <c r="BQ18" s="315">
        <v>1</v>
      </c>
      <c r="BR18" s="315">
        <v>1</v>
      </c>
      <c r="BS18" s="315">
        <v>1</v>
      </c>
      <c r="BT18" s="315">
        <v>1</v>
      </c>
      <c r="BU18" s="315">
        <v>1</v>
      </c>
      <c r="BV18" s="315">
        <v>1</v>
      </c>
      <c r="BW18" s="315">
        <v>1</v>
      </c>
      <c r="BX18" s="315">
        <v>1</v>
      </c>
      <c r="BY18" s="315">
        <v>1</v>
      </c>
      <c r="BZ18" s="315">
        <v>1</v>
      </c>
      <c r="CA18" s="315">
        <v>1</v>
      </c>
      <c r="CB18" s="315">
        <v>1</v>
      </c>
      <c r="CC18" s="315">
        <v>1</v>
      </c>
      <c r="CD18" s="315">
        <v>1</v>
      </c>
      <c r="CE18" s="315">
        <v>1</v>
      </c>
      <c r="CF18" s="315">
        <v>1</v>
      </c>
      <c r="CG18" s="315">
        <v>1</v>
      </c>
      <c r="CH18" s="315">
        <v>1</v>
      </c>
      <c r="CI18" s="315">
        <v>1</v>
      </c>
      <c r="CJ18" s="315">
        <v>1</v>
      </c>
      <c r="CK18" s="315">
        <v>1</v>
      </c>
      <c r="CL18" s="315">
        <v>1</v>
      </c>
      <c r="CM18" s="315">
        <v>1</v>
      </c>
      <c r="CN18" s="315">
        <v>1</v>
      </c>
      <c r="CO18" s="315">
        <v>1</v>
      </c>
      <c r="CP18" s="315">
        <v>1</v>
      </c>
      <c r="CQ18" s="315">
        <v>1</v>
      </c>
      <c r="CR18" s="315">
        <v>1</v>
      </c>
      <c r="CS18" s="315">
        <v>1</v>
      </c>
      <c r="CT18" s="315">
        <v>1</v>
      </c>
      <c r="CU18" s="315">
        <v>1</v>
      </c>
      <c r="CV18" s="315">
        <v>1</v>
      </c>
      <c r="CW18" s="315">
        <v>1</v>
      </c>
      <c r="CX18" s="315">
        <v>1</v>
      </c>
      <c r="CY18" s="315">
        <v>1</v>
      </c>
      <c r="CZ18" s="315">
        <v>1</v>
      </c>
      <c r="DA18" s="315">
        <v>1</v>
      </c>
      <c r="DB18" s="315">
        <v>1</v>
      </c>
      <c r="DC18" s="315">
        <v>1</v>
      </c>
      <c r="DD18" s="315">
        <v>1</v>
      </c>
      <c r="DE18" s="315">
        <v>1</v>
      </c>
      <c r="DF18" s="315">
        <v>1</v>
      </c>
      <c r="DG18" s="315">
        <v>1</v>
      </c>
      <c r="DH18" s="315">
        <v>1</v>
      </c>
      <c r="DI18" s="315">
        <v>1</v>
      </c>
      <c r="DJ18" s="315">
        <v>1</v>
      </c>
      <c r="DK18" s="315">
        <v>1</v>
      </c>
      <c r="DL18" s="315">
        <v>1</v>
      </c>
      <c r="DM18" s="315">
        <v>1</v>
      </c>
      <c r="DN18" s="315">
        <v>1</v>
      </c>
      <c r="DO18" s="315">
        <v>1</v>
      </c>
      <c r="DP18" s="315">
        <v>1</v>
      </c>
      <c r="DQ18" s="315">
        <v>1</v>
      </c>
      <c r="DR18" s="315">
        <v>1</v>
      </c>
      <c r="DS18" s="315">
        <v>1</v>
      </c>
      <c r="DT18" s="315">
        <v>1</v>
      </c>
      <c r="DU18" s="315">
        <v>1</v>
      </c>
      <c r="DV18" s="315">
        <v>1</v>
      </c>
      <c r="DW18" s="315">
        <v>1</v>
      </c>
      <c r="DX18" s="315">
        <v>1</v>
      </c>
      <c r="DY18" s="315">
        <v>1</v>
      </c>
      <c r="DZ18" s="315">
        <v>1</v>
      </c>
      <c r="EA18" s="315">
        <v>1</v>
      </c>
      <c r="EB18" s="315">
        <v>1</v>
      </c>
      <c r="EC18" s="315">
        <v>1</v>
      </c>
      <c r="ED18" s="315">
        <v>1</v>
      </c>
      <c r="EE18" s="315">
        <v>1</v>
      </c>
      <c r="EF18" s="315">
        <v>1</v>
      </c>
      <c r="EG18" s="315">
        <v>1</v>
      </c>
      <c r="EH18" s="315">
        <v>1</v>
      </c>
      <c r="EI18" s="315">
        <v>1</v>
      </c>
      <c r="EJ18" s="315">
        <v>1</v>
      </c>
      <c r="EK18" s="315">
        <v>1</v>
      </c>
      <c r="EL18" s="315">
        <v>1</v>
      </c>
      <c r="EM18" s="315">
        <v>1</v>
      </c>
      <c r="EN18" s="315">
        <v>1</v>
      </c>
      <c r="EO18" s="315">
        <v>1</v>
      </c>
      <c r="EP18" s="315">
        <v>1</v>
      </c>
      <c r="EQ18" s="315">
        <v>1</v>
      </c>
      <c r="ER18" s="315">
        <v>1</v>
      </c>
      <c r="ES18" s="315">
        <v>1</v>
      </c>
      <c r="ET18" s="315">
        <v>1</v>
      </c>
      <c r="EU18" s="315">
        <v>1</v>
      </c>
      <c r="EV18" s="315">
        <v>1</v>
      </c>
      <c r="EW18" s="315">
        <v>1</v>
      </c>
      <c r="EX18" s="315">
        <v>1</v>
      </c>
      <c r="EY18" s="315">
        <v>1</v>
      </c>
      <c r="EZ18" s="315">
        <v>1</v>
      </c>
      <c r="FB18" s="50">
        <f>HLOOKUP(M16,$AU$3:$EZ$104,16,TRUE)</f>
        <v>1</v>
      </c>
      <c r="FD18" s="50">
        <f>HLOOKUP(AL42,$AU$3:$EZ$104,16,TRUE)</f>
        <v>1</v>
      </c>
    </row>
    <row r="19" spans="2:160" ht="17.100000000000001" customHeight="1">
      <c r="B19" s="119"/>
      <c r="C19" s="676" t="s">
        <v>365</v>
      </c>
      <c r="D19" s="677"/>
      <c r="E19" s="677"/>
      <c r="F19" s="677"/>
      <c r="G19" s="677"/>
      <c r="H19" s="677"/>
      <c r="I19" s="677"/>
      <c r="J19" s="677"/>
      <c r="K19" s="677"/>
      <c r="L19" s="677"/>
      <c r="M19" s="678">
        <f>VLOOKUP($AL$26,$AL$27:$AN$30,3,FALSE)</f>
        <v>0.1</v>
      </c>
      <c r="N19" s="679"/>
      <c r="O19" s="23"/>
      <c r="P19" s="699" t="s">
        <v>512</v>
      </c>
      <c r="Q19" s="700"/>
      <c r="R19" s="700"/>
      <c r="S19" s="700"/>
      <c r="T19" s="700"/>
      <c r="U19" s="700"/>
      <c r="V19" s="700"/>
      <c r="W19" s="700"/>
      <c r="X19" s="700"/>
      <c r="Y19" s="700"/>
      <c r="Z19" s="700"/>
      <c r="AA19" s="701"/>
      <c r="AB19" s="120"/>
      <c r="AD19" s="13" t="s">
        <v>543</v>
      </c>
      <c r="AE19" s="399">
        <f>'Vertical walls'!AE19</f>
        <v>0.2</v>
      </c>
      <c r="AI19" s="13" t="s">
        <v>575</v>
      </c>
      <c r="AK19" s="186" t="b">
        <f>AND($AI$12=1,$AM$9=1)</f>
        <v>0</v>
      </c>
      <c r="AL19" s="186" t="b">
        <f>AND($AI$12=2,$AM$14=1)</f>
        <v>0</v>
      </c>
      <c r="AM19" s="91" t="b">
        <f>AND($AL$19=TRUE,$AM$9=1)</f>
        <v>0</v>
      </c>
      <c r="AN19" s="203" t="b">
        <f>AND(AL19=TRUE,AM19=TRUE)</f>
        <v>0</v>
      </c>
      <c r="AO19" s="203" t="b">
        <f>OR(AK19=TRUE,AN19=TRUE)</f>
        <v>0</v>
      </c>
      <c r="AP19" s="186" t="s">
        <v>76</v>
      </c>
      <c r="AQ19" s="186">
        <f>IF(AO19=TRUE,1,0)</f>
        <v>0</v>
      </c>
      <c r="AR19" s="89">
        <f ca="1">FORECAST($M$13+82,OFFSET(BM$220,MATCH($M$13+82,$AT$220:$AT$243,1)-1,0,2),OFFSET($AT$220,MATCH($M$13+82,$AT$220:$AT$243,1)-1,0,2))</f>
        <v>0.87818666666666667</v>
      </c>
      <c r="AS19" s="70"/>
      <c r="AT19" s="104">
        <v>0.28199999999999997</v>
      </c>
      <c r="AU19" s="8">
        <v>2</v>
      </c>
      <c r="AV19" s="8">
        <v>2</v>
      </c>
      <c r="AW19" s="8">
        <v>2</v>
      </c>
      <c r="AX19" s="8">
        <v>2</v>
      </c>
      <c r="AY19" s="8">
        <v>2</v>
      </c>
      <c r="AZ19" s="8">
        <v>2</v>
      </c>
      <c r="BA19" s="316">
        <v>2</v>
      </c>
      <c r="BB19" s="8">
        <v>2</v>
      </c>
      <c r="BC19" s="8">
        <v>2</v>
      </c>
      <c r="BD19" s="8">
        <v>2</v>
      </c>
      <c r="BE19" s="8">
        <v>2</v>
      </c>
      <c r="BF19" s="8">
        <v>2</v>
      </c>
      <c r="BG19" s="8">
        <v>2</v>
      </c>
      <c r="BH19" s="8">
        <v>2</v>
      </c>
      <c r="BI19" s="8">
        <v>2</v>
      </c>
      <c r="BJ19" s="8">
        <v>2</v>
      </c>
      <c r="BK19" s="8">
        <v>2</v>
      </c>
      <c r="BL19" s="8">
        <v>2</v>
      </c>
      <c r="BM19" s="8">
        <v>2</v>
      </c>
      <c r="BN19" s="8">
        <v>2</v>
      </c>
      <c r="BO19" s="8">
        <v>2</v>
      </c>
      <c r="BP19" s="8">
        <v>2</v>
      </c>
      <c r="BQ19" s="8">
        <v>2</v>
      </c>
      <c r="BR19" s="315">
        <v>1</v>
      </c>
      <c r="BS19" s="315">
        <v>1</v>
      </c>
      <c r="BT19" s="315">
        <v>1</v>
      </c>
      <c r="BU19" s="315">
        <v>1</v>
      </c>
      <c r="BV19" s="315">
        <v>1</v>
      </c>
      <c r="BW19" s="315">
        <v>1</v>
      </c>
      <c r="BX19" s="315">
        <v>1</v>
      </c>
      <c r="BY19" s="315">
        <v>1</v>
      </c>
      <c r="BZ19" s="315">
        <v>1</v>
      </c>
      <c r="CA19" s="315">
        <v>1</v>
      </c>
      <c r="CB19" s="315">
        <v>1</v>
      </c>
      <c r="CC19" s="315">
        <v>1</v>
      </c>
      <c r="CD19" s="315">
        <v>1</v>
      </c>
      <c r="CE19" s="315">
        <v>1</v>
      </c>
      <c r="CF19" s="315">
        <v>1</v>
      </c>
      <c r="CG19" s="315">
        <v>1</v>
      </c>
      <c r="CH19" s="315">
        <v>1</v>
      </c>
      <c r="CI19" s="315">
        <v>1</v>
      </c>
      <c r="CJ19" s="315">
        <v>1</v>
      </c>
      <c r="CK19" s="315">
        <v>1</v>
      </c>
      <c r="CL19" s="315">
        <v>1</v>
      </c>
      <c r="CM19" s="315">
        <v>1</v>
      </c>
      <c r="CN19" s="315">
        <v>1</v>
      </c>
      <c r="CO19" s="315">
        <v>1</v>
      </c>
      <c r="CP19" s="315">
        <v>1</v>
      </c>
      <c r="CQ19" s="315">
        <v>1</v>
      </c>
      <c r="CR19" s="315">
        <v>1</v>
      </c>
      <c r="CS19" s="315">
        <v>1</v>
      </c>
      <c r="CT19" s="315">
        <v>1</v>
      </c>
      <c r="CU19" s="315">
        <v>1</v>
      </c>
      <c r="CV19" s="315">
        <v>1</v>
      </c>
      <c r="CW19" s="315">
        <v>1</v>
      </c>
      <c r="CX19" s="315">
        <v>1</v>
      </c>
      <c r="CY19" s="315">
        <v>1</v>
      </c>
      <c r="CZ19" s="315">
        <v>1</v>
      </c>
      <c r="DA19" s="315">
        <v>1</v>
      </c>
      <c r="DB19" s="315">
        <v>1</v>
      </c>
      <c r="DC19" s="315">
        <v>1</v>
      </c>
      <c r="DD19" s="315">
        <v>1</v>
      </c>
      <c r="DE19" s="315">
        <v>1</v>
      </c>
      <c r="DF19" s="315">
        <v>1</v>
      </c>
      <c r="DG19" s="315">
        <v>1</v>
      </c>
      <c r="DH19" s="315">
        <v>1</v>
      </c>
      <c r="DI19" s="315">
        <v>1</v>
      </c>
      <c r="DJ19" s="315">
        <v>1</v>
      </c>
      <c r="DK19" s="315">
        <v>1</v>
      </c>
      <c r="DL19" s="315">
        <v>1</v>
      </c>
      <c r="DM19" s="315">
        <v>1</v>
      </c>
      <c r="DN19" s="315">
        <v>1</v>
      </c>
      <c r="DO19" s="315">
        <v>1</v>
      </c>
      <c r="DP19" s="315">
        <v>1</v>
      </c>
      <c r="DQ19" s="315">
        <v>1</v>
      </c>
      <c r="DR19" s="315">
        <v>1</v>
      </c>
      <c r="DS19" s="315">
        <v>1</v>
      </c>
      <c r="DT19" s="315">
        <v>1</v>
      </c>
      <c r="DU19" s="315">
        <v>1</v>
      </c>
      <c r="DV19" s="315">
        <v>1</v>
      </c>
      <c r="DW19" s="315">
        <v>1</v>
      </c>
      <c r="DX19" s="315">
        <v>1</v>
      </c>
      <c r="DY19" s="315">
        <v>1</v>
      </c>
      <c r="DZ19" s="315">
        <v>1</v>
      </c>
      <c r="EA19" s="315">
        <v>1</v>
      </c>
      <c r="EB19" s="315">
        <v>1</v>
      </c>
      <c r="EC19" s="315">
        <v>1</v>
      </c>
      <c r="ED19" s="315">
        <v>1</v>
      </c>
      <c r="EE19" s="315">
        <v>1</v>
      </c>
      <c r="EF19" s="315">
        <v>1</v>
      </c>
      <c r="EG19" s="315">
        <v>1</v>
      </c>
      <c r="EH19" s="315">
        <v>1</v>
      </c>
      <c r="EI19" s="315">
        <v>1</v>
      </c>
      <c r="EJ19" s="315">
        <v>1</v>
      </c>
      <c r="EK19" s="315">
        <v>1</v>
      </c>
      <c r="EL19" s="315">
        <v>1</v>
      </c>
      <c r="EM19" s="315">
        <v>1</v>
      </c>
      <c r="EN19" s="315">
        <v>1</v>
      </c>
      <c r="EO19" s="315">
        <v>1</v>
      </c>
      <c r="EP19" s="315">
        <v>1</v>
      </c>
      <c r="EQ19" s="315">
        <v>1</v>
      </c>
      <c r="ER19" s="315">
        <v>1</v>
      </c>
      <c r="ES19" s="315">
        <v>1</v>
      </c>
      <c r="ET19" s="315">
        <v>1</v>
      </c>
      <c r="EU19" s="315">
        <v>1</v>
      </c>
      <c r="EV19" s="315">
        <v>1</v>
      </c>
      <c r="EW19" s="315">
        <v>1</v>
      </c>
      <c r="EX19" s="315">
        <v>1</v>
      </c>
      <c r="EY19" s="315">
        <v>1</v>
      </c>
      <c r="EZ19" s="315">
        <v>1</v>
      </c>
      <c r="FB19" s="50">
        <f>HLOOKUP(M16,$AU$3:$EZ$104,17,TRUE)</f>
        <v>1</v>
      </c>
      <c r="FD19" s="50">
        <f>HLOOKUP(AL42,$AU$3:$EZ$104,17,TRUE)</f>
        <v>1</v>
      </c>
    </row>
    <row r="20" spans="2:160" ht="17.100000000000001" customHeight="1">
      <c r="B20" s="119"/>
      <c r="C20" s="552" t="s">
        <v>364</v>
      </c>
      <c r="D20" s="553"/>
      <c r="E20" s="553"/>
      <c r="F20" s="553"/>
      <c r="G20" s="553"/>
      <c r="H20" s="553"/>
      <c r="I20" s="553"/>
      <c r="J20" s="553"/>
      <c r="K20" s="553"/>
      <c r="L20" s="553"/>
      <c r="M20" s="587">
        <f ca="1">INDEX(AN32:AQ32,1,AL26)</f>
        <v>1.036</v>
      </c>
      <c r="N20" s="588"/>
      <c r="O20" s="23"/>
      <c r="P20" s="23"/>
      <c r="Q20" s="23"/>
      <c r="R20" s="23"/>
      <c r="S20" s="23"/>
      <c r="T20" s="23"/>
      <c r="U20" s="23"/>
      <c r="V20" s="23"/>
      <c r="W20" s="23"/>
      <c r="X20" s="23"/>
      <c r="Y20" s="23"/>
      <c r="Z20" s="23"/>
      <c r="AA20" s="23"/>
      <c r="AB20" s="120"/>
      <c r="AD20" s="13" t="s">
        <v>544</v>
      </c>
      <c r="AE20" s="399">
        <f>'Vertical walls'!AE20</f>
        <v>-0.3</v>
      </c>
      <c r="AI20" s="13" t="s">
        <v>576</v>
      </c>
      <c r="AK20" s="186" t="b">
        <f>AND($AI$12=1,$AM$9=2)</f>
        <v>0</v>
      </c>
      <c r="AL20" s="186" t="b">
        <f>AND($AI$12=2,$AM$14=1)</f>
        <v>0</v>
      </c>
      <c r="AM20" s="91" t="b">
        <f>AND(AL20=TRUE,$AM$9=2)</f>
        <v>0</v>
      </c>
      <c r="AN20" s="203" t="b">
        <f>AND(AL20=TRUE,AM20=TRUE)</f>
        <v>0</v>
      </c>
      <c r="AO20" s="203" t="b">
        <f>OR(AK20=TRUE,AN20=TRUE)</f>
        <v>0</v>
      </c>
      <c r="AP20" s="186" t="s">
        <v>77</v>
      </c>
      <c r="AQ20" s="186">
        <f>IF(AO20=TRUE,2,0)</f>
        <v>0</v>
      </c>
      <c r="AR20" s="89">
        <f ca="1">FORECAST($M$13+82,OFFSET(BM$249,MATCH($M$13+82,$AT$249:$AT$272,1)-1,0,2),OFFSET($AT$249,MATCH($M$13+82,$AT$249:$AT$272,1)-1,0,2))</f>
        <v>0.85952000000000006</v>
      </c>
      <c r="AS20" s="70"/>
      <c r="AT20" s="104">
        <v>0.30199999999999999</v>
      </c>
      <c r="AU20" s="8">
        <v>2</v>
      </c>
      <c r="AV20" s="8">
        <v>2</v>
      </c>
      <c r="AW20" s="8">
        <v>2</v>
      </c>
      <c r="AX20" s="8">
        <v>2</v>
      </c>
      <c r="AY20" s="8">
        <v>2</v>
      </c>
      <c r="AZ20" s="8">
        <v>2</v>
      </c>
      <c r="BA20" s="316">
        <v>2</v>
      </c>
      <c r="BB20" s="8">
        <v>2</v>
      </c>
      <c r="BC20" s="8">
        <v>2</v>
      </c>
      <c r="BD20" s="8">
        <v>2</v>
      </c>
      <c r="BE20" s="8">
        <v>2</v>
      </c>
      <c r="BF20" s="8">
        <v>2</v>
      </c>
      <c r="BG20" s="8">
        <v>2</v>
      </c>
      <c r="BH20" s="8">
        <v>2</v>
      </c>
      <c r="BI20" s="8">
        <v>2</v>
      </c>
      <c r="BJ20" s="8">
        <v>2</v>
      </c>
      <c r="BK20" s="8">
        <v>2</v>
      </c>
      <c r="BL20" s="8">
        <v>2</v>
      </c>
      <c r="BM20" s="8">
        <v>2</v>
      </c>
      <c r="BN20" s="8">
        <v>2</v>
      </c>
      <c r="BO20" s="8">
        <v>2</v>
      </c>
      <c r="BP20" s="8">
        <v>2</v>
      </c>
      <c r="BQ20" s="8">
        <v>2</v>
      </c>
      <c r="BR20" s="8">
        <v>2</v>
      </c>
      <c r="BS20" s="315">
        <v>1</v>
      </c>
      <c r="BT20" s="315">
        <v>1</v>
      </c>
      <c r="BU20" s="315">
        <v>1</v>
      </c>
      <c r="BV20" s="315">
        <v>1</v>
      </c>
      <c r="BW20" s="315">
        <v>1</v>
      </c>
      <c r="BX20" s="315">
        <v>1</v>
      </c>
      <c r="BY20" s="315">
        <v>1</v>
      </c>
      <c r="BZ20" s="315">
        <v>1</v>
      </c>
      <c r="CA20" s="315">
        <v>1</v>
      </c>
      <c r="CB20" s="315">
        <v>1</v>
      </c>
      <c r="CC20" s="315">
        <v>1</v>
      </c>
      <c r="CD20" s="315">
        <v>1</v>
      </c>
      <c r="CE20" s="315">
        <v>1</v>
      </c>
      <c r="CF20" s="315">
        <v>1</v>
      </c>
      <c r="CG20" s="315">
        <v>1</v>
      </c>
      <c r="CH20" s="315">
        <v>1</v>
      </c>
      <c r="CI20" s="315">
        <v>1</v>
      </c>
      <c r="CJ20" s="315">
        <v>1</v>
      </c>
      <c r="CK20" s="315">
        <v>1</v>
      </c>
      <c r="CL20" s="315">
        <v>1</v>
      </c>
      <c r="CM20" s="315">
        <v>1</v>
      </c>
      <c r="CN20" s="315">
        <v>1</v>
      </c>
      <c r="CO20" s="315">
        <v>1</v>
      </c>
      <c r="CP20" s="315">
        <v>1</v>
      </c>
      <c r="CQ20" s="315">
        <v>1</v>
      </c>
      <c r="CR20" s="315">
        <v>1</v>
      </c>
      <c r="CS20" s="315">
        <v>1</v>
      </c>
      <c r="CT20" s="315">
        <v>1</v>
      </c>
      <c r="CU20" s="315">
        <v>1</v>
      </c>
      <c r="CV20" s="315">
        <v>1</v>
      </c>
      <c r="CW20" s="315">
        <v>1</v>
      </c>
      <c r="CX20" s="315">
        <v>1</v>
      </c>
      <c r="CY20" s="315">
        <v>1</v>
      </c>
      <c r="CZ20" s="315">
        <v>1</v>
      </c>
      <c r="DA20" s="315">
        <v>1</v>
      </c>
      <c r="DB20" s="315">
        <v>1</v>
      </c>
      <c r="DC20" s="315">
        <v>1</v>
      </c>
      <c r="DD20" s="315">
        <v>1</v>
      </c>
      <c r="DE20" s="315">
        <v>1</v>
      </c>
      <c r="DF20" s="315">
        <v>1</v>
      </c>
      <c r="DG20" s="315">
        <v>1</v>
      </c>
      <c r="DH20" s="315">
        <v>1</v>
      </c>
      <c r="DI20" s="315">
        <v>1</v>
      </c>
      <c r="DJ20" s="315">
        <v>1</v>
      </c>
      <c r="DK20" s="315">
        <v>1</v>
      </c>
      <c r="DL20" s="315">
        <v>1</v>
      </c>
      <c r="DM20" s="315">
        <v>1</v>
      </c>
      <c r="DN20" s="315">
        <v>1</v>
      </c>
      <c r="DO20" s="315">
        <v>1</v>
      </c>
      <c r="DP20" s="315">
        <v>1</v>
      </c>
      <c r="DQ20" s="315">
        <v>1</v>
      </c>
      <c r="DR20" s="315">
        <v>1</v>
      </c>
      <c r="DS20" s="315">
        <v>1</v>
      </c>
      <c r="DT20" s="315">
        <v>1</v>
      </c>
      <c r="DU20" s="315">
        <v>1</v>
      </c>
      <c r="DV20" s="315">
        <v>1</v>
      </c>
      <c r="DW20" s="315">
        <v>1</v>
      </c>
      <c r="DX20" s="315">
        <v>1</v>
      </c>
      <c r="DY20" s="315">
        <v>1</v>
      </c>
      <c r="DZ20" s="315">
        <v>1</v>
      </c>
      <c r="EA20" s="315">
        <v>1</v>
      </c>
      <c r="EB20" s="315">
        <v>1</v>
      </c>
      <c r="EC20" s="315">
        <v>1</v>
      </c>
      <c r="ED20" s="315">
        <v>1</v>
      </c>
      <c r="EE20" s="315">
        <v>1</v>
      </c>
      <c r="EF20" s="315">
        <v>1</v>
      </c>
      <c r="EG20" s="315">
        <v>1</v>
      </c>
      <c r="EH20" s="315">
        <v>1</v>
      </c>
      <c r="EI20" s="315">
        <v>1</v>
      </c>
      <c r="EJ20" s="315">
        <v>1</v>
      </c>
      <c r="EK20" s="315">
        <v>1</v>
      </c>
      <c r="EL20" s="315">
        <v>1</v>
      </c>
      <c r="EM20" s="315">
        <v>1</v>
      </c>
      <c r="EN20" s="315">
        <v>1</v>
      </c>
      <c r="EO20" s="315">
        <v>1</v>
      </c>
      <c r="EP20" s="315">
        <v>1</v>
      </c>
      <c r="EQ20" s="315">
        <v>1</v>
      </c>
      <c r="ER20" s="315">
        <v>1</v>
      </c>
      <c r="ES20" s="315">
        <v>1</v>
      </c>
      <c r="ET20" s="315">
        <v>1</v>
      </c>
      <c r="EU20" s="315">
        <v>1</v>
      </c>
      <c r="EV20" s="315">
        <v>1</v>
      </c>
      <c r="EW20" s="315">
        <v>1</v>
      </c>
      <c r="EX20" s="315">
        <v>1</v>
      </c>
      <c r="EY20" s="315">
        <v>1</v>
      </c>
      <c r="EZ20" s="315">
        <v>1</v>
      </c>
      <c r="FB20" s="50">
        <f>HLOOKUP(M16,$AU$3:$EZ$104,18,TRUE)</f>
        <v>1</v>
      </c>
      <c r="FD20" s="50">
        <f>HLOOKUP(AL42,$AU$3:$EZ$104,18,TRUE)</f>
        <v>1</v>
      </c>
    </row>
    <row r="21" spans="2:160" ht="17.100000000000001" customHeight="1" thickBot="1">
      <c r="B21" s="119"/>
      <c r="C21" s="23"/>
      <c r="D21" s="23"/>
      <c r="E21" s="23"/>
      <c r="F21" s="23"/>
      <c r="G21" s="23"/>
      <c r="H21" s="23"/>
      <c r="I21" s="23"/>
      <c r="J21" s="23"/>
      <c r="K21" s="23"/>
      <c r="L21" s="23"/>
      <c r="M21" s="23"/>
      <c r="N21" s="23"/>
      <c r="O21" s="23"/>
      <c r="P21" s="706" t="s">
        <v>363</v>
      </c>
      <c r="Q21" s="707"/>
      <c r="R21" s="707"/>
      <c r="S21" s="707"/>
      <c r="T21" s="707"/>
      <c r="U21" s="707"/>
      <c r="V21" s="707"/>
      <c r="W21" s="707"/>
      <c r="X21" s="707"/>
      <c r="Y21" s="707"/>
      <c r="Z21" s="707"/>
      <c r="AA21" s="134" t="s">
        <v>288</v>
      </c>
      <c r="AB21" s="120"/>
      <c r="AD21" s="13" t="s">
        <v>583</v>
      </c>
      <c r="AE21" s="399" t="str">
        <f>'Vertical walls'!AE21</f>
        <v>Yes</v>
      </c>
      <c r="AI21" s="13" t="s">
        <v>577</v>
      </c>
      <c r="AK21" s="298" t="b">
        <v>1</v>
      </c>
      <c r="AL21" s="186" t="b">
        <f>AND($AI$12=2,$AM$14=2)</f>
        <v>1</v>
      </c>
      <c r="AM21" s="186"/>
      <c r="AN21" s="203"/>
      <c r="AO21" s="319" t="b">
        <f>AND(AK21=TRUE,AL21=TRUE)</f>
        <v>1</v>
      </c>
      <c r="AP21" s="186" t="s">
        <v>80</v>
      </c>
      <c r="AQ21" s="187">
        <f>IF(AO21=TRUE,3,0)</f>
        <v>3</v>
      </c>
      <c r="AR21" s="89">
        <f ca="1">FORECAST($M$13+82,OFFSET(BM$278,MATCH($M$13+82,$AT$278:$AT$301,1)-1,0,2),OFFSET($AT$278,MATCH($M$13+82,$AT$278:$AT$301,1)-1,0,2))</f>
        <v>0.79320000000000002</v>
      </c>
      <c r="AS21" s="70"/>
      <c r="AT21" s="104">
        <v>0.32400000000000001</v>
      </c>
      <c r="AU21" s="8">
        <v>2</v>
      </c>
      <c r="AV21" s="8">
        <v>2</v>
      </c>
      <c r="AW21" s="8">
        <v>2</v>
      </c>
      <c r="AX21" s="8">
        <v>2</v>
      </c>
      <c r="AY21" s="8">
        <v>2</v>
      </c>
      <c r="AZ21" s="8">
        <v>2</v>
      </c>
      <c r="BA21" s="316">
        <v>2</v>
      </c>
      <c r="BB21" s="8">
        <v>2</v>
      </c>
      <c r="BC21" s="8">
        <v>2</v>
      </c>
      <c r="BD21" s="8">
        <v>2</v>
      </c>
      <c r="BE21" s="8">
        <v>2</v>
      </c>
      <c r="BF21" s="8">
        <v>2</v>
      </c>
      <c r="BG21" s="8">
        <v>2</v>
      </c>
      <c r="BH21" s="8">
        <v>2</v>
      </c>
      <c r="BI21" s="8">
        <v>2</v>
      </c>
      <c r="BJ21" s="8">
        <v>2</v>
      </c>
      <c r="BK21" s="8">
        <v>2</v>
      </c>
      <c r="BL21" s="8">
        <v>2</v>
      </c>
      <c r="BM21" s="8">
        <v>2</v>
      </c>
      <c r="BN21" s="8">
        <v>2</v>
      </c>
      <c r="BO21" s="8">
        <v>2</v>
      </c>
      <c r="BP21" s="8">
        <v>2</v>
      </c>
      <c r="BQ21" s="8">
        <v>2</v>
      </c>
      <c r="BR21" s="8">
        <v>2</v>
      </c>
      <c r="BS21" s="8">
        <v>2</v>
      </c>
      <c r="BT21" s="315">
        <v>1</v>
      </c>
      <c r="BU21" s="315">
        <v>1</v>
      </c>
      <c r="BV21" s="315">
        <v>1</v>
      </c>
      <c r="BW21" s="315">
        <v>1</v>
      </c>
      <c r="BX21" s="315">
        <v>1</v>
      </c>
      <c r="BY21" s="315">
        <v>1</v>
      </c>
      <c r="BZ21" s="315">
        <v>1</v>
      </c>
      <c r="CA21" s="315">
        <v>1</v>
      </c>
      <c r="CB21" s="315">
        <v>1</v>
      </c>
      <c r="CC21" s="315">
        <v>1</v>
      </c>
      <c r="CD21" s="315">
        <v>1</v>
      </c>
      <c r="CE21" s="315">
        <v>1</v>
      </c>
      <c r="CF21" s="315">
        <v>1</v>
      </c>
      <c r="CG21" s="315">
        <v>1</v>
      </c>
      <c r="CH21" s="315">
        <v>1</v>
      </c>
      <c r="CI21" s="315">
        <v>1</v>
      </c>
      <c r="CJ21" s="315">
        <v>1</v>
      </c>
      <c r="CK21" s="315">
        <v>1</v>
      </c>
      <c r="CL21" s="315">
        <v>1</v>
      </c>
      <c r="CM21" s="315">
        <v>1</v>
      </c>
      <c r="CN21" s="315">
        <v>1</v>
      </c>
      <c r="CO21" s="315">
        <v>1</v>
      </c>
      <c r="CP21" s="315">
        <v>1</v>
      </c>
      <c r="CQ21" s="315">
        <v>1</v>
      </c>
      <c r="CR21" s="315">
        <v>1</v>
      </c>
      <c r="CS21" s="315">
        <v>1</v>
      </c>
      <c r="CT21" s="315">
        <v>1</v>
      </c>
      <c r="CU21" s="315">
        <v>1</v>
      </c>
      <c r="CV21" s="315">
        <v>1</v>
      </c>
      <c r="CW21" s="315">
        <v>1</v>
      </c>
      <c r="CX21" s="315">
        <v>1</v>
      </c>
      <c r="CY21" s="315">
        <v>1</v>
      </c>
      <c r="CZ21" s="315">
        <v>1</v>
      </c>
      <c r="DA21" s="315">
        <v>1</v>
      </c>
      <c r="DB21" s="315">
        <v>1</v>
      </c>
      <c r="DC21" s="315">
        <v>1</v>
      </c>
      <c r="DD21" s="315">
        <v>1</v>
      </c>
      <c r="DE21" s="315">
        <v>1</v>
      </c>
      <c r="DF21" s="315">
        <v>1</v>
      </c>
      <c r="DG21" s="315">
        <v>1</v>
      </c>
      <c r="DH21" s="315">
        <v>1</v>
      </c>
      <c r="DI21" s="315">
        <v>1</v>
      </c>
      <c r="DJ21" s="315">
        <v>1</v>
      </c>
      <c r="DK21" s="315">
        <v>1</v>
      </c>
      <c r="DL21" s="315">
        <v>1</v>
      </c>
      <c r="DM21" s="315">
        <v>1</v>
      </c>
      <c r="DN21" s="315">
        <v>1</v>
      </c>
      <c r="DO21" s="315">
        <v>1</v>
      </c>
      <c r="DP21" s="315">
        <v>1</v>
      </c>
      <c r="DQ21" s="315">
        <v>1</v>
      </c>
      <c r="DR21" s="315">
        <v>1</v>
      </c>
      <c r="DS21" s="315">
        <v>1</v>
      </c>
      <c r="DT21" s="315">
        <v>1</v>
      </c>
      <c r="DU21" s="315">
        <v>1</v>
      </c>
      <c r="DV21" s="315">
        <v>1</v>
      </c>
      <c r="DW21" s="315">
        <v>1</v>
      </c>
      <c r="DX21" s="315">
        <v>1</v>
      </c>
      <c r="DY21" s="315">
        <v>1</v>
      </c>
      <c r="DZ21" s="315">
        <v>1</v>
      </c>
      <c r="EA21" s="315">
        <v>1</v>
      </c>
      <c r="EB21" s="315">
        <v>1</v>
      </c>
      <c r="EC21" s="315">
        <v>1</v>
      </c>
      <c r="ED21" s="315">
        <v>1</v>
      </c>
      <c r="EE21" s="315">
        <v>1</v>
      </c>
      <c r="EF21" s="315">
        <v>1</v>
      </c>
      <c r="EG21" s="315">
        <v>1</v>
      </c>
      <c r="EH21" s="315">
        <v>1</v>
      </c>
      <c r="EI21" s="315">
        <v>1</v>
      </c>
      <c r="EJ21" s="315">
        <v>1</v>
      </c>
      <c r="EK21" s="315">
        <v>1</v>
      </c>
      <c r="EL21" s="315">
        <v>1</v>
      </c>
      <c r="EM21" s="315">
        <v>1</v>
      </c>
      <c r="EN21" s="315">
        <v>1</v>
      </c>
      <c r="EO21" s="315">
        <v>1</v>
      </c>
      <c r="EP21" s="315">
        <v>1</v>
      </c>
      <c r="EQ21" s="315">
        <v>1</v>
      </c>
      <c r="ER21" s="315">
        <v>1</v>
      </c>
      <c r="ES21" s="315">
        <v>1</v>
      </c>
      <c r="ET21" s="315">
        <v>1</v>
      </c>
      <c r="EU21" s="315">
        <v>1</v>
      </c>
      <c r="EV21" s="315">
        <v>1</v>
      </c>
      <c r="EW21" s="315">
        <v>1</v>
      </c>
      <c r="EX21" s="315">
        <v>1</v>
      </c>
      <c r="EY21" s="315">
        <v>1</v>
      </c>
      <c r="EZ21" s="315">
        <v>1</v>
      </c>
      <c r="FB21" s="50">
        <f>HLOOKUP(M16,$AU$3:$EZ$104,19,TRUE)</f>
        <v>1</v>
      </c>
      <c r="FD21" s="50">
        <f>HLOOKUP(AL42,$AU$3:$EZ$104,19,TRUE)</f>
        <v>1</v>
      </c>
    </row>
    <row r="22" spans="2:160" ht="17.100000000000001" customHeight="1" thickBot="1">
      <c r="B22" s="119"/>
      <c r="C22" s="23"/>
      <c r="D22" s="23"/>
      <c r="E22" s="23"/>
      <c r="F22" s="23"/>
      <c r="G22" s="23"/>
      <c r="H22" s="23"/>
      <c r="I22" s="23"/>
      <c r="J22" s="23"/>
      <c r="K22" s="23"/>
      <c r="L22" s="23"/>
      <c r="M22" s="23"/>
      <c r="N22" s="23"/>
      <c r="O22" s="23"/>
      <c r="P22" s="548" t="s">
        <v>360</v>
      </c>
      <c r="Q22" s="549"/>
      <c r="R22" s="549"/>
      <c r="S22" s="549"/>
      <c r="T22" s="549"/>
      <c r="U22" s="549"/>
      <c r="V22" s="549"/>
      <c r="W22" s="549"/>
      <c r="X22" s="549"/>
      <c r="Y22" s="549"/>
      <c r="Z22" s="653">
        <f>AE19</f>
        <v>0.2</v>
      </c>
      <c r="AA22" s="654"/>
      <c r="AB22" s="120"/>
      <c r="AD22" s="13" t="s">
        <v>545</v>
      </c>
      <c r="AE22" s="399">
        <f>'Vertical walls'!AE22</f>
        <v>5</v>
      </c>
      <c r="AQ22" s="137">
        <f>SUM(AQ19:AQ21)</f>
        <v>3</v>
      </c>
      <c r="AS22" s="69"/>
      <c r="AT22" s="104">
        <v>0.34699999999999998</v>
      </c>
      <c r="AU22" s="8">
        <v>2</v>
      </c>
      <c r="AV22" s="8">
        <v>2</v>
      </c>
      <c r="AW22" s="8">
        <v>2</v>
      </c>
      <c r="AX22" s="8">
        <v>2</v>
      </c>
      <c r="AY22" s="8">
        <v>2</v>
      </c>
      <c r="AZ22" s="8">
        <v>2</v>
      </c>
      <c r="BA22" s="316">
        <v>2</v>
      </c>
      <c r="BB22" s="8">
        <v>2</v>
      </c>
      <c r="BC22" s="8">
        <v>2</v>
      </c>
      <c r="BD22" s="8">
        <v>2</v>
      </c>
      <c r="BE22" s="8">
        <v>2</v>
      </c>
      <c r="BF22" s="8">
        <v>2</v>
      </c>
      <c r="BG22" s="8">
        <v>2</v>
      </c>
      <c r="BH22" s="8">
        <v>2</v>
      </c>
      <c r="BI22" s="8">
        <v>2</v>
      </c>
      <c r="BJ22" s="8">
        <v>2</v>
      </c>
      <c r="BK22" s="8">
        <v>2</v>
      </c>
      <c r="BL22" s="8">
        <v>2</v>
      </c>
      <c r="BM22" s="8">
        <v>2</v>
      </c>
      <c r="BN22" s="8">
        <v>2</v>
      </c>
      <c r="BO22" s="8">
        <v>2</v>
      </c>
      <c r="BP22" s="8">
        <v>2</v>
      </c>
      <c r="BQ22" s="8">
        <v>2</v>
      </c>
      <c r="BR22" s="8">
        <v>2</v>
      </c>
      <c r="BS22" s="8">
        <v>2</v>
      </c>
      <c r="BT22" s="8">
        <v>2</v>
      </c>
      <c r="BU22" s="8">
        <v>2</v>
      </c>
      <c r="BV22" s="315">
        <v>1</v>
      </c>
      <c r="BW22" s="315">
        <v>1</v>
      </c>
      <c r="BX22" s="315">
        <v>1</v>
      </c>
      <c r="BY22" s="315">
        <v>1</v>
      </c>
      <c r="BZ22" s="315">
        <v>1</v>
      </c>
      <c r="CA22" s="315">
        <v>1</v>
      </c>
      <c r="CB22" s="315">
        <v>1</v>
      </c>
      <c r="CC22" s="315">
        <v>1</v>
      </c>
      <c r="CD22" s="315">
        <v>1</v>
      </c>
      <c r="CE22" s="315">
        <v>1</v>
      </c>
      <c r="CF22" s="315">
        <v>1</v>
      </c>
      <c r="CG22" s="315">
        <v>1</v>
      </c>
      <c r="CH22" s="315">
        <v>1</v>
      </c>
      <c r="CI22" s="315">
        <v>1</v>
      </c>
      <c r="CJ22" s="315">
        <v>1</v>
      </c>
      <c r="CK22" s="315">
        <v>1</v>
      </c>
      <c r="CL22" s="315">
        <v>1</v>
      </c>
      <c r="CM22" s="315">
        <v>1</v>
      </c>
      <c r="CN22" s="315">
        <v>1</v>
      </c>
      <c r="CO22" s="315">
        <v>1</v>
      </c>
      <c r="CP22" s="315">
        <v>1</v>
      </c>
      <c r="CQ22" s="315">
        <v>1</v>
      </c>
      <c r="CR22" s="315">
        <v>1</v>
      </c>
      <c r="CS22" s="315">
        <v>1</v>
      </c>
      <c r="CT22" s="315">
        <v>1</v>
      </c>
      <c r="CU22" s="315">
        <v>1</v>
      </c>
      <c r="CV22" s="315">
        <v>1</v>
      </c>
      <c r="CW22" s="315">
        <v>1</v>
      </c>
      <c r="CX22" s="315">
        <v>1</v>
      </c>
      <c r="CY22" s="315">
        <v>1</v>
      </c>
      <c r="CZ22" s="315">
        <v>1</v>
      </c>
      <c r="DA22" s="315">
        <v>1</v>
      </c>
      <c r="DB22" s="315">
        <v>1</v>
      </c>
      <c r="DC22" s="315">
        <v>1</v>
      </c>
      <c r="DD22" s="315">
        <v>1</v>
      </c>
      <c r="DE22" s="315">
        <v>1</v>
      </c>
      <c r="DF22" s="315">
        <v>1</v>
      </c>
      <c r="DG22" s="315">
        <v>1</v>
      </c>
      <c r="DH22" s="315">
        <v>1</v>
      </c>
      <c r="DI22" s="315">
        <v>1</v>
      </c>
      <c r="DJ22" s="315">
        <v>1</v>
      </c>
      <c r="DK22" s="315">
        <v>1</v>
      </c>
      <c r="DL22" s="315">
        <v>1</v>
      </c>
      <c r="DM22" s="315">
        <v>1</v>
      </c>
      <c r="DN22" s="315">
        <v>1</v>
      </c>
      <c r="DO22" s="315">
        <v>1</v>
      </c>
      <c r="DP22" s="315">
        <v>1</v>
      </c>
      <c r="DQ22" s="315">
        <v>1</v>
      </c>
      <c r="DR22" s="315">
        <v>1</v>
      </c>
      <c r="DS22" s="315">
        <v>1</v>
      </c>
      <c r="DT22" s="315">
        <v>1</v>
      </c>
      <c r="DU22" s="315">
        <v>1</v>
      </c>
      <c r="DV22" s="315">
        <v>1</v>
      </c>
      <c r="DW22" s="315">
        <v>1</v>
      </c>
      <c r="DX22" s="315">
        <v>1</v>
      </c>
      <c r="DY22" s="315">
        <v>1</v>
      </c>
      <c r="DZ22" s="315">
        <v>1</v>
      </c>
      <c r="EA22" s="315">
        <v>1</v>
      </c>
      <c r="EB22" s="315">
        <v>1</v>
      </c>
      <c r="EC22" s="315">
        <v>1</v>
      </c>
      <c r="ED22" s="315">
        <v>1</v>
      </c>
      <c r="EE22" s="315">
        <v>1</v>
      </c>
      <c r="EF22" s="315">
        <v>1</v>
      </c>
      <c r="EG22" s="315">
        <v>1</v>
      </c>
      <c r="EH22" s="315">
        <v>1</v>
      </c>
      <c r="EI22" s="315">
        <v>1</v>
      </c>
      <c r="EJ22" s="315">
        <v>1</v>
      </c>
      <c r="EK22" s="315">
        <v>1</v>
      </c>
      <c r="EL22" s="315">
        <v>1</v>
      </c>
      <c r="EM22" s="315">
        <v>1</v>
      </c>
      <c r="EN22" s="315">
        <v>1</v>
      </c>
      <c r="EO22" s="315">
        <v>1</v>
      </c>
      <c r="EP22" s="315">
        <v>1</v>
      </c>
      <c r="EQ22" s="315">
        <v>1</v>
      </c>
      <c r="ER22" s="315">
        <v>1</v>
      </c>
      <c r="ES22" s="315">
        <v>1</v>
      </c>
      <c r="ET22" s="315">
        <v>1</v>
      </c>
      <c r="EU22" s="315">
        <v>1</v>
      </c>
      <c r="EV22" s="315">
        <v>1</v>
      </c>
      <c r="EW22" s="315">
        <v>1</v>
      </c>
      <c r="EX22" s="315">
        <v>1</v>
      </c>
      <c r="EY22" s="315">
        <v>1</v>
      </c>
      <c r="EZ22" s="315">
        <v>1</v>
      </c>
      <c r="FB22" s="50">
        <f>HLOOKUP(M16,$AU$3:$EZ$104,20,TRUE)</f>
        <v>1</v>
      </c>
      <c r="FD22" s="50">
        <f>HLOOKUP(AL42,$AU$3:$EZ$104,20,TRUE)</f>
        <v>1</v>
      </c>
    </row>
    <row r="23" spans="2:160" ht="17.100000000000001" customHeight="1">
      <c r="B23" s="119"/>
      <c r="C23" s="23"/>
      <c r="D23" s="23"/>
      <c r="E23" s="23"/>
      <c r="F23" s="23"/>
      <c r="G23" s="23"/>
      <c r="H23" s="23"/>
      <c r="I23" s="23"/>
      <c r="J23" s="23"/>
      <c r="K23" s="23"/>
      <c r="L23" s="23"/>
      <c r="M23" s="23"/>
      <c r="N23" s="23"/>
      <c r="O23" s="23"/>
      <c r="P23" s="548" t="s">
        <v>359</v>
      </c>
      <c r="Q23" s="549"/>
      <c r="R23" s="549"/>
      <c r="S23" s="549"/>
      <c r="T23" s="549"/>
      <c r="U23" s="549"/>
      <c r="V23" s="549"/>
      <c r="W23" s="549"/>
      <c r="X23" s="549"/>
      <c r="Y23" s="549"/>
      <c r="Z23" s="653">
        <f>AE20</f>
        <v>-0.3</v>
      </c>
      <c r="AA23" s="654"/>
      <c r="AB23" s="120"/>
      <c r="AD23" s="13" t="s">
        <v>546</v>
      </c>
      <c r="AE23" s="399">
        <f>'Vertical walls'!AE23</f>
        <v>0</v>
      </c>
      <c r="AI23" s="43" t="s">
        <v>513</v>
      </c>
      <c r="AJ23" s="43"/>
      <c r="AK23" s="320"/>
      <c r="AL23" s="320"/>
      <c r="AM23" s="320"/>
      <c r="AN23" s="320"/>
      <c r="AO23" s="320"/>
      <c r="AP23" s="320"/>
      <c r="AQ23" s="320"/>
      <c r="AR23" s="320"/>
      <c r="AS23" s="69"/>
      <c r="AT23" s="104">
        <v>0.372</v>
      </c>
      <c r="AU23" s="8">
        <v>2</v>
      </c>
      <c r="AV23" s="8">
        <v>2</v>
      </c>
      <c r="AW23" s="8">
        <v>2</v>
      </c>
      <c r="AX23" s="8">
        <v>2</v>
      </c>
      <c r="AY23" s="8">
        <v>2</v>
      </c>
      <c r="AZ23" s="8">
        <v>2</v>
      </c>
      <c r="BA23" s="316">
        <v>2</v>
      </c>
      <c r="BB23" s="8">
        <v>2</v>
      </c>
      <c r="BC23" s="8">
        <v>2</v>
      </c>
      <c r="BD23" s="8">
        <v>2</v>
      </c>
      <c r="BE23" s="8">
        <v>2</v>
      </c>
      <c r="BF23" s="8">
        <v>2</v>
      </c>
      <c r="BG23" s="8">
        <v>2</v>
      </c>
      <c r="BH23" s="8">
        <v>2</v>
      </c>
      <c r="BI23" s="8">
        <v>2</v>
      </c>
      <c r="BJ23" s="8">
        <v>2</v>
      </c>
      <c r="BK23" s="8">
        <v>2</v>
      </c>
      <c r="BL23" s="8">
        <v>2</v>
      </c>
      <c r="BM23" s="8">
        <v>2</v>
      </c>
      <c r="BN23" s="8">
        <v>2</v>
      </c>
      <c r="BO23" s="8">
        <v>2</v>
      </c>
      <c r="BP23" s="8">
        <v>2</v>
      </c>
      <c r="BQ23" s="8">
        <v>2</v>
      </c>
      <c r="BR23" s="8">
        <v>2</v>
      </c>
      <c r="BS23" s="8">
        <v>2</v>
      </c>
      <c r="BT23" s="8">
        <v>2</v>
      </c>
      <c r="BU23" s="8">
        <v>2</v>
      </c>
      <c r="BV23" s="8">
        <v>2</v>
      </c>
      <c r="BW23" s="315">
        <v>1</v>
      </c>
      <c r="BX23" s="315">
        <v>1</v>
      </c>
      <c r="BY23" s="315">
        <v>1</v>
      </c>
      <c r="BZ23" s="315">
        <v>1</v>
      </c>
      <c r="CA23" s="315">
        <v>1</v>
      </c>
      <c r="CB23" s="315">
        <v>1</v>
      </c>
      <c r="CC23" s="315">
        <v>1</v>
      </c>
      <c r="CD23" s="315">
        <v>1</v>
      </c>
      <c r="CE23" s="315">
        <v>1</v>
      </c>
      <c r="CF23" s="315">
        <v>1</v>
      </c>
      <c r="CG23" s="315">
        <v>1</v>
      </c>
      <c r="CH23" s="315">
        <v>1</v>
      </c>
      <c r="CI23" s="315">
        <v>1</v>
      </c>
      <c r="CJ23" s="315">
        <v>1</v>
      </c>
      <c r="CK23" s="315">
        <v>1</v>
      </c>
      <c r="CL23" s="315">
        <v>1</v>
      </c>
      <c r="CM23" s="315">
        <v>1</v>
      </c>
      <c r="CN23" s="315">
        <v>1</v>
      </c>
      <c r="CO23" s="315">
        <v>1</v>
      </c>
      <c r="CP23" s="315">
        <v>1</v>
      </c>
      <c r="CQ23" s="315">
        <v>1</v>
      </c>
      <c r="CR23" s="315">
        <v>1</v>
      </c>
      <c r="CS23" s="315">
        <v>1</v>
      </c>
      <c r="CT23" s="315">
        <v>1</v>
      </c>
      <c r="CU23" s="315">
        <v>1</v>
      </c>
      <c r="CV23" s="315">
        <v>1</v>
      </c>
      <c r="CW23" s="315">
        <v>1</v>
      </c>
      <c r="CX23" s="315">
        <v>1</v>
      </c>
      <c r="CY23" s="315">
        <v>1</v>
      </c>
      <c r="CZ23" s="315">
        <v>1</v>
      </c>
      <c r="DA23" s="315">
        <v>1</v>
      </c>
      <c r="DB23" s="315">
        <v>1</v>
      </c>
      <c r="DC23" s="315">
        <v>1</v>
      </c>
      <c r="DD23" s="315">
        <v>1</v>
      </c>
      <c r="DE23" s="315">
        <v>1</v>
      </c>
      <c r="DF23" s="315">
        <v>1</v>
      </c>
      <c r="DG23" s="315">
        <v>1</v>
      </c>
      <c r="DH23" s="315">
        <v>1</v>
      </c>
      <c r="DI23" s="315">
        <v>1</v>
      </c>
      <c r="DJ23" s="315">
        <v>1</v>
      </c>
      <c r="DK23" s="315">
        <v>1</v>
      </c>
      <c r="DL23" s="315">
        <v>1</v>
      </c>
      <c r="DM23" s="315">
        <v>1</v>
      </c>
      <c r="DN23" s="315">
        <v>1</v>
      </c>
      <c r="DO23" s="315">
        <v>1</v>
      </c>
      <c r="DP23" s="315">
        <v>1</v>
      </c>
      <c r="DQ23" s="315">
        <v>1</v>
      </c>
      <c r="DR23" s="315">
        <v>1</v>
      </c>
      <c r="DS23" s="315">
        <v>1</v>
      </c>
      <c r="DT23" s="315">
        <v>1</v>
      </c>
      <c r="DU23" s="315">
        <v>1</v>
      </c>
      <c r="DV23" s="315">
        <v>1</v>
      </c>
      <c r="DW23" s="315">
        <v>1</v>
      </c>
      <c r="DX23" s="315">
        <v>1</v>
      </c>
      <c r="DY23" s="315">
        <v>1</v>
      </c>
      <c r="DZ23" s="315">
        <v>1</v>
      </c>
      <c r="EA23" s="315">
        <v>1</v>
      </c>
      <c r="EB23" s="315">
        <v>1</v>
      </c>
      <c r="EC23" s="315">
        <v>1</v>
      </c>
      <c r="ED23" s="315">
        <v>1</v>
      </c>
      <c r="EE23" s="315">
        <v>1</v>
      </c>
      <c r="EF23" s="315">
        <v>1</v>
      </c>
      <c r="EG23" s="315">
        <v>1</v>
      </c>
      <c r="EH23" s="315">
        <v>1</v>
      </c>
      <c r="EI23" s="315">
        <v>1</v>
      </c>
      <c r="EJ23" s="315">
        <v>1</v>
      </c>
      <c r="EK23" s="315">
        <v>1</v>
      </c>
      <c r="EL23" s="315">
        <v>1</v>
      </c>
      <c r="EM23" s="315">
        <v>1</v>
      </c>
      <c r="EN23" s="315">
        <v>1</v>
      </c>
      <c r="EO23" s="315">
        <v>1</v>
      </c>
      <c r="EP23" s="315">
        <v>1</v>
      </c>
      <c r="EQ23" s="315">
        <v>1</v>
      </c>
      <c r="ER23" s="315">
        <v>1</v>
      </c>
      <c r="ES23" s="315">
        <v>1</v>
      </c>
      <c r="ET23" s="315">
        <v>1</v>
      </c>
      <c r="EU23" s="315">
        <v>1</v>
      </c>
      <c r="EV23" s="315">
        <v>1</v>
      </c>
      <c r="EW23" s="315">
        <v>1</v>
      </c>
      <c r="EX23" s="315">
        <v>1</v>
      </c>
      <c r="EY23" s="315">
        <v>1</v>
      </c>
      <c r="EZ23" s="315">
        <v>1</v>
      </c>
      <c r="FB23" s="50">
        <f>HLOOKUP(M16,$AU$3:$EZ$104,21,TRUE)</f>
        <v>1</v>
      </c>
      <c r="FD23" s="50">
        <f>HLOOKUP(AL42,$AU$3:$EZ$104,21,TRUE)</f>
        <v>1</v>
      </c>
    </row>
    <row r="24" spans="2:160" ht="17.100000000000001" customHeight="1">
      <c r="B24" s="119"/>
      <c r="C24" s="23"/>
      <c r="D24" s="23"/>
      <c r="E24" s="23"/>
      <c r="F24" s="23"/>
      <c r="G24" s="23"/>
      <c r="H24" s="23"/>
      <c r="I24" s="23"/>
      <c r="J24" s="23"/>
      <c r="K24" s="23"/>
      <c r="L24" s="23"/>
      <c r="M24" s="23"/>
      <c r="N24" s="23"/>
      <c r="O24" s="23"/>
      <c r="P24" s="548" t="s">
        <v>361</v>
      </c>
      <c r="Q24" s="549"/>
      <c r="R24" s="549"/>
      <c r="S24" s="549"/>
      <c r="T24" s="549"/>
      <c r="U24" s="549"/>
      <c r="V24" s="549"/>
      <c r="W24" s="549"/>
      <c r="X24" s="549"/>
      <c r="Y24" s="549"/>
      <c r="Z24" s="550" t="str">
        <f>VLOOKUP(TRUE,AO19:AP21,2,FALSE)</f>
        <v>C</v>
      </c>
      <c r="AA24" s="551"/>
      <c r="AB24" s="120"/>
      <c r="AD24" s="13" t="s">
        <v>547</v>
      </c>
      <c r="AE24" s="399">
        <f>'Vertical walls'!AE24</f>
        <v>1</v>
      </c>
      <c r="AI24" s="43" t="s">
        <v>40</v>
      </c>
      <c r="AJ24" s="192" t="s">
        <v>643</v>
      </c>
      <c r="AS24" s="69"/>
      <c r="AT24" s="104">
        <v>0.39800000000000002</v>
      </c>
      <c r="AU24" s="8">
        <v>2</v>
      </c>
      <c r="AV24" s="8">
        <v>2</v>
      </c>
      <c r="AW24" s="8">
        <v>2</v>
      </c>
      <c r="AX24" s="8">
        <v>2</v>
      </c>
      <c r="AY24" s="8">
        <v>2</v>
      </c>
      <c r="AZ24" s="8">
        <v>2</v>
      </c>
      <c r="BA24" s="316">
        <v>2</v>
      </c>
      <c r="BB24" s="8">
        <v>2</v>
      </c>
      <c r="BC24" s="8">
        <v>2</v>
      </c>
      <c r="BD24" s="8">
        <v>2</v>
      </c>
      <c r="BE24" s="8">
        <v>2</v>
      </c>
      <c r="BF24" s="8">
        <v>2</v>
      </c>
      <c r="BG24" s="8">
        <v>2</v>
      </c>
      <c r="BH24" s="8">
        <v>2</v>
      </c>
      <c r="BI24" s="8">
        <v>2</v>
      </c>
      <c r="BJ24" s="8">
        <v>2</v>
      </c>
      <c r="BK24" s="8">
        <v>2</v>
      </c>
      <c r="BL24" s="8">
        <v>2</v>
      </c>
      <c r="BM24" s="8">
        <v>2</v>
      </c>
      <c r="BN24" s="8">
        <v>2</v>
      </c>
      <c r="BO24" s="8">
        <v>2</v>
      </c>
      <c r="BP24" s="8">
        <v>2</v>
      </c>
      <c r="BQ24" s="8">
        <v>2</v>
      </c>
      <c r="BR24" s="8">
        <v>2</v>
      </c>
      <c r="BS24" s="8">
        <v>2</v>
      </c>
      <c r="BT24" s="8">
        <v>2</v>
      </c>
      <c r="BU24" s="8">
        <v>2</v>
      </c>
      <c r="BV24" s="8">
        <v>2</v>
      </c>
      <c r="BW24" s="8">
        <v>2</v>
      </c>
      <c r="BX24" s="315">
        <v>1</v>
      </c>
      <c r="BY24" s="315">
        <v>1</v>
      </c>
      <c r="BZ24" s="315">
        <v>1</v>
      </c>
      <c r="CA24" s="315">
        <v>1</v>
      </c>
      <c r="CB24" s="315">
        <v>1</v>
      </c>
      <c r="CC24" s="315">
        <v>1</v>
      </c>
      <c r="CD24" s="315">
        <v>1</v>
      </c>
      <c r="CE24" s="315">
        <v>1</v>
      </c>
      <c r="CF24" s="315">
        <v>1</v>
      </c>
      <c r="CG24" s="315">
        <v>1</v>
      </c>
      <c r="CH24" s="315">
        <v>1</v>
      </c>
      <c r="CI24" s="315">
        <v>1</v>
      </c>
      <c r="CJ24" s="315">
        <v>1</v>
      </c>
      <c r="CK24" s="315">
        <v>1</v>
      </c>
      <c r="CL24" s="315">
        <v>1</v>
      </c>
      <c r="CM24" s="315">
        <v>1</v>
      </c>
      <c r="CN24" s="315">
        <v>1</v>
      </c>
      <c r="CO24" s="315">
        <v>1</v>
      </c>
      <c r="CP24" s="315">
        <v>1</v>
      </c>
      <c r="CQ24" s="315">
        <v>1</v>
      </c>
      <c r="CR24" s="315">
        <v>1</v>
      </c>
      <c r="CS24" s="315">
        <v>1</v>
      </c>
      <c r="CT24" s="315">
        <v>1</v>
      </c>
      <c r="CU24" s="315">
        <v>1</v>
      </c>
      <c r="CV24" s="315">
        <v>1</v>
      </c>
      <c r="CW24" s="315">
        <v>1</v>
      </c>
      <c r="CX24" s="315">
        <v>1</v>
      </c>
      <c r="CY24" s="315">
        <v>1</v>
      </c>
      <c r="CZ24" s="315">
        <v>1</v>
      </c>
      <c r="DA24" s="315">
        <v>1</v>
      </c>
      <c r="DB24" s="315">
        <v>1</v>
      </c>
      <c r="DC24" s="315">
        <v>1</v>
      </c>
      <c r="DD24" s="315">
        <v>1</v>
      </c>
      <c r="DE24" s="315">
        <v>1</v>
      </c>
      <c r="DF24" s="315">
        <v>1</v>
      </c>
      <c r="DG24" s="315">
        <v>1</v>
      </c>
      <c r="DH24" s="315">
        <v>1</v>
      </c>
      <c r="DI24" s="315">
        <v>1</v>
      </c>
      <c r="DJ24" s="315">
        <v>1</v>
      </c>
      <c r="DK24" s="315">
        <v>1</v>
      </c>
      <c r="DL24" s="315">
        <v>1</v>
      </c>
      <c r="DM24" s="315">
        <v>1</v>
      </c>
      <c r="DN24" s="315">
        <v>1</v>
      </c>
      <c r="DO24" s="315">
        <v>1</v>
      </c>
      <c r="DP24" s="315">
        <v>1</v>
      </c>
      <c r="DQ24" s="315">
        <v>1</v>
      </c>
      <c r="DR24" s="315">
        <v>1</v>
      </c>
      <c r="DS24" s="315">
        <v>1</v>
      </c>
      <c r="DT24" s="315">
        <v>1</v>
      </c>
      <c r="DU24" s="315">
        <v>1</v>
      </c>
      <c r="DV24" s="315">
        <v>1</v>
      </c>
      <c r="DW24" s="315">
        <v>1</v>
      </c>
      <c r="DX24" s="315">
        <v>1</v>
      </c>
      <c r="DY24" s="315">
        <v>1</v>
      </c>
      <c r="DZ24" s="315">
        <v>1</v>
      </c>
      <c r="EA24" s="315">
        <v>1</v>
      </c>
      <c r="EB24" s="315">
        <v>1</v>
      </c>
      <c r="EC24" s="315">
        <v>1</v>
      </c>
      <c r="ED24" s="315">
        <v>1</v>
      </c>
      <c r="EE24" s="315">
        <v>1</v>
      </c>
      <c r="EF24" s="315">
        <v>1</v>
      </c>
      <c r="EG24" s="315">
        <v>1</v>
      </c>
      <c r="EH24" s="315">
        <v>1</v>
      </c>
      <c r="EI24" s="315">
        <v>1</v>
      </c>
      <c r="EJ24" s="315">
        <v>1</v>
      </c>
      <c r="EK24" s="315">
        <v>1</v>
      </c>
      <c r="EL24" s="315">
        <v>1</v>
      </c>
      <c r="EM24" s="315">
        <v>1</v>
      </c>
      <c r="EN24" s="315">
        <v>1</v>
      </c>
      <c r="EO24" s="315">
        <v>1</v>
      </c>
      <c r="EP24" s="315">
        <v>1</v>
      </c>
      <c r="EQ24" s="315">
        <v>1</v>
      </c>
      <c r="ER24" s="315">
        <v>1</v>
      </c>
      <c r="ES24" s="315">
        <v>1</v>
      </c>
      <c r="ET24" s="315">
        <v>1</v>
      </c>
      <c r="EU24" s="315">
        <v>1</v>
      </c>
      <c r="EV24" s="315">
        <v>1</v>
      </c>
      <c r="EW24" s="315">
        <v>1</v>
      </c>
      <c r="EX24" s="315">
        <v>1</v>
      </c>
      <c r="EY24" s="315">
        <v>1</v>
      </c>
      <c r="EZ24" s="315">
        <v>1</v>
      </c>
      <c r="FB24" s="50">
        <f>HLOOKUP(M16,$AU$3:$EZ$104,22,TRUE)</f>
        <v>1</v>
      </c>
      <c r="FD24" s="50">
        <f>HLOOKUP(AL42,$AU$3:$EZ$104,22,TRUE)</f>
        <v>1</v>
      </c>
    </row>
    <row r="25" spans="2:160" ht="17.100000000000001" customHeight="1">
      <c r="B25" s="119"/>
      <c r="C25" s="23"/>
      <c r="D25" s="23"/>
      <c r="E25" s="23"/>
      <c r="F25" s="23"/>
      <c r="G25" s="23"/>
      <c r="H25" s="23"/>
      <c r="I25" s="23"/>
      <c r="J25" s="23"/>
      <c r="K25" s="23"/>
      <c r="L25" s="23"/>
      <c r="M25" s="23"/>
      <c r="N25" s="23"/>
      <c r="O25" s="23"/>
      <c r="P25" s="686" t="s">
        <v>362</v>
      </c>
      <c r="Q25" s="549"/>
      <c r="R25" s="549"/>
      <c r="S25" s="549"/>
      <c r="T25" s="549"/>
      <c r="U25" s="549"/>
      <c r="V25" s="549"/>
      <c r="W25" s="549"/>
      <c r="X25" s="549"/>
      <c r="Y25" s="549"/>
      <c r="Z25" s="550">
        <f ca="1">VLOOKUP(TRUE,AO19:AR21,4,FALSE)</f>
        <v>0.79320000000000002</v>
      </c>
      <c r="AA25" s="551"/>
      <c r="AB25" s="120"/>
      <c r="AD25" s="210" t="s">
        <v>584</v>
      </c>
      <c r="AE25" s="399" t="str">
        <f>'Vertical walls'!AE25</f>
        <v>Sharp eaves</v>
      </c>
      <c r="AI25" s="43" t="str">
        <f>'wind pressure'!L32</f>
        <v>II</v>
      </c>
      <c r="AJ25" s="43"/>
      <c r="AL25" s="698" t="s">
        <v>223</v>
      </c>
      <c r="AM25" s="698"/>
      <c r="AN25" s="698"/>
      <c r="AO25" s="698"/>
      <c r="AP25" s="698"/>
      <c r="AQ25" s="698"/>
      <c r="AR25" s="321"/>
      <c r="AS25" s="69"/>
      <c r="AT25" s="104">
        <v>0.42699999999999999</v>
      </c>
      <c r="AU25" s="8">
        <v>2</v>
      </c>
      <c r="AV25" s="8">
        <v>2</v>
      </c>
      <c r="AW25" s="8">
        <v>2</v>
      </c>
      <c r="AX25" s="8">
        <v>2</v>
      </c>
      <c r="AY25" s="8">
        <v>2</v>
      </c>
      <c r="AZ25" s="8">
        <v>2</v>
      </c>
      <c r="BA25" s="316">
        <v>2</v>
      </c>
      <c r="BB25" s="8">
        <v>2</v>
      </c>
      <c r="BC25" s="8">
        <v>2</v>
      </c>
      <c r="BD25" s="8">
        <v>2</v>
      </c>
      <c r="BE25" s="8">
        <v>2</v>
      </c>
      <c r="BF25" s="8">
        <v>2</v>
      </c>
      <c r="BG25" s="8">
        <v>2</v>
      </c>
      <c r="BH25" s="8">
        <v>2</v>
      </c>
      <c r="BI25" s="8">
        <v>2</v>
      </c>
      <c r="BJ25" s="8">
        <v>2</v>
      </c>
      <c r="BK25" s="8">
        <v>2</v>
      </c>
      <c r="BL25" s="8">
        <v>2</v>
      </c>
      <c r="BM25" s="8">
        <v>2</v>
      </c>
      <c r="BN25" s="8">
        <v>2</v>
      </c>
      <c r="BO25" s="8">
        <v>2</v>
      </c>
      <c r="BP25" s="8">
        <v>2</v>
      </c>
      <c r="BQ25" s="8">
        <v>2</v>
      </c>
      <c r="BR25" s="8">
        <v>2</v>
      </c>
      <c r="BS25" s="8">
        <v>2</v>
      </c>
      <c r="BT25" s="8">
        <v>2</v>
      </c>
      <c r="BU25" s="8">
        <v>2</v>
      </c>
      <c r="BV25" s="8">
        <v>2</v>
      </c>
      <c r="BW25" s="8">
        <v>2</v>
      </c>
      <c r="BX25" s="8">
        <v>2</v>
      </c>
      <c r="BY25" s="315">
        <v>1</v>
      </c>
      <c r="BZ25" s="315">
        <v>1</v>
      </c>
      <c r="CA25" s="315">
        <v>1</v>
      </c>
      <c r="CB25" s="315">
        <v>1</v>
      </c>
      <c r="CC25" s="315">
        <v>1</v>
      </c>
      <c r="CD25" s="315">
        <v>1</v>
      </c>
      <c r="CE25" s="315">
        <v>1</v>
      </c>
      <c r="CF25" s="315">
        <v>1</v>
      </c>
      <c r="CG25" s="315">
        <v>1</v>
      </c>
      <c r="CH25" s="315">
        <v>1</v>
      </c>
      <c r="CI25" s="315">
        <v>1</v>
      </c>
      <c r="CJ25" s="315">
        <v>1</v>
      </c>
      <c r="CK25" s="315">
        <v>1</v>
      </c>
      <c r="CL25" s="315">
        <v>1</v>
      </c>
      <c r="CM25" s="315">
        <v>1</v>
      </c>
      <c r="CN25" s="315">
        <v>1</v>
      </c>
      <c r="CO25" s="315">
        <v>1</v>
      </c>
      <c r="CP25" s="315">
        <v>1</v>
      </c>
      <c r="CQ25" s="315">
        <v>1</v>
      </c>
      <c r="CR25" s="315">
        <v>1</v>
      </c>
      <c r="CS25" s="315">
        <v>1</v>
      </c>
      <c r="CT25" s="315">
        <v>1</v>
      </c>
      <c r="CU25" s="315">
        <v>1</v>
      </c>
      <c r="CV25" s="315">
        <v>1</v>
      </c>
      <c r="CW25" s="315">
        <v>1</v>
      </c>
      <c r="CX25" s="315">
        <v>1</v>
      </c>
      <c r="CY25" s="315">
        <v>1</v>
      </c>
      <c r="CZ25" s="315">
        <v>1</v>
      </c>
      <c r="DA25" s="315">
        <v>1</v>
      </c>
      <c r="DB25" s="315">
        <v>1</v>
      </c>
      <c r="DC25" s="315">
        <v>1</v>
      </c>
      <c r="DD25" s="315">
        <v>1</v>
      </c>
      <c r="DE25" s="315">
        <v>1</v>
      </c>
      <c r="DF25" s="315">
        <v>1</v>
      </c>
      <c r="DG25" s="315">
        <v>1</v>
      </c>
      <c r="DH25" s="315">
        <v>1</v>
      </c>
      <c r="DI25" s="315">
        <v>1</v>
      </c>
      <c r="DJ25" s="315">
        <v>1</v>
      </c>
      <c r="DK25" s="315">
        <v>1</v>
      </c>
      <c r="DL25" s="315">
        <v>1</v>
      </c>
      <c r="DM25" s="315">
        <v>1</v>
      </c>
      <c r="DN25" s="315">
        <v>1</v>
      </c>
      <c r="DO25" s="315">
        <v>1</v>
      </c>
      <c r="DP25" s="315">
        <v>1</v>
      </c>
      <c r="DQ25" s="315">
        <v>1</v>
      </c>
      <c r="DR25" s="315">
        <v>1</v>
      </c>
      <c r="DS25" s="315">
        <v>1</v>
      </c>
      <c r="DT25" s="315">
        <v>1</v>
      </c>
      <c r="DU25" s="315">
        <v>1</v>
      </c>
      <c r="DV25" s="315">
        <v>1</v>
      </c>
      <c r="DW25" s="315">
        <v>1</v>
      </c>
      <c r="DX25" s="315">
        <v>1</v>
      </c>
      <c r="DY25" s="315">
        <v>1</v>
      </c>
      <c r="DZ25" s="315">
        <v>1</v>
      </c>
      <c r="EA25" s="315">
        <v>1</v>
      </c>
      <c r="EB25" s="315">
        <v>1</v>
      </c>
      <c r="EC25" s="315">
        <v>1</v>
      </c>
      <c r="ED25" s="315">
        <v>1</v>
      </c>
      <c r="EE25" s="315">
        <v>1</v>
      </c>
      <c r="EF25" s="315">
        <v>1</v>
      </c>
      <c r="EG25" s="315">
        <v>1</v>
      </c>
      <c r="EH25" s="315">
        <v>1</v>
      </c>
      <c r="EI25" s="315">
        <v>1</v>
      </c>
      <c r="EJ25" s="315">
        <v>1</v>
      </c>
      <c r="EK25" s="315">
        <v>1</v>
      </c>
      <c r="EL25" s="315">
        <v>1</v>
      </c>
      <c r="EM25" s="315">
        <v>1</v>
      </c>
      <c r="EN25" s="315">
        <v>1</v>
      </c>
      <c r="EO25" s="315">
        <v>1</v>
      </c>
      <c r="EP25" s="315">
        <v>1</v>
      </c>
      <c r="EQ25" s="315">
        <v>1</v>
      </c>
      <c r="ER25" s="315">
        <v>1</v>
      </c>
      <c r="ES25" s="315">
        <v>1</v>
      </c>
      <c r="ET25" s="315">
        <v>1</v>
      </c>
      <c r="EU25" s="315">
        <v>1</v>
      </c>
      <c r="EV25" s="315">
        <v>1</v>
      </c>
      <c r="EW25" s="315">
        <v>1</v>
      </c>
      <c r="EX25" s="315">
        <v>1</v>
      </c>
      <c r="EY25" s="315">
        <v>1</v>
      </c>
      <c r="EZ25" s="315">
        <v>1</v>
      </c>
      <c r="FB25" s="50">
        <f>HLOOKUP(M16,$AU$3:$EZ$104,23,TRUE)</f>
        <v>1</v>
      </c>
      <c r="FD25" s="50">
        <f>HLOOKUP(AL42,$AU$3:$EZ$104,23,TRUE)</f>
        <v>1</v>
      </c>
    </row>
    <row r="26" spans="2:160" ht="17.100000000000001" customHeight="1" thickBot="1">
      <c r="B26" s="119"/>
      <c r="C26" s="23"/>
      <c r="D26" s="23"/>
      <c r="E26" s="23"/>
      <c r="F26" s="23"/>
      <c r="G26" s="23"/>
      <c r="H26" s="23"/>
      <c r="I26" s="23"/>
      <c r="J26" s="23"/>
      <c r="K26" s="23"/>
      <c r="L26" s="23"/>
      <c r="M26" s="23"/>
      <c r="N26" s="23"/>
      <c r="O26" s="23"/>
      <c r="P26" s="674" t="s">
        <v>446</v>
      </c>
      <c r="Q26" s="675"/>
      <c r="R26" s="675"/>
      <c r="S26" s="675"/>
      <c r="T26" s="675"/>
      <c r="U26" s="675"/>
      <c r="V26" s="675"/>
      <c r="W26" s="675"/>
      <c r="X26" s="675"/>
      <c r="Y26" s="675"/>
      <c r="Z26" s="587">
        <f>VLOOKUP(AO26,AO27:AQ29,3,FALSE)</f>
        <v>0.01</v>
      </c>
      <c r="AA26" s="588"/>
      <c r="AB26" s="120"/>
      <c r="AD26" s="210" t="s">
        <v>548</v>
      </c>
      <c r="AE26" s="399">
        <f>'Vertical walls'!AE26</f>
        <v>1</v>
      </c>
      <c r="AI26" s="43" t="str">
        <f>'wind pressure'!N32</f>
        <v>III</v>
      </c>
      <c r="AJ26" s="43"/>
      <c r="AL26" s="322">
        <f>MATCH(G10,AM27:AM30,0)</f>
        <v>1</v>
      </c>
      <c r="AM26" s="323" t="s">
        <v>222</v>
      </c>
      <c r="AN26" s="324" t="s">
        <v>224</v>
      </c>
      <c r="AO26" s="322">
        <f>MATCH(G11,AP27:AP29,0)</f>
        <v>1</v>
      </c>
      <c r="AP26" s="43" t="s">
        <v>228</v>
      </c>
      <c r="AQ26" s="325"/>
      <c r="AS26" s="69"/>
      <c r="AT26" s="104">
        <v>0.45700000000000002</v>
      </c>
      <c r="AU26" s="8">
        <v>2</v>
      </c>
      <c r="AV26" s="8">
        <v>2</v>
      </c>
      <c r="AW26" s="8">
        <v>2</v>
      </c>
      <c r="AX26" s="8">
        <v>2</v>
      </c>
      <c r="AY26" s="8">
        <v>2</v>
      </c>
      <c r="AZ26" s="8">
        <v>2</v>
      </c>
      <c r="BA26" s="316">
        <v>2</v>
      </c>
      <c r="BB26" s="8">
        <v>2</v>
      </c>
      <c r="BC26" s="8">
        <v>2</v>
      </c>
      <c r="BD26" s="8">
        <v>2</v>
      </c>
      <c r="BE26" s="8">
        <v>2</v>
      </c>
      <c r="BF26" s="8">
        <v>2</v>
      </c>
      <c r="BG26" s="8">
        <v>2</v>
      </c>
      <c r="BH26" s="8">
        <v>2</v>
      </c>
      <c r="BI26" s="8">
        <v>2</v>
      </c>
      <c r="BJ26" s="8">
        <v>2</v>
      </c>
      <c r="BK26" s="8">
        <v>2</v>
      </c>
      <c r="BL26" s="8">
        <v>2</v>
      </c>
      <c r="BM26" s="8">
        <v>2</v>
      </c>
      <c r="BN26" s="8">
        <v>2</v>
      </c>
      <c r="BO26" s="8">
        <v>2</v>
      </c>
      <c r="BP26" s="8">
        <v>2</v>
      </c>
      <c r="BQ26" s="8">
        <v>2</v>
      </c>
      <c r="BR26" s="8">
        <v>2</v>
      </c>
      <c r="BS26" s="8">
        <v>2</v>
      </c>
      <c r="BT26" s="8">
        <v>2</v>
      </c>
      <c r="BU26" s="8">
        <v>2</v>
      </c>
      <c r="BV26" s="8">
        <v>2</v>
      </c>
      <c r="BW26" s="8">
        <v>2</v>
      </c>
      <c r="BX26" s="8">
        <v>2</v>
      </c>
      <c r="BY26" s="8">
        <v>2</v>
      </c>
      <c r="BZ26" s="315">
        <v>1</v>
      </c>
      <c r="CA26" s="315">
        <v>1</v>
      </c>
      <c r="CB26" s="315">
        <v>1</v>
      </c>
      <c r="CC26" s="315">
        <v>1</v>
      </c>
      <c r="CD26" s="315">
        <v>1</v>
      </c>
      <c r="CE26" s="315">
        <v>1</v>
      </c>
      <c r="CF26" s="315">
        <v>1</v>
      </c>
      <c r="CG26" s="315">
        <v>1</v>
      </c>
      <c r="CH26" s="315">
        <v>1</v>
      </c>
      <c r="CI26" s="315">
        <v>1</v>
      </c>
      <c r="CJ26" s="315">
        <v>1</v>
      </c>
      <c r="CK26" s="315">
        <v>1</v>
      </c>
      <c r="CL26" s="315">
        <v>1</v>
      </c>
      <c r="CM26" s="315">
        <v>1</v>
      </c>
      <c r="CN26" s="315">
        <v>1</v>
      </c>
      <c r="CO26" s="315">
        <v>1</v>
      </c>
      <c r="CP26" s="315">
        <v>1</v>
      </c>
      <c r="CQ26" s="315">
        <v>1</v>
      </c>
      <c r="CR26" s="315">
        <v>1</v>
      </c>
      <c r="CS26" s="315">
        <v>1</v>
      </c>
      <c r="CT26" s="315">
        <v>1</v>
      </c>
      <c r="CU26" s="315">
        <v>1</v>
      </c>
      <c r="CV26" s="315">
        <v>1</v>
      </c>
      <c r="CW26" s="315">
        <v>1</v>
      </c>
      <c r="CX26" s="315">
        <v>1</v>
      </c>
      <c r="CY26" s="315">
        <v>1</v>
      </c>
      <c r="CZ26" s="315">
        <v>1</v>
      </c>
      <c r="DA26" s="315">
        <v>1</v>
      </c>
      <c r="DB26" s="315">
        <v>1</v>
      </c>
      <c r="DC26" s="315">
        <v>1</v>
      </c>
      <c r="DD26" s="315">
        <v>1</v>
      </c>
      <c r="DE26" s="315">
        <v>1</v>
      </c>
      <c r="DF26" s="315">
        <v>1</v>
      </c>
      <c r="DG26" s="315">
        <v>1</v>
      </c>
      <c r="DH26" s="315">
        <v>1</v>
      </c>
      <c r="DI26" s="315">
        <v>1</v>
      </c>
      <c r="DJ26" s="315">
        <v>1</v>
      </c>
      <c r="DK26" s="315">
        <v>1</v>
      </c>
      <c r="DL26" s="315">
        <v>1</v>
      </c>
      <c r="DM26" s="315">
        <v>1</v>
      </c>
      <c r="DN26" s="315">
        <v>1</v>
      </c>
      <c r="DO26" s="315">
        <v>1</v>
      </c>
      <c r="DP26" s="315">
        <v>1</v>
      </c>
      <c r="DQ26" s="315">
        <v>1</v>
      </c>
      <c r="DR26" s="315">
        <v>1</v>
      </c>
      <c r="DS26" s="315">
        <v>1</v>
      </c>
      <c r="DT26" s="315">
        <v>1</v>
      </c>
      <c r="DU26" s="315">
        <v>1</v>
      </c>
      <c r="DV26" s="315">
        <v>1</v>
      </c>
      <c r="DW26" s="315">
        <v>1</v>
      </c>
      <c r="DX26" s="315">
        <v>1</v>
      </c>
      <c r="DY26" s="315">
        <v>1</v>
      </c>
      <c r="DZ26" s="315">
        <v>1</v>
      </c>
      <c r="EA26" s="315">
        <v>1</v>
      </c>
      <c r="EB26" s="315">
        <v>1</v>
      </c>
      <c r="EC26" s="315">
        <v>1</v>
      </c>
      <c r="ED26" s="315">
        <v>1</v>
      </c>
      <c r="EE26" s="315">
        <v>1</v>
      </c>
      <c r="EF26" s="315">
        <v>1</v>
      </c>
      <c r="EG26" s="315">
        <v>1</v>
      </c>
      <c r="EH26" s="315">
        <v>1</v>
      </c>
      <c r="EI26" s="315">
        <v>1</v>
      </c>
      <c r="EJ26" s="315">
        <v>1</v>
      </c>
      <c r="EK26" s="315">
        <v>1</v>
      </c>
      <c r="EL26" s="315">
        <v>1</v>
      </c>
      <c r="EM26" s="315">
        <v>1</v>
      </c>
      <c r="EN26" s="315">
        <v>1</v>
      </c>
      <c r="EO26" s="315">
        <v>1</v>
      </c>
      <c r="EP26" s="315">
        <v>1</v>
      </c>
      <c r="EQ26" s="315">
        <v>1</v>
      </c>
      <c r="ER26" s="315">
        <v>1</v>
      </c>
      <c r="ES26" s="315">
        <v>1</v>
      </c>
      <c r="ET26" s="315">
        <v>1</v>
      </c>
      <c r="EU26" s="315">
        <v>1</v>
      </c>
      <c r="EV26" s="315">
        <v>1</v>
      </c>
      <c r="EW26" s="315">
        <v>1</v>
      </c>
      <c r="EX26" s="315">
        <v>1</v>
      </c>
      <c r="EY26" s="315">
        <v>1</v>
      </c>
      <c r="EZ26" s="315">
        <v>1</v>
      </c>
      <c r="FB26" s="50">
        <f>HLOOKUP(M16,$AU$3:$EZ$104,24,TRUE)</f>
        <v>1</v>
      </c>
      <c r="FD26" s="50">
        <f>HLOOKUP(AL42,$AU$3:$EZ$104,24,TRUE)</f>
        <v>1</v>
      </c>
    </row>
    <row r="27" spans="2:160" ht="17.100000000000001" customHeight="1">
      <c r="B27" s="119"/>
      <c r="C27" s="23"/>
      <c r="D27" s="23"/>
      <c r="E27" s="23"/>
      <c r="F27" s="23"/>
      <c r="G27" s="23"/>
      <c r="H27" s="23"/>
      <c r="I27" s="23"/>
      <c r="J27" s="23"/>
      <c r="K27" s="23"/>
      <c r="L27" s="23"/>
      <c r="M27" s="23"/>
      <c r="N27" s="23"/>
      <c r="O27" s="23"/>
      <c r="P27" s="23"/>
      <c r="Q27" s="23"/>
      <c r="R27" s="23"/>
      <c r="S27" s="23"/>
      <c r="T27" s="23"/>
      <c r="U27" s="23"/>
      <c r="V27" s="23"/>
      <c r="W27" s="23"/>
      <c r="X27" s="23"/>
      <c r="Y27" s="23"/>
      <c r="Z27" s="23"/>
      <c r="AA27" s="23"/>
      <c r="AB27" s="120"/>
      <c r="AD27" s="210" t="s">
        <v>549</v>
      </c>
      <c r="AE27" s="399">
        <f>'Vertical walls'!AE27</f>
        <v>2</v>
      </c>
      <c r="AI27" s="43" t="str">
        <f>'wind pressure'!P32</f>
        <v>IV</v>
      </c>
      <c r="AJ27" s="43"/>
      <c r="AL27" s="256">
        <v>1</v>
      </c>
      <c r="AM27" s="326" t="s">
        <v>353</v>
      </c>
      <c r="AN27" s="183">
        <v>0.1</v>
      </c>
      <c r="AO27" s="183">
        <v>1</v>
      </c>
      <c r="AP27" s="70" t="s">
        <v>357</v>
      </c>
      <c r="AQ27" s="214">
        <v>0.01</v>
      </c>
      <c r="AS27" s="69"/>
      <c r="AT27" s="104">
        <v>0.49</v>
      </c>
      <c r="AU27" s="8">
        <v>2</v>
      </c>
      <c r="AV27" s="8">
        <v>2</v>
      </c>
      <c r="AW27" s="8">
        <v>2</v>
      </c>
      <c r="AX27" s="8">
        <v>2</v>
      </c>
      <c r="AY27" s="8">
        <v>2</v>
      </c>
      <c r="AZ27" s="8">
        <v>2</v>
      </c>
      <c r="BA27" s="316">
        <v>2</v>
      </c>
      <c r="BB27" s="8">
        <v>2</v>
      </c>
      <c r="BC27" s="8">
        <v>2</v>
      </c>
      <c r="BD27" s="8">
        <v>2</v>
      </c>
      <c r="BE27" s="8">
        <v>2</v>
      </c>
      <c r="BF27" s="8">
        <v>2</v>
      </c>
      <c r="BG27" s="8">
        <v>2</v>
      </c>
      <c r="BH27" s="8">
        <v>2</v>
      </c>
      <c r="BI27" s="8">
        <v>2</v>
      </c>
      <c r="BJ27" s="8">
        <v>2</v>
      </c>
      <c r="BK27" s="8">
        <v>2</v>
      </c>
      <c r="BL27" s="8">
        <v>2</v>
      </c>
      <c r="BM27" s="8">
        <v>2</v>
      </c>
      <c r="BN27" s="8">
        <v>2</v>
      </c>
      <c r="BO27" s="8">
        <v>2</v>
      </c>
      <c r="BP27" s="8">
        <v>2</v>
      </c>
      <c r="BQ27" s="8">
        <v>2</v>
      </c>
      <c r="BR27" s="8">
        <v>2</v>
      </c>
      <c r="BS27" s="8">
        <v>2</v>
      </c>
      <c r="BT27" s="8">
        <v>2</v>
      </c>
      <c r="BU27" s="8">
        <v>2</v>
      </c>
      <c r="BV27" s="8">
        <v>2</v>
      </c>
      <c r="BW27" s="8">
        <v>2</v>
      </c>
      <c r="BX27" s="8">
        <v>2</v>
      </c>
      <c r="BY27" s="8">
        <v>2</v>
      </c>
      <c r="BZ27" s="8">
        <v>2</v>
      </c>
      <c r="CA27" s="8">
        <v>2</v>
      </c>
      <c r="CB27" s="315">
        <v>1</v>
      </c>
      <c r="CC27" s="315">
        <v>1</v>
      </c>
      <c r="CD27" s="315">
        <v>1</v>
      </c>
      <c r="CE27" s="315">
        <v>1</v>
      </c>
      <c r="CF27" s="315">
        <v>1</v>
      </c>
      <c r="CG27" s="315">
        <v>1</v>
      </c>
      <c r="CH27" s="315">
        <v>1</v>
      </c>
      <c r="CI27" s="315">
        <v>1</v>
      </c>
      <c r="CJ27" s="315">
        <v>1</v>
      </c>
      <c r="CK27" s="315">
        <v>1</v>
      </c>
      <c r="CL27" s="315">
        <v>1</v>
      </c>
      <c r="CM27" s="315">
        <v>1</v>
      </c>
      <c r="CN27" s="315">
        <v>1</v>
      </c>
      <c r="CO27" s="315">
        <v>1</v>
      </c>
      <c r="CP27" s="315">
        <v>1</v>
      </c>
      <c r="CQ27" s="315">
        <v>1</v>
      </c>
      <c r="CR27" s="315">
        <v>1</v>
      </c>
      <c r="CS27" s="315">
        <v>1</v>
      </c>
      <c r="CT27" s="315">
        <v>1</v>
      </c>
      <c r="CU27" s="315">
        <v>1</v>
      </c>
      <c r="CV27" s="315">
        <v>1</v>
      </c>
      <c r="CW27" s="315">
        <v>1</v>
      </c>
      <c r="CX27" s="315">
        <v>1</v>
      </c>
      <c r="CY27" s="315">
        <v>1</v>
      </c>
      <c r="CZ27" s="315">
        <v>1</v>
      </c>
      <c r="DA27" s="315">
        <v>1</v>
      </c>
      <c r="DB27" s="315">
        <v>1</v>
      </c>
      <c r="DC27" s="315">
        <v>1</v>
      </c>
      <c r="DD27" s="315">
        <v>1</v>
      </c>
      <c r="DE27" s="315">
        <v>1</v>
      </c>
      <c r="DF27" s="315">
        <v>1</v>
      </c>
      <c r="DG27" s="315">
        <v>1</v>
      </c>
      <c r="DH27" s="315">
        <v>1</v>
      </c>
      <c r="DI27" s="315">
        <v>1</v>
      </c>
      <c r="DJ27" s="315">
        <v>1</v>
      </c>
      <c r="DK27" s="315">
        <v>1</v>
      </c>
      <c r="DL27" s="315">
        <v>1</v>
      </c>
      <c r="DM27" s="315">
        <v>1</v>
      </c>
      <c r="DN27" s="315">
        <v>1</v>
      </c>
      <c r="DO27" s="315">
        <v>1</v>
      </c>
      <c r="DP27" s="315">
        <v>1</v>
      </c>
      <c r="DQ27" s="315">
        <v>1</v>
      </c>
      <c r="DR27" s="315">
        <v>1</v>
      </c>
      <c r="DS27" s="315">
        <v>1</v>
      </c>
      <c r="DT27" s="315">
        <v>1</v>
      </c>
      <c r="DU27" s="315">
        <v>1</v>
      </c>
      <c r="DV27" s="315">
        <v>1</v>
      </c>
      <c r="DW27" s="315">
        <v>1</v>
      </c>
      <c r="DX27" s="315">
        <v>1</v>
      </c>
      <c r="DY27" s="315">
        <v>1</v>
      </c>
      <c r="DZ27" s="315">
        <v>1</v>
      </c>
      <c r="EA27" s="315">
        <v>1</v>
      </c>
      <c r="EB27" s="315">
        <v>1</v>
      </c>
      <c r="EC27" s="315">
        <v>1</v>
      </c>
      <c r="ED27" s="315">
        <v>1</v>
      </c>
      <c r="EE27" s="315">
        <v>1</v>
      </c>
      <c r="EF27" s="315">
        <v>1</v>
      </c>
      <c r="EG27" s="315">
        <v>1</v>
      </c>
      <c r="EH27" s="315">
        <v>1</v>
      </c>
      <c r="EI27" s="315">
        <v>1</v>
      </c>
      <c r="EJ27" s="315">
        <v>1</v>
      </c>
      <c r="EK27" s="315">
        <v>1</v>
      </c>
      <c r="EL27" s="315">
        <v>1</v>
      </c>
      <c r="EM27" s="315">
        <v>1</v>
      </c>
      <c r="EN27" s="315">
        <v>1</v>
      </c>
      <c r="EO27" s="315">
        <v>1</v>
      </c>
      <c r="EP27" s="315">
        <v>1</v>
      </c>
      <c r="EQ27" s="315">
        <v>1</v>
      </c>
      <c r="ER27" s="315">
        <v>1</v>
      </c>
      <c r="ES27" s="315">
        <v>1</v>
      </c>
      <c r="ET27" s="315">
        <v>1</v>
      </c>
      <c r="EU27" s="315">
        <v>1</v>
      </c>
      <c r="EV27" s="315">
        <v>1</v>
      </c>
      <c r="EW27" s="315">
        <v>1</v>
      </c>
      <c r="EX27" s="315">
        <v>1</v>
      </c>
      <c r="EY27" s="315">
        <v>1</v>
      </c>
      <c r="EZ27" s="315">
        <v>1</v>
      </c>
      <c r="FB27" s="50">
        <f>HLOOKUP(M16,$AU$3:$EZ$104,25,TRUE)</f>
        <v>1</v>
      </c>
      <c r="FD27" s="50">
        <f>HLOOKUP(AL42,$AU$3:$EZ$104,25,TRUE)</f>
        <v>1</v>
      </c>
    </row>
    <row r="28" spans="2:160" ht="17.100000000000001" customHeight="1">
      <c r="B28" s="119"/>
      <c r="C28" s="23"/>
      <c r="D28" s="23"/>
      <c r="E28" s="23"/>
      <c r="F28" s="23"/>
      <c r="G28" s="23"/>
      <c r="H28" s="23"/>
      <c r="I28" s="23"/>
      <c r="J28" s="23"/>
      <c r="K28" s="23"/>
      <c r="L28" s="23"/>
      <c r="M28" s="23"/>
      <c r="N28" s="23"/>
      <c r="O28" s="23"/>
      <c r="P28" s="23"/>
      <c r="Q28" s="23"/>
      <c r="R28" s="23"/>
      <c r="S28" s="23"/>
      <c r="T28" s="23"/>
      <c r="U28" s="23"/>
      <c r="V28" s="23"/>
      <c r="W28" s="23"/>
      <c r="X28" s="23"/>
      <c r="Y28" s="23"/>
      <c r="Z28" s="23"/>
      <c r="AA28" s="23"/>
      <c r="AB28" s="120"/>
      <c r="AD28" s="210" t="s">
        <v>550</v>
      </c>
      <c r="AE28" s="405">
        <f>'Vertical walls'!AE28</f>
        <v>45</v>
      </c>
      <c r="AI28" s="43"/>
      <c r="AJ28" s="43"/>
      <c r="AL28" s="256">
        <v>2</v>
      </c>
      <c r="AM28" s="326" t="s">
        <v>354</v>
      </c>
      <c r="AN28" s="316">
        <v>0.05</v>
      </c>
      <c r="AO28" s="183">
        <v>2</v>
      </c>
      <c r="AP28" s="70" t="s">
        <v>358</v>
      </c>
      <c r="AQ28" s="214">
        <v>0.02</v>
      </c>
      <c r="AS28" s="69"/>
      <c r="AT28" s="104">
        <v>0.52500000000000002</v>
      </c>
      <c r="AU28" s="8">
        <v>2</v>
      </c>
      <c r="AV28" s="8">
        <v>2</v>
      </c>
      <c r="AW28" s="8">
        <v>2</v>
      </c>
      <c r="AX28" s="8">
        <v>2</v>
      </c>
      <c r="AY28" s="8">
        <v>2</v>
      </c>
      <c r="AZ28" s="8">
        <v>2</v>
      </c>
      <c r="BA28" s="316">
        <v>2</v>
      </c>
      <c r="BB28" s="8">
        <v>2</v>
      </c>
      <c r="BC28" s="8">
        <v>2</v>
      </c>
      <c r="BD28" s="8">
        <v>2</v>
      </c>
      <c r="BE28" s="8">
        <v>2</v>
      </c>
      <c r="BF28" s="8">
        <v>2</v>
      </c>
      <c r="BG28" s="8">
        <v>2</v>
      </c>
      <c r="BH28" s="8">
        <v>2</v>
      </c>
      <c r="BI28" s="8">
        <v>2</v>
      </c>
      <c r="BJ28" s="8">
        <v>2</v>
      </c>
      <c r="BK28" s="8">
        <v>2</v>
      </c>
      <c r="BL28" s="8">
        <v>2</v>
      </c>
      <c r="BM28" s="8">
        <v>2</v>
      </c>
      <c r="BN28" s="8">
        <v>2</v>
      </c>
      <c r="BO28" s="8">
        <v>2</v>
      </c>
      <c r="BP28" s="8">
        <v>2</v>
      </c>
      <c r="BQ28" s="8">
        <v>2</v>
      </c>
      <c r="BR28" s="8">
        <v>2</v>
      </c>
      <c r="BS28" s="8">
        <v>2</v>
      </c>
      <c r="BT28" s="8">
        <v>2</v>
      </c>
      <c r="BU28" s="8">
        <v>2</v>
      </c>
      <c r="BV28" s="8">
        <v>2</v>
      </c>
      <c r="BW28" s="8">
        <v>2</v>
      </c>
      <c r="BX28" s="8">
        <v>2</v>
      </c>
      <c r="BY28" s="8">
        <v>2</v>
      </c>
      <c r="BZ28" s="8">
        <v>2</v>
      </c>
      <c r="CA28" s="8">
        <v>2</v>
      </c>
      <c r="CB28" s="8">
        <v>2</v>
      </c>
      <c r="CC28" s="8">
        <v>2</v>
      </c>
      <c r="CD28" s="315">
        <v>1</v>
      </c>
      <c r="CE28" s="315">
        <v>1</v>
      </c>
      <c r="CF28" s="315">
        <v>1</v>
      </c>
      <c r="CG28" s="315">
        <v>1</v>
      </c>
      <c r="CH28" s="315">
        <v>1</v>
      </c>
      <c r="CI28" s="315">
        <v>1</v>
      </c>
      <c r="CJ28" s="315">
        <v>1</v>
      </c>
      <c r="CK28" s="315">
        <v>1</v>
      </c>
      <c r="CL28" s="315">
        <v>1</v>
      </c>
      <c r="CM28" s="315">
        <v>1</v>
      </c>
      <c r="CN28" s="315">
        <v>1</v>
      </c>
      <c r="CO28" s="315">
        <v>1</v>
      </c>
      <c r="CP28" s="315">
        <v>1</v>
      </c>
      <c r="CQ28" s="315">
        <v>1</v>
      </c>
      <c r="CR28" s="315">
        <v>1</v>
      </c>
      <c r="CS28" s="315">
        <v>1</v>
      </c>
      <c r="CT28" s="315">
        <v>1</v>
      </c>
      <c r="CU28" s="315">
        <v>1</v>
      </c>
      <c r="CV28" s="315">
        <v>1</v>
      </c>
      <c r="CW28" s="315">
        <v>1</v>
      </c>
      <c r="CX28" s="315">
        <v>1</v>
      </c>
      <c r="CY28" s="315">
        <v>1</v>
      </c>
      <c r="CZ28" s="315">
        <v>1</v>
      </c>
      <c r="DA28" s="315">
        <v>1</v>
      </c>
      <c r="DB28" s="315">
        <v>1</v>
      </c>
      <c r="DC28" s="315">
        <v>1</v>
      </c>
      <c r="DD28" s="315">
        <v>1</v>
      </c>
      <c r="DE28" s="315">
        <v>1</v>
      </c>
      <c r="DF28" s="315">
        <v>1</v>
      </c>
      <c r="DG28" s="315">
        <v>1</v>
      </c>
      <c r="DH28" s="315">
        <v>1</v>
      </c>
      <c r="DI28" s="315">
        <v>1</v>
      </c>
      <c r="DJ28" s="315">
        <v>1</v>
      </c>
      <c r="DK28" s="315">
        <v>1</v>
      </c>
      <c r="DL28" s="315">
        <v>1</v>
      </c>
      <c r="DM28" s="315">
        <v>1</v>
      </c>
      <c r="DN28" s="315">
        <v>1</v>
      </c>
      <c r="DO28" s="315">
        <v>1</v>
      </c>
      <c r="DP28" s="315">
        <v>1</v>
      </c>
      <c r="DQ28" s="315">
        <v>1</v>
      </c>
      <c r="DR28" s="315">
        <v>1</v>
      </c>
      <c r="DS28" s="315">
        <v>1</v>
      </c>
      <c r="DT28" s="315">
        <v>1</v>
      </c>
      <c r="DU28" s="315">
        <v>1</v>
      </c>
      <c r="DV28" s="315">
        <v>1</v>
      </c>
      <c r="DW28" s="315">
        <v>1</v>
      </c>
      <c r="DX28" s="315">
        <v>1</v>
      </c>
      <c r="DY28" s="315">
        <v>1</v>
      </c>
      <c r="DZ28" s="315">
        <v>1</v>
      </c>
      <c r="EA28" s="315">
        <v>1</v>
      </c>
      <c r="EB28" s="315">
        <v>1</v>
      </c>
      <c r="EC28" s="315">
        <v>1</v>
      </c>
      <c r="ED28" s="315">
        <v>1</v>
      </c>
      <c r="EE28" s="315">
        <v>1</v>
      </c>
      <c r="EF28" s="315">
        <v>1</v>
      </c>
      <c r="EG28" s="315">
        <v>1</v>
      </c>
      <c r="EH28" s="315">
        <v>1</v>
      </c>
      <c r="EI28" s="315">
        <v>1</v>
      </c>
      <c r="EJ28" s="315">
        <v>1</v>
      </c>
      <c r="EK28" s="315">
        <v>1</v>
      </c>
      <c r="EL28" s="315">
        <v>1</v>
      </c>
      <c r="EM28" s="315">
        <v>1</v>
      </c>
      <c r="EN28" s="315">
        <v>1</v>
      </c>
      <c r="EO28" s="315">
        <v>1</v>
      </c>
      <c r="EP28" s="315">
        <v>1</v>
      </c>
      <c r="EQ28" s="315">
        <v>1</v>
      </c>
      <c r="ER28" s="315">
        <v>1</v>
      </c>
      <c r="ES28" s="315">
        <v>1</v>
      </c>
      <c r="ET28" s="315">
        <v>1</v>
      </c>
      <c r="EU28" s="315">
        <v>1</v>
      </c>
      <c r="EV28" s="315">
        <v>1</v>
      </c>
      <c r="EW28" s="315">
        <v>1</v>
      </c>
      <c r="EX28" s="315">
        <v>1</v>
      </c>
      <c r="EY28" s="315">
        <v>1</v>
      </c>
      <c r="EZ28" s="315">
        <v>1</v>
      </c>
      <c r="FB28" s="50">
        <f>HLOOKUP(M16,$AU$3:$EZ$104,26,TRUE)</f>
        <v>1</v>
      </c>
      <c r="FD28" s="50">
        <f>HLOOKUP(AL42,$AU$3:$EZ$104,26,TRUE)</f>
        <v>1</v>
      </c>
    </row>
    <row r="29" spans="2:160" ht="17.100000000000001" customHeight="1">
      <c r="B29" s="119"/>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120"/>
      <c r="AD29" s="210" t="s">
        <v>586</v>
      </c>
      <c r="AE29" s="399">
        <f>'Vertical walls'!AE29</f>
        <v>20</v>
      </c>
      <c r="AI29" s="43"/>
      <c r="AJ29" s="43"/>
      <c r="AL29" s="256">
        <v>3</v>
      </c>
      <c r="AM29" s="326" t="s">
        <v>352</v>
      </c>
      <c r="AN29" s="316">
        <v>0.08</v>
      </c>
      <c r="AO29" s="183">
        <v>3</v>
      </c>
      <c r="AP29" s="70" t="s">
        <v>369</v>
      </c>
      <c r="AQ29" s="214">
        <v>0.04</v>
      </c>
      <c r="AS29" s="69"/>
      <c r="AT29" s="104">
        <v>0.56200000000000006</v>
      </c>
      <c r="AU29" s="8">
        <v>2</v>
      </c>
      <c r="AV29" s="8">
        <v>2</v>
      </c>
      <c r="AW29" s="8">
        <v>2</v>
      </c>
      <c r="AX29" s="8">
        <v>2</v>
      </c>
      <c r="AY29" s="8">
        <v>2</v>
      </c>
      <c r="AZ29" s="8">
        <v>2</v>
      </c>
      <c r="BA29" s="316">
        <v>2</v>
      </c>
      <c r="BB29" s="8">
        <v>2</v>
      </c>
      <c r="BC29" s="8">
        <v>2</v>
      </c>
      <c r="BD29" s="8">
        <v>2</v>
      </c>
      <c r="BE29" s="8">
        <v>2</v>
      </c>
      <c r="BF29" s="8">
        <v>2</v>
      </c>
      <c r="BG29" s="8">
        <v>2</v>
      </c>
      <c r="BH29" s="8">
        <v>2</v>
      </c>
      <c r="BI29" s="8">
        <v>2</v>
      </c>
      <c r="BJ29" s="8">
        <v>2</v>
      </c>
      <c r="BK29" s="8">
        <v>2</v>
      </c>
      <c r="BL29" s="8">
        <v>2</v>
      </c>
      <c r="BM29" s="8">
        <v>2</v>
      </c>
      <c r="BN29" s="8">
        <v>2</v>
      </c>
      <c r="BO29" s="8">
        <v>2</v>
      </c>
      <c r="BP29" s="8">
        <v>2</v>
      </c>
      <c r="BQ29" s="8">
        <v>2</v>
      </c>
      <c r="BR29" s="8">
        <v>2</v>
      </c>
      <c r="BS29" s="8">
        <v>2</v>
      </c>
      <c r="BT29" s="8">
        <v>2</v>
      </c>
      <c r="BU29" s="8">
        <v>2</v>
      </c>
      <c r="BV29" s="8">
        <v>2</v>
      </c>
      <c r="BW29" s="8">
        <v>2</v>
      </c>
      <c r="BX29" s="8">
        <v>2</v>
      </c>
      <c r="BY29" s="8">
        <v>2</v>
      </c>
      <c r="BZ29" s="8">
        <v>2</v>
      </c>
      <c r="CA29" s="8">
        <v>2</v>
      </c>
      <c r="CB29" s="8">
        <v>2</v>
      </c>
      <c r="CC29" s="8">
        <v>2</v>
      </c>
      <c r="CD29" s="315">
        <v>1</v>
      </c>
      <c r="CE29" s="315">
        <v>1</v>
      </c>
      <c r="CF29" s="315">
        <v>1</v>
      </c>
      <c r="CG29" s="315">
        <v>1</v>
      </c>
      <c r="CH29" s="315">
        <v>1</v>
      </c>
      <c r="CI29" s="315">
        <v>1</v>
      </c>
      <c r="CJ29" s="315">
        <v>1</v>
      </c>
      <c r="CK29" s="315">
        <v>1</v>
      </c>
      <c r="CL29" s="315">
        <v>1</v>
      </c>
      <c r="CM29" s="315">
        <v>1</v>
      </c>
      <c r="CN29" s="315">
        <v>1</v>
      </c>
      <c r="CO29" s="315">
        <v>1</v>
      </c>
      <c r="CP29" s="315">
        <v>1</v>
      </c>
      <c r="CQ29" s="315">
        <v>1</v>
      </c>
      <c r="CR29" s="315">
        <v>1</v>
      </c>
      <c r="CS29" s="315">
        <v>1</v>
      </c>
      <c r="CT29" s="315">
        <v>1</v>
      </c>
      <c r="CU29" s="315">
        <v>1</v>
      </c>
      <c r="CV29" s="315">
        <v>1</v>
      </c>
      <c r="CW29" s="315">
        <v>1</v>
      </c>
      <c r="CX29" s="315">
        <v>1</v>
      </c>
      <c r="CY29" s="315">
        <v>1</v>
      </c>
      <c r="CZ29" s="315">
        <v>1</v>
      </c>
      <c r="DA29" s="315">
        <v>1</v>
      </c>
      <c r="DB29" s="315">
        <v>1</v>
      </c>
      <c r="DC29" s="315">
        <v>1</v>
      </c>
      <c r="DD29" s="315">
        <v>1</v>
      </c>
      <c r="DE29" s="315">
        <v>1</v>
      </c>
      <c r="DF29" s="315">
        <v>1</v>
      </c>
      <c r="DG29" s="315">
        <v>1</v>
      </c>
      <c r="DH29" s="315">
        <v>1</v>
      </c>
      <c r="DI29" s="315">
        <v>1</v>
      </c>
      <c r="DJ29" s="315">
        <v>1</v>
      </c>
      <c r="DK29" s="315">
        <v>1</v>
      </c>
      <c r="DL29" s="315">
        <v>1</v>
      </c>
      <c r="DM29" s="315">
        <v>1</v>
      </c>
      <c r="DN29" s="315">
        <v>1</v>
      </c>
      <c r="DO29" s="315">
        <v>1</v>
      </c>
      <c r="DP29" s="315">
        <v>1</v>
      </c>
      <c r="DQ29" s="315">
        <v>1</v>
      </c>
      <c r="DR29" s="315">
        <v>1</v>
      </c>
      <c r="DS29" s="315">
        <v>1</v>
      </c>
      <c r="DT29" s="315">
        <v>1</v>
      </c>
      <c r="DU29" s="315">
        <v>1</v>
      </c>
      <c r="DV29" s="315">
        <v>1</v>
      </c>
      <c r="DW29" s="315">
        <v>1</v>
      </c>
      <c r="DX29" s="315">
        <v>1</v>
      </c>
      <c r="DY29" s="315">
        <v>1</v>
      </c>
      <c r="DZ29" s="315">
        <v>1</v>
      </c>
      <c r="EA29" s="315">
        <v>1</v>
      </c>
      <c r="EB29" s="315">
        <v>1</v>
      </c>
      <c r="EC29" s="315">
        <v>1</v>
      </c>
      <c r="ED29" s="315">
        <v>1</v>
      </c>
      <c r="EE29" s="315">
        <v>1</v>
      </c>
      <c r="EF29" s="315">
        <v>1</v>
      </c>
      <c r="EG29" s="315">
        <v>1</v>
      </c>
      <c r="EH29" s="315">
        <v>1</v>
      </c>
      <c r="EI29" s="315">
        <v>1</v>
      </c>
      <c r="EJ29" s="315">
        <v>1</v>
      </c>
      <c r="EK29" s="315">
        <v>1</v>
      </c>
      <c r="EL29" s="315">
        <v>1</v>
      </c>
      <c r="EM29" s="315">
        <v>1</v>
      </c>
      <c r="EN29" s="315">
        <v>1</v>
      </c>
      <c r="EO29" s="315">
        <v>1</v>
      </c>
      <c r="EP29" s="315">
        <v>1</v>
      </c>
      <c r="EQ29" s="315">
        <v>1</v>
      </c>
      <c r="ER29" s="315">
        <v>1</v>
      </c>
      <c r="ES29" s="315">
        <v>1</v>
      </c>
      <c r="ET29" s="315">
        <v>1</v>
      </c>
      <c r="EU29" s="315">
        <v>1</v>
      </c>
      <c r="EV29" s="315">
        <v>1</v>
      </c>
      <c r="EW29" s="315">
        <v>1</v>
      </c>
      <c r="EX29" s="315">
        <v>1</v>
      </c>
      <c r="EY29" s="315">
        <v>1</v>
      </c>
      <c r="EZ29" s="315">
        <v>1</v>
      </c>
      <c r="FB29" s="50">
        <f>HLOOKUP(M16,$AU$3:$EZ$104,27,TRUE)</f>
        <v>1</v>
      </c>
      <c r="FD29" s="50">
        <f>HLOOKUP(AL42,$AU$3:$EZ$104,27,TRUE)</f>
        <v>1</v>
      </c>
    </row>
    <row r="30" spans="2:160" ht="17.100000000000001" customHeight="1">
      <c r="B30" s="119"/>
      <c r="C30" s="23"/>
      <c r="D30" s="23"/>
      <c r="E30" s="23"/>
      <c r="F30" s="23"/>
      <c r="G30" s="23"/>
      <c r="H30" s="23"/>
      <c r="I30" s="23"/>
      <c r="J30" s="23"/>
      <c r="K30" s="23"/>
      <c r="L30" s="23"/>
      <c r="M30" s="23"/>
      <c r="N30" s="23"/>
      <c r="O30" s="23"/>
      <c r="P30" s="23"/>
      <c r="Q30" s="23"/>
      <c r="R30" s="23"/>
      <c r="S30" s="23"/>
      <c r="T30" s="23"/>
      <c r="U30" s="23"/>
      <c r="V30" s="23"/>
      <c r="W30" s="23"/>
      <c r="X30" s="23"/>
      <c r="Y30" s="23"/>
      <c r="Z30" s="23"/>
      <c r="AA30" s="23"/>
      <c r="AB30" s="120"/>
      <c r="AD30" s="210" t="s">
        <v>585</v>
      </c>
      <c r="AE30" s="405">
        <f>'Vertical walls'!AE30</f>
        <v>90</v>
      </c>
      <c r="AL30" s="206">
        <v>4</v>
      </c>
      <c r="AM30" s="327" t="s">
        <v>355</v>
      </c>
      <c r="AN30" s="328">
        <v>0.03</v>
      </c>
      <c r="AO30" s="327"/>
      <c r="AP30" s="327"/>
      <c r="AQ30" s="329"/>
      <c r="AS30" s="69"/>
      <c r="AT30" s="104">
        <v>0.60299999999999998</v>
      </c>
      <c r="AU30" s="8">
        <v>2</v>
      </c>
      <c r="AV30" s="8">
        <v>2</v>
      </c>
      <c r="AW30" s="8">
        <v>2</v>
      </c>
      <c r="AX30" s="8">
        <v>2</v>
      </c>
      <c r="AY30" s="8">
        <v>2</v>
      </c>
      <c r="AZ30" s="8">
        <v>2</v>
      </c>
      <c r="BA30" s="316">
        <v>2</v>
      </c>
      <c r="BB30" s="8">
        <v>2</v>
      </c>
      <c r="BC30" s="8">
        <v>2</v>
      </c>
      <c r="BD30" s="8">
        <v>2</v>
      </c>
      <c r="BE30" s="8">
        <v>2</v>
      </c>
      <c r="BF30" s="8">
        <v>2</v>
      </c>
      <c r="BG30" s="8">
        <v>2</v>
      </c>
      <c r="BH30" s="8">
        <v>2</v>
      </c>
      <c r="BI30" s="8">
        <v>2</v>
      </c>
      <c r="BJ30" s="8">
        <v>2</v>
      </c>
      <c r="BK30" s="8">
        <v>2</v>
      </c>
      <c r="BL30" s="8">
        <v>2</v>
      </c>
      <c r="BM30" s="8">
        <v>2</v>
      </c>
      <c r="BN30" s="8">
        <v>2</v>
      </c>
      <c r="BO30" s="8">
        <v>2</v>
      </c>
      <c r="BP30" s="8">
        <v>2</v>
      </c>
      <c r="BQ30" s="8">
        <v>2</v>
      </c>
      <c r="BR30" s="8">
        <v>2</v>
      </c>
      <c r="BS30" s="8">
        <v>2</v>
      </c>
      <c r="BT30" s="8">
        <v>2</v>
      </c>
      <c r="BU30" s="8">
        <v>2</v>
      </c>
      <c r="BV30" s="8">
        <v>2</v>
      </c>
      <c r="BW30" s="8">
        <v>2</v>
      </c>
      <c r="BX30" s="8">
        <v>2</v>
      </c>
      <c r="BY30" s="8">
        <v>2</v>
      </c>
      <c r="BZ30" s="8">
        <v>2</v>
      </c>
      <c r="CA30" s="8">
        <v>2</v>
      </c>
      <c r="CB30" s="8">
        <v>2</v>
      </c>
      <c r="CC30" s="8">
        <v>2</v>
      </c>
      <c r="CD30" s="8">
        <v>2</v>
      </c>
      <c r="CE30" s="315">
        <v>1</v>
      </c>
      <c r="CF30" s="315">
        <v>1</v>
      </c>
      <c r="CG30" s="315">
        <v>1</v>
      </c>
      <c r="CH30" s="315">
        <v>1</v>
      </c>
      <c r="CI30" s="315">
        <v>1</v>
      </c>
      <c r="CJ30" s="315">
        <v>1</v>
      </c>
      <c r="CK30" s="315">
        <v>1</v>
      </c>
      <c r="CL30" s="315">
        <v>1</v>
      </c>
      <c r="CM30" s="315">
        <v>1</v>
      </c>
      <c r="CN30" s="315">
        <v>1</v>
      </c>
      <c r="CO30" s="315">
        <v>1</v>
      </c>
      <c r="CP30" s="315">
        <v>1</v>
      </c>
      <c r="CQ30" s="315">
        <v>1</v>
      </c>
      <c r="CR30" s="315">
        <v>1</v>
      </c>
      <c r="CS30" s="315">
        <v>1</v>
      </c>
      <c r="CT30" s="315">
        <v>1</v>
      </c>
      <c r="CU30" s="315">
        <v>1</v>
      </c>
      <c r="CV30" s="315">
        <v>1</v>
      </c>
      <c r="CW30" s="315">
        <v>1</v>
      </c>
      <c r="CX30" s="315">
        <v>1</v>
      </c>
      <c r="CY30" s="315">
        <v>1</v>
      </c>
      <c r="CZ30" s="315">
        <v>1</v>
      </c>
      <c r="DA30" s="315">
        <v>1</v>
      </c>
      <c r="DB30" s="315">
        <v>1</v>
      </c>
      <c r="DC30" s="315">
        <v>1</v>
      </c>
      <c r="DD30" s="315">
        <v>1</v>
      </c>
      <c r="DE30" s="315">
        <v>1</v>
      </c>
      <c r="DF30" s="315">
        <v>1</v>
      </c>
      <c r="DG30" s="315">
        <v>1</v>
      </c>
      <c r="DH30" s="315">
        <v>1</v>
      </c>
      <c r="DI30" s="315">
        <v>1</v>
      </c>
      <c r="DJ30" s="315">
        <v>1</v>
      </c>
      <c r="DK30" s="315">
        <v>1</v>
      </c>
      <c r="DL30" s="315">
        <v>1</v>
      </c>
      <c r="DM30" s="315">
        <v>1</v>
      </c>
      <c r="DN30" s="315">
        <v>1</v>
      </c>
      <c r="DO30" s="315">
        <v>1</v>
      </c>
      <c r="DP30" s="315">
        <v>1</v>
      </c>
      <c r="DQ30" s="315">
        <v>1</v>
      </c>
      <c r="DR30" s="315">
        <v>1</v>
      </c>
      <c r="DS30" s="315">
        <v>1</v>
      </c>
      <c r="DT30" s="315">
        <v>1</v>
      </c>
      <c r="DU30" s="315">
        <v>1</v>
      </c>
      <c r="DV30" s="315">
        <v>1</v>
      </c>
      <c r="DW30" s="315">
        <v>1</v>
      </c>
      <c r="DX30" s="315">
        <v>1</v>
      </c>
      <c r="DY30" s="315">
        <v>1</v>
      </c>
      <c r="DZ30" s="315">
        <v>1</v>
      </c>
      <c r="EA30" s="315">
        <v>1</v>
      </c>
      <c r="EB30" s="315">
        <v>1</v>
      </c>
      <c r="EC30" s="315">
        <v>1</v>
      </c>
      <c r="ED30" s="315">
        <v>1</v>
      </c>
      <c r="EE30" s="315">
        <v>1</v>
      </c>
      <c r="EF30" s="315">
        <v>1</v>
      </c>
      <c r="EG30" s="315">
        <v>1</v>
      </c>
      <c r="EH30" s="315">
        <v>1</v>
      </c>
      <c r="EI30" s="315">
        <v>1</v>
      </c>
      <c r="EJ30" s="315">
        <v>1</v>
      </c>
      <c r="EK30" s="315">
        <v>1</v>
      </c>
      <c r="EL30" s="315">
        <v>1</v>
      </c>
      <c r="EM30" s="315">
        <v>1</v>
      </c>
      <c r="EN30" s="315">
        <v>1</v>
      </c>
      <c r="EO30" s="315">
        <v>1</v>
      </c>
      <c r="EP30" s="315">
        <v>1</v>
      </c>
      <c r="EQ30" s="315">
        <v>1</v>
      </c>
      <c r="ER30" s="315">
        <v>1</v>
      </c>
      <c r="ES30" s="315">
        <v>1</v>
      </c>
      <c r="ET30" s="315">
        <v>1</v>
      </c>
      <c r="EU30" s="315">
        <v>1</v>
      </c>
      <c r="EV30" s="315">
        <v>1</v>
      </c>
      <c r="EW30" s="315">
        <v>1</v>
      </c>
      <c r="EX30" s="315">
        <v>1</v>
      </c>
      <c r="EY30" s="315">
        <v>1</v>
      </c>
      <c r="EZ30" s="315">
        <v>1</v>
      </c>
      <c r="FB30" s="50">
        <f>HLOOKUP(M16,$AU$3:$EZ$104,28,TRUE)</f>
        <v>1</v>
      </c>
      <c r="FD30" s="50">
        <f>HLOOKUP(AL42,$AU$3:$EZ$104,28,TRUE)</f>
        <v>1</v>
      </c>
    </row>
    <row r="31" spans="2:160" ht="17.100000000000001" customHeight="1">
      <c r="B31" s="119"/>
      <c r="C31" s="23"/>
      <c r="D31" s="23"/>
      <c r="E31" s="23"/>
      <c r="F31" s="23"/>
      <c r="G31" s="23"/>
      <c r="H31" s="23"/>
      <c r="I31" s="23"/>
      <c r="J31" s="23"/>
      <c r="K31" s="23"/>
      <c r="L31" s="23"/>
      <c r="M31" s="23"/>
      <c r="N31" s="23"/>
      <c r="O31" s="23"/>
      <c r="P31" s="23"/>
      <c r="Q31" s="23"/>
      <c r="R31" s="23"/>
      <c r="S31" s="23"/>
      <c r="T31" s="23"/>
      <c r="U31" s="23"/>
      <c r="V31" s="23"/>
      <c r="W31" s="23"/>
      <c r="X31" s="23"/>
      <c r="Y31" s="23"/>
      <c r="Z31" s="23"/>
      <c r="AA31" s="23"/>
      <c r="AB31" s="120"/>
      <c r="AD31" s="210" t="s">
        <v>552</v>
      </c>
      <c r="AE31" s="398" t="str">
        <f>'Vertical walls'!AE31</f>
        <v>Partially blocked</v>
      </c>
      <c r="AJ31" s="43"/>
      <c r="AL31" s="330"/>
      <c r="AM31" s="7" t="str">
        <f>AN26</f>
        <v>δs</v>
      </c>
      <c r="AN31" s="7">
        <f>AN27</f>
        <v>0.1</v>
      </c>
      <c r="AO31" s="7">
        <f>AN28</f>
        <v>0.05</v>
      </c>
      <c r="AP31" s="7">
        <f>AN29</f>
        <v>0.08</v>
      </c>
      <c r="AQ31" s="43">
        <f>AN30</f>
        <v>0.03</v>
      </c>
      <c r="AR31" s="331"/>
      <c r="AS31" s="69"/>
      <c r="AT31" s="104">
        <v>0.64600000000000002</v>
      </c>
      <c r="AU31" s="8">
        <v>2</v>
      </c>
      <c r="AV31" s="8">
        <v>2</v>
      </c>
      <c r="AW31" s="8">
        <v>2</v>
      </c>
      <c r="AX31" s="8">
        <v>2</v>
      </c>
      <c r="AY31" s="8">
        <v>2</v>
      </c>
      <c r="AZ31" s="8">
        <v>2</v>
      </c>
      <c r="BA31" s="316">
        <v>2</v>
      </c>
      <c r="BB31" s="8">
        <v>2</v>
      </c>
      <c r="BC31" s="8">
        <v>2</v>
      </c>
      <c r="BD31" s="8">
        <v>2</v>
      </c>
      <c r="BE31" s="8">
        <v>2</v>
      </c>
      <c r="BF31" s="8">
        <v>2</v>
      </c>
      <c r="BG31" s="8">
        <v>2</v>
      </c>
      <c r="BH31" s="8">
        <v>2</v>
      </c>
      <c r="BI31" s="8">
        <v>2</v>
      </c>
      <c r="BJ31" s="8">
        <v>2</v>
      </c>
      <c r="BK31" s="8">
        <v>2</v>
      </c>
      <c r="BL31" s="8">
        <v>2</v>
      </c>
      <c r="BM31" s="8">
        <v>2</v>
      </c>
      <c r="BN31" s="8">
        <v>2</v>
      </c>
      <c r="BO31" s="8">
        <v>2</v>
      </c>
      <c r="BP31" s="8">
        <v>2</v>
      </c>
      <c r="BQ31" s="8">
        <v>2</v>
      </c>
      <c r="BR31" s="8">
        <v>2</v>
      </c>
      <c r="BS31" s="8">
        <v>2</v>
      </c>
      <c r="BT31" s="8">
        <v>2</v>
      </c>
      <c r="BU31" s="8">
        <v>2</v>
      </c>
      <c r="BV31" s="8">
        <v>2</v>
      </c>
      <c r="BW31" s="8">
        <v>2</v>
      </c>
      <c r="BX31" s="8">
        <v>2</v>
      </c>
      <c r="BY31" s="8">
        <v>2</v>
      </c>
      <c r="BZ31" s="8">
        <v>2</v>
      </c>
      <c r="CA31" s="8">
        <v>2</v>
      </c>
      <c r="CB31" s="8">
        <v>2</v>
      </c>
      <c r="CC31" s="8">
        <v>2</v>
      </c>
      <c r="CD31" s="8">
        <v>2</v>
      </c>
      <c r="CE31" s="8">
        <v>2</v>
      </c>
      <c r="CF31" s="315">
        <v>1</v>
      </c>
      <c r="CG31" s="315">
        <v>1</v>
      </c>
      <c r="CH31" s="315">
        <v>1</v>
      </c>
      <c r="CI31" s="315">
        <v>1</v>
      </c>
      <c r="CJ31" s="315">
        <v>1</v>
      </c>
      <c r="CK31" s="315">
        <v>1</v>
      </c>
      <c r="CL31" s="315">
        <v>1</v>
      </c>
      <c r="CM31" s="315">
        <v>1</v>
      </c>
      <c r="CN31" s="315">
        <v>1</v>
      </c>
      <c r="CO31" s="315">
        <v>1</v>
      </c>
      <c r="CP31" s="315">
        <v>1</v>
      </c>
      <c r="CQ31" s="315">
        <v>1</v>
      </c>
      <c r="CR31" s="315">
        <v>1</v>
      </c>
      <c r="CS31" s="315">
        <v>1</v>
      </c>
      <c r="CT31" s="315">
        <v>1</v>
      </c>
      <c r="CU31" s="315">
        <v>1</v>
      </c>
      <c r="CV31" s="315">
        <v>1</v>
      </c>
      <c r="CW31" s="315">
        <v>1</v>
      </c>
      <c r="CX31" s="315">
        <v>1</v>
      </c>
      <c r="CY31" s="315">
        <v>1</v>
      </c>
      <c r="CZ31" s="315">
        <v>1</v>
      </c>
      <c r="DA31" s="315">
        <v>1</v>
      </c>
      <c r="DB31" s="315">
        <v>1</v>
      </c>
      <c r="DC31" s="315">
        <v>1</v>
      </c>
      <c r="DD31" s="315">
        <v>1</v>
      </c>
      <c r="DE31" s="315">
        <v>1</v>
      </c>
      <c r="DF31" s="315">
        <v>1</v>
      </c>
      <c r="DG31" s="315">
        <v>1</v>
      </c>
      <c r="DH31" s="315">
        <v>1</v>
      </c>
      <c r="DI31" s="315">
        <v>1</v>
      </c>
      <c r="DJ31" s="315">
        <v>1</v>
      </c>
      <c r="DK31" s="315">
        <v>1</v>
      </c>
      <c r="DL31" s="315">
        <v>1</v>
      </c>
      <c r="DM31" s="315">
        <v>1</v>
      </c>
      <c r="DN31" s="315">
        <v>1</v>
      </c>
      <c r="DO31" s="315">
        <v>1</v>
      </c>
      <c r="DP31" s="315">
        <v>1</v>
      </c>
      <c r="DQ31" s="315">
        <v>1</v>
      </c>
      <c r="DR31" s="315">
        <v>1</v>
      </c>
      <c r="DS31" s="315">
        <v>1</v>
      </c>
      <c r="DT31" s="315">
        <v>1</v>
      </c>
      <c r="DU31" s="315">
        <v>1</v>
      </c>
      <c r="DV31" s="315">
        <v>1</v>
      </c>
      <c r="DW31" s="315">
        <v>1</v>
      </c>
      <c r="DX31" s="315">
        <v>1</v>
      </c>
      <c r="DY31" s="315">
        <v>1</v>
      </c>
      <c r="DZ31" s="315">
        <v>1</v>
      </c>
      <c r="EA31" s="315">
        <v>1</v>
      </c>
      <c r="EB31" s="315">
        <v>1</v>
      </c>
      <c r="EC31" s="315">
        <v>1</v>
      </c>
      <c r="ED31" s="315">
        <v>1</v>
      </c>
      <c r="EE31" s="315">
        <v>1</v>
      </c>
      <c r="EF31" s="315">
        <v>1</v>
      </c>
      <c r="EG31" s="315">
        <v>1</v>
      </c>
      <c r="EH31" s="315">
        <v>1</v>
      </c>
      <c r="EI31" s="315">
        <v>1</v>
      </c>
      <c r="EJ31" s="315">
        <v>1</v>
      </c>
      <c r="EK31" s="315">
        <v>1</v>
      </c>
      <c r="EL31" s="315">
        <v>1</v>
      </c>
      <c r="EM31" s="315">
        <v>1</v>
      </c>
      <c r="EN31" s="315">
        <v>1</v>
      </c>
      <c r="EO31" s="315">
        <v>1</v>
      </c>
      <c r="EP31" s="315">
        <v>1</v>
      </c>
      <c r="EQ31" s="315">
        <v>1</v>
      </c>
      <c r="ER31" s="315">
        <v>1</v>
      </c>
      <c r="ES31" s="315">
        <v>1</v>
      </c>
      <c r="ET31" s="315">
        <v>1</v>
      </c>
      <c r="EU31" s="315">
        <v>1</v>
      </c>
      <c r="EV31" s="315">
        <v>1</v>
      </c>
      <c r="EW31" s="315">
        <v>1</v>
      </c>
      <c r="EX31" s="315">
        <v>1</v>
      </c>
      <c r="EY31" s="315">
        <v>1</v>
      </c>
      <c r="EZ31" s="315">
        <v>1</v>
      </c>
      <c r="FB31" s="50">
        <f>HLOOKUP(M16,$AU$3:$EZ$104,29,TRUE)</f>
        <v>1</v>
      </c>
      <c r="FD31" s="50">
        <f>HLOOKUP(AL42,$AU$3:$EZ$104,29,TRUE)</f>
        <v>1</v>
      </c>
    </row>
    <row r="32" spans="2:160" ht="17.100000000000001" customHeight="1">
      <c r="B32" s="119"/>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120"/>
      <c r="AD32" s="210" t="s">
        <v>553</v>
      </c>
      <c r="AE32" s="399" t="str">
        <f>'Vertical walls'!AE32</f>
        <v>Single bay canopy</v>
      </c>
      <c r="AJ32" s="43"/>
      <c r="AK32" s="323" t="s">
        <v>226</v>
      </c>
      <c r="AL32" s="332">
        <f>82/M13</f>
        <v>1.0249999999999999</v>
      </c>
      <c r="AM32" s="43" t="s">
        <v>651</v>
      </c>
      <c r="AN32" s="462">
        <f ca="1">FORECAST($AL$32,OFFSET(BD$343,MATCH($AL$32,$AT$343:$AT$348,1)-1,0,2),OFFSET($AT$343,MATCH($AL$32,$AT$343:$AT$348,1)-1,0,2))</f>
        <v>1.036</v>
      </c>
      <c r="AO32" s="462">
        <f ca="1">FORECAST($AL$32,OFFSET(BD$322,MATCH($AL$32,$AT$322:$AT$329,1)-1,0,2),OFFSET($AT$322,MATCH($AL$32,$AT$322:$AT$329,1)-1,0,2))</f>
        <v>1.0621375</v>
      </c>
      <c r="AP32" s="462">
        <f ca="1">FORECAST($AL$32,OFFSET(BD$333,MATCH($AL$32,$AT$333:$AT$338,1)-1,0,2),OFFSET($AT$333,MATCH($AL$32,$AT$333:$AT$338,1)-1,0,2))</f>
        <v>1.0464549999999999</v>
      </c>
      <c r="AQ32" s="462">
        <f ca="1">FORECAST($AL$32,OFFSET(BD$310,MATCH($AL$32,$AT$310:$AT$317,1)-1,0,2),OFFSET($AT$310,MATCH($AL$32,$AT$310:$AT$317,1)-1,0,2))</f>
        <v>1.1227749999999999</v>
      </c>
      <c r="AR32" s="331"/>
      <c r="AS32" s="69"/>
      <c r="AT32" s="104">
        <v>0.69199999999999995</v>
      </c>
      <c r="AU32" s="8">
        <v>2</v>
      </c>
      <c r="AV32" s="8">
        <v>2</v>
      </c>
      <c r="AW32" s="8">
        <v>2</v>
      </c>
      <c r="AX32" s="8">
        <v>2</v>
      </c>
      <c r="AY32" s="8">
        <v>2</v>
      </c>
      <c r="AZ32" s="8">
        <v>2</v>
      </c>
      <c r="BA32" s="316">
        <v>2</v>
      </c>
      <c r="BB32" s="8">
        <v>2</v>
      </c>
      <c r="BC32" s="8">
        <v>2</v>
      </c>
      <c r="BD32" s="8">
        <v>2</v>
      </c>
      <c r="BE32" s="8">
        <v>2</v>
      </c>
      <c r="BF32" s="8">
        <v>2</v>
      </c>
      <c r="BG32" s="8">
        <v>2</v>
      </c>
      <c r="BH32" s="8">
        <v>2</v>
      </c>
      <c r="BI32" s="8">
        <v>2</v>
      </c>
      <c r="BJ32" s="8">
        <v>2</v>
      </c>
      <c r="BK32" s="8">
        <v>2</v>
      </c>
      <c r="BL32" s="8">
        <v>2</v>
      </c>
      <c r="BM32" s="8">
        <v>2</v>
      </c>
      <c r="BN32" s="8">
        <v>2</v>
      </c>
      <c r="BO32" s="8">
        <v>2</v>
      </c>
      <c r="BP32" s="8">
        <v>2</v>
      </c>
      <c r="BQ32" s="8">
        <v>2</v>
      </c>
      <c r="BR32" s="8">
        <v>2</v>
      </c>
      <c r="BS32" s="8">
        <v>2</v>
      </c>
      <c r="BT32" s="8">
        <v>2</v>
      </c>
      <c r="BU32" s="8">
        <v>2</v>
      </c>
      <c r="BV32" s="8">
        <v>2</v>
      </c>
      <c r="BW32" s="8">
        <v>2</v>
      </c>
      <c r="BX32" s="8">
        <v>2</v>
      </c>
      <c r="BY32" s="8">
        <v>2</v>
      </c>
      <c r="BZ32" s="8">
        <v>2</v>
      </c>
      <c r="CA32" s="8">
        <v>2</v>
      </c>
      <c r="CB32" s="8">
        <v>2</v>
      </c>
      <c r="CC32" s="8">
        <v>2</v>
      </c>
      <c r="CD32" s="8">
        <v>2</v>
      </c>
      <c r="CE32" s="8">
        <v>2</v>
      </c>
      <c r="CF32" s="8">
        <v>2</v>
      </c>
      <c r="CG32" s="315">
        <v>1</v>
      </c>
      <c r="CH32" s="315">
        <v>1</v>
      </c>
      <c r="CI32" s="315">
        <v>1</v>
      </c>
      <c r="CJ32" s="315">
        <v>1</v>
      </c>
      <c r="CK32" s="315">
        <v>1</v>
      </c>
      <c r="CL32" s="315">
        <v>1</v>
      </c>
      <c r="CM32" s="315">
        <v>1</v>
      </c>
      <c r="CN32" s="315">
        <v>1</v>
      </c>
      <c r="CO32" s="315">
        <v>1</v>
      </c>
      <c r="CP32" s="315">
        <v>1</v>
      </c>
      <c r="CQ32" s="315">
        <v>1</v>
      </c>
      <c r="CR32" s="315">
        <v>1</v>
      </c>
      <c r="CS32" s="315">
        <v>1</v>
      </c>
      <c r="CT32" s="315">
        <v>1</v>
      </c>
      <c r="CU32" s="315">
        <v>1</v>
      </c>
      <c r="CV32" s="315">
        <v>1</v>
      </c>
      <c r="CW32" s="315">
        <v>1</v>
      </c>
      <c r="CX32" s="315">
        <v>1</v>
      </c>
      <c r="CY32" s="315">
        <v>1</v>
      </c>
      <c r="CZ32" s="315">
        <v>1</v>
      </c>
      <c r="DA32" s="315">
        <v>1</v>
      </c>
      <c r="DB32" s="315">
        <v>1</v>
      </c>
      <c r="DC32" s="315">
        <v>1</v>
      </c>
      <c r="DD32" s="315">
        <v>1</v>
      </c>
      <c r="DE32" s="315">
        <v>1</v>
      </c>
      <c r="DF32" s="315">
        <v>1</v>
      </c>
      <c r="DG32" s="315">
        <v>1</v>
      </c>
      <c r="DH32" s="315">
        <v>1</v>
      </c>
      <c r="DI32" s="315">
        <v>1</v>
      </c>
      <c r="DJ32" s="315">
        <v>1</v>
      </c>
      <c r="DK32" s="315">
        <v>1</v>
      </c>
      <c r="DL32" s="315">
        <v>1</v>
      </c>
      <c r="DM32" s="315">
        <v>1</v>
      </c>
      <c r="DN32" s="315">
        <v>1</v>
      </c>
      <c r="DO32" s="315">
        <v>1</v>
      </c>
      <c r="DP32" s="315">
        <v>1</v>
      </c>
      <c r="DQ32" s="315">
        <v>1</v>
      </c>
      <c r="DR32" s="315">
        <v>1</v>
      </c>
      <c r="DS32" s="315">
        <v>1</v>
      </c>
      <c r="DT32" s="315">
        <v>1</v>
      </c>
      <c r="DU32" s="315">
        <v>1</v>
      </c>
      <c r="DV32" s="315">
        <v>1</v>
      </c>
      <c r="DW32" s="315">
        <v>1</v>
      </c>
      <c r="DX32" s="315">
        <v>1</v>
      </c>
      <c r="DY32" s="315">
        <v>1</v>
      </c>
      <c r="DZ32" s="315">
        <v>1</v>
      </c>
      <c r="EA32" s="315">
        <v>1</v>
      </c>
      <c r="EB32" s="315">
        <v>1</v>
      </c>
      <c r="EC32" s="315">
        <v>1</v>
      </c>
      <c r="ED32" s="315">
        <v>1</v>
      </c>
      <c r="EE32" s="315">
        <v>1</v>
      </c>
      <c r="EF32" s="315">
        <v>1</v>
      </c>
      <c r="EG32" s="315">
        <v>1</v>
      </c>
      <c r="EH32" s="315">
        <v>1</v>
      </c>
      <c r="EI32" s="315">
        <v>1</v>
      </c>
      <c r="EJ32" s="315">
        <v>1</v>
      </c>
      <c r="EK32" s="315">
        <v>1</v>
      </c>
      <c r="EL32" s="315">
        <v>1</v>
      </c>
      <c r="EM32" s="315">
        <v>1</v>
      </c>
      <c r="EN32" s="315">
        <v>1</v>
      </c>
      <c r="EO32" s="315">
        <v>1</v>
      </c>
      <c r="EP32" s="315">
        <v>1</v>
      </c>
      <c r="EQ32" s="315">
        <v>1</v>
      </c>
      <c r="ER32" s="315">
        <v>1</v>
      </c>
      <c r="ES32" s="315">
        <v>1</v>
      </c>
      <c r="ET32" s="315">
        <v>1</v>
      </c>
      <c r="EU32" s="315">
        <v>1</v>
      </c>
      <c r="EV32" s="315">
        <v>1</v>
      </c>
      <c r="EW32" s="315">
        <v>1</v>
      </c>
      <c r="EX32" s="315">
        <v>1</v>
      </c>
      <c r="EY32" s="315">
        <v>1</v>
      </c>
      <c r="EZ32" s="315">
        <v>1</v>
      </c>
      <c r="FB32" s="50">
        <f>HLOOKUP(M16,$AU$3:$EZ$104,30,TRUE)</f>
        <v>1</v>
      </c>
      <c r="FD32" s="50">
        <f>HLOOKUP(AL42,$AU$3:$EZ$104,30,TRUE)</f>
        <v>1</v>
      </c>
    </row>
    <row r="33" spans="2:160" ht="17.100000000000001" customHeight="1">
      <c r="B33" s="119"/>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120"/>
      <c r="AD33" s="210" t="s">
        <v>551</v>
      </c>
      <c r="AE33" s="407">
        <f>'Vertical walls'!AE33</f>
        <v>0.5</v>
      </c>
      <c r="AI33" s="13" t="s">
        <v>653</v>
      </c>
      <c r="AJ33" s="344">
        <f>'Vertical walls'!AJ30</f>
        <v>80</v>
      </c>
      <c r="AK33" s="323" t="s">
        <v>654</v>
      </c>
      <c r="AL33" s="43">
        <f>'Vertical walls'!AJ32</f>
        <v>1</v>
      </c>
      <c r="AM33" s="43" t="s">
        <v>652</v>
      </c>
      <c r="AN33" s="462">
        <f ca="1">FORECAST($AL$33,OFFSET(BF$343,MATCH($AL$33,$AT$343:$AT$348,1)-1,0,2),OFFSET($AT$343,MATCH($AL$33,$AT$343:$AT$348,1)-1,0,2))</f>
        <v>1.0350000000000001</v>
      </c>
      <c r="AO33" s="462">
        <f ca="1">FORECAST($AL$33,OFFSET(BF$322,MATCH($AL$33,$AT$322:$AT$329,1)-1,0,2),OFFSET($AT$322,MATCH($AL$33,$AT$322:$AT$329,1)-1,0,2))</f>
        <v>1.06</v>
      </c>
      <c r="AP33" s="462">
        <f ca="1">FORECAST($AL$33,OFFSET(BF$333,MATCH($AL$33,$AT$333:$AT$338,1)-1,0,2),OFFSET($AT$333,MATCH($AL$33,$AT$333:$AT$338,1)-1,0,2))</f>
        <v>1.0449999999999999</v>
      </c>
      <c r="AQ33" s="462">
        <f ca="1">FORECAST($AL$33,OFFSET(BF$310,MATCH($AL$33,$AT$310:$AT$317,1)-1,0,2),OFFSET($AT$310,MATCH($AL$33,$AT$310:$AT$317,1)-1,0,2))</f>
        <v>1.1200000000000001</v>
      </c>
      <c r="AS33" s="69"/>
      <c r="AT33" s="104">
        <v>0.74099999999999999</v>
      </c>
      <c r="AU33" s="8">
        <v>2</v>
      </c>
      <c r="AV33" s="8">
        <v>2</v>
      </c>
      <c r="AW33" s="8">
        <v>2</v>
      </c>
      <c r="AX33" s="8">
        <v>2</v>
      </c>
      <c r="AY33" s="8">
        <v>2</v>
      </c>
      <c r="AZ33" s="8">
        <v>2</v>
      </c>
      <c r="BA33" s="316">
        <v>2</v>
      </c>
      <c r="BB33" s="8">
        <v>2</v>
      </c>
      <c r="BC33" s="8">
        <v>2</v>
      </c>
      <c r="BD33" s="8">
        <v>2</v>
      </c>
      <c r="BE33" s="8">
        <v>2</v>
      </c>
      <c r="BF33" s="8">
        <v>2</v>
      </c>
      <c r="BG33" s="8">
        <v>2</v>
      </c>
      <c r="BH33" s="8">
        <v>2</v>
      </c>
      <c r="BI33" s="8">
        <v>2</v>
      </c>
      <c r="BJ33" s="8">
        <v>2</v>
      </c>
      <c r="BK33" s="8">
        <v>2</v>
      </c>
      <c r="BL33" s="8">
        <v>2</v>
      </c>
      <c r="BM33" s="8">
        <v>2</v>
      </c>
      <c r="BN33" s="8">
        <v>2</v>
      </c>
      <c r="BO33" s="8">
        <v>2</v>
      </c>
      <c r="BP33" s="8">
        <v>2</v>
      </c>
      <c r="BQ33" s="8">
        <v>2</v>
      </c>
      <c r="BR33" s="8">
        <v>2</v>
      </c>
      <c r="BS33" s="8">
        <v>2</v>
      </c>
      <c r="BT33" s="8">
        <v>2</v>
      </c>
      <c r="BU33" s="8">
        <v>2</v>
      </c>
      <c r="BV33" s="8">
        <v>2</v>
      </c>
      <c r="BW33" s="8">
        <v>2</v>
      </c>
      <c r="BX33" s="8">
        <v>2</v>
      </c>
      <c r="BY33" s="8">
        <v>2</v>
      </c>
      <c r="BZ33" s="8">
        <v>2</v>
      </c>
      <c r="CA33" s="8">
        <v>2</v>
      </c>
      <c r="CB33" s="8">
        <v>2</v>
      </c>
      <c r="CC33" s="8">
        <v>2</v>
      </c>
      <c r="CD33" s="8">
        <v>2</v>
      </c>
      <c r="CE33" s="8">
        <v>2</v>
      </c>
      <c r="CF33" s="8">
        <v>2</v>
      </c>
      <c r="CG33" s="315">
        <v>1</v>
      </c>
      <c r="CH33" s="315">
        <v>1</v>
      </c>
      <c r="CI33" s="315">
        <v>1</v>
      </c>
      <c r="CJ33" s="315">
        <v>1</v>
      </c>
      <c r="CK33" s="315">
        <v>1</v>
      </c>
      <c r="CL33" s="315">
        <v>1</v>
      </c>
      <c r="CM33" s="315">
        <v>1</v>
      </c>
      <c r="CN33" s="315">
        <v>1</v>
      </c>
      <c r="CO33" s="315">
        <v>1</v>
      </c>
      <c r="CP33" s="315">
        <v>1</v>
      </c>
      <c r="CQ33" s="315">
        <v>1</v>
      </c>
      <c r="CR33" s="315">
        <v>1</v>
      </c>
      <c r="CS33" s="315">
        <v>1</v>
      </c>
      <c r="CT33" s="315">
        <v>1</v>
      </c>
      <c r="CU33" s="315">
        <v>1</v>
      </c>
      <c r="CV33" s="315">
        <v>1</v>
      </c>
      <c r="CW33" s="315">
        <v>1</v>
      </c>
      <c r="CX33" s="315">
        <v>1</v>
      </c>
      <c r="CY33" s="315">
        <v>1</v>
      </c>
      <c r="CZ33" s="315">
        <v>1</v>
      </c>
      <c r="DA33" s="315">
        <v>1</v>
      </c>
      <c r="DB33" s="315">
        <v>1</v>
      </c>
      <c r="DC33" s="315">
        <v>1</v>
      </c>
      <c r="DD33" s="315">
        <v>1</v>
      </c>
      <c r="DE33" s="315">
        <v>1</v>
      </c>
      <c r="DF33" s="315">
        <v>1</v>
      </c>
      <c r="DG33" s="315">
        <v>1</v>
      </c>
      <c r="DH33" s="315">
        <v>1</v>
      </c>
      <c r="DI33" s="315">
        <v>1</v>
      </c>
      <c r="DJ33" s="315">
        <v>1</v>
      </c>
      <c r="DK33" s="315">
        <v>1</v>
      </c>
      <c r="DL33" s="315">
        <v>1</v>
      </c>
      <c r="DM33" s="315">
        <v>1</v>
      </c>
      <c r="DN33" s="315">
        <v>1</v>
      </c>
      <c r="DO33" s="315">
        <v>1</v>
      </c>
      <c r="DP33" s="315">
        <v>1</v>
      </c>
      <c r="DQ33" s="315">
        <v>1</v>
      </c>
      <c r="DR33" s="315">
        <v>1</v>
      </c>
      <c r="DS33" s="315">
        <v>1</v>
      </c>
      <c r="DT33" s="315">
        <v>1</v>
      </c>
      <c r="DU33" s="315">
        <v>1</v>
      </c>
      <c r="DV33" s="315">
        <v>1</v>
      </c>
      <c r="DW33" s="315">
        <v>1</v>
      </c>
      <c r="DX33" s="315">
        <v>1</v>
      </c>
      <c r="DY33" s="315">
        <v>1</v>
      </c>
      <c r="DZ33" s="315">
        <v>1</v>
      </c>
      <c r="EA33" s="315">
        <v>1</v>
      </c>
      <c r="EB33" s="315">
        <v>1</v>
      </c>
      <c r="EC33" s="315">
        <v>1</v>
      </c>
      <c r="ED33" s="315">
        <v>1</v>
      </c>
      <c r="EE33" s="315">
        <v>1</v>
      </c>
      <c r="EF33" s="315">
        <v>1</v>
      </c>
      <c r="EG33" s="315">
        <v>1</v>
      </c>
      <c r="EH33" s="315">
        <v>1</v>
      </c>
      <c r="EI33" s="315">
        <v>1</v>
      </c>
      <c r="EJ33" s="315">
        <v>1</v>
      </c>
      <c r="EK33" s="315">
        <v>1</v>
      </c>
      <c r="EL33" s="315">
        <v>1</v>
      </c>
      <c r="EM33" s="315">
        <v>1</v>
      </c>
      <c r="EN33" s="315">
        <v>1</v>
      </c>
      <c r="EO33" s="315">
        <v>1</v>
      </c>
      <c r="EP33" s="315">
        <v>1</v>
      </c>
      <c r="EQ33" s="315">
        <v>1</v>
      </c>
      <c r="ER33" s="315">
        <v>1</v>
      </c>
      <c r="ES33" s="315">
        <v>1</v>
      </c>
      <c r="ET33" s="315">
        <v>1</v>
      </c>
      <c r="EU33" s="315">
        <v>1</v>
      </c>
      <c r="EV33" s="315">
        <v>1</v>
      </c>
      <c r="EW33" s="315">
        <v>1</v>
      </c>
      <c r="EX33" s="315">
        <v>1</v>
      </c>
      <c r="EY33" s="315">
        <v>1</v>
      </c>
      <c r="EZ33" s="315">
        <v>1</v>
      </c>
      <c r="FB33" s="50">
        <f>HLOOKUP(M16,$AU$3:$EZ$104,31,TRUE)</f>
        <v>1</v>
      </c>
      <c r="FD33" s="50">
        <f>HLOOKUP(AL42,$AU$3:$EZ$104,31,TRUE)</f>
        <v>1</v>
      </c>
    </row>
    <row r="34" spans="2:160" ht="17.100000000000001" customHeight="1">
      <c r="B34" s="119"/>
      <c r="C34" s="23"/>
      <c r="D34" s="23"/>
      <c r="E34" s="23"/>
      <c r="F34" s="23"/>
      <c r="G34" s="23"/>
      <c r="H34" s="23"/>
      <c r="I34" s="23"/>
      <c r="J34" s="23"/>
      <c r="K34" s="23"/>
      <c r="L34" s="23"/>
      <c r="M34" s="23"/>
      <c r="N34" s="23"/>
      <c r="O34" s="23"/>
      <c r="P34" s="23"/>
      <c r="Q34" s="23"/>
      <c r="R34" s="23"/>
      <c r="S34" s="23"/>
      <c r="T34" s="23"/>
      <c r="U34" s="23"/>
      <c r="V34" s="23"/>
      <c r="W34" s="23"/>
      <c r="X34" s="23"/>
      <c r="Y34" s="23"/>
      <c r="Z34" s="23"/>
      <c r="AA34" s="23"/>
      <c r="AB34" s="120"/>
      <c r="AD34" s="43" t="s">
        <v>587</v>
      </c>
      <c r="AM34" s="290" t="s">
        <v>250</v>
      </c>
      <c r="AS34" s="69"/>
      <c r="AT34" s="104">
        <v>0.79400000000000004</v>
      </c>
      <c r="AU34" s="8">
        <v>2</v>
      </c>
      <c r="AV34" s="8">
        <v>2</v>
      </c>
      <c r="AW34" s="8">
        <v>2</v>
      </c>
      <c r="AX34" s="8">
        <v>2</v>
      </c>
      <c r="AY34" s="8">
        <v>2</v>
      </c>
      <c r="AZ34" s="8">
        <v>2</v>
      </c>
      <c r="BA34" s="316">
        <v>2</v>
      </c>
      <c r="BB34" s="8">
        <v>2</v>
      </c>
      <c r="BC34" s="8">
        <v>2</v>
      </c>
      <c r="BD34" s="8">
        <v>2</v>
      </c>
      <c r="BE34" s="8">
        <v>2</v>
      </c>
      <c r="BF34" s="8">
        <v>2</v>
      </c>
      <c r="BG34" s="8">
        <v>2</v>
      </c>
      <c r="BH34" s="8">
        <v>2</v>
      </c>
      <c r="BI34" s="8">
        <v>2</v>
      </c>
      <c r="BJ34" s="8">
        <v>2</v>
      </c>
      <c r="BK34" s="8">
        <v>2</v>
      </c>
      <c r="BL34" s="8">
        <v>2</v>
      </c>
      <c r="BM34" s="8">
        <v>2</v>
      </c>
      <c r="BN34" s="8">
        <v>2</v>
      </c>
      <c r="BO34" s="8">
        <v>2</v>
      </c>
      <c r="BP34" s="8">
        <v>2</v>
      </c>
      <c r="BQ34" s="8">
        <v>2</v>
      </c>
      <c r="BR34" s="8">
        <v>2</v>
      </c>
      <c r="BS34" s="8">
        <v>2</v>
      </c>
      <c r="BT34" s="8">
        <v>2</v>
      </c>
      <c r="BU34" s="8">
        <v>2</v>
      </c>
      <c r="BV34" s="8">
        <v>2</v>
      </c>
      <c r="BW34" s="8">
        <v>2</v>
      </c>
      <c r="BX34" s="8">
        <v>2</v>
      </c>
      <c r="BY34" s="8">
        <v>2</v>
      </c>
      <c r="BZ34" s="8">
        <v>2</v>
      </c>
      <c r="CA34" s="8">
        <v>2</v>
      </c>
      <c r="CB34" s="8">
        <v>2</v>
      </c>
      <c r="CC34" s="8">
        <v>2</v>
      </c>
      <c r="CD34" s="8">
        <v>2</v>
      </c>
      <c r="CE34" s="8">
        <v>2</v>
      </c>
      <c r="CF34" s="8">
        <v>2</v>
      </c>
      <c r="CG34" s="8">
        <v>2</v>
      </c>
      <c r="CH34" s="8">
        <v>2</v>
      </c>
      <c r="CI34" s="8">
        <v>2</v>
      </c>
      <c r="CJ34" s="315">
        <v>1</v>
      </c>
      <c r="CK34" s="315">
        <v>1</v>
      </c>
      <c r="CL34" s="315">
        <v>1</v>
      </c>
      <c r="CM34" s="315">
        <v>1</v>
      </c>
      <c r="CN34" s="315">
        <v>1</v>
      </c>
      <c r="CO34" s="315">
        <v>1</v>
      </c>
      <c r="CP34" s="315">
        <v>1</v>
      </c>
      <c r="CQ34" s="315">
        <v>1</v>
      </c>
      <c r="CR34" s="315">
        <v>1</v>
      </c>
      <c r="CS34" s="315">
        <v>1</v>
      </c>
      <c r="CT34" s="315">
        <v>1</v>
      </c>
      <c r="CU34" s="315">
        <v>1</v>
      </c>
      <c r="CV34" s="315">
        <v>1</v>
      </c>
      <c r="CW34" s="315">
        <v>1</v>
      </c>
      <c r="CX34" s="315">
        <v>1</v>
      </c>
      <c r="CY34" s="315">
        <v>1</v>
      </c>
      <c r="CZ34" s="315">
        <v>1</v>
      </c>
      <c r="DA34" s="315">
        <v>1</v>
      </c>
      <c r="DB34" s="315">
        <v>1</v>
      </c>
      <c r="DC34" s="315">
        <v>1</v>
      </c>
      <c r="DD34" s="315">
        <v>1</v>
      </c>
      <c r="DE34" s="315">
        <v>1</v>
      </c>
      <c r="DF34" s="315">
        <v>1</v>
      </c>
      <c r="DG34" s="315">
        <v>1</v>
      </c>
      <c r="DH34" s="315">
        <v>1</v>
      </c>
      <c r="DI34" s="315">
        <v>1</v>
      </c>
      <c r="DJ34" s="315">
        <v>1</v>
      </c>
      <c r="DK34" s="315">
        <v>1</v>
      </c>
      <c r="DL34" s="315">
        <v>1</v>
      </c>
      <c r="DM34" s="315">
        <v>1</v>
      </c>
      <c r="DN34" s="315">
        <v>1</v>
      </c>
      <c r="DO34" s="315">
        <v>1</v>
      </c>
      <c r="DP34" s="315">
        <v>1</v>
      </c>
      <c r="DQ34" s="315">
        <v>1</v>
      </c>
      <c r="DR34" s="315">
        <v>1</v>
      </c>
      <c r="DS34" s="315">
        <v>1</v>
      </c>
      <c r="DT34" s="315">
        <v>1</v>
      </c>
      <c r="DU34" s="315">
        <v>1</v>
      </c>
      <c r="DV34" s="315">
        <v>1</v>
      </c>
      <c r="DW34" s="315">
        <v>1</v>
      </c>
      <c r="DX34" s="315">
        <v>1</v>
      </c>
      <c r="DY34" s="315">
        <v>1</v>
      </c>
      <c r="DZ34" s="315">
        <v>1</v>
      </c>
      <c r="EA34" s="315">
        <v>1</v>
      </c>
      <c r="EB34" s="315">
        <v>1</v>
      </c>
      <c r="EC34" s="315">
        <v>1</v>
      </c>
      <c r="ED34" s="315">
        <v>1</v>
      </c>
      <c r="EE34" s="315">
        <v>1</v>
      </c>
      <c r="EF34" s="315">
        <v>1</v>
      </c>
      <c r="EG34" s="315">
        <v>1</v>
      </c>
      <c r="EH34" s="315">
        <v>1</v>
      </c>
      <c r="EI34" s="315">
        <v>1</v>
      </c>
      <c r="EJ34" s="315">
        <v>1</v>
      </c>
      <c r="EK34" s="315">
        <v>1</v>
      </c>
      <c r="EL34" s="315">
        <v>1</v>
      </c>
      <c r="EM34" s="315">
        <v>1</v>
      </c>
      <c r="EN34" s="315">
        <v>1</v>
      </c>
      <c r="EO34" s="315">
        <v>1</v>
      </c>
      <c r="EP34" s="315">
        <v>1</v>
      </c>
      <c r="EQ34" s="315">
        <v>1</v>
      </c>
      <c r="ER34" s="315">
        <v>1</v>
      </c>
      <c r="ES34" s="315">
        <v>1</v>
      </c>
      <c r="ET34" s="315">
        <v>1</v>
      </c>
      <c r="EU34" s="315">
        <v>1</v>
      </c>
      <c r="EV34" s="315">
        <v>1</v>
      </c>
      <c r="EW34" s="315">
        <v>1</v>
      </c>
      <c r="EX34" s="315">
        <v>1</v>
      </c>
      <c r="EY34" s="315">
        <v>1</v>
      </c>
      <c r="EZ34" s="315">
        <v>1</v>
      </c>
      <c r="FB34" s="50">
        <f>HLOOKUP(M16,$AU$3:$EZ$104,32,TRUE)</f>
        <v>1</v>
      </c>
      <c r="FD34" s="50">
        <f>HLOOKUP(AL42,$AU$3:$EZ$104,32,TRUE)</f>
        <v>1</v>
      </c>
    </row>
    <row r="35" spans="2:160" ht="17.100000000000001" customHeight="1">
      <c r="B35" s="119"/>
      <c r="C35" s="23"/>
      <c r="D35" s="23"/>
      <c r="E35" s="23"/>
      <c r="F35" s="23"/>
      <c r="G35" s="23"/>
      <c r="H35" s="23"/>
      <c r="I35" s="23"/>
      <c r="J35" s="23"/>
      <c r="K35" s="23"/>
      <c r="L35" s="23"/>
      <c r="M35" s="23"/>
      <c r="N35" s="23"/>
      <c r="O35" s="23"/>
      <c r="P35" s="23"/>
      <c r="Q35" s="23"/>
      <c r="R35" s="23"/>
      <c r="S35" s="23"/>
      <c r="T35" s="23"/>
      <c r="U35" s="23"/>
      <c r="V35" s="23"/>
      <c r="W35" s="23"/>
      <c r="X35" s="23"/>
      <c r="Y35" s="23"/>
      <c r="Z35" s="23"/>
      <c r="AA35" s="23"/>
      <c r="AB35" s="120"/>
      <c r="AD35" s="43" t="s">
        <v>588</v>
      </c>
      <c r="AK35" s="186" t="s">
        <v>55</v>
      </c>
      <c r="AL35" s="186" t="s">
        <v>56</v>
      </c>
      <c r="AM35" s="91" t="s">
        <v>216</v>
      </c>
      <c r="AN35" s="91" t="s">
        <v>217</v>
      </c>
      <c r="AO35" s="186" t="s">
        <v>138</v>
      </c>
      <c r="AP35" s="203"/>
      <c r="AQ35" s="186" t="s">
        <v>220</v>
      </c>
      <c r="AR35" s="186" t="s">
        <v>230</v>
      </c>
      <c r="AS35" s="69"/>
      <c r="AT35" s="104">
        <v>0.85099999999999998</v>
      </c>
      <c r="AU35" s="8">
        <v>2</v>
      </c>
      <c r="AV35" s="8">
        <v>2</v>
      </c>
      <c r="AW35" s="8">
        <v>2</v>
      </c>
      <c r="AX35" s="8">
        <v>2</v>
      </c>
      <c r="AY35" s="8">
        <v>2</v>
      </c>
      <c r="AZ35" s="8">
        <v>2</v>
      </c>
      <c r="BA35" s="316">
        <v>2</v>
      </c>
      <c r="BB35" s="8">
        <v>2</v>
      </c>
      <c r="BC35" s="8">
        <v>2</v>
      </c>
      <c r="BD35" s="8">
        <v>2</v>
      </c>
      <c r="BE35" s="8">
        <v>2</v>
      </c>
      <c r="BF35" s="8">
        <v>2</v>
      </c>
      <c r="BG35" s="8">
        <v>2</v>
      </c>
      <c r="BH35" s="8">
        <v>2</v>
      </c>
      <c r="BI35" s="8">
        <v>2</v>
      </c>
      <c r="BJ35" s="8">
        <v>2</v>
      </c>
      <c r="BK35" s="8">
        <v>2</v>
      </c>
      <c r="BL35" s="8">
        <v>2</v>
      </c>
      <c r="BM35" s="8">
        <v>2</v>
      </c>
      <c r="BN35" s="8">
        <v>2</v>
      </c>
      <c r="BO35" s="8">
        <v>2</v>
      </c>
      <c r="BP35" s="8">
        <v>2</v>
      </c>
      <c r="BQ35" s="8">
        <v>2</v>
      </c>
      <c r="BR35" s="8">
        <v>2</v>
      </c>
      <c r="BS35" s="8">
        <v>2</v>
      </c>
      <c r="BT35" s="8">
        <v>2</v>
      </c>
      <c r="BU35" s="8">
        <v>2</v>
      </c>
      <c r="BV35" s="8">
        <v>2</v>
      </c>
      <c r="BW35" s="8">
        <v>2</v>
      </c>
      <c r="BX35" s="8">
        <v>2</v>
      </c>
      <c r="BY35" s="8">
        <v>2</v>
      </c>
      <c r="BZ35" s="8">
        <v>2</v>
      </c>
      <c r="CA35" s="8">
        <v>2</v>
      </c>
      <c r="CB35" s="8">
        <v>2</v>
      </c>
      <c r="CC35" s="8">
        <v>2</v>
      </c>
      <c r="CD35" s="8">
        <v>2</v>
      </c>
      <c r="CE35" s="8">
        <v>2</v>
      </c>
      <c r="CF35" s="8">
        <v>2</v>
      </c>
      <c r="CG35" s="8">
        <v>2</v>
      </c>
      <c r="CH35" s="8">
        <v>2</v>
      </c>
      <c r="CI35" s="8">
        <v>2</v>
      </c>
      <c r="CJ35" s="8">
        <v>2</v>
      </c>
      <c r="CK35" s="315">
        <v>1</v>
      </c>
      <c r="CL35" s="315">
        <v>1</v>
      </c>
      <c r="CM35" s="315">
        <v>1</v>
      </c>
      <c r="CN35" s="315">
        <v>1</v>
      </c>
      <c r="CO35" s="315">
        <v>1</v>
      </c>
      <c r="CP35" s="315">
        <v>1</v>
      </c>
      <c r="CQ35" s="315">
        <v>1</v>
      </c>
      <c r="CR35" s="315">
        <v>1</v>
      </c>
      <c r="CS35" s="315">
        <v>1</v>
      </c>
      <c r="CT35" s="315">
        <v>1</v>
      </c>
      <c r="CU35" s="315">
        <v>1</v>
      </c>
      <c r="CV35" s="315">
        <v>1</v>
      </c>
      <c r="CW35" s="315">
        <v>1</v>
      </c>
      <c r="CX35" s="315">
        <v>1</v>
      </c>
      <c r="CY35" s="315">
        <v>1</v>
      </c>
      <c r="CZ35" s="315">
        <v>1</v>
      </c>
      <c r="DA35" s="315">
        <v>1</v>
      </c>
      <c r="DB35" s="315">
        <v>1</v>
      </c>
      <c r="DC35" s="315">
        <v>1</v>
      </c>
      <c r="DD35" s="315">
        <v>1</v>
      </c>
      <c r="DE35" s="315">
        <v>1</v>
      </c>
      <c r="DF35" s="315">
        <v>1</v>
      </c>
      <c r="DG35" s="315">
        <v>1</v>
      </c>
      <c r="DH35" s="315">
        <v>1</v>
      </c>
      <c r="DI35" s="315">
        <v>1</v>
      </c>
      <c r="DJ35" s="315">
        <v>1</v>
      </c>
      <c r="DK35" s="315">
        <v>1</v>
      </c>
      <c r="DL35" s="315">
        <v>1</v>
      </c>
      <c r="DM35" s="315">
        <v>1</v>
      </c>
      <c r="DN35" s="315">
        <v>1</v>
      </c>
      <c r="DO35" s="315">
        <v>1</v>
      </c>
      <c r="DP35" s="315">
        <v>1</v>
      </c>
      <c r="DQ35" s="315">
        <v>1</v>
      </c>
      <c r="DR35" s="315">
        <v>1</v>
      </c>
      <c r="DS35" s="315">
        <v>1</v>
      </c>
      <c r="DT35" s="315">
        <v>1</v>
      </c>
      <c r="DU35" s="315">
        <v>1</v>
      </c>
      <c r="DV35" s="315">
        <v>1</v>
      </c>
      <c r="DW35" s="315">
        <v>1</v>
      </c>
      <c r="DX35" s="315">
        <v>1</v>
      </c>
      <c r="DY35" s="315">
        <v>1</v>
      </c>
      <c r="DZ35" s="315">
        <v>1</v>
      </c>
      <c r="EA35" s="315">
        <v>1</v>
      </c>
      <c r="EB35" s="315">
        <v>1</v>
      </c>
      <c r="EC35" s="315">
        <v>1</v>
      </c>
      <c r="ED35" s="315">
        <v>1</v>
      </c>
      <c r="EE35" s="315">
        <v>1</v>
      </c>
      <c r="EF35" s="315">
        <v>1</v>
      </c>
      <c r="EG35" s="315">
        <v>1</v>
      </c>
      <c r="EH35" s="315">
        <v>1</v>
      </c>
      <c r="EI35" s="315">
        <v>1</v>
      </c>
      <c r="EJ35" s="315">
        <v>1</v>
      </c>
      <c r="EK35" s="315">
        <v>1</v>
      </c>
      <c r="EL35" s="315">
        <v>1</v>
      </c>
      <c r="EM35" s="315">
        <v>1</v>
      </c>
      <c r="EN35" s="315">
        <v>1</v>
      </c>
      <c r="EO35" s="315">
        <v>1</v>
      </c>
      <c r="EP35" s="315">
        <v>1</v>
      </c>
      <c r="EQ35" s="315">
        <v>1</v>
      </c>
      <c r="ER35" s="315">
        <v>1</v>
      </c>
      <c r="ES35" s="315">
        <v>1</v>
      </c>
      <c r="ET35" s="315">
        <v>1</v>
      </c>
      <c r="EU35" s="315">
        <v>1</v>
      </c>
      <c r="EV35" s="315">
        <v>1</v>
      </c>
      <c r="EW35" s="315">
        <v>1</v>
      </c>
      <c r="EX35" s="315">
        <v>1</v>
      </c>
      <c r="EY35" s="315">
        <v>1</v>
      </c>
      <c r="EZ35" s="315">
        <v>1</v>
      </c>
      <c r="FB35" s="50">
        <f>HLOOKUP(M16,$AU$3:$EZ$104,33,TRUE)</f>
        <v>1</v>
      </c>
      <c r="FD35" s="50">
        <f>HLOOKUP(AL42,$AU$3:$EZ$104,33,TRUE)</f>
        <v>1</v>
      </c>
    </row>
    <row r="36" spans="2:160" ht="17.100000000000001" customHeight="1">
      <c r="B36" s="119"/>
      <c r="C36" s="23"/>
      <c r="D36" s="23"/>
      <c r="E36" s="23"/>
      <c r="F36" s="23"/>
      <c r="G36" s="23"/>
      <c r="H36" s="23"/>
      <c r="I36" s="23"/>
      <c r="J36" s="23"/>
      <c r="K36" s="23"/>
      <c r="L36" s="23"/>
      <c r="M36" s="23"/>
      <c r="N36" s="23"/>
      <c r="O36" s="23"/>
      <c r="P36" s="23"/>
      <c r="Q36" s="23"/>
      <c r="R36" s="23"/>
      <c r="S36" s="23"/>
      <c r="T36" s="23"/>
      <c r="U36" s="23"/>
      <c r="V36" s="23"/>
      <c r="W36" s="23"/>
      <c r="X36" s="23"/>
      <c r="Y36" s="23"/>
      <c r="Z36" s="23"/>
      <c r="AA36" s="23"/>
      <c r="AB36" s="120"/>
      <c r="AK36" s="186" t="b">
        <f>AND($AI$12=1,$AP$9=1)</f>
        <v>0</v>
      </c>
      <c r="AL36" s="186" t="b">
        <f>AND($AI$12=2,$AP$14=1)</f>
        <v>0</v>
      </c>
      <c r="AM36" s="91" t="b">
        <f>AND($AL$36=TRUE,$AP$9=1)</f>
        <v>0</v>
      </c>
      <c r="AN36" s="203" t="b">
        <f>AND(AL36=TRUE,AM36=TRUE)</f>
        <v>0</v>
      </c>
      <c r="AO36" s="203" t="b">
        <f>OR(AK36=TRUE,AN36=TRUE)</f>
        <v>0</v>
      </c>
      <c r="AP36" s="186" t="s">
        <v>76</v>
      </c>
      <c r="AQ36" s="186">
        <f>IF(AO36=TRUE,1,0)</f>
        <v>0</v>
      </c>
      <c r="AR36" s="89">
        <f ca="1">FORECAST($AL$41,OFFSET(BO$220,MATCH($AL$41,$AT$220:$AT$243,1)-1,0,2),OFFSET($AT$220,MATCH($AL$41,$AT$220:$AT$243,1)-1,0,2))</f>
        <v>0.87863999999999998</v>
      </c>
      <c r="AS36" s="69"/>
      <c r="AT36" s="104">
        <v>0.91200000000000003</v>
      </c>
      <c r="AU36" s="8">
        <v>2</v>
      </c>
      <c r="AV36" s="8">
        <v>2</v>
      </c>
      <c r="AW36" s="8">
        <v>2</v>
      </c>
      <c r="AX36" s="8">
        <v>2</v>
      </c>
      <c r="AY36" s="8">
        <v>2</v>
      </c>
      <c r="AZ36" s="8">
        <v>2</v>
      </c>
      <c r="BA36" s="316">
        <v>2</v>
      </c>
      <c r="BB36" s="8">
        <v>2</v>
      </c>
      <c r="BC36" s="8">
        <v>2</v>
      </c>
      <c r="BD36" s="8">
        <v>2</v>
      </c>
      <c r="BE36" s="8">
        <v>2</v>
      </c>
      <c r="BF36" s="8">
        <v>2</v>
      </c>
      <c r="BG36" s="8">
        <v>2</v>
      </c>
      <c r="BH36" s="8">
        <v>2</v>
      </c>
      <c r="BI36" s="8">
        <v>2</v>
      </c>
      <c r="BJ36" s="8">
        <v>2</v>
      </c>
      <c r="BK36" s="8">
        <v>2</v>
      </c>
      <c r="BL36" s="8">
        <v>2</v>
      </c>
      <c r="BM36" s="8">
        <v>2</v>
      </c>
      <c r="BN36" s="8">
        <v>2</v>
      </c>
      <c r="BO36" s="8">
        <v>2</v>
      </c>
      <c r="BP36" s="8">
        <v>2</v>
      </c>
      <c r="BQ36" s="8">
        <v>2</v>
      </c>
      <c r="BR36" s="8">
        <v>2</v>
      </c>
      <c r="BS36" s="8">
        <v>2</v>
      </c>
      <c r="BT36" s="8">
        <v>2</v>
      </c>
      <c r="BU36" s="8">
        <v>2</v>
      </c>
      <c r="BV36" s="8">
        <v>2</v>
      </c>
      <c r="BW36" s="8">
        <v>2</v>
      </c>
      <c r="BX36" s="8">
        <v>2</v>
      </c>
      <c r="BY36" s="8">
        <v>2</v>
      </c>
      <c r="BZ36" s="8">
        <v>2</v>
      </c>
      <c r="CA36" s="8">
        <v>2</v>
      </c>
      <c r="CB36" s="8">
        <v>2</v>
      </c>
      <c r="CC36" s="8">
        <v>2</v>
      </c>
      <c r="CD36" s="8">
        <v>2</v>
      </c>
      <c r="CE36" s="8">
        <v>2</v>
      </c>
      <c r="CF36" s="8">
        <v>2</v>
      </c>
      <c r="CG36" s="8">
        <v>2</v>
      </c>
      <c r="CH36" s="8">
        <v>2</v>
      </c>
      <c r="CI36" s="8">
        <v>2</v>
      </c>
      <c r="CJ36" s="8">
        <v>2</v>
      </c>
      <c r="CK36" s="8">
        <v>2</v>
      </c>
      <c r="CL36" s="315">
        <v>1</v>
      </c>
      <c r="CM36" s="315">
        <v>1</v>
      </c>
      <c r="CN36" s="315">
        <v>1</v>
      </c>
      <c r="CO36" s="315">
        <v>1</v>
      </c>
      <c r="CP36" s="315">
        <v>1</v>
      </c>
      <c r="CQ36" s="315">
        <v>1</v>
      </c>
      <c r="CR36" s="315">
        <v>1</v>
      </c>
      <c r="CS36" s="315">
        <v>1</v>
      </c>
      <c r="CT36" s="315">
        <v>1</v>
      </c>
      <c r="CU36" s="315">
        <v>1</v>
      </c>
      <c r="CV36" s="315">
        <v>1</v>
      </c>
      <c r="CW36" s="315">
        <v>1</v>
      </c>
      <c r="CX36" s="315">
        <v>1</v>
      </c>
      <c r="CY36" s="315">
        <v>1</v>
      </c>
      <c r="CZ36" s="315">
        <v>1</v>
      </c>
      <c r="DA36" s="315">
        <v>1</v>
      </c>
      <c r="DB36" s="315">
        <v>1</v>
      </c>
      <c r="DC36" s="315">
        <v>1</v>
      </c>
      <c r="DD36" s="315">
        <v>1</v>
      </c>
      <c r="DE36" s="315">
        <v>1</v>
      </c>
      <c r="DF36" s="315">
        <v>1</v>
      </c>
      <c r="DG36" s="315">
        <v>1</v>
      </c>
      <c r="DH36" s="315">
        <v>1</v>
      </c>
      <c r="DI36" s="315">
        <v>1</v>
      </c>
      <c r="DJ36" s="315">
        <v>1</v>
      </c>
      <c r="DK36" s="315">
        <v>1</v>
      </c>
      <c r="DL36" s="315">
        <v>1</v>
      </c>
      <c r="DM36" s="315">
        <v>1</v>
      </c>
      <c r="DN36" s="315">
        <v>1</v>
      </c>
      <c r="DO36" s="315">
        <v>1</v>
      </c>
      <c r="DP36" s="315">
        <v>1</v>
      </c>
      <c r="DQ36" s="315">
        <v>1</v>
      </c>
      <c r="DR36" s="315">
        <v>1</v>
      </c>
      <c r="DS36" s="315">
        <v>1</v>
      </c>
      <c r="DT36" s="315">
        <v>1</v>
      </c>
      <c r="DU36" s="315">
        <v>1</v>
      </c>
      <c r="DV36" s="315">
        <v>1</v>
      </c>
      <c r="DW36" s="315">
        <v>1</v>
      </c>
      <c r="DX36" s="315">
        <v>1</v>
      </c>
      <c r="DY36" s="315">
        <v>1</v>
      </c>
      <c r="DZ36" s="315">
        <v>1</v>
      </c>
      <c r="EA36" s="315">
        <v>1</v>
      </c>
      <c r="EB36" s="315">
        <v>1</v>
      </c>
      <c r="EC36" s="315">
        <v>1</v>
      </c>
      <c r="ED36" s="315">
        <v>1</v>
      </c>
      <c r="EE36" s="315">
        <v>1</v>
      </c>
      <c r="EF36" s="315">
        <v>1</v>
      </c>
      <c r="EG36" s="315">
        <v>1</v>
      </c>
      <c r="EH36" s="315">
        <v>1</v>
      </c>
      <c r="EI36" s="315">
        <v>1</v>
      </c>
      <c r="EJ36" s="315">
        <v>1</v>
      </c>
      <c r="EK36" s="315">
        <v>1</v>
      </c>
      <c r="EL36" s="315">
        <v>1</v>
      </c>
      <c r="EM36" s="315">
        <v>1</v>
      </c>
      <c r="EN36" s="315">
        <v>1</v>
      </c>
      <c r="EO36" s="315">
        <v>1</v>
      </c>
      <c r="EP36" s="315">
        <v>1</v>
      </c>
      <c r="EQ36" s="315">
        <v>1</v>
      </c>
      <c r="ER36" s="315">
        <v>1</v>
      </c>
      <c r="ES36" s="315">
        <v>1</v>
      </c>
      <c r="ET36" s="315">
        <v>1</v>
      </c>
      <c r="EU36" s="315">
        <v>1</v>
      </c>
      <c r="EV36" s="315">
        <v>1</v>
      </c>
      <c r="EW36" s="315">
        <v>1</v>
      </c>
      <c r="EX36" s="315">
        <v>1</v>
      </c>
      <c r="EY36" s="315">
        <v>1</v>
      </c>
      <c r="EZ36" s="315">
        <v>1</v>
      </c>
      <c r="FB36" s="50">
        <f>HLOOKUP(M16,$AU$3:$EZ$104,34,TRUE)</f>
        <v>1</v>
      </c>
      <c r="FD36" s="50">
        <f>HLOOKUP(AL42,$AU$3:$EZ$104,34,TRUE)</f>
        <v>1</v>
      </c>
    </row>
    <row r="37" spans="2:160" ht="17.100000000000001" customHeight="1">
      <c r="B37" s="119"/>
      <c r="C37" s="23"/>
      <c r="D37" s="23"/>
      <c r="E37" s="23"/>
      <c r="F37" s="23"/>
      <c r="G37" s="23"/>
      <c r="H37" s="23"/>
      <c r="I37" s="23"/>
      <c r="J37" s="23"/>
      <c r="K37" s="23"/>
      <c r="L37" s="23"/>
      <c r="M37" s="23"/>
      <c r="N37" s="23"/>
      <c r="O37" s="23"/>
      <c r="P37" s="23"/>
      <c r="Q37" s="23"/>
      <c r="R37" s="23"/>
      <c r="S37" s="23"/>
      <c r="T37" s="23"/>
      <c r="U37" s="23"/>
      <c r="V37" s="23"/>
      <c r="W37" s="23"/>
      <c r="X37" s="23"/>
      <c r="Y37" s="23"/>
      <c r="Z37" s="23"/>
      <c r="AA37" s="23"/>
      <c r="AB37" s="120"/>
      <c r="AK37" s="186" t="b">
        <f>AND($AI$12=1,$AP$9=2)</f>
        <v>0</v>
      </c>
      <c r="AL37" s="186" t="b">
        <f>AND($AI$12=2,$AP$14=1)</f>
        <v>0</v>
      </c>
      <c r="AM37" s="91" t="b">
        <f>AND(AL37=TRUE,$AP$9=2)</f>
        <v>0</v>
      </c>
      <c r="AN37" s="203" t="b">
        <f>AND(AL37=TRUE,AM37=TRUE)</f>
        <v>0</v>
      </c>
      <c r="AO37" s="203" t="b">
        <f>OR(AK37=TRUE,AN37=TRUE)</f>
        <v>0</v>
      </c>
      <c r="AP37" s="186" t="s">
        <v>77</v>
      </c>
      <c r="AQ37" s="186">
        <f>IF(AO37=TRUE,2,0)</f>
        <v>0</v>
      </c>
      <c r="AR37" s="89">
        <f ca="1">FORECAST($AL$41,OFFSET(BO$249,MATCH($AL$41,$AT$249:$AT$272,1)-1,0,2),OFFSET($AT$249,MATCH($AL$41,$AT$249:$AT$272,1)-1,0,2))</f>
        <v>0.85984000000000005</v>
      </c>
      <c r="AS37" s="69"/>
      <c r="AT37" s="104">
        <v>0.97699999999999998</v>
      </c>
      <c r="AU37" s="8">
        <v>2</v>
      </c>
      <c r="AV37" s="8">
        <v>2</v>
      </c>
      <c r="AW37" s="8">
        <v>2</v>
      </c>
      <c r="AX37" s="8">
        <v>2</v>
      </c>
      <c r="AY37" s="8">
        <v>2</v>
      </c>
      <c r="AZ37" s="8">
        <v>2</v>
      </c>
      <c r="BA37" s="316">
        <v>2</v>
      </c>
      <c r="BB37" s="8">
        <v>2</v>
      </c>
      <c r="BC37" s="8">
        <v>2</v>
      </c>
      <c r="BD37" s="8">
        <v>2</v>
      </c>
      <c r="BE37" s="8">
        <v>2</v>
      </c>
      <c r="BF37" s="8">
        <v>2</v>
      </c>
      <c r="BG37" s="8">
        <v>2</v>
      </c>
      <c r="BH37" s="8">
        <v>2</v>
      </c>
      <c r="BI37" s="8">
        <v>2</v>
      </c>
      <c r="BJ37" s="8">
        <v>2</v>
      </c>
      <c r="BK37" s="8">
        <v>2</v>
      </c>
      <c r="BL37" s="8">
        <v>2</v>
      </c>
      <c r="BM37" s="8">
        <v>2</v>
      </c>
      <c r="BN37" s="8">
        <v>2</v>
      </c>
      <c r="BO37" s="8">
        <v>2</v>
      </c>
      <c r="BP37" s="8">
        <v>2</v>
      </c>
      <c r="BQ37" s="8">
        <v>2</v>
      </c>
      <c r="BR37" s="8">
        <v>2</v>
      </c>
      <c r="BS37" s="8">
        <v>2</v>
      </c>
      <c r="BT37" s="8">
        <v>2</v>
      </c>
      <c r="BU37" s="8">
        <v>2</v>
      </c>
      <c r="BV37" s="8">
        <v>2</v>
      </c>
      <c r="BW37" s="8">
        <v>2</v>
      </c>
      <c r="BX37" s="8">
        <v>2</v>
      </c>
      <c r="BY37" s="8">
        <v>2</v>
      </c>
      <c r="BZ37" s="8">
        <v>2</v>
      </c>
      <c r="CA37" s="8">
        <v>2</v>
      </c>
      <c r="CB37" s="8">
        <v>2</v>
      </c>
      <c r="CC37" s="8">
        <v>2</v>
      </c>
      <c r="CD37" s="8">
        <v>2</v>
      </c>
      <c r="CE37" s="8">
        <v>2</v>
      </c>
      <c r="CF37" s="8">
        <v>2</v>
      </c>
      <c r="CG37" s="8">
        <v>2</v>
      </c>
      <c r="CH37" s="8">
        <v>2</v>
      </c>
      <c r="CI37" s="8">
        <v>2</v>
      </c>
      <c r="CJ37" s="8">
        <v>2</v>
      </c>
      <c r="CK37" s="8">
        <v>2</v>
      </c>
      <c r="CL37" s="8">
        <v>2</v>
      </c>
      <c r="CM37" s="315">
        <v>1</v>
      </c>
      <c r="CN37" s="315">
        <v>1</v>
      </c>
      <c r="CO37" s="315">
        <v>1</v>
      </c>
      <c r="CP37" s="315">
        <v>1</v>
      </c>
      <c r="CQ37" s="315">
        <v>1</v>
      </c>
      <c r="CR37" s="315">
        <v>1</v>
      </c>
      <c r="CS37" s="315">
        <v>1</v>
      </c>
      <c r="CT37" s="315">
        <v>1</v>
      </c>
      <c r="CU37" s="315">
        <v>1</v>
      </c>
      <c r="CV37" s="315">
        <v>1</v>
      </c>
      <c r="CW37" s="315">
        <v>1</v>
      </c>
      <c r="CX37" s="315">
        <v>1</v>
      </c>
      <c r="CY37" s="315">
        <v>1</v>
      </c>
      <c r="CZ37" s="315">
        <v>1</v>
      </c>
      <c r="DA37" s="315">
        <v>1</v>
      </c>
      <c r="DB37" s="315">
        <v>1</v>
      </c>
      <c r="DC37" s="315">
        <v>1</v>
      </c>
      <c r="DD37" s="315">
        <v>1</v>
      </c>
      <c r="DE37" s="315">
        <v>1</v>
      </c>
      <c r="DF37" s="315">
        <v>1</v>
      </c>
      <c r="DG37" s="315">
        <v>1</v>
      </c>
      <c r="DH37" s="315">
        <v>1</v>
      </c>
      <c r="DI37" s="315">
        <v>1</v>
      </c>
      <c r="DJ37" s="315">
        <v>1</v>
      </c>
      <c r="DK37" s="315">
        <v>1</v>
      </c>
      <c r="DL37" s="315">
        <v>1</v>
      </c>
      <c r="DM37" s="315">
        <v>1</v>
      </c>
      <c r="DN37" s="315">
        <v>1</v>
      </c>
      <c r="DO37" s="315">
        <v>1</v>
      </c>
      <c r="DP37" s="315">
        <v>1</v>
      </c>
      <c r="DQ37" s="315">
        <v>1</v>
      </c>
      <c r="DR37" s="315">
        <v>1</v>
      </c>
      <c r="DS37" s="315">
        <v>1</v>
      </c>
      <c r="DT37" s="315">
        <v>1</v>
      </c>
      <c r="DU37" s="315">
        <v>1</v>
      </c>
      <c r="DV37" s="315">
        <v>1</v>
      </c>
      <c r="DW37" s="315">
        <v>1</v>
      </c>
      <c r="DX37" s="315">
        <v>1</v>
      </c>
      <c r="DY37" s="315">
        <v>1</v>
      </c>
      <c r="DZ37" s="315">
        <v>1</v>
      </c>
      <c r="EA37" s="315">
        <v>1</v>
      </c>
      <c r="EB37" s="315">
        <v>1</v>
      </c>
      <c r="EC37" s="315">
        <v>1</v>
      </c>
      <c r="ED37" s="315">
        <v>1</v>
      </c>
      <c r="EE37" s="315">
        <v>1</v>
      </c>
      <c r="EF37" s="315">
        <v>1</v>
      </c>
      <c r="EG37" s="315">
        <v>1</v>
      </c>
      <c r="EH37" s="315">
        <v>1</v>
      </c>
      <c r="EI37" s="315">
        <v>1</v>
      </c>
      <c r="EJ37" s="315">
        <v>1</v>
      </c>
      <c r="EK37" s="315">
        <v>1</v>
      </c>
      <c r="EL37" s="315">
        <v>1</v>
      </c>
      <c r="EM37" s="315">
        <v>1</v>
      </c>
      <c r="EN37" s="315">
        <v>1</v>
      </c>
      <c r="EO37" s="315">
        <v>1</v>
      </c>
      <c r="EP37" s="315">
        <v>1</v>
      </c>
      <c r="EQ37" s="315">
        <v>1</v>
      </c>
      <c r="ER37" s="315">
        <v>1</v>
      </c>
      <c r="ES37" s="315">
        <v>1</v>
      </c>
      <c r="ET37" s="315">
        <v>1</v>
      </c>
      <c r="EU37" s="315">
        <v>1</v>
      </c>
      <c r="EV37" s="315">
        <v>1</v>
      </c>
      <c r="EW37" s="315">
        <v>1</v>
      </c>
      <c r="EX37" s="315">
        <v>1</v>
      </c>
      <c r="EY37" s="315">
        <v>1</v>
      </c>
      <c r="EZ37" s="315">
        <v>1</v>
      </c>
      <c r="FB37" s="50">
        <f>HLOOKUP(M16,$AU$3:$EZ$104,35,TRUE)</f>
        <v>1</v>
      </c>
      <c r="FD37" s="50">
        <f>HLOOKUP(AL42,$AU$3:$EZ$104,35,TRUE)</f>
        <v>1</v>
      </c>
    </row>
    <row r="38" spans="2:160" ht="17.100000000000001" customHeight="1" thickBot="1">
      <c r="B38" s="119"/>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120"/>
      <c r="AK38" s="298" t="b">
        <v>1</v>
      </c>
      <c r="AL38" s="186" t="b">
        <f>AND($AI$12=2,$AP$14=2)</f>
        <v>1</v>
      </c>
      <c r="AM38" s="186"/>
      <c r="AN38" s="203"/>
      <c r="AO38" s="319" t="b">
        <f>AND(AK38=TRUE,AL38=TRUE)</f>
        <v>1</v>
      </c>
      <c r="AP38" s="186" t="s">
        <v>80</v>
      </c>
      <c r="AQ38" s="187">
        <f>IF(AO38=TRUE,3,0)</f>
        <v>3</v>
      </c>
      <c r="AR38" s="89">
        <f ca="1">FORECAST($AL$41,OFFSET(BO$278,MATCH($AL$41,$AT$278:$AT$301,1)-1,0,2),OFFSET($AT$278,MATCH($AL$41,$AT$278:$AT$301,1)-1,0,2))</f>
        <v>0.79320000000000013</v>
      </c>
      <c r="AS38" s="69"/>
      <c r="AT38" s="104">
        <v>1.0469999999999999</v>
      </c>
      <c r="AU38" s="8">
        <v>2</v>
      </c>
      <c r="AV38" s="8">
        <v>2</v>
      </c>
      <c r="AW38" s="8">
        <v>2</v>
      </c>
      <c r="AX38" s="8">
        <v>2</v>
      </c>
      <c r="AY38" s="8">
        <v>2</v>
      </c>
      <c r="AZ38" s="8">
        <v>2</v>
      </c>
      <c r="BA38" s="316">
        <v>2</v>
      </c>
      <c r="BB38" s="8">
        <v>2</v>
      </c>
      <c r="BC38" s="8">
        <v>2</v>
      </c>
      <c r="BD38" s="8">
        <v>2</v>
      </c>
      <c r="BE38" s="8">
        <v>2</v>
      </c>
      <c r="BF38" s="8">
        <v>2</v>
      </c>
      <c r="BG38" s="8">
        <v>2</v>
      </c>
      <c r="BH38" s="8">
        <v>2</v>
      </c>
      <c r="BI38" s="8">
        <v>2</v>
      </c>
      <c r="BJ38" s="8">
        <v>2</v>
      </c>
      <c r="BK38" s="8">
        <v>2</v>
      </c>
      <c r="BL38" s="8">
        <v>2</v>
      </c>
      <c r="BM38" s="8">
        <v>2</v>
      </c>
      <c r="BN38" s="8">
        <v>2</v>
      </c>
      <c r="BO38" s="8">
        <v>2</v>
      </c>
      <c r="BP38" s="8">
        <v>2</v>
      </c>
      <c r="BQ38" s="8">
        <v>2</v>
      </c>
      <c r="BR38" s="8">
        <v>2</v>
      </c>
      <c r="BS38" s="8">
        <v>2</v>
      </c>
      <c r="BT38" s="8">
        <v>2</v>
      </c>
      <c r="BU38" s="8">
        <v>2</v>
      </c>
      <c r="BV38" s="8">
        <v>2</v>
      </c>
      <c r="BW38" s="8">
        <v>2</v>
      </c>
      <c r="BX38" s="8">
        <v>2</v>
      </c>
      <c r="BY38" s="8">
        <v>2</v>
      </c>
      <c r="BZ38" s="8">
        <v>2</v>
      </c>
      <c r="CA38" s="8">
        <v>2</v>
      </c>
      <c r="CB38" s="8">
        <v>2</v>
      </c>
      <c r="CC38" s="8">
        <v>2</v>
      </c>
      <c r="CD38" s="8">
        <v>2</v>
      </c>
      <c r="CE38" s="8">
        <v>2</v>
      </c>
      <c r="CF38" s="8">
        <v>2</v>
      </c>
      <c r="CG38" s="8">
        <v>2</v>
      </c>
      <c r="CH38" s="8">
        <v>2</v>
      </c>
      <c r="CI38" s="8">
        <v>2</v>
      </c>
      <c r="CJ38" s="8">
        <v>2</v>
      </c>
      <c r="CK38" s="8">
        <v>2</v>
      </c>
      <c r="CL38" s="8">
        <v>2</v>
      </c>
      <c r="CM38" s="8">
        <v>2</v>
      </c>
      <c r="CN38" s="315">
        <v>1</v>
      </c>
      <c r="CO38" s="315">
        <v>1</v>
      </c>
      <c r="CP38" s="315">
        <v>1</v>
      </c>
      <c r="CQ38" s="315">
        <v>1</v>
      </c>
      <c r="CR38" s="315">
        <v>1</v>
      </c>
      <c r="CS38" s="315">
        <v>1</v>
      </c>
      <c r="CT38" s="315">
        <v>1</v>
      </c>
      <c r="CU38" s="315">
        <v>1</v>
      </c>
      <c r="CV38" s="315">
        <v>1</v>
      </c>
      <c r="CW38" s="315">
        <v>1</v>
      </c>
      <c r="CX38" s="315">
        <v>1</v>
      </c>
      <c r="CY38" s="315">
        <v>1</v>
      </c>
      <c r="CZ38" s="315">
        <v>1</v>
      </c>
      <c r="DA38" s="315">
        <v>1</v>
      </c>
      <c r="DB38" s="315">
        <v>1</v>
      </c>
      <c r="DC38" s="315">
        <v>1</v>
      </c>
      <c r="DD38" s="315">
        <v>1</v>
      </c>
      <c r="DE38" s="315">
        <v>1</v>
      </c>
      <c r="DF38" s="315">
        <v>1</v>
      </c>
      <c r="DG38" s="315">
        <v>1</v>
      </c>
      <c r="DH38" s="315">
        <v>1</v>
      </c>
      <c r="DI38" s="315">
        <v>1</v>
      </c>
      <c r="DJ38" s="315">
        <v>1</v>
      </c>
      <c r="DK38" s="315">
        <v>1</v>
      </c>
      <c r="DL38" s="315">
        <v>1</v>
      </c>
      <c r="DM38" s="315">
        <v>1</v>
      </c>
      <c r="DN38" s="315">
        <v>1</v>
      </c>
      <c r="DO38" s="315">
        <v>1</v>
      </c>
      <c r="DP38" s="315">
        <v>1</v>
      </c>
      <c r="DQ38" s="315">
        <v>1</v>
      </c>
      <c r="DR38" s="315">
        <v>1</v>
      </c>
      <c r="DS38" s="315">
        <v>1</v>
      </c>
      <c r="DT38" s="315">
        <v>1</v>
      </c>
      <c r="DU38" s="315">
        <v>1</v>
      </c>
      <c r="DV38" s="315">
        <v>1</v>
      </c>
      <c r="DW38" s="315">
        <v>1</v>
      </c>
      <c r="DX38" s="315">
        <v>1</v>
      </c>
      <c r="DY38" s="315">
        <v>1</v>
      </c>
      <c r="DZ38" s="315">
        <v>1</v>
      </c>
      <c r="EA38" s="315">
        <v>1</v>
      </c>
      <c r="EB38" s="315">
        <v>1</v>
      </c>
      <c r="EC38" s="315">
        <v>1</v>
      </c>
      <c r="ED38" s="315">
        <v>1</v>
      </c>
      <c r="EE38" s="315">
        <v>1</v>
      </c>
      <c r="EF38" s="315">
        <v>1</v>
      </c>
      <c r="EG38" s="315">
        <v>1</v>
      </c>
      <c r="EH38" s="315">
        <v>1</v>
      </c>
      <c r="EI38" s="315">
        <v>1</v>
      </c>
      <c r="EJ38" s="315">
        <v>1</v>
      </c>
      <c r="EK38" s="315">
        <v>1</v>
      </c>
      <c r="EL38" s="315">
        <v>1</v>
      </c>
      <c r="EM38" s="315">
        <v>1</v>
      </c>
      <c r="EN38" s="315">
        <v>1</v>
      </c>
      <c r="EO38" s="315">
        <v>1</v>
      </c>
      <c r="EP38" s="315">
        <v>1</v>
      </c>
      <c r="EQ38" s="315">
        <v>1</v>
      </c>
      <c r="ER38" s="315">
        <v>1</v>
      </c>
      <c r="ES38" s="315">
        <v>1</v>
      </c>
      <c r="ET38" s="315">
        <v>1</v>
      </c>
      <c r="EU38" s="315">
        <v>1</v>
      </c>
      <c r="EV38" s="315">
        <v>1</v>
      </c>
      <c r="EW38" s="315">
        <v>1</v>
      </c>
      <c r="EX38" s="315">
        <v>1</v>
      </c>
      <c r="EY38" s="315">
        <v>1</v>
      </c>
      <c r="EZ38" s="315">
        <v>1</v>
      </c>
      <c r="FB38" s="50">
        <f>HLOOKUP(M16,$AU$3:$EZ$104,36,TRUE)</f>
        <v>1</v>
      </c>
      <c r="FD38" s="50">
        <f>HLOOKUP(AL42,$AU$3:$EZ$104,36,TRUE)</f>
        <v>1</v>
      </c>
    </row>
    <row r="39" spans="2:160" ht="17.100000000000001" customHeight="1" thickBot="1">
      <c r="B39" s="119"/>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120"/>
      <c r="AQ39" s="137">
        <f>SUM(AQ36:AQ38)</f>
        <v>3</v>
      </c>
      <c r="AS39" s="69"/>
      <c r="AT39" s="104">
        <v>1.1220000000000001</v>
      </c>
      <c r="AU39" s="8">
        <v>2</v>
      </c>
      <c r="AV39" s="8">
        <v>2</v>
      </c>
      <c r="AW39" s="8">
        <v>2</v>
      </c>
      <c r="AX39" s="8">
        <v>2</v>
      </c>
      <c r="AY39" s="8">
        <v>2</v>
      </c>
      <c r="AZ39" s="8">
        <v>2</v>
      </c>
      <c r="BA39" s="316">
        <v>2</v>
      </c>
      <c r="BB39" s="8">
        <v>2</v>
      </c>
      <c r="BC39" s="8">
        <v>2</v>
      </c>
      <c r="BD39" s="8">
        <v>2</v>
      </c>
      <c r="BE39" s="8">
        <v>2</v>
      </c>
      <c r="BF39" s="8">
        <v>2</v>
      </c>
      <c r="BG39" s="8">
        <v>2</v>
      </c>
      <c r="BH39" s="8">
        <v>2</v>
      </c>
      <c r="BI39" s="8">
        <v>2</v>
      </c>
      <c r="BJ39" s="8">
        <v>2</v>
      </c>
      <c r="BK39" s="8">
        <v>2</v>
      </c>
      <c r="BL39" s="8">
        <v>2</v>
      </c>
      <c r="BM39" s="8">
        <v>2</v>
      </c>
      <c r="BN39" s="8">
        <v>2</v>
      </c>
      <c r="BO39" s="8">
        <v>2</v>
      </c>
      <c r="BP39" s="8">
        <v>2</v>
      </c>
      <c r="BQ39" s="8">
        <v>2</v>
      </c>
      <c r="BR39" s="8">
        <v>2</v>
      </c>
      <c r="BS39" s="8">
        <v>2</v>
      </c>
      <c r="BT39" s="8">
        <v>2</v>
      </c>
      <c r="BU39" s="8">
        <v>2</v>
      </c>
      <c r="BV39" s="8">
        <v>2</v>
      </c>
      <c r="BW39" s="8">
        <v>2</v>
      </c>
      <c r="BX39" s="8">
        <v>2</v>
      </c>
      <c r="BY39" s="8">
        <v>2</v>
      </c>
      <c r="BZ39" s="8">
        <v>2</v>
      </c>
      <c r="CA39" s="8">
        <v>2</v>
      </c>
      <c r="CB39" s="8">
        <v>2</v>
      </c>
      <c r="CC39" s="8">
        <v>2</v>
      </c>
      <c r="CD39" s="8">
        <v>2</v>
      </c>
      <c r="CE39" s="8">
        <v>2</v>
      </c>
      <c r="CF39" s="8">
        <v>2</v>
      </c>
      <c r="CG39" s="8">
        <v>2</v>
      </c>
      <c r="CH39" s="8">
        <v>2</v>
      </c>
      <c r="CI39" s="8">
        <v>2</v>
      </c>
      <c r="CJ39" s="8">
        <v>2</v>
      </c>
      <c r="CK39" s="8">
        <v>2</v>
      </c>
      <c r="CL39" s="8">
        <v>2</v>
      </c>
      <c r="CM39" s="8">
        <v>2</v>
      </c>
      <c r="CN39" s="8">
        <v>2</v>
      </c>
      <c r="CO39" s="315">
        <v>1</v>
      </c>
      <c r="CP39" s="315">
        <v>1</v>
      </c>
      <c r="CQ39" s="315">
        <v>1</v>
      </c>
      <c r="CR39" s="315">
        <v>1</v>
      </c>
      <c r="CS39" s="315">
        <v>1</v>
      </c>
      <c r="CT39" s="315">
        <v>1</v>
      </c>
      <c r="CU39" s="315">
        <v>1</v>
      </c>
      <c r="CV39" s="315">
        <v>1</v>
      </c>
      <c r="CW39" s="315">
        <v>1</v>
      </c>
      <c r="CX39" s="315">
        <v>1</v>
      </c>
      <c r="CY39" s="315">
        <v>1</v>
      </c>
      <c r="CZ39" s="315">
        <v>1</v>
      </c>
      <c r="DA39" s="315">
        <v>1</v>
      </c>
      <c r="DB39" s="315">
        <v>1</v>
      </c>
      <c r="DC39" s="315">
        <v>1</v>
      </c>
      <c r="DD39" s="315">
        <v>1</v>
      </c>
      <c r="DE39" s="315">
        <v>1</v>
      </c>
      <c r="DF39" s="315">
        <v>1</v>
      </c>
      <c r="DG39" s="315">
        <v>1</v>
      </c>
      <c r="DH39" s="315">
        <v>1</v>
      </c>
      <c r="DI39" s="315">
        <v>1</v>
      </c>
      <c r="DJ39" s="315">
        <v>1</v>
      </c>
      <c r="DK39" s="315">
        <v>1</v>
      </c>
      <c r="DL39" s="315">
        <v>1</v>
      </c>
      <c r="DM39" s="315">
        <v>1</v>
      </c>
      <c r="DN39" s="315">
        <v>1</v>
      </c>
      <c r="DO39" s="315">
        <v>1</v>
      </c>
      <c r="DP39" s="315">
        <v>1</v>
      </c>
      <c r="DQ39" s="315">
        <v>1</v>
      </c>
      <c r="DR39" s="315">
        <v>1</v>
      </c>
      <c r="DS39" s="315">
        <v>1</v>
      </c>
      <c r="DT39" s="315">
        <v>1</v>
      </c>
      <c r="DU39" s="315">
        <v>1</v>
      </c>
      <c r="DV39" s="315">
        <v>1</v>
      </c>
      <c r="DW39" s="315">
        <v>1</v>
      </c>
      <c r="DX39" s="315">
        <v>1</v>
      </c>
      <c r="DY39" s="315">
        <v>1</v>
      </c>
      <c r="DZ39" s="315">
        <v>1</v>
      </c>
      <c r="EA39" s="315">
        <v>1</v>
      </c>
      <c r="EB39" s="315">
        <v>1</v>
      </c>
      <c r="EC39" s="315">
        <v>1</v>
      </c>
      <c r="ED39" s="315">
        <v>1</v>
      </c>
      <c r="EE39" s="315">
        <v>1</v>
      </c>
      <c r="EF39" s="315">
        <v>1</v>
      </c>
      <c r="EG39" s="315">
        <v>1</v>
      </c>
      <c r="EH39" s="315">
        <v>1</v>
      </c>
      <c r="EI39" s="315">
        <v>1</v>
      </c>
      <c r="EJ39" s="315">
        <v>1</v>
      </c>
      <c r="EK39" s="315">
        <v>1</v>
      </c>
      <c r="EL39" s="315">
        <v>1</v>
      </c>
      <c r="EM39" s="315">
        <v>1</v>
      </c>
      <c r="EN39" s="315">
        <v>1</v>
      </c>
      <c r="EO39" s="315">
        <v>1</v>
      </c>
      <c r="EP39" s="315">
        <v>1</v>
      </c>
      <c r="EQ39" s="315">
        <v>1</v>
      </c>
      <c r="ER39" s="315">
        <v>1</v>
      </c>
      <c r="ES39" s="315">
        <v>1</v>
      </c>
      <c r="ET39" s="315">
        <v>1</v>
      </c>
      <c r="EU39" s="315">
        <v>1</v>
      </c>
      <c r="EV39" s="315">
        <v>1</v>
      </c>
      <c r="EW39" s="315">
        <v>1</v>
      </c>
      <c r="EX39" s="315">
        <v>1</v>
      </c>
      <c r="EY39" s="315">
        <v>1</v>
      </c>
      <c r="EZ39" s="315">
        <v>1</v>
      </c>
      <c r="FB39" s="50">
        <f>HLOOKUP(M16,$AU$3:$EZ$104,37,TRUE)</f>
        <v>1</v>
      </c>
      <c r="FD39" s="50">
        <f>HLOOKUP(AL42,$AU$3:$EZ$104,37,TRUE)</f>
        <v>1</v>
      </c>
    </row>
    <row r="40" spans="2:160" ht="17.100000000000001" customHeight="1">
      <c r="B40" s="119"/>
      <c r="C40" s="23"/>
      <c r="D40" s="23"/>
      <c r="E40" s="23"/>
      <c r="F40" s="23"/>
      <c r="G40" s="23"/>
      <c r="H40" s="23"/>
      <c r="I40" s="23"/>
      <c r="J40" s="23"/>
      <c r="K40" s="23"/>
      <c r="L40" s="23"/>
      <c r="M40" s="23"/>
      <c r="N40" s="23"/>
      <c r="O40" s="23"/>
      <c r="P40" s="23"/>
      <c r="Q40" s="23"/>
      <c r="R40" s="23"/>
      <c r="S40" s="23"/>
      <c r="T40" s="23"/>
      <c r="U40" s="23"/>
      <c r="V40" s="23"/>
      <c r="W40" s="23"/>
      <c r="X40" s="23"/>
      <c r="Y40" s="23"/>
      <c r="Z40" s="23"/>
      <c r="AA40" s="23"/>
      <c r="AB40" s="120"/>
      <c r="AK40" s="200" t="s">
        <v>658</v>
      </c>
      <c r="AL40" s="98">
        <f>M13</f>
        <v>80</v>
      </c>
      <c r="AS40" s="69"/>
      <c r="AT40" s="104">
        <v>1.202</v>
      </c>
      <c r="AU40" s="8">
        <v>2</v>
      </c>
      <c r="AV40" s="8">
        <v>2</v>
      </c>
      <c r="AW40" s="8">
        <v>2</v>
      </c>
      <c r="AX40" s="8">
        <v>2</v>
      </c>
      <c r="AY40" s="8">
        <v>2</v>
      </c>
      <c r="AZ40" s="8">
        <v>2</v>
      </c>
      <c r="BA40" s="316">
        <v>2</v>
      </c>
      <c r="BB40" s="8">
        <v>2</v>
      </c>
      <c r="BC40" s="8">
        <v>2</v>
      </c>
      <c r="BD40" s="8">
        <v>2</v>
      </c>
      <c r="BE40" s="8">
        <v>2</v>
      </c>
      <c r="BF40" s="8">
        <v>2</v>
      </c>
      <c r="BG40" s="8">
        <v>2</v>
      </c>
      <c r="BH40" s="8">
        <v>2</v>
      </c>
      <c r="BI40" s="8">
        <v>2</v>
      </c>
      <c r="BJ40" s="8">
        <v>2</v>
      </c>
      <c r="BK40" s="8">
        <v>2</v>
      </c>
      <c r="BL40" s="8">
        <v>2</v>
      </c>
      <c r="BM40" s="8">
        <v>2</v>
      </c>
      <c r="BN40" s="8">
        <v>2</v>
      </c>
      <c r="BO40" s="8">
        <v>2</v>
      </c>
      <c r="BP40" s="8">
        <v>2</v>
      </c>
      <c r="BQ40" s="8">
        <v>2</v>
      </c>
      <c r="BR40" s="8">
        <v>2</v>
      </c>
      <c r="BS40" s="8">
        <v>2</v>
      </c>
      <c r="BT40" s="8">
        <v>2</v>
      </c>
      <c r="BU40" s="8">
        <v>2</v>
      </c>
      <c r="BV40" s="8">
        <v>2</v>
      </c>
      <c r="BW40" s="8">
        <v>2</v>
      </c>
      <c r="BX40" s="8">
        <v>2</v>
      </c>
      <c r="BY40" s="8">
        <v>2</v>
      </c>
      <c r="BZ40" s="8">
        <v>2</v>
      </c>
      <c r="CA40" s="8">
        <v>2</v>
      </c>
      <c r="CB40" s="8">
        <v>2</v>
      </c>
      <c r="CC40" s="8">
        <v>2</v>
      </c>
      <c r="CD40" s="8">
        <v>2</v>
      </c>
      <c r="CE40" s="8">
        <v>2</v>
      </c>
      <c r="CF40" s="8">
        <v>2</v>
      </c>
      <c r="CG40" s="8">
        <v>2</v>
      </c>
      <c r="CH40" s="8">
        <v>2</v>
      </c>
      <c r="CI40" s="8">
        <v>2</v>
      </c>
      <c r="CJ40" s="8">
        <v>2</v>
      </c>
      <c r="CK40" s="8">
        <v>2</v>
      </c>
      <c r="CL40" s="8">
        <v>2</v>
      </c>
      <c r="CM40" s="8">
        <v>2</v>
      </c>
      <c r="CN40" s="8">
        <v>2</v>
      </c>
      <c r="CO40" s="8">
        <v>2</v>
      </c>
      <c r="CP40" s="315">
        <v>1</v>
      </c>
      <c r="CQ40" s="315">
        <v>1</v>
      </c>
      <c r="CR40" s="315">
        <v>1</v>
      </c>
      <c r="CS40" s="315">
        <v>1</v>
      </c>
      <c r="CT40" s="315">
        <v>1</v>
      </c>
      <c r="CU40" s="315">
        <v>1</v>
      </c>
      <c r="CV40" s="315">
        <v>1</v>
      </c>
      <c r="CW40" s="315">
        <v>1</v>
      </c>
      <c r="CX40" s="315">
        <v>1</v>
      </c>
      <c r="CY40" s="315">
        <v>1</v>
      </c>
      <c r="CZ40" s="315">
        <v>1</v>
      </c>
      <c r="DA40" s="315">
        <v>1</v>
      </c>
      <c r="DB40" s="315">
        <v>1</v>
      </c>
      <c r="DC40" s="315">
        <v>1</v>
      </c>
      <c r="DD40" s="315">
        <v>1</v>
      </c>
      <c r="DE40" s="315">
        <v>1</v>
      </c>
      <c r="DF40" s="315">
        <v>1</v>
      </c>
      <c r="DG40" s="315">
        <v>1</v>
      </c>
      <c r="DH40" s="315">
        <v>1</v>
      </c>
      <c r="DI40" s="315">
        <v>1</v>
      </c>
      <c r="DJ40" s="315">
        <v>1</v>
      </c>
      <c r="DK40" s="315">
        <v>1</v>
      </c>
      <c r="DL40" s="315">
        <v>1</v>
      </c>
      <c r="DM40" s="315">
        <v>1</v>
      </c>
      <c r="DN40" s="315">
        <v>1</v>
      </c>
      <c r="DO40" s="315">
        <v>1</v>
      </c>
      <c r="DP40" s="315">
        <v>1</v>
      </c>
      <c r="DQ40" s="315">
        <v>1</v>
      </c>
      <c r="DR40" s="315">
        <v>1</v>
      </c>
      <c r="DS40" s="315">
        <v>1</v>
      </c>
      <c r="DT40" s="315">
        <v>1</v>
      </c>
      <c r="DU40" s="315">
        <v>1</v>
      </c>
      <c r="DV40" s="315">
        <v>1</v>
      </c>
      <c r="DW40" s="315">
        <v>1</v>
      </c>
      <c r="DX40" s="315">
        <v>1</v>
      </c>
      <c r="DY40" s="315">
        <v>1</v>
      </c>
      <c r="DZ40" s="315">
        <v>1</v>
      </c>
      <c r="EA40" s="315">
        <v>1</v>
      </c>
      <c r="EB40" s="315">
        <v>1</v>
      </c>
      <c r="EC40" s="315">
        <v>1</v>
      </c>
      <c r="ED40" s="315">
        <v>1</v>
      </c>
      <c r="EE40" s="315">
        <v>1</v>
      </c>
      <c r="EF40" s="315">
        <v>1</v>
      </c>
      <c r="EG40" s="315">
        <v>1</v>
      </c>
      <c r="EH40" s="315">
        <v>1</v>
      </c>
      <c r="EI40" s="315">
        <v>1</v>
      </c>
      <c r="EJ40" s="315">
        <v>1</v>
      </c>
      <c r="EK40" s="315">
        <v>1</v>
      </c>
      <c r="EL40" s="315">
        <v>1</v>
      </c>
      <c r="EM40" s="315">
        <v>1</v>
      </c>
      <c r="EN40" s="315">
        <v>1</v>
      </c>
      <c r="EO40" s="315">
        <v>1</v>
      </c>
      <c r="EP40" s="315">
        <v>1</v>
      </c>
      <c r="EQ40" s="315">
        <v>1</v>
      </c>
      <c r="ER40" s="315">
        <v>1</v>
      </c>
      <c r="ES40" s="315">
        <v>1</v>
      </c>
      <c r="ET40" s="315">
        <v>1</v>
      </c>
      <c r="EU40" s="315">
        <v>1</v>
      </c>
      <c r="EV40" s="315">
        <v>1</v>
      </c>
      <c r="EW40" s="315">
        <v>1</v>
      </c>
      <c r="EX40" s="315">
        <v>1</v>
      </c>
      <c r="EY40" s="315">
        <v>1</v>
      </c>
      <c r="EZ40" s="315">
        <v>1</v>
      </c>
      <c r="FB40" s="50">
        <f>HLOOKUP(M16,$AU$3:$EZ$104,38,TRUE)</f>
        <v>1</v>
      </c>
      <c r="FD40" s="50">
        <f>HLOOKUP(AL42,$AU$3:$EZ$104,38,TRUE)</f>
        <v>1</v>
      </c>
    </row>
    <row r="41" spans="2:160" ht="17.100000000000001" customHeight="1">
      <c r="B41" s="119"/>
      <c r="C41" s="23"/>
      <c r="D41" s="23"/>
      <c r="E41" s="23"/>
      <c r="F41" s="23"/>
      <c r="G41" s="23"/>
      <c r="H41" s="23"/>
      <c r="I41" s="23"/>
      <c r="J41" s="23"/>
      <c r="K41" s="23"/>
      <c r="L41" s="23"/>
      <c r="M41" s="23"/>
      <c r="N41" s="23"/>
      <c r="O41" s="23"/>
      <c r="P41" s="23"/>
      <c r="Q41" s="23"/>
      <c r="R41" s="23"/>
      <c r="S41" s="23"/>
      <c r="T41" s="23"/>
      <c r="U41" s="23"/>
      <c r="V41" s="23"/>
      <c r="W41" s="23"/>
      <c r="X41" s="23"/>
      <c r="Y41" s="23"/>
      <c r="Z41" s="23"/>
      <c r="AA41" s="23"/>
      <c r="AB41" s="120"/>
      <c r="AK41" s="200" t="s">
        <v>659</v>
      </c>
      <c r="AL41" s="98">
        <f>M13+AL40</f>
        <v>160</v>
      </c>
      <c r="AS41" s="69"/>
      <c r="AT41" s="104">
        <v>1.288</v>
      </c>
      <c r="AU41" s="8">
        <v>2</v>
      </c>
      <c r="AV41" s="8">
        <v>2</v>
      </c>
      <c r="AW41" s="8">
        <v>2</v>
      </c>
      <c r="AX41" s="8">
        <v>2</v>
      </c>
      <c r="AY41" s="8">
        <v>2</v>
      </c>
      <c r="AZ41" s="8">
        <v>2</v>
      </c>
      <c r="BA41" s="316">
        <v>2</v>
      </c>
      <c r="BB41" s="8">
        <v>2</v>
      </c>
      <c r="BC41" s="8">
        <v>2</v>
      </c>
      <c r="BD41" s="8">
        <v>2</v>
      </c>
      <c r="BE41" s="8">
        <v>2</v>
      </c>
      <c r="BF41" s="8">
        <v>2</v>
      </c>
      <c r="BG41" s="8">
        <v>2</v>
      </c>
      <c r="BH41" s="8">
        <v>2</v>
      </c>
      <c r="BI41" s="8">
        <v>2</v>
      </c>
      <c r="BJ41" s="8">
        <v>2</v>
      </c>
      <c r="BK41" s="8">
        <v>2</v>
      </c>
      <c r="BL41" s="8">
        <v>2</v>
      </c>
      <c r="BM41" s="8">
        <v>2</v>
      </c>
      <c r="BN41" s="8">
        <v>2</v>
      </c>
      <c r="BO41" s="8">
        <v>2</v>
      </c>
      <c r="BP41" s="8">
        <v>2</v>
      </c>
      <c r="BQ41" s="8">
        <v>2</v>
      </c>
      <c r="BR41" s="8">
        <v>2</v>
      </c>
      <c r="BS41" s="8">
        <v>2</v>
      </c>
      <c r="BT41" s="8">
        <v>2</v>
      </c>
      <c r="BU41" s="8">
        <v>2</v>
      </c>
      <c r="BV41" s="8">
        <v>2</v>
      </c>
      <c r="BW41" s="8">
        <v>2</v>
      </c>
      <c r="BX41" s="8">
        <v>2</v>
      </c>
      <c r="BY41" s="8">
        <v>2</v>
      </c>
      <c r="BZ41" s="8">
        <v>2</v>
      </c>
      <c r="CA41" s="8">
        <v>2</v>
      </c>
      <c r="CB41" s="8">
        <v>2</v>
      </c>
      <c r="CC41" s="8">
        <v>2</v>
      </c>
      <c r="CD41" s="8">
        <v>2</v>
      </c>
      <c r="CE41" s="8">
        <v>2</v>
      </c>
      <c r="CF41" s="8">
        <v>2</v>
      </c>
      <c r="CG41" s="8">
        <v>2</v>
      </c>
      <c r="CH41" s="8">
        <v>2</v>
      </c>
      <c r="CI41" s="8">
        <v>2</v>
      </c>
      <c r="CJ41" s="8">
        <v>2</v>
      </c>
      <c r="CK41" s="8">
        <v>2</v>
      </c>
      <c r="CL41" s="8">
        <v>2</v>
      </c>
      <c r="CM41" s="8">
        <v>2</v>
      </c>
      <c r="CN41" s="8">
        <v>2</v>
      </c>
      <c r="CO41" s="8">
        <v>2</v>
      </c>
      <c r="CP41" s="8">
        <v>2</v>
      </c>
      <c r="CQ41" s="8">
        <v>2</v>
      </c>
      <c r="CR41" s="315">
        <v>1</v>
      </c>
      <c r="CS41" s="315">
        <v>1</v>
      </c>
      <c r="CT41" s="315">
        <v>1</v>
      </c>
      <c r="CU41" s="315">
        <v>1</v>
      </c>
      <c r="CV41" s="315">
        <v>1</v>
      </c>
      <c r="CW41" s="315">
        <v>1</v>
      </c>
      <c r="CX41" s="315">
        <v>1</v>
      </c>
      <c r="CY41" s="315">
        <v>1</v>
      </c>
      <c r="CZ41" s="315">
        <v>1</v>
      </c>
      <c r="DA41" s="315">
        <v>1</v>
      </c>
      <c r="DB41" s="315">
        <v>1</v>
      </c>
      <c r="DC41" s="315">
        <v>1</v>
      </c>
      <c r="DD41" s="315">
        <v>1</v>
      </c>
      <c r="DE41" s="315">
        <v>1</v>
      </c>
      <c r="DF41" s="315">
        <v>1</v>
      </c>
      <c r="DG41" s="315">
        <v>1</v>
      </c>
      <c r="DH41" s="315">
        <v>1</v>
      </c>
      <c r="DI41" s="315">
        <v>1</v>
      </c>
      <c r="DJ41" s="315">
        <v>1</v>
      </c>
      <c r="DK41" s="315">
        <v>1</v>
      </c>
      <c r="DL41" s="315">
        <v>1</v>
      </c>
      <c r="DM41" s="315">
        <v>1</v>
      </c>
      <c r="DN41" s="315">
        <v>1</v>
      </c>
      <c r="DO41" s="315">
        <v>1</v>
      </c>
      <c r="DP41" s="315">
        <v>1</v>
      </c>
      <c r="DQ41" s="315">
        <v>1</v>
      </c>
      <c r="DR41" s="315">
        <v>1</v>
      </c>
      <c r="DS41" s="315">
        <v>1</v>
      </c>
      <c r="DT41" s="315">
        <v>1</v>
      </c>
      <c r="DU41" s="315">
        <v>1</v>
      </c>
      <c r="DV41" s="315">
        <v>1</v>
      </c>
      <c r="DW41" s="315">
        <v>1</v>
      </c>
      <c r="DX41" s="315">
        <v>1</v>
      </c>
      <c r="DY41" s="315">
        <v>1</v>
      </c>
      <c r="DZ41" s="315">
        <v>1</v>
      </c>
      <c r="EA41" s="315">
        <v>1</v>
      </c>
      <c r="EB41" s="315">
        <v>1</v>
      </c>
      <c r="EC41" s="315">
        <v>1</v>
      </c>
      <c r="ED41" s="315">
        <v>1</v>
      </c>
      <c r="EE41" s="315">
        <v>1</v>
      </c>
      <c r="EF41" s="315">
        <v>1</v>
      </c>
      <c r="EG41" s="315">
        <v>1</v>
      </c>
      <c r="EH41" s="315">
        <v>1</v>
      </c>
      <c r="EI41" s="315">
        <v>1</v>
      </c>
      <c r="EJ41" s="315">
        <v>1</v>
      </c>
      <c r="EK41" s="315">
        <v>1</v>
      </c>
      <c r="EL41" s="315">
        <v>1</v>
      </c>
      <c r="EM41" s="315">
        <v>1</v>
      </c>
      <c r="EN41" s="315">
        <v>1</v>
      </c>
      <c r="EO41" s="315">
        <v>1</v>
      </c>
      <c r="EP41" s="315">
        <v>1</v>
      </c>
      <c r="EQ41" s="315">
        <v>1</v>
      </c>
      <c r="ER41" s="315">
        <v>1</v>
      </c>
      <c r="ES41" s="315">
        <v>1</v>
      </c>
      <c r="ET41" s="315">
        <v>1</v>
      </c>
      <c r="EU41" s="315">
        <v>1</v>
      </c>
      <c r="EV41" s="315">
        <v>1</v>
      </c>
      <c r="EW41" s="315">
        <v>1</v>
      </c>
      <c r="EX41" s="315">
        <v>1</v>
      </c>
      <c r="EY41" s="315">
        <v>1</v>
      </c>
      <c r="EZ41" s="315">
        <v>1</v>
      </c>
      <c r="FB41" s="50">
        <f>HLOOKUP(M16,$AU$3:$EZ$104,39,TRUE)</f>
        <v>1</v>
      </c>
      <c r="FD41" s="50">
        <f>HLOOKUP(AL42,$AU$3:$EZ$104,39,TRUE)</f>
        <v>1</v>
      </c>
    </row>
    <row r="42" spans="2:160" ht="17.100000000000001" customHeight="1">
      <c r="B42" s="119"/>
      <c r="C42" s="23"/>
      <c r="D42" s="23"/>
      <c r="E42" s="23"/>
      <c r="F42" s="23"/>
      <c r="G42" s="23"/>
      <c r="H42" s="23"/>
      <c r="I42" s="23"/>
      <c r="J42" s="23"/>
      <c r="K42" s="23"/>
      <c r="L42" s="23"/>
      <c r="M42" s="23"/>
      <c r="N42" s="23"/>
      <c r="O42" s="23"/>
      <c r="P42" s="23"/>
      <c r="Q42" s="23"/>
      <c r="R42" s="23"/>
      <c r="S42" s="23"/>
      <c r="T42" s="23"/>
      <c r="U42" s="23"/>
      <c r="V42" s="23"/>
      <c r="W42" s="23"/>
      <c r="X42" s="23"/>
      <c r="Y42" s="23"/>
      <c r="Z42" s="23"/>
      <c r="AA42" s="23"/>
      <c r="AB42" s="120"/>
      <c r="AK42" s="200" t="s">
        <v>251</v>
      </c>
      <c r="AL42" s="98">
        <f>+'wind pressure'!AN22</f>
        <v>68</v>
      </c>
      <c r="AM42" s="333" t="s">
        <v>523</v>
      </c>
      <c r="AS42" s="69"/>
      <c r="AT42" s="104">
        <v>1.38</v>
      </c>
      <c r="AU42" s="8">
        <v>2</v>
      </c>
      <c r="AV42" s="8">
        <v>2</v>
      </c>
      <c r="AW42" s="8">
        <v>2</v>
      </c>
      <c r="AX42" s="8">
        <v>2</v>
      </c>
      <c r="AY42" s="8">
        <v>2</v>
      </c>
      <c r="AZ42" s="8">
        <v>2</v>
      </c>
      <c r="BA42" s="316">
        <v>2</v>
      </c>
      <c r="BB42" s="8">
        <v>2</v>
      </c>
      <c r="BC42" s="8">
        <v>2</v>
      </c>
      <c r="BD42" s="8">
        <v>2</v>
      </c>
      <c r="BE42" s="8">
        <v>2</v>
      </c>
      <c r="BF42" s="8">
        <v>2</v>
      </c>
      <c r="BG42" s="8">
        <v>2</v>
      </c>
      <c r="BH42" s="8">
        <v>2</v>
      </c>
      <c r="BI42" s="8">
        <v>2</v>
      </c>
      <c r="BJ42" s="8">
        <v>2</v>
      </c>
      <c r="BK42" s="8">
        <v>2</v>
      </c>
      <c r="BL42" s="8">
        <v>2</v>
      </c>
      <c r="BM42" s="8">
        <v>2</v>
      </c>
      <c r="BN42" s="8">
        <v>2</v>
      </c>
      <c r="BO42" s="8">
        <v>2</v>
      </c>
      <c r="BP42" s="8">
        <v>2</v>
      </c>
      <c r="BQ42" s="8">
        <v>2</v>
      </c>
      <c r="BR42" s="8">
        <v>2</v>
      </c>
      <c r="BS42" s="8">
        <v>2</v>
      </c>
      <c r="BT42" s="8">
        <v>2</v>
      </c>
      <c r="BU42" s="8">
        <v>2</v>
      </c>
      <c r="BV42" s="8">
        <v>2</v>
      </c>
      <c r="BW42" s="8">
        <v>2</v>
      </c>
      <c r="BX42" s="8">
        <v>2</v>
      </c>
      <c r="BY42" s="8">
        <v>2</v>
      </c>
      <c r="BZ42" s="8">
        <v>2</v>
      </c>
      <c r="CA42" s="8">
        <v>2</v>
      </c>
      <c r="CB42" s="8">
        <v>2</v>
      </c>
      <c r="CC42" s="8">
        <v>2</v>
      </c>
      <c r="CD42" s="8">
        <v>2</v>
      </c>
      <c r="CE42" s="8">
        <v>2</v>
      </c>
      <c r="CF42" s="8">
        <v>2</v>
      </c>
      <c r="CG42" s="8">
        <v>2</v>
      </c>
      <c r="CH42" s="8">
        <v>2</v>
      </c>
      <c r="CI42" s="8">
        <v>2</v>
      </c>
      <c r="CJ42" s="8">
        <v>2</v>
      </c>
      <c r="CK42" s="8">
        <v>2</v>
      </c>
      <c r="CL42" s="8">
        <v>2</v>
      </c>
      <c r="CM42" s="8">
        <v>2</v>
      </c>
      <c r="CN42" s="8">
        <v>2</v>
      </c>
      <c r="CO42" s="8">
        <v>2</v>
      </c>
      <c r="CP42" s="8">
        <v>2</v>
      </c>
      <c r="CQ42" s="8">
        <v>2</v>
      </c>
      <c r="CR42" s="8">
        <v>2</v>
      </c>
      <c r="CS42" s="315">
        <v>1</v>
      </c>
      <c r="CT42" s="315">
        <v>1</v>
      </c>
      <c r="CU42" s="315">
        <v>1</v>
      </c>
      <c r="CV42" s="315">
        <v>1</v>
      </c>
      <c r="CW42" s="315">
        <v>1</v>
      </c>
      <c r="CX42" s="315">
        <v>1</v>
      </c>
      <c r="CY42" s="315">
        <v>1</v>
      </c>
      <c r="CZ42" s="315">
        <v>1</v>
      </c>
      <c r="DA42" s="315">
        <v>1</v>
      </c>
      <c r="DB42" s="315">
        <v>1</v>
      </c>
      <c r="DC42" s="315">
        <v>1</v>
      </c>
      <c r="DD42" s="315">
        <v>1</v>
      </c>
      <c r="DE42" s="315">
        <v>1</v>
      </c>
      <c r="DF42" s="315">
        <v>1</v>
      </c>
      <c r="DG42" s="315">
        <v>1</v>
      </c>
      <c r="DH42" s="315">
        <v>1</v>
      </c>
      <c r="DI42" s="315">
        <v>1</v>
      </c>
      <c r="DJ42" s="315">
        <v>1</v>
      </c>
      <c r="DK42" s="315">
        <v>1</v>
      </c>
      <c r="DL42" s="315">
        <v>1</v>
      </c>
      <c r="DM42" s="315">
        <v>1</v>
      </c>
      <c r="DN42" s="315">
        <v>1</v>
      </c>
      <c r="DO42" s="315">
        <v>1</v>
      </c>
      <c r="DP42" s="315">
        <v>1</v>
      </c>
      <c r="DQ42" s="315">
        <v>1</v>
      </c>
      <c r="DR42" s="315">
        <v>1</v>
      </c>
      <c r="DS42" s="315">
        <v>1</v>
      </c>
      <c r="DT42" s="315">
        <v>1</v>
      </c>
      <c r="DU42" s="315">
        <v>1</v>
      </c>
      <c r="DV42" s="315">
        <v>1</v>
      </c>
      <c r="DW42" s="315">
        <v>1</v>
      </c>
      <c r="DX42" s="315">
        <v>1</v>
      </c>
      <c r="DY42" s="315">
        <v>1</v>
      </c>
      <c r="DZ42" s="315">
        <v>1</v>
      </c>
      <c r="EA42" s="315">
        <v>1</v>
      </c>
      <c r="EB42" s="315">
        <v>1</v>
      </c>
      <c r="EC42" s="315">
        <v>1</v>
      </c>
      <c r="ED42" s="315">
        <v>1</v>
      </c>
      <c r="EE42" s="315">
        <v>1</v>
      </c>
      <c r="EF42" s="315">
        <v>1</v>
      </c>
      <c r="EG42" s="315">
        <v>1</v>
      </c>
      <c r="EH42" s="315">
        <v>1</v>
      </c>
      <c r="EI42" s="315">
        <v>1</v>
      </c>
      <c r="EJ42" s="315">
        <v>1</v>
      </c>
      <c r="EK42" s="315">
        <v>1</v>
      </c>
      <c r="EL42" s="315">
        <v>1</v>
      </c>
      <c r="EM42" s="315">
        <v>1</v>
      </c>
      <c r="EN42" s="315">
        <v>1</v>
      </c>
      <c r="EO42" s="315">
        <v>1</v>
      </c>
      <c r="EP42" s="315">
        <v>1</v>
      </c>
      <c r="EQ42" s="315">
        <v>1</v>
      </c>
      <c r="ER42" s="315">
        <v>1</v>
      </c>
      <c r="ES42" s="315">
        <v>1</v>
      </c>
      <c r="ET42" s="315">
        <v>1</v>
      </c>
      <c r="EU42" s="315">
        <v>1</v>
      </c>
      <c r="EV42" s="315">
        <v>1</v>
      </c>
      <c r="EW42" s="315">
        <v>1</v>
      </c>
      <c r="EX42" s="315">
        <v>1</v>
      </c>
      <c r="EY42" s="315">
        <v>1</v>
      </c>
      <c r="EZ42" s="315">
        <v>1</v>
      </c>
      <c r="FB42" s="50">
        <f>HLOOKUP(M16,$AU$3:$EZ$104,40,TRUE)</f>
        <v>1</v>
      </c>
      <c r="FD42" s="50">
        <f>HLOOKUP(AL42,$AU$3:$EZ$104,40,TRUE)</f>
        <v>1</v>
      </c>
    </row>
    <row r="43" spans="2:160" ht="17.100000000000001" customHeight="1">
      <c r="B43" s="119"/>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120"/>
      <c r="AK43" s="45" t="s">
        <v>252</v>
      </c>
      <c r="AL43" s="45" t="str">
        <f>VLOOKUP(TRUE,AO36:AR38,2,FALSE)</f>
        <v>C</v>
      </c>
      <c r="AS43" s="69"/>
      <c r="AT43" s="104">
        <v>1.4790000000000001</v>
      </c>
      <c r="AU43" s="8">
        <v>2</v>
      </c>
      <c r="AV43" s="8">
        <v>2</v>
      </c>
      <c r="AW43" s="8">
        <v>2</v>
      </c>
      <c r="AX43" s="8">
        <v>2</v>
      </c>
      <c r="AY43" s="8">
        <v>2</v>
      </c>
      <c r="AZ43" s="8">
        <v>2</v>
      </c>
      <c r="BA43" s="316">
        <v>2</v>
      </c>
      <c r="BB43" s="8">
        <v>2</v>
      </c>
      <c r="BC43" s="8">
        <v>2</v>
      </c>
      <c r="BD43" s="8">
        <v>2</v>
      </c>
      <c r="BE43" s="8">
        <v>2</v>
      </c>
      <c r="BF43" s="8">
        <v>2</v>
      </c>
      <c r="BG43" s="8">
        <v>2</v>
      </c>
      <c r="BH43" s="8">
        <v>2</v>
      </c>
      <c r="BI43" s="8">
        <v>2</v>
      </c>
      <c r="BJ43" s="8">
        <v>2</v>
      </c>
      <c r="BK43" s="8">
        <v>2</v>
      </c>
      <c r="BL43" s="8">
        <v>2</v>
      </c>
      <c r="BM43" s="8">
        <v>2</v>
      </c>
      <c r="BN43" s="8">
        <v>2</v>
      </c>
      <c r="BO43" s="8">
        <v>2</v>
      </c>
      <c r="BP43" s="8">
        <v>2</v>
      </c>
      <c r="BQ43" s="8">
        <v>2</v>
      </c>
      <c r="BR43" s="8">
        <v>2</v>
      </c>
      <c r="BS43" s="8">
        <v>2</v>
      </c>
      <c r="BT43" s="8">
        <v>2</v>
      </c>
      <c r="BU43" s="8">
        <v>2</v>
      </c>
      <c r="BV43" s="8">
        <v>2</v>
      </c>
      <c r="BW43" s="8">
        <v>2</v>
      </c>
      <c r="BX43" s="8">
        <v>2</v>
      </c>
      <c r="BY43" s="8">
        <v>2</v>
      </c>
      <c r="BZ43" s="8">
        <v>2</v>
      </c>
      <c r="CA43" s="8">
        <v>2</v>
      </c>
      <c r="CB43" s="8">
        <v>2</v>
      </c>
      <c r="CC43" s="8">
        <v>2</v>
      </c>
      <c r="CD43" s="8">
        <v>2</v>
      </c>
      <c r="CE43" s="8">
        <v>2</v>
      </c>
      <c r="CF43" s="8">
        <v>2</v>
      </c>
      <c r="CG43" s="8">
        <v>2</v>
      </c>
      <c r="CH43" s="8">
        <v>2</v>
      </c>
      <c r="CI43" s="8">
        <v>2</v>
      </c>
      <c r="CJ43" s="8">
        <v>2</v>
      </c>
      <c r="CK43" s="8">
        <v>2</v>
      </c>
      <c r="CL43" s="8">
        <v>2</v>
      </c>
      <c r="CM43" s="8">
        <v>2</v>
      </c>
      <c r="CN43" s="8">
        <v>2</v>
      </c>
      <c r="CO43" s="8">
        <v>2</v>
      </c>
      <c r="CP43" s="8">
        <v>2</v>
      </c>
      <c r="CQ43" s="8">
        <v>2</v>
      </c>
      <c r="CR43" s="8">
        <v>2</v>
      </c>
      <c r="CS43" s="8">
        <v>2</v>
      </c>
      <c r="CT43" s="315">
        <v>1</v>
      </c>
      <c r="CU43" s="315">
        <v>1</v>
      </c>
      <c r="CV43" s="315">
        <v>1</v>
      </c>
      <c r="CW43" s="315">
        <v>1</v>
      </c>
      <c r="CX43" s="315">
        <v>1</v>
      </c>
      <c r="CY43" s="315">
        <v>1</v>
      </c>
      <c r="CZ43" s="315">
        <v>1</v>
      </c>
      <c r="DA43" s="315">
        <v>1</v>
      </c>
      <c r="DB43" s="315">
        <v>1</v>
      </c>
      <c r="DC43" s="315">
        <v>1</v>
      </c>
      <c r="DD43" s="315">
        <v>1</v>
      </c>
      <c r="DE43" s="315">
        <v>1</v>
      </c>
      <c r="DF43" s="315">
        <v>1</v>
      </c>
      <c r="DG43" s="315">
        <v>1</v>
      </c>
      <c r="DH43" s="315">
        <v>1</v>
      </c>
      <c r="DI43" s="315">
        <v>1</v>
      </c>
      <c r="DJ43" s="315">
        <v>1</v>
      </c>
      <c r="DK43" s="315">
        <v>1</v>
      </c>
      <c r="DL43" s="315">
        <v>1</v>
      </c>
      <c r="DM43" s="315">
        <v>1</v>
      </c>
      <c r="DN43" s="315">
        <v>1</v>
      </c>
      <c r="DO43" s="315">
        <v>1</v>
      </c>
      <c r="DP43" s="315">
        <v>1</v>
      </c>
      <c r="DQ43" s="315">
        <v>1</v>
      </c>
      <c r="DR43" s="315">
        <v>1</v>
      </c>
      <c r="DS43" s="315">
        <v>1</v>
      </c>
      <c r="DT43" s="315">
        <v>1</v>
      </c>
      <c r="DU43" s="315">
        <v>1</v>
      </c>
      <c r="DV43" s="315">
        <v>1</v>
      </c>
      <c r="DW43" s="315">
        <v>1</v>
      </c>
      <c r="DX43" s="315">
        <v>1</v>
      </c>
      <c r="DY43" s="315">
        <v>1</v>
      </c>
      <c r="DZ43" s="315">
        <v>1</v>
      </c>
      <c r="EA43" s="315">
        <v>1</v>
      </c>
      <c r="EB43" s="315">
        <v>1</v>
      </c>
      <c r="EC43" s="315">
        <v>1</v>
      </c>
      <c r="ED43" s="315">
        <v>1</v>
      </c>
      <c r="EE43" s="315">
        <v>1</v>
      </c>
      <c r="EF43" s="315">
        <v>1</v>
      </c>
      <c r="EG43" s="315">
        <v>1</v>
      </c>
      <c r="EH43" s="315">
        <v>1</v>
      </c>
      <c r="EI43" s="315">
        <v>1</v>
      </c>
      <c r="EJ43" s="315">
        <v>1</v>
      </c>
      <c r="EK43" s="315">
        <v>1</v>
      </c>
      <c r="EL43" s="315">
        <v>1</v>
      </c>
      <c r="EM43" s="315">
        <v>1</v>
      </c>
      <c r="EN43" s="315">
        <v>1</v>
      </c>
      <c r="EO43" s="315">
        <v>1</v>
      </c>
      <c r="EP43" s="315">
        <v>1</v>
      </c>
      <c r="EQ43" s="315">
        <v>1</v>
      </c>
      <c r="ER43" s="315">
        <v>1</v>
      </c>
      <c r="ES43" s="315">
        <v>1</v>
      </c>
      <c r="ET43" s="315">
        <v>1</v>
      </c>
      <c r="EU43" s="315">
        <v>1</v>
      </c>
      <c r="EV43" s="315">
        <v>1</v>
      </c>
      <c r="EW43" s="315">
        <v>1</v>
      </c>
      <c r="EX43" s="315">
        <v>1</v>
      </c>
      <c r="EY43" s="315">
        <v>1</v>
      </c>
      <c r="EZ43" s="315">
        <v>1</v>
      </c>
      <c r="FB43" s="50">
        <f>HLOOKUP(M16,$AU$3:$EZ$104,41,TRUE)</f>
        <v>1</v>
      </c>
      <c r="FD43" s="50">
        <f>HLOOKUP(AL42,$AU$3:$EZ$104,41,TRUE)</f>
        <v>1</v>
      </c>
    </row>
    <row r="44" spans="2:160" ht="17.100000000000001" customHeight="1">
      <c r="B44" s="119"/>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120"/>
      <c r="AK44" s="45" t="s">
        <v>253</v>
      </c>
      <c r="AL44" s="45">
        <f ca="1">VLOOKUP(TRUE,AO36:AR38,4,FALSE)</f>
        <v>0.79320000000000013</v>
      </c>
      <c r="AS44" s="69"/>
      <c r="AT44" s="104">
        <v>1.585</v>
      </c>
      <c r="AU44" s="8">
        <v>2</v>
      </c>
      <c r="AV44" s="8">
        <v>2</v>
      </c>
      <c r="AW44" s="8">
        <v>2</v>
      </c>
      <c r="AX44" s="8">
        <v>2</v>
      </c>
      <c r="AY44" s="8">
        <v>2</v>
      </c>
      <c r="AZ44" s="8">
        <v>2</v>
      </c>
      <c r="BA44" s="316">
        <v>2</v>
      </c>
      <c r="BB44" s="8">
        <v>2</v>
      </c>
      <c r="BC44" s="8">
        <v>2</v>
      </c>
      <c r="BD44" s="8">
        <v>2</v>
      </c>
      <c r="BE44" s="8">
        <v>2</v>
      </c>
      <c r="BF44" s="8">
        <v>2</v>
      </c>
      <c r="BG44" s="8">
        <v>2</v>
      </c>
      <c r="BH44" s="8">
        <v>2</v>
      </c>
      <c r="BI44" s="8">
        <v>2</v>
      </c>
      <c r="BJ44" s="8">
        <v>2</v>
      </c>
      <c r="BK44" s="8">
        <v>2</v>
      </c>
      <c r="BL44" s="8">
        <v>2</v>
      </c>
      <c r="BM44" s="8">
        <v>2</v>
      </c>
      <c r="BN44" s="8">
        <v>2</v>
      </c>
      <c r="BO44" s="8">
        <v>2</v>
      </c>
      <c r="BP44" s="8">
        <v>2</v>
      </c>
      <c r="BQ44" s="8">
        <v>2</v>
      </c>
      <c r="BR44" s="8">
        <v>2</v>
      </c>
      <c r="BS44" s="8">
        <v>2</v>
      </c>
      <c r="BT44" s="8">
        <v>2</v>
      </c>
      <c r="BU44" s="8">
        <v>2</v>
      </c>
      <c r="BV44" s="8">
        <v>2</v>
      </c>
      <c r="BW44" s="8">
        <v>2</v>
      </c>
      <c r="BX44" s="8">
        <v>2</v>
      </c>
      <c r="BY44" s="8">
        <v>2</v>
      </c>
      <c r="BZ44" s="8">
        <v>2</v>
      </c>
      <c r="CA44" s="8">
        <v>2</v>
      </c>
      <c r="CB44" s="8">
        <v>2</v>
      </c>
      <c r="CC44" s="8">
        <v>2</v>
      </c>
      <c r="CD44" s="8">
        <v>2</v>
      </c>
      <c r="CE44" s="8">
        <v>2</v>
      </c>
      <c r="CF44" s="8">
        <v>2</v>
      </c>
      <c r="CG44" s="8">
        <v>2</v>
      </c>
      <c r="CH44" s="8">
        <v>2</v>
      </c>
      <c r="CI44" s="8">
        <v>2</v>
      </c>
      <c r="CJ44" s="8">
        <v>2</v>
      </c>
      <c r="CK44" s="8">
        <v>2</v>
      </c>
      <c r="CL44" s="8">
        <v>2</v>
      </c>
      <c r="CM44" s="8">
        <v>2</v>
      </c>
      <c r="CN44" s="8">
        <v>2</v>
      </c>
      <c r="CO44" s="8">
        <v>2</v>
      </c>
      <c r="CP44" s="8">
        <v>2</v>
      </c>
      <c r="CQ44" s="8">
        <v>2</v>
      </c>
      <c r="CR44" s="8">
        <v>2</v>
      </c>
      <c r="CS44" s="8">
        <v>2</v>
      </c>
      <c r="CT44" s="8">
        <v>2</v>
      </c>
      <c r="CU44" s="315">
        <v>1</v>
      </c>
      <c r="CV44" s="315">
        <v>1</v>
      </c>
      <c r="CW44" s="315">
        <v>1</v>
      </c>
      <c r="CX44" s="315">
        <v>1</v>
      </c>
      <c r="CY44" s="315">
        <v>1</v>
      </c>
      <c r="CZ44" s="315">
        <v>1</v>
      </c>
      <c r="DA44" s="315">
        <v>1</v>
      </c>
      <c r="DB44" s="315">
        <v>1</v>
      </c>
      <c r="DC44" s="315">
        <v>1</v>
      </c>
      <c r="DD44" s="315">
        <v>1</v>
      </c>
      <c r="DE44" s="315">
        <v>1</v>
      </c>
      <c r="DF44" s="315">
        <v>1</v>
      </c>
      <c r="DG44" s="315">
        <v>1</v>
      </c>
      <c r="DH44" s="315">
        <v>1</v>
      </c>
      <c r="DI44" s="315">
        <v>1</v>
      </c>
      <c r="DJ44" s="315">
        <v>1</v>
      </c>
      <c r="DK44" s="315">
        <v>1</v>
      </c>
      <c r="DL44" s="315">
        <v>1</v>
      </c>
      <c r="DM44" s="315">
        <v>1</v>
      </c>
      <c r="DN44" s="315">
        <v>1</v>
      </c>
      <c r="DO44" s="315">
        <v>1</v>
      </c>
      <c r="DP44" s="315">
        <v>1</v>
      </c>
      <c r="DQ44" s="315">
        <v>1</v>
      </c>
      <c r="DR44" s="315">
        <v>1</v>
      </c>
      <c r="DS44" s="315">
        <v>1</v>
      </c>
      <c r="DT44" s="315">
        <v>1</v>
      </c>
      <c r="DU44" s="315">
        <v>1</v>
      </c>
      <c r="DV44" s="315">
        <v>1</v>
      </c>
      <c r="DW44" s="315">
        <v>1</v>
      </c>
      <c r="DX44" s="315">
        <v>1</v>
      </c>
      <c r="DY44" s="315">
        <v>1</v>
      </c>
      <c r="DZ44" s="315">
        <v>1</v>
      </c>
      <c r="EA44" s="315">
        <v>1</v>
      </c>
      <c r="EB44" s="315">
        <v>1</v>
      </c>
      <c r="EC44" s="315">
        <v>1</v>
      </c>
      <c r="ED44" s="315">
        <v>1</v>
      </c>
      <c r="EE44" s="315">
        <v>1</v>
      </c>
      <c r="EF44" s="315">
        <v>1</v>
      </c>
      <c r="EG44" s="315">
        <v>1</v>
      </c>
      <c r="EH44" s="315">
        <v>1</v>
      </c>
      <c r="EI44" s="315">
        <v>1</v>
      </c>
      <c r="EJ44" s="315">
        <v>1</v>
      </c>
      <c r="EK44" s="315">
        <v>1</v>
      </c>
      <c r="EL44" s="315">
        <v>1</v>
      </c>
      <c r="EM44" s="315">
        <v>1</v>
      </c>
      <c r="EN44" s="315">
        <v>1</v>
      </c>
      <c r="EO44" s="315">
        <v>1</v>
      </c>
      <c r="EP44" s="315">
        <v>1</v>
      </c>
      <c r="EQ44" s="315">
        <v>1</v>
      </c>
      <c r="ER44" s="315">
        <v>1</v>
      </c>
      <c r="ES44" s="315">
        <v>1</v>
      </c>
      <c r="ET44" s="315">
        <v>1</v>
      </c>
      <c r="EU44" s="315">
        <v>1</v>
      </c>
      <c r="EV44" s="315">
        <v>1</v>
      </c>
      <c r="EW44" s="315">
        <v>1</v>
      </c>
      <c r="EX44" s="315">
        <v>1</v>
      </c>
      <c r="EY44" s="315">
        <v>1</v>
      </c>
      <c r="EZ44" s="315">
        <v>1</v>
      </c>
      <c r="FB44" s="50">
        <f>HLOOKUP(M16,$AU$3:$EZ$104,42,TRUE)</f>
        <v>1</v>
      </c>
      <c r="FD44" s="50">
        <f>HLOOKUP(AL42,$AU$3:$EZ$104,42,TRUE)</f>
        <v>1</v>
      </c>
    </row>
    <row r="45" spans="2:160" ht="17.100000000000001" customHeight="1">
      <c r="B45" s="119"/>
      <c r="C45" s="23"/>
      <c r="D45" s="23"/>
      <c r="E45" s="23"/>
      <c r="F45" s="23"/>
      <c r="G45" s="23"/>
      <c r="H45" s="23"/>
      <c r="I45" s="23"/>
      <c r="J45" s="23"/>
      <c r="K45" s="23"/>
      <c r="L45" s="23"/>
      <c r="M45" s="23"/>
      <c r="N45" s="23"/>
      <c r="O45" s="23"/>
      <c r="P45" s="23"/>
      <c r="Q45" s="23"/>
      <c r="R45" s="23"/>
      <c r="S45" s="23"/>
      <c r="T45" s="23"/>
      <c r="U45" s="23"/>
      <c r="V45" s="23"/>
      <c r="W45" s="23"/>
      <c r="X45" s="23"/>
      <c r="Y45" s="23"/>
      <c r="Z45" s="23"/>
      <c r="AA45" s="23"/>
      <c r="AB45" s="120"/>
      <c r="AS45" s="69"/>
      <c r="AT45" s="104">
        <v>1.698</v>
      </c>
      <c r="AU45" s="8">
        <v>2</v>
      </c>
      <c r="AV45" s="8">
        <v>2</v>
      </c>
      <c r="AW45" s="8">
        <v>2</v>
      </c>
      <c r="AX45" s="8">
        <v>2</v>
      </c>
      <c r="AY45" s="8">
        <v>2</v>
      </c>
      <c r="AZ45" s="8">
        <v>2</v>
      </c>
      <c r="BA45" s="316">
        <v>2</v>
      </c>
      <c r="BB45" s="8">
        <v>2</v>
      </c>
      <c r="BC45" s="8">
        <v>2</v>
      </c>
      <c r="BD45" s="8">
        <v>2</v>
      </c>
      <c r="BE45" s="8">
        <v>2</v>
      </c>
      <c r="BF45" s="8">
        <v>2</v>
      </c>
      <c r="BG45" s="8">
        <v>2</v>
      </c>
      <c r="BH45" s="8">
        <v>2</v>
      </c>
      <c r="BI45" s="8">
        <v>2</v>
      </c>
      <c r="BJ45" s="8">
        <v>2</v>
      </c>
      <c r="BK45" s="8">
        <v>2</v>
      </c>
      <c r="BL45" s="8">
        <v>2</v>
      </c>
      <c r="BM45" s="8">
        <v>2</v>
      </c>
      <c r="BN45" s="8">
        <v>2</v>
      </c>
      <c r="BO45" s="8">
        <v>2</v>
      </c>
      <c r="BP45" s="8">
        <v>2</v>
      </c>
      <c r="BQ45" s="8">
        <v>2</v>
      </c>
      <c r="BR45" s="8">
        <v>2</v>
      </c>
      <c r="BS45" s="8">
        <v>2</v>
      </c>
      <c r="BT45" s="8">
        <v>2</v>
      </c>
      <c r="BU45" s="8">
        <v>2</v>
      </c>
      <c r="BV45" s="8">
        <v>2</v>
      </c>
      <c r="BW45" s="8">
        <v>2</v>
      </c>
      <c r="BX45" s="8">
        <v>2</v>
      </c>
      <c r="BY45" s="8">
        <v>2</v>
      </c>
      <c r="BZ45" s="8">
        <v>2</v>
      </c>
      <c r="CA45" s="8">
        <v>2</v>
      </c>
      <c r="CB45" s="8">
        <v>2</v>
      </c>
      <c r="CC45" s="8">
        <v>2</v>
      </c>
      <c r="CD45" s="8">
        <v>2</v>
      </c>
      <c r="CE45" s="8">
        <v>2</v>
      </c>
      <c r="CF45" s="8">
        <v>2</v>
      </c>
      <c r="CG45" s="8">
        <v>2</v>
      </c>
      <c r="CH45" s="8">
        <v>2</v>
      </c>
      <c r="CI45" s="8">
        <v>2</v>
      </c>
      <c r="CJ45" s="8">
        <v>2</v>
      </c>
      <c r="CK45" s="8">
        <v>2</v>
      </c>
      <c r="CL45" s="8">
        <v>2</v>
      </c>
      <c r="CM45" s="8">
        <v>2</v>
      </c>
      <c r="CN45" s="8">
        <v>2</v>
      </c>
      <c r="CO45" s="8">
        <v>2</v>
      </c>
      <c r="CP45" s="8">
        <v>2</v>
      </c>
      <c r="CQ45" s="8">
        <v>2</v>
      </c>
      <c r="CR45" s="8">
        <v>2</v>
      </c>
      <c r="CS45" s="8">
        <v>2</v>
      </c>
      <c r="CT45" s="8">
        <v>2</v>
      </c>
      <c r="CU45" s="8">
        <v>2</v>
      </c>
      <c r="CV45" s="315">
        <v>1</v>
      </c>
      <c r="CW45" s="315">
        <v>1</v>
      </c>
      <c r="CX45" s="315">
        <v>1</v>
      </c>
      <c r="CY45" s="315">
        <v>1</v>
      </c>
      <c r="CZ45" s="315">
        <v>1</v>
      </c>
      <c r="DA45" s="315">
        <v>1</v>
      </c>
      <c r="DB45" s="315">
        <v>1</v>
      </c>
      <c r="DC45" s="315">
        <v>1</v>
      </c>
      <c r="DD45" s="315">
        <v>1</v>
      </c>
      <c r="DE45" s="315">
        <v>1</v>
      </c>
      <c r="DF45" s="315">
        <v>1</v>
      </c>
      <c r="DG45" s="315">
        <v>1</v>
      </c>
      <c r="DH45" s="315">
        <v>1</v>
      </c>
      <c r="DI45" s="315">
        <v>1</v>
      </c>
      <c r="DJ45" s="315">
        <v>1</v>
      </c>
      <c r="DK45" s="315">
        <v>1</v>
      </c>
      <c r="DL45" s="315">
        <v>1</v>
      </c>
      <c r="DM45" s="315">
        <v>1</v>
      </c>
      <c r="DN45" s="315">
        <v>1</v>
      </c>
      <c r="DO45" s="315">
        <v>1</v>
      </c>
      <c r="DP45" s="315">
        <v>1</v>
      </c>
      <c r="DQ45" s="315">
        <v>1</v>
      </c>
      <c r="DR45" s="315">
        <v>1</v>
      </c>
      <c r="DS45" s="315">
        <v>1</v>
      </c>
      <c r="DT45" s="315">
        <v>1</v>
      </c>
      <c r="DU45" s="315">
        <v>1</v>
      </c>
      <c r="DV45" s="315">
        <v>1</v>
      </c>
      <c r="DW45" s="315">
        <v>1</v>
      </c>
      <c r="DX45" s="315">
        <v>1</v>
      </c>
      <c r="DY45" s="315">
        <v>1</v>
      </c>
      <c r="DZ45" s="315">
        <v>1</v>
      </c>
      <c r="EA45" s="315">
        <v>1</v>
      </c>
      <c r="EB45" s="315">
        <v>1</v>
      </c>
      <c r="EC45" s="315">
        <v>1</v>
      </c>
      <c r="ED45" s="315">
        <v>1</v>
      </c>
      <c r="EE45" s="315">
        <v>1</v>
      </c>
      <c r="EF45" s="315">
        <v>1</v>
      </c>
      <c r="EG45" s="315">
        <v>1</v>
      </c>
      <c r="EH45" s="315">
        <v>1</v>
      </c>
      <c r="EI45" s="315">
        <v>1</v>
      </c>
      <c r="EJ45" s="315">
        <v>1</v>
      </c>
      <c r="EK45" s="315">
        <v>1</v>
      </c>
      <c r="EL45" s="315">
        <v>1</v>
      </c>
      <c r="EM45" s="315">
        <v>1</v>
      </c>
      <c r="EN45" s="315">
        <v>1</v>
      </c>
      <c r="EO45" s="315">
        <v>1</v>
      </c>
      <c r="EP45" s="315">
        <v>1</v>
      </c>
      <c r="EQ45" s="315">
        <v>1</v>
      </c>
      <c r="ER45" s="315">
        <v>1</v>
      </c>
      <c r="ES45" s="315">
        <v>1</v>
      </c>
      <c r="ET45" s="315">
        <v>1</v>
      </c>
      <c r="EU45" s="315">
        <v>1</v>
      </c>
      <c r="EV45" s="315">
        <v>1</v>
      </c>
      <c r="EW45" s="315">
        <v>1</v>
      </c>
      <c r="EX45" s="315">
        <v>1</v>
      </c>
      <c r="EY45" s="315">
        <v>1</v>
      </c>
      <c r="EZ45" s="315">
        <v>1</v>
      </c>
      <c r="FB45" s="50">
        <f>HLOOKUP(M16,$AU$3:$EZ$104,43,TRUE)</f>
        <v>1</v>
      </c>
      <c r="FD45" s="50">
        <f>HLOOKUP(AL42,$AU$3:$EZ$104,43,TRUE)</f>
        <v>1</v>
      </c>
    </row>
    <row r="46" spans="2:160" ht="17.100000000000001" customHeight="1">
      <c r="B46" s="119"/>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120"/>
      <c r="AS46" s="69"/>
      <c r="AT46" s="104">
        <v>1.82</v>
      </c>
      <c r="AU46" s="8">
        <v>2</v>
      </c>
      <c r="AV46" s="8">
        <v>2</v>
      </c>
      <c r="AW46" s="8">
        <v>2</v>
      </c>
      <c r="AX46" s="8">
        <v>2</v>
      </c>
      <c r="AY46" s="8">
        <v>2</v>
      </c>
      <c r="AZ46" s="8">
        <v>2</v>
      </c>
      <c r="BA46" s="316">
        <v>2</v>
      </c>
      <c r="BB46" s="8">
        <v>2</v>
      </c>
      <c r="BC46" s="8">
        <v>2</v>
      </c>
      <c r="BD46" s="8">
        <v>2</v>
      </c>
      <c r="BE46" s="8">
        <v>2</v>
      </c>
      <c r="BF46" s="8">
        <v>2</v>
      </c>
      <c r="BG46" s="8">
        <v>2</v>
      </c>
      <c r="BH46" s="8">
        <v>2</v>
      </c>
      <c r="BI46" s="8">
        <v>2</v>
      </c>
      <c r="BJ46" s="8">
        <v>2</v>
      </c>
      <c r="BK46" s="8">
        <v>2</v>
      </c>
      <c r="BL46" s="8">
        <v>2</v>
      </c>
      <c r="BM46" s="8">
        <v>2</v>
      </c>
      <c r="BN46" s="8">
        <v>2</v>
      </c>
      <c r="BO46" s="8">
        <v>2</v>
      </c>
      <c r="BP46" s="8">
        <v>2</v>
      </c>
      <c r="BQ46" s="8">
        <v>2</v>
      </c>
      <c r="BR46" s="8">
        <v>2</v>
      </c>
      <c r="BS46" s="8">
        <v>2</v>
      </c>
      <c r="BT46" s="8">
        <v>2</v>
      </c>
      <c r="BU46" s="8">
        <v>2</v>
      </c>
      <c r="BV46" s="8">
        <v>2</v>
      </c>
      <c r="BW46" s="8">
        <v>2</v>
      </c>
      <c r="BX46" s="8">
        <v>2</v>
      </c>
      <c r="BY46" s="8">
        <v>2</v>
      </c>
      <c r="BZ46" s="8">
        <v>2</v>
      </c>
      <c r="CA46" s="8">
        <v>2</v>
      </c>
      <c r="CB46" s="8">
        <v>2</v>
      </c>
      <c r="CC46" s="8">
        <v>2</v>
      </c>
      <c r="CD46" s="8">
        <v>2</v>
      </c>
      <c r="CE46" s="8">
        <v>2</v>
      </c>
      <c r="CF46" s="8">
        <v>2</v>
      </c>
      <c r="CG46" s="8">
        <v>2</v>
      </c>
      <c r="CH46" s="8">
        <v>2</v>
      </c>
      <c r="CI46" s="8">
        <v>2</v>
      </c>
      <c r="CJ46" s="8">
        <v>2</v>
      </c>
      <c r="CK46" s="8">
        <v>2</v>
      </c>
      <c r="CL46" s="8">
        <v>2</v>
      </c>
      <c r="CM46" s="8">
        <v>2</v>
      </c>
      <c r="CN46" s="8">
        <v>2</v>
      </c>
      <c r="CO46" s="8">
        <v>2</v>
      </c>
      <c r="CP46" s="8">
        <v>2</v>
      </c>
      <c r="CQ46" s="8">
        <v>2</v>
      </c>
      <c r="CR46" s="8">
        <v>2</v>
      </c>
      <c r="CS46" s="8">
        <v>2</v>
      </c>
      <c r="CT46" s="8">
        <v>2</v>
      </c>
      <c r="CU46" s="8">
        <v>2</v>
      </c>
      <c r="CV46" s="8">
        <v>2</v>
      </c>
      <c r="CW46" s="315">
        <v>1</v>
      </c>
      <c r="CX46" s="315">
        <v>1</v>
      </c>
      <c r="CY46" s="315">
        <v>1</v>
      </c>
      <c r="CZ46" s="315">
        <v>1</v>
      </c>
      <c r="DA46" s="315">
        <v>1</v>
      </c>
      <c r="DB46" s="315">
        <v>1</v>
      </c>
      <c r="DC46" s="315">
        <v>1</v>
      </c>
      <c r="DD46" s="315">
        <v>1</v>
      </c>
      <c r="DE46" s="315">
        <v>1</v>
      </c>
      <c r="DF46" s="315">
        <v>1</v>
      </c>
      <c r="DG46" s="315">
        <v>1</v>
      </c>
      <c r="DH46" s="315">
        <v>1</v>
      </c>
      <c r="DI46" s="315">
        <v>1</v>
      </c>
      <c r="DJ46" s="315">
        <v>1</v>
      </c>
      <c r="DK46" s="315">
        <v>1</v>
      </c>
      <c r="DL46" s="315">
        <v>1</v>
      </c>
      <c r="DM46" s="315">
        <v>1</v>
      </c>
      <c r="DN46" s="315">
        <v>1</v>
      </c>
      <c r="DO46" s="315">
        <v>1</v>
      </c>
      <c r="DP46" s="315">
        <v>1</v>
      </c>
      <c r="DQ46" s="315">
        <v>1</v>
      </c>
      <c r="DR46" s="315">
        <v>1</v>
      </c>
      <c r="DS46" s="315">
        <v>1</v>
      </c>
      <c r="DT46" s="315">
        <v>1</v>
      </c>
      <c r="DU46" s="315">
        <v>1</v>
      </c>
      <c r="DV46" s="315">
        <v>1</v>
      </c>
      <c r="DW46" s="315">
        <v>1</v>
      </c>
      <c r="DX46" s="315">
        <v>1</v>
      </c>
      <c r="DY46" s="315">
        <v>1</v>
      </c>
      <c r="DZ46" s="315">
        <v>1</v>
      </c>
      <c r="EA46" s="315">
        <v>1</v>
      </c>
      <c r="EB46" s="315">
        <v>1</v>
      </c>
      <c r="EC46" s="315">
        <v>1</v>
      </c>
      <c r="ED46" s="315">
        <v>1</v>
      </c>
      <c r="EE46" s="315">
        <v>1</v>
      </c>
      <c r="EF46" s="315">
        <v>1</v>
      </c>
      <c r="EG46" s="315">
        <v>1</v>
      </c>
      <c r="EH46" s="315">
        <v>1</v>
      </c>
      <c r="EI46" s="315">
        <v>1</v>
      </c>
      <c r="EJ46" s="315">
        <v>1</v>
      </c>
      <c r="EK46" s="315">
        <v>1</v>
      </c>
      <c r="EL46" s="315">
        <v>1</v>
      </c>
      <c r="EM46" s="315">
        <v>1</v>
      </c>
      <c r="EN46" s="315">
        <v>1</v>
      </c>
      <c r="EO46" s="315">
        <v>1</v>
      </c>
      <c r="EP46" s="315">
        <v>1</v>
      </c>
      <c r="EQ46" s="315">
        <v>1</v>
      </c>
      <c r="ER46" s="315">
        <v>1</v>
      </c>
      <c r="ES46" s="315">
        <v>1</v>
      </c>
      <c r="ET46" s="315">
        <v>1</v>
      </c>
      <c r="EU46" s="315">
        <v>1</v>
      </c>
      <c r="EV46" s="315">
        <v>1</v>
      </c>
      <c r="EW46" s="315">
        <v>1</v>
      </c>
      <c r="EX46" s="315">
        <v>1</v>
      </c>
      <c r="EY46" s="315">
        <v>1</v>
      </c>
      <c r="EZ46" s="315">
        <v>1</v>
      </c>
      <c r="FB46" s="50">
        <f>HLOOKUP(M16,$AU$3:$EZ$104,44,TRUE)</f>
        <v>1</v>
      </c>
      <c r="FD46" s="50">
        <f>HLOOKUP(AL42,$AU$3:$EZ$104,44,TRUE)</f>
        <v>1</v>
      </c>
    </row>
    <row r="47" spans="2:160" ht="17.100000000000001" customHeight="1">
      <c r="B47" s="119"/>
      <c r="C47" s="23"/>
      <c r="D47" s="23"/>
      <c r="E47" s="23"/>
      <c r="F47" s="23"/>
      <c r="G47" s="23"/>
      <c r="H47" s="23"/>
      <c r="I47" s="23"/>
      <c r="J47" s="23"/>
      <c r="K47" s="23"/>
      <c r="L47" s="23"/>
      <c r="M47" s="23"/>
      <c r="N47" s="23"/>
      <c r="O47" s="23"/>
      <c r="P47" s="23"/>
      <c r="Q47" s="23"/>
      <c r="R47" s="23"/>
      <c r="S47" s="23"/>
      <c r="T47" s="23"/>
      <c r="U47" s="23"/>
      <c r="V47" s="23"/>
      <c r="W47" s="23"/>
      <c r="X47" s="23"/>
      <c r="Y47" s="23"/>
      <c r="Z47" s="23"/>
      <c r="AA47" s="23"/>
      <c r="AB47" s="120"/>
      <c r="AS47" s="69"/>
      <c r="AT47" s="104">
        <v>1.95</v>
      </c>
      <c r="AU47" s="8">
        <v>2</v>
      </c>
      <c r="AV47" s="8">
        <v>2</v>
      </c>
      <c r="AW47" s="8">
        <v>2</v>
      </c>
      <c r="AX47" s="8">
        <v>2</v>
      </c>
      <c r="AY47" s="8">
        <v>2</v>
      </c>
      <c r="AZ47" s="8">
        <v>2</v>
      </c>
      <c r="BA47" s="316">
        <v>2</v>
      </c>
      <c r="BB47" s="8">
        <v>2</v>
      </c>
      <c r="BC47" s="8">
        <v>2</v>
      </c>
      <c r="BD47" s="8">
        <v>2</v>
      </c>
      <c r="BE47" s="8">
        <v>2</v>
      </c>
      <c r="BF47" s="8">
        <v>2</v>
      </c>
      <c r="BG47" s="8">
        <v>2</v>
      </c>
      <c r="BH47" s="8">
        <v>2</v>
      </c>
      <c r="BI47" s="8">
        <v>2</v>
      </c>
      <c r="BJ47" s="8">
        <v>2</v>
      </c>
      <c r="BK47" s="8">
        <v>2</v>
      </c>
      <c r="BL47" s="8">
        <v>2</v>
      </c>
      <c r="BM47" s="8">
        <v>2</v>
      </c>
      <c r="BN47" s="8">
        <v>2</v>
      </c>
      <c r="BO47" s="8">
        <v>2</v>
      </c>
      <c r="BP47" s="8">
        <v>2</v>
      </c>
      <c r="BQ47" s="8">
        <v>2</v>
      </c>
      <c r="BR47" s="8">
        <v>2</v>
      </c>
      <c r="BS47" s="8">
        <v>2</v>
      </c>
      <c r="BT47" s="8">
        <v>2</v>
      </c>
      <c r="BU47" s="8">
        <v>2</v>
      </c>
      <c r="BV47" s="8">
        <v>2</v>
      </c>
      <c r="BW47" s="8">
        <v>2</v>
      </c>
      <c r="BX47" s="8">
        <v>2</v>
      </c>
      <c r="BY47" s="8">
        <v>2</v>
      </c>
      <c r="BZ47" s="8">
        <v>2</v>
      </c>
      <c r="CA47" s="8">
        <v>2</v>
      </c>
      <c r="CB47" s="8">
        <v>2</v>
      </c>
      <c r="CC47" s="8">
        <v>2</v>
      </c>
      <c r="CD47" s="8">
        <v>2</v>
      </c>
      <c r="CE47" s="8">
        <v>2</v>
      </c>
      <c r="CF47" s="8">
        <v>2</v>
      </c>
      <c r="CG47" s="8">
        <v>2</v>
      </c>
      <c r="CH47" s="8">
        <v>2</v>
      </c>
      <c r="CI47" s="8">
        <v>2</v>
      </c>
      <c r="CJ47" s="8">
        <v>2</v>
      </c>
      <c r="CK47" s="8">
        <v>2</v>
      </c>
      <c r="CL47" s="8">
        <v>2</v>
      </c>
      <c r="CM47" s="8">
        <v>2</v>
      </c>
      <c r="CN47" s="8">
        <v>2</v>
      </c>
      <c r="CO47" s="8">
        <v>2</v>
      </c>
      <c r="CP47" s="8">
        <v>2</v>
      </c>
      <c r="CQ47" s="8">
        <v>2</v>
      </c>
      <c r="CR47" s="8">
        <v>2</v>
      </c>
      <c r="CS47" s="8">
        <v>2</v>
      </c>
      <c r="CT47" s="8">
        <v>2</v>
      </c>
      <c r="CU47" s="8">
        <v>2</v>
      </c>
      <c r="CV47" s="8">
        <v>2</v>
      </c>
      <c r="CW47" s="8">
        <v>2</v>
      </c>
      <c r="CX47" s="315">
        <v>1</v>
      </c>
      <c r="CY47" s="315">
        <v>1</v>
      </c>
      <c r="CZ47" s="315">
        <v>1</v>
      </c>
      <c r="DA47" s="315">
        <v>1</v>
      </c>
      <c r="DB47" s="315">
        <v>1</v>
      </c>
      <c r="DC47" s="315">
        <v>1</v>
      </c>
      <c r="DD47" s="315">
        <v>1</v>
      </c>
      <c r="DE47" s="315">
        <v>1</v>
      </c>
      <c r="DF47" s="315">
        <v>1</v>
      </c>
      <c r="DG47" s="315">
        <v>1</v>
      </c>
      <c r="DH47" s="315">
        <v>1</v>
      </c>
      <c r="DI47" s="315">
        <v>1</v>
      </c>
      <c r="DJ47" s="315">
        <v>1</v>
      </c>
      <c r="DK47" s="315">
        <v>1</v>
      </c>
      <c r="DL47" s="315">
        <v>1</v>
      </c>
      <c r="DM47" s="315">
        <v>1</v>
      </c>
      <c r="DN47" s="315">
        <v>1</v>
      </c>
      <c r="DO47" s="315">
        <v>1</v>
      </c>
      <c r="DP47" s="315">
        <v>1</v>
      </c>
      <c r="DQ47" s="315">
        <v>1</v>
      </c>
      <c r="DR47" s="315">
        <v>1</v>
      </c>
      <c r="DS47" s="315">
        <v>1</v>
      </c>
      <c r="DT47" s="315">
        <v>1</v>
      </c>
      <c r="DU47" s="315">
        <v>1</v>
      </c>
      <c r="DV47" s="315">
        <v>1</v>
      </c>
      <c r="DW47" s="315">
        <v>1</v>
      </c>
      <c r="DX47" s="315">
        <v>1</v>
      </c>
      <c r="DY47" s="315">
        <v>1</v>
      </c>
      <c r="DZ47" s="315">
        <v>1</v>
      </c>
      <c r="EA47" s="315">
        <v>1</v>
      </c>
      <c r="EB47" s="315">
        <v>1</v>
      </c>
      <c r="EC47" s="315">
        <v>1</v>
      </c>
      <c r="ED47" s="315">
        <v>1</v>
      </c>
      <c r="EE47" s="315">
        <v>1</v>
      </c>
      <c r="EF47" s="315">
        <v>1</v>
      </c>
      <c r="EG47" s="315">
        <v>1</v>
      </c>
      <c r="EH47" s="315">
        <v>1</v>
      </c>
      <c r="EI47" s="315">
        <v>1</v>
      </c>
      <c r="EJ47" s="315">
        <v>1</v>
      </c>
      <c r="EK47" s="315">
        <v>1</v>
      </c>
      <c r="EL47" s="315">
        <v>1</v>
      </c>
      <c r="EM47" s="315">
        <v>1</v>
      </c>
      <c r="EN47" s="315">
        <v>1</v>
      </c>
      <c r="EO47" s="315">
        <v>1</v>
      </c>
      <c r="EP47" s="315">
        <v>1</v>
      </c>
      <c r="EQ47" s="315">
        <v>1</v>
      </c>
      <c r="ER47" s="315">
        <v>1</v>
      </c>
      <c r="ES47" s="315">
        <v>1</v>
      </c>
      <c r="ET47" s="315">
        <v>1</v>
      </c>
      <c r="EU47" s="315">
        <v>1</v>
      </c>
      <c r="EV47" s="315">
        <v>1</v>
      </c>
      <c r="EW47" s="315">
        <v>1</v>
      </c>
      <c r="EX47" s="315">
        <v>1</v>
      </c>
      <c r="EY47" s="315">
        <v>1</v>
      </c>
      <c r="EZ47" s="315">
        <v>1</v>
      </c>
      <c r="FB47" s="50">
        <f>HLOOKUP(M16,$AU$3:$EZ$104,45,TRUE)</f>
        <v>1</v>
      </c>
      <c r="FD47" s="50">
        <f>HLOOKUP(AL42,$AU$3:$EZ$104,45,TRUE)</f>
        <v>1</v>
      </c>
    </row>
    <row r="48" spans="2:160" ht="17.100000000000001" customHeight="1">
      <c r="B48" s="119"/>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120"/>
      <c r="AS48" s="69"/>
      <c r="AT48" s="104">
        <v>2.089</v>
      </c>
      <c r="AU48" s="8">
        <v>2</v>
      </c>
      <c r="AV48" s="8">
        <v>2</v>
      </c>
      <c r="AW48" s="8">
        <v>2</v>
      </c>
      <c r="AX48" s="8">
        <v>2</v>
      </c>
      <c r="AY48" s="8">
        <v>2</v>
      </c>
      <c r="AZ48" s="8">
        <v>2</v>
      </c>
      <c r="BA48" s="316">
        <v>2</v>
      </c>
      <c r="BB48" s="8">
        <v>2</v>
      </c>
      <c r="BC48" s="8">
        <v>2</v>
      </c>
      <c r="BD48" s="8">
        <v>2</v>
      </c>
      <c r="BE48" s="8">
        <v>2</v>
      </c>
      <c r="BF48" s="8">
        <v>2</v>
      </c>
      <c r="BG48" s="8">
        <v>2</v>
      </c>
      <c r="BH48" s="8">
        <v>2</v>
      </c>
      <c r="BI48" s="8">
        <v>2</v>
      </c>
      <c r="BJ48" s="8">
        <v>2</v>
      </c>
      <c r="BK48" s="8">
        <v>2</v>
      </c>
      <c r="BL48" s="8">
        <v>2</v>
      </c>
      <c r="BM48" s="8">
        <v>2</v>
      </c>
      <c r="BN48" s="8">
        <v>2</v>
      </c>
      <c r="BO48" s="8">
        <v>2</v>
      </c>
      <c r="BP48" s="8">
        <v>2</v>
      </c>
      <c r="BQ48" s="8">
        <v>2</v>
      </c>
      <c r="BR48" s="8">
        <v>2</v>
      </c>
      <c r="BS48" s="8">
        <v>2</v>
      </c>
      <c r="BT48" s="8">
        <v>2</v>
      </c>
      <c r="BU48" s="8">
        <v>2</v>
      </c>
      <c r="BV48" s="8">
        <v>2</v>
      </c>
      <c r="BW48" s="8">
        <v>2</v>
      </c>
      <c r="BX48" s="8">
        <v>2</v>
      </c>
      <c r="BY48" s="8">
        <v>2</v>
      </c>
      <c r="BZ48" s="8">
        <v>2</v>
      </c>
      <c r="CA48" s="8">
        <v>2</v>
      </c>
      <c r="CB48" s="8">
        <v>2</v>
      </c>
      <c r="CC48" s="8">
        <v>2</v>
      </c>
      <c r="CD48" s="8">
        <v>2</v>
      </c>
      <c r="CE48" s="8">
        <v>2</v>
      </c>
      <c r="CF48" s="8">
        <v>2</v>
      </c>
      <c r="CG48" s="8">
        <v>2</v>
      </c>
      <c r="CH48" s="8">
        <v>2</v>
      </c>
      <c r="CI48" s="8">
        <v>2</v>
      </c>
      <c r="CJ48" s="8">
        <v>2</v>
      </c>
      <c r="CK48" s="8">
        <v>2</v>
      </c>
      <c r="CL48" s="8">
        <v>2</v>
      </c>
      <c r="CM48" s="8">
        <v>2</v>
      </c>
      <c r="CN48" s="8">
        <v>2</v>
      </c>
      <c r="CO48" s="8">
        <v>2</v>
      </c>
      <c r="CP48" s="8">
        <v>2</v>
      </c>
      <c r="CQ48" s="8">
        <v>2</v>
      </c>
      <c r="CR48" s="8">
        <v>2</v>
      </c>
      <c r="CS48" s="8">
        <v>2</v>
      </c>
      <c r="CT48" s="8">
        <v>2</v>
      </c>
      <c r="CU48" s="8">
        <v>2</v>
      </c>
      <c r="CV48" s="8">
        <v>2</v>
      </c>
      <c r="CW48" s="8">
        <v>2</v>
      </c>
      <c r="CX48" s="315">
        <v>1</v>
      </c>
      <c r="CY48" s="315">
        <v>1</v>
      </c>
      <c r="CZ48" s="315">
        <v>1</v>
      </c>
      <c r="DA48" s="315">
        <v>1</v>
      </c>
      <c r="DB48" s="315">
        <v>1</v>
      </c>
      <c r="DC48" s="315">
        <v>1</v>
      </c>
      <c r="DD48" s="315">
        <v>1</v>
      </c>
      <c r="DE48" s="315">
        <v>1</v>
      </c>
      <c r="DF48" s="315">
        <v>1</v>
      </c>
      <c r="DG48" s="315">
        <v>1</v>
      </c>
      <c r="DH48" s="315">
        <v>1</v>
      </c>
      <c r="DI48" s="315">
        <v>1</v>
      </c>
      <c r="DJ48" s="315">
        <v>1</v>
      </c>
      <c r="DK48" s="315">
        <v>1</v>
      </c>
      <c r="DL48" s="315">
        <v>1</v>
      </c>
      <c r="DM48" s="315">
        <v>1</v>
      </c>
      <c r="DN48" s="315">
        <v>1</v>
      </c>
      <c r="DO48" s="315">
        <v>1</v>
      </c>
      <c r="DP48" s="315">
        <v>1</v>
      </c>
      <c r="DQ48" s="315">
        <v>1</v>
      </c>
      <c r="DR48" s="315">
        <v>1</v>
      </c>
      <c r="DS48" s="315">
        <v>1</v>
      </c>
      <c r="DT48" s="315">
        <v>1</v>
      </c>
      <c r="DU48" s="315">
        <v>1</v>
      </c>
      <c r="DV48" s="315">
        <v>1</v>
      </c>
      <c r="DW48" s="315">
        <v>1</v>
      </c>
      <c r="DX48" s="315">
        <v>1</v>
      </c>
      <c r="DY48" s="315">
        <v>1</v>
      </c>
      <c r="DZ48" s="315">
        <v>1</v>
      </c>
      <c r="EA48" s="315">
        <v>1</v>
      </c>
      <c r="EB48" s="315">
        <v>1</v>
      </c>
      <c r="EC48" s="315">
        <v>1</v>
      </c>
      <c r="ED48" s="315">
        <v>1</v>
      </c>
      <c r="EE48" s="315">
        <v>1</v>
      </c>
      <c r="EF48" s="315">
        <v>1</v>
      </c>
      <c r="EG48" s="315">
        <v>1</v>
      </c>
      <c r="EH48" s="315">
        <v>1</v>
      </c>
      <c r="EI48" s="315">
        <v>1</v>
      </c>
      <c r="EJ48" s="315">
        <v>1</v>
      </c>
      <c r="EK48" s="315">
        <v>1</v>
      </c>
      <c r="EL48" s="315">
        <v>1</v>
      </c>
      <c r="EM48" s="315">
        <v>1</v>
      </c>
      <c r="EN48" s="315">
        <v>1</v>
      </c>
      <c r="EO48" s="315">
        <v>1</v>
      </c>
      <c r="EP48" s="315">
        <v>1</v>
      </c>
      <c r="EQ48" s="315">
        <v>1</v>
      </c>
      <c r="ER48" s="315">
        <v>1</v>
      </c>
      <c r="ES48" s="315">
        <v>1</v>
      </c>
      <c r="ET48" s="315">
        <v>1</v>
      </c>
      <c r="EU48" s="315">
        <v>1</v>
      </c>
      <c r="EV48" s="315">
        <v>1</v>
      </c>
      <c r="EW48" s="315">
        <v>1</v>
      </c>
      <c r="EX48" s="315">
        <v>1</v>
      </c>
      <c r="EY48" s="315">
        <v>1</v>
      </c>
      <c r="EZ48" s="315">
        <v>1</v>
      </c>
      <c r="FB48" s="50">
        <f>HLOOKUP(M16,$AU$3:$EZ$104,46,TRUE)</f>
        <v>1</v>
      </c>
      <c r="FD48" s="50">
        <f>HLOOKUP(AL42,$AU$3:$EZ$104,46,TRUE)</f>
        <v>1</v>
      </c>
    </row>
    <row r="49" spans="2:160" ht="17.100000000000001" customHeight="1">
      <c r="B49" s="119"/>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120"/>
      <c r="AS49" s="69"/>
      <c r="AT49" s="104">
        <v>2.2389999999999999</v>
      </c>
      <c r="AU49" s="8">
        <v>2</v>
      </c>
      <c r="AV49" s="8">
        <v>2</v>
      </c>
      <c r="AW49" s="8">
        <v>2</v>
      </c>
      <c r="AX49" s="8">
        <v>2</v>
      </c>
      <c r="AY49" s="8">
        <v>2</v>
      </c>
      <c r="AZ49" s="8">
        <v>2</v>
      </c>
      <c r="BA49" s="316">
        <v>2</v>
      </c>
      <c r="BB49" s="8">
        <v>2</v>
      </c>
      <c r="BC49" s="8">
        <v>2</v>
      </c>
      <c r="BD49" s="8">
        <v>2</v>
      </c>
      <c r="BE49" s="8">
        <v>2</v>
      </c>
      <c r="BF49" s="8">
        <v>2</v>
      </c>
      <c r="BG49" s="8">
        <v>2</v>
      </c>
      <c r="BH49" s="8">
        <v>2</v>
      </c>
      <c r="BI49" s="8">
        <v>2</v>
      </c>
      <c r="BJ49" s="8">
        <v>2</v>
      </c>
      <c r="BK49" s="8">
        <v>2</v>
      </c>
      <c r="BL49" s="8">
        <v>2</v>
      </c>
      <c r="BM49" s="8">
        <v>2</v>
      </c>
      <c r="BN49" s="8">
        <v>2</v>
      </c>
      <c r="BO49" s="8">
        <v>2</v>
      </c>
      <c r="BP49" s="8">
        <v>2</v>
      </c>
      <c r="BQ49" s="8">
        <v>2</v>
      </c>
      <c r="BR49" s="8">
        <v>2</v>
      </c>
      <c r="BS49" s="8">
        <v>2</v>
      </c>
      <c r="BT49" s="8">
        <v>2</v>
      </c>
      <c r="BU49" s="8">
        <v>2</v>
      </c>
      <c r="BV49" s="8">
        <v>2</v>
      </c>
      <c r="BW49" s="8">
        <v>2</v>
      </c>
      <c r="BX49" s="8">
        <v>2</v>
      </c>
      <c r="BY49" s="8">
        <v>2</v>
      </c>
      <c r="BZ49" s="8">
        <v>2</v>
      </c>
      <c r="CA49" s="8">
        <v>2</v>
      </c>
      <c r="CB49" s="8">
        <v>2</v>
      </c>
      <c r="CC49" s="8">
        <v>2</v>
      </c>
      <c r="CD49" s="8">
        <v>2</v>
      </c>
      <c r="CE49" s="8">
        <v>2</v>
      </c>
      <c r="CF49" s="8">
        <v>2</v>
      </c>
      <c r="CG49" s="8">
        <v>2</v>
      </c>
      <c r="CH49" s="8">
        <v>2</v>
      </c>
      <c r="CI49" s="8">
        <v>2</v>
      </c>
      <c r="CJ49" s="8">
        <v>2</v>
      </c>
      <c r="CK49" s="8">
        <v>2</v>
      </c>
      <c r="CL49" s="8">
        <v>2</v>
      </c>
      <c r="CM49" s="8">
        <v>2</v>
      </c>
      <c r="CN49" s="8">
        <v>2</v>
      </c>
      <c r="CO49" s="8">
        <v>2</v>
      </c>
      <c r="CP49" s="8">
        <v>2</v>
      </c>
      <c r="CQ49" s="8">
        <v>2</v>
      </c>
      <c r="CR49" s="8">
        <v>2</v>
      </c>
      <c r="CS49" s="8">
        <v>2</v>
      </c>
      <c r="CT49" s="8">
        <v>2</v>
      </c>
      <c r="CU49" s="8">
        <v>2</v>
      </c>
      <c r="CV49" s="8">
        <v>2</v>
      </c>
      <c r="CW49" s="8">
        <v>2</v>
      </c>
      <c r="CX49" s="8">
        <v>2</v>
      </c>
      <c r="CY49" s="8">
        <v>2</v>
      </c>
      <c r="CZ49" s="315">
        <v>1</v>
      </c>
      <c r="DA49" s="315">
        <v>1</v>
      </c>
      <c r="DB49" s="315">
        <v>1</v>
      </c>
      <c r="DC49" s="315">
        <v>1</v>
      </c>
      <c r="DD49" s="315">
        <v>1</v>
      </c>
      <c r="DE49" s="315">
        <v>1</v>
      </c>
      <c r="DF49" s="315">
        <v>1</v>
      </c>
      <c r="DG49" s="315">
        <v>1</v>
      </c>
      <c r="DH49" s="315">
        <v>1</v>
      </c>
      <c r="DI49" s="315">
        <v>1</v>
      </c>
      <c r="DJ49" s="315">
        <v>1</v>
      </c>
      <c r="DK49" s="315">
        <v>1</v>
      </c>
      <c r="DL49" s="315">
        <v>1</v>
      </c>
      <c r="DM49" s="315">
        <v>1</v>
      </c>
      <c r="DN49" s="315">
        <v>1</v>
      </c>
      <c r="DO49" s="315">
        <v>1</v>
      </c>
      <c r="DP49" s="315">
        <v>1</v>
      </c>
      <c r="DQ49" s="315">
        <v>1</v>
      </c>
      <c r="DR49" s="315">
        <v>1</v>
      </c>
      <c r="DS49" s="315">
        <v>1</v>
      </c>
      <c r="DT49" s="315">
        <v>1</v>
      </c>
      <c r="DU49" s="315">
        <v>1</v>
      </c>
      <c r="DV49" s="315">
        <v>1</v>
      </c>
      <c r="DW49" s="315">
        <v>1</v>
      </c>
      <c r="DX49" s="315">
        <v>1</v>
      </c>
      <c r="DY49" s="315">
        <v>1</v>
      </c>
      <c r="DZ49" s="315">
        <v>1</v>
      </c>
      <c r="EA49" s="315">
        <v>1</v>
      </c>
      <c r="EB49" s="315">
        <v>1</v>
      </c>
      <c r="EC49" s="315">
        <v>1</v>
      </c>
      <c r="ED49" s="315">
        <v>1</v>
      </c>
      <c r="EE49" s="315">
        <v>1</v>
      </c>
      <c r="EF49" s="315">
        <v>1</v>
      </c>
      <c r="EG49" s="315">
        <v>1</v>
      </c>
      <c r="EH49" s="315">
        <v>1</v>
      </c>
      <c r="EI49" s="315">
        <v>1</v>
      </c>
      <c r="EJ49" s="315">
        <v>1</v>
      </c>
      <c r="EK49" s="315">
        <v>1</v>
      </c>
      <c r="EL49" s="315">
        <v>1</v>
      </c>
      <c r="EM49" s="315">
        <v>1</v>
      </c>
      <c r="EN49" s="315">
        <v>1</v>
      </c>
      <c r="EO49" s="315">
        <v>1</v>
      </c>
      <c r="EP49" s="315">
        <v>1</v>
      </c>
      <c r="EQ49" s="315">
        <v>1</v>
      </c>
      <c r="ER49" s="315">
        <v>1</v>
      </c>
      <c r="ES49" s="315">
        <v>1</v>
      </c>
      <c r="ET49" s="315">
        <v>1</v>
      </c>
      <c r="EU49" s="315">
        <v>1</v>
      </c>
      <c r="EV49" s="315">
        <v>1</v>
      </c>
      <c r="EW49" s="315">
        <v>1</v>
      </c>
      <c r="EX49" s="315">
        <v>1</v>
      </c>
      <c r="EY49" s="315">
        <v>1</v>
      </c>
      <c r="EZ49" s="315">
        <v>1</v>
      </c>
      <c r="FB49" s="50">
        <f>HLOOKUP(M16,$AU$3:$EZ$104,47,TRUE)</f>
        <v>1</v>
      </c>
      <c r="FD49" s="50">
        <f>HLOOKUP(AL42,$AU$3:$EZ$104,47,TRUE)</f>
        <v>1</v>
      </c>
    </row>
    <row r="50" spans="2:160" ht="17.100000000000001" customHeight="1">
      <c r="B50" s="119"/>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120"/>
      <c r="AS50" s="69"/>
      <c r="AT50" s="104">
        <v>2.399</v>
      </c>
      <c r="AU50" s="8">
        <v>2</v>
      </c>
      <c r="AV50" s="8">
        <v>2</v>
      </c>
      <c r="AW50" s="8">
        <v>2</v>
      </c>
      <c r="AX50" s="8">
        <v>2</v>
      </c>
      <c r="AY50" s="8">
        <v>2</v>
      </c>
      <c r="AZ50" s="8">
        <v>2</v>
      </c>
      <c r="BA50" s="316">
        <v>2</v>
      </c>
      <c r="BB50" s="8">
        <v>2</v>
      </c>
      <c r="BC50" s="8">
        <v>2</v>
      </c>
      <c r="BD50" s="8">
        <v>2</v>
      </c>
      <c r="BE50" s="8">
        <v>2</v>
      </c>
      <c r="BF50" s="8">
        <v>2</v>
      </c>
      <c r="BG50" s="8">
        <v>2</v>
      </c>
      <c r="BH50" s="8">
        <v>2</v>
      </c>
      <c r="BI50" s="8">
        <v>2</v>
      </c>
      <c r="BJ50" s="8">
        <v>2</v>
      </c>
      <c r="BK50" s="8">
        <v>2</v>
      </c>
      <c r="BL50" s="8">
        <v>2</v>
      </c>
      <c r="BM50" s="8">
        <v>2</v>
      </c>
      <c r="BN50" s="8">
        <v>2</v>
      </c>
      <c r="BO50" s="8">
        <v>2</v>
      </c>
      <c r="BP50" s="8">
        <v>2</v>
      </c>
      <c r="BQ50" s="8">
        <v>2</v>
      </c>
      <c r="BR50" s="8">
        <v>2</v>
      </c>
      <c r="BS50" s="8">
        <v>2</v>
      </c>
      <c r="BT50" s="8">
        <v>2</v>
      </c>
      <c r="BU50" s="8">
        <v>2</v>
      </c>
      <c r="BV50" s="8">
        <v>2</v>
      </c>
      <c r="BW50" s="8">
        <v>2</v>
      </c>
      <c r="BX50" s="8">
        <v>2</v>
      </c>
      <c r="BY50" s="8">
        <v>2</v>
      </c>
      <c r="BZ50" s="8">
        <v>2</v>
      </c>
      <c r="CA50" s="8">
        <v>2</v>
      </c>
      <c r="CB50" s="8">
        <v>2</v>
      </c>
      <c r="CC50" s="8">
        <v>2</v>
      </c>
      <c r="CD50" s="8">
        <v>2</v>
      </c>
      <c r="CE50" s="8">
        <v>2</v>
      </c>
      <c r="CF50" s="8">
        <v>2</v>
      </c>
      <c r="CG50" s="8">
        <v>2</v>
      </c>
      <c r="CH50" s="8">
        <v>2</v>
      </c>
      <c r="CI50" s="8">
        <v>2</v>
      </c>
      <c r="CJ50" s="8">
        <v>2</v>
      </c>
      <c r="CK50" s="8">
        <v>2</v>
      </c>
      <c r="CL50" s="8">
        <v>2</v>
      </c>
      <c r="CM50" s="8">
        <v>2</v>
      </c>
      <c r="CN50" s="8">
        <v>2</v>
      </c>
      <c r="CO50" s="8">
        <v>2</v>
      </c>
      <c r="CP50" s="8">
        <v>2</v>
      </c>
      <c r="CQ50" s="8">
        <v>2</v>
      </c>
      <c r="CR50" s="8">
        <v>2</v>
      </c>
      <c r="CS50" s="8">
        <v>2</v>
      </c>
      <c r="CT50" s="8">
        <v>2</v>
      </c>
      <c r="CU50" s="8">
        <v>2</v>
      </c>
      <c r="CV50" s="8">
        <v>2</v>
      </c>
      <c r="CW50" s="8">
        <v>2</v>
      </c>
      <c r="CX50" s="8">
        <v>2</v>
      </c>
      <c r="CY50" s="8">
        <v>2</v>
      </c>
      <c r="CZ50" s="8">
        <v>2</v>
      </c>
      <c r="DA50" s="315">
        <v>1</v>
      </c>
      <c r="DB50" s="315">
        <v>1</v>
      </c>
      <c r="DC50" s="315">
        <v>1</v>
      </c>
      <c r="DD50" s="315">
        <v>1</v>
      </c>
      <c r="DE50" s="315">
        <v>1</v>
      </c>
      <c r="DF50" s="315">
        <v>1</v>
      </c>
      <c r="DG50" s="315">
        <v>1</v>
      </c>
      <c r="DH50" s="315">
        <v>1</v>
      </c>
      <c r="DI50" s="315">
        <v>1</v>
      </c>
      <c r="DJ50" s="315">
        <v>1</v>
      </c>
      <c r="DK50" s="315">
        <v>1</v>
      </c>
      <c r="DL50" s="315">
        <v>1</v>
      </c>
      <c r="DM50" s="315">
        <v>1</v>
      </c>
      <c r="DN50" s="315">
        <v>1</v>
      </c>
      <c r="DO50" s="315">
        <v>1</v>
      </c>
      <c r="DP50" s="315">
        <v>1</v>
      </c>
      <c r="DQ50" s="315">
        <v>1</v>
      </c>
      <c r="DR50" s="315">
        <v>1</v>
      </c>
      <c r="DS50" s="315">
        <v>1</v>
      </c>
      <c r="DT50" s="315">
        <v>1</v>
      </c>
      <c r="DU50" s="315">
        <v>1</v>
      </c>
      <c r="DV50" s="315">
        <v>1</v>
      </c>
      <c r="DW50" s="315">
        <v>1</v>
      </c>
      <c r="DX50" s="315">
        <v>1</v>
      </c>
      <c r="DY50" s="315">
        <v>1</v>
      </c>
      <c r="DZ50" s="315">
        <v>1</v>
      </c>
      <c r="EA50" s="315">
        <v>1</v>
      </c>
      <c r="EB50" s="315">
        <v>1</v>
      </c>
      <c r="EC50" s="315">
        <v>1</v>
      </c>
      <c r="ED50" s="315">
        <v>1</v>
      </c>
      <c r="EE50" s="315">
        <v>1</v>
      </c>
      <c r="EF50" s="315">
        <v>1</v>
      </c>
      <c r="EG50" s="315">
        <v>1</v>
      </c>
      <c r="EH50" s="315">
        <v>1</v>
      </c>
      <c r="EI50" s="315">
        <v>1</v>
      </c>
      <c r="EJ50" s="315">
        <v>1</v>
      </c>
      <c r="EK50" s="315">
        <v>1</v>
      </c>
      <c r="EL50" s="315">
        <v>1</v>
      </c>
      <c r="EM50" s="315">
        <v>1</v>
      </c>
      <c r="EN50" s="315">
        <v>1</v>
      </c>
      <c r="EO50" s="315">
        <v>1</v>
      </c>
      <c r="EP50" s="315">
        <v>1</v>
      </c>
      <c r="EQ50" s="315">
        <v>1</v>
      </c>
      <c r="ER50" s="315">
        <v>1</v>
      </c>
      <c r="ES50" s="315">
        <v>1</v>
      </c>
      <c r="ET50" s="315">
        <v>1</v>
      </c>
      <c r="EU50" s="315">
        <v>1</v>
      </c>
      <c r="EV50" s="315">
        <v>1</v>
      </c>
      <c r="EW50" s="315">
        <v>1</v>
      </c>
      <c r="EX50" s="315">
        <v>1</v>
      </c>
      <c r="EY50" s="315">
        <v>1</v>
      </c>
      <c r="EZ50" s="315">
        <v>1</v>
      </c>
      <c r="FB50" s="50">
        <f>HLOOKUP(M16,$AU$3:$EZ$104,48,TRUE)</f>
        <v>1</v>
      </c>
      <c r="FD50" s="50">
        <f>HLOOKUP(AL42,$AU$3:$EZ$104,48,TRUE)</f>
        <v>1</v>
      </c>
    </row>
    <row r="51" spans="2:160" ht="17.100000000000001" customHeight="1">
      <c r="B51" s="119"/>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120"/>
      <c r="AM51" s="43">
        <f ca="1">INDEX(input!$AN$33:$AQ$33,1,input!$AL$26)</f>
        <v>1.0350000000000001</v>
      </c>
      <c r="AS51" s="69"/>
      <c r="AT51" s="104">
        <v>2.57</v>
      </c>
      <c r="AU51" s="8">
        <v>2</v>
      </c>
      <c r="AV51" s="8">
        <v>2</v>
      </c>
      <c r="AW51" s="8">
        <v>2</v>
      </c>
      <c r="AX51" s="8">
        <v>2</v>
      </c>
      <c r="AY51" s="8">
        <v>2</v>
      </c>
      <c r="AZ51" s="8">
        <v>2</v>
      </c>
      <c r="BA51" s="316">
        <v>2</v>
      </c>
      <c r="BB51" s="8">
        <v>2</v>
      </c>
      <c r="BC51" s="8">
        <v>2</v>
      </c>
      <c r="BD51" s="8">
        <v>2</v>
      </c>
      <c r="BE51" s="8">
        <v>2</v>
      </c>
      <c r="BF51" s="8">
        <v>2</v>
      </c>
      <c r="BG51" s="8">
        <v>2</v>
      </c>
      <c r="BH51" s="8">
        <v>2</v>
      </c>
      <c r="BI51" s="8">
        <v>2</v>
      </c>
      <c r="BJ51" s="8">
        <v>2</v>
      </c>
      <c r="BK51" s="8">
        <v>2</v>
      </c>
      <c r="BL51" s="8">
        <v>2</v>
      </c>
      <c r="BM51" s="8">
        <v>2</v>
      </c>
      <c r="BN51" s="8">
        <v>2</v>
      </c>
      <c r="BO51" s="8">
        <v>2</v>
      </c>
      <c r="BP51" s="8">
        <v>2</v>
      </c>
      <c r="BQ51" s="8">
        <v>2</v>
      </c>
      <c r="BR51" s="8">
        <v>2</v>
      </c>
      <c r="BS51" s="8">
        <v>2</v>
      </c>
      <c r="BT51" s="8">
        <v>2</v>
      </c>
      <c r="BU51" s="8">
        <v>2</v>
      </c>
      <c r="BV51" s="8">
        <v>2</v>
      </c>
      <c r="BW51" s="8">
        <v>2</v>
      </c>
      <c r="BX51" s="8">
        <v>2</v>
      </c>
      <c r="BY51" s="8">
        <v>2</v>
      </c>
      <c r="BZ51" s="8">
        <v>2</v>
      </c>
      <c r="CA51" s="8">
        <v>2</v>
      </c>
      <c r="CB51" s="8">
        <v>2</v>
      </c>
      <c r="CC51" s="8">
        <v>2</v>
      </c>
      <c r="CD51" s="8">
        <v>2</v>
      </c>
      <c r="CE51" s="8">
        <v>2</v>
      </c>
      <c r="CF51" s="8">
        <v>2</v>
      </c>
      <c r="CG51" s="8">
        <v>2</v>
      </c>
      <c r="CH51" s="8">
        <v>2</v>
      </c>
      <c r="CI51" s="8">
        <v>2</v>
      </c>
      <c r="CJ51" s="8">
        <v>2</v>
      </c>
      <c r="CK51" s="8">
        <v>2</v>
      </c>
      <c r="CL51" s="8">
        <v>2</v>
      </c>
      <c r="CM51" s="8">
        <v>2</v>
      </c>
      <c r="CN51" s="8">
        <v>2</v>
      </c>
      <c r="CO51" s="8">
        <v>2</v>
      </c>
      <c r="CP51" s="8">
        <v>2</v>
      </c>
      <c r="CQ51" s="8">
        <v>2</v>
      </c>
      <c r="CR51" s="8">
        <v>2</v>
      </c>
      <c r="CS51" s="8">
        <v>2</v>
      </c>
      <c r="CT51" s="8">
        <v>2</v>
      </c>
      <c r="CU51" s="8">
        <v>2</v>
      </c>
      <c r="CV51" s="8">
        <v>2</v>
      </c>
      <c r="CW51" s="8">
        <v>2</v>
      </c>
      <c r="CX51" s="8">
        <v>2</v>
      </c>
      <c r="CY51" s="8">
        <v>2</v>
      </c>
      <c r="CZ51" s="8">
        <v>2</v>
      </c>
      <c r="DA51" s="8">
        <v>2</v>
      </c>
      <c r="DB51" s="315">
        <v>1</v>
      </c>
      <c r="DC51" s="315">
        <v>1</v>
      </c>
      <c r="DD51" s="315">
        <v>1</v>
      </c>
      <c r="DE51" s="315">
        <v>1</v>
      </c>
      <c r="DF51" s="315">
        <v>1</v>
      </c>
      <c r="DG51" s="315">
        <v>1</v>
      </c>
      <c r="DH51" s="315">
        <v>1</v>
      </c>
      <c r="DI51" s="315">
        <v>1</v>
      </c>
      <c r="DJ51" s="315">
        <v>1</v>
      </c>
      <c r="DK51" s="315">
        <v>1</v>
      </c>
      <c r="DL51" s="315">
        <v>1</v>
      </c>
      <c r="DM51" s="315">
        <v>1</v>
      </c>
      <c r="DN51" s="315">
        <v>1</v>
      </c>
      <c r="DO51" s="315">
        <v>1</v>
      </c>
      <c r="DP51" s="315">
        <v>1</v>
      </c>
      <c r="DQ51" s="315">
        <v>1</v>
      </c>
      <c r="DR51" s="315">
        <v>1</v>
      </c>
      <c r="DS51" s="315">
        <v>1</v>
      </c>
      <c r="DT51" s="315">
        <v>1</v>
      </c>
      <c r="DU51" s="315">
        <v>1</v>
      </c>
      <c r="DV51" s="315">
        <v>1</v>
      </c>
      <c r="DW51" s="315">
        <v>1</v>
      </c>
      <c r="DX51" s="315">
        <v>1</v>
      </c>
      <c r="DY51" s="315">
        <v>1</v>
      </c>
      <c r="DZ51" s="315">
        <v>1</v>
      </c>
      <c r="EA51" s="315">
        <v>1</v>
      </c>
      <c r="EB51" s="315">
        <v>1</v>
      </c>
      <c r="EC51" s="315">
        <v>1</v>
      </c>
      <c r="ED51" s="315">
        <v>1</v>
      </c>
      <c r="EE51" s="315">
        <v>1</v>
      </c>
      <c r="EF51" s="315">
        <v>1</v>
      </c>
      <c r="EG51" s="315">
        <v>1</v>
      </c>
      <c r="EH51" s="315">
        <v>1</v>
      </c>
      <c r="EI51" s="315">
        <v>1</v>
      </c>
      <c r="EJ51" s="315">
        <v>1</v>
      </c>
      <c r="EK51" s="315">
        <v>1</v>
      </c>
      <c r="EL51" s="315">
        <v>1</v>
      </c>
      <c r="EM51" s="315">
        <v>1</v>
      </c>
      <c r="EN51" s="315">
        <v>1</v>
      </c>
      <c r="EO51" s="315">
        <v>1</v>
      </c>
      <c r="EP51" s="315">
        <v>1</v>
      </c>
      <c r="EQ51" s="315">
        <v>1</v>
      </c>
      <c r="ER51" s="315">
        <v>1</v>
      </c>
      <c r="ES51" s="315">
        <v>1</v>
      </c>
      <c r="ET51" s="315">
        <v>1</v>
      </c>
      <c r="EU51" s="315">
        <v>1</v>
      </c>
      <c r="EV51" s="315">
        <v>1</v>
      </c>
      <c r="EW51" s="315">
        <v>1</v>
      </c>
      <c r="EX51" s="315">
        <v>1</v>
      </c>
      <c r="EY51" s="315">
        <v>1</v>
      </c>
      <c r="EZ51" s="315">
        <v>1</v>
      </c>
      <c r="FB51" s="50">
        <f>HLOOKUP(M16,$AU$3:$EZ$104,49,TRUE)</f>
        <v>1</v>
      </c>
      <c r="FD51" s="50">
        <f>HLOOKUP(AL42,$AU$3:$EZ$104,49,TRUE)</f>
        <v>1</v>
      </c>
    </row>
    <row r="52" spans="2:160" ht="17.100000000000001" customHeight="1">
      <c r="B52" s="119"/>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120"/>
      <c r="AS52" s="69"/>
      <c r="AT52" s="104">
        <v>2.754</v>
      </c>
      <c r="AU52" s="8">
        <v>2</v>
      </c>
      <c r="AV52" s="8">
        <v>2</v>
      </c>
      <c r="AW52" s="8">
        <v>2</v>
      </c>
      <c r="AX52" s="8">
        <v>2</v>
      </c>
      <c r="AY52" s="8">
        <v>2</v>
      </c>
      <c r="AZ52" s="8">
        <v>2</v>
      </c>
      <c r="BA52" s="316">
        <v>2</v>
      </c>
      <c r="BB52" s="8">
        <v>2</v>
      </c>
      <c r="BC52" s="8">
        <v>2</v>
      </c>
      <c r="BD52" s="8">
        <v>2</v>
      </c>
      <c r="BE52" s="8">
        <v>2</v>
      </c>
      <c r="BF52" s="8">
        <v>2</v>
      </c>
      <c r="BG52" s="8">
        <v>2</v>
      </c>
      <c r="BH52" s="8">
        <v>2</v>
      </c>
      <c r="BI52" s="8">
        <v>2</v>
      </c>
      <c r="BJ52" s="8">
        <v>2</v>
      </c>
      <c r="BK52" s="8">
        <v>2</v>
      </c>
      <c r="BL52" s="8">
        <v>2</v>
      </c>
      <c r="BM52" s="8">
        <v>2</v>
      </c>
      <c r="BN52" s="8">
        <v>2</v>
      </c>
      <c r="BO52" s="8">
        <v>2</v>
      </c>
      <c r="BP52" s="8">
        <v>2</v>
      </c>
      <c r="BQ52" s="8">
        <v>2</v>
      </c>
      <c r="BR52" s="8">
        <v>2</v>
      </c>
      <c r="BS52" s="8">
        <v>2</v>
      </c>
      <c r="BT52" s="8">
        <v>2</v>
      </c>
      <c r="BU52" s="8">
        <v>2</v>
      </c>
      <c r="BV52" s="8">
        <v>2</v>
      </c>
      <c r="BW52" s="8">
        <v>2</v>
      </c>
      <c r="BX52" s="8">
        <v>2</v>
      </c>
      <c r="BY52" s="8">
        <v>2</v>
      </c>
      <c r="BZ52" s="8">
        <v>2</v>
      </c>
      <c r="CA52" s="8">
        <v>2</v>
      </c>
      <c r="CB52" s="8">
        <v>2</v>
      </c>
      <c r="CC52" s="8">
        <v>2</v>
      </c>
      <c r="CD52" s="8">
        <v>2</v>
      </c>
      <c r="CE52" s="8">
        <v>2</v>
      </c>
      <c r="CF52" s="8">
        <v>2</v>
      </c>
      <c r="CG52" s="8">
        <v>2</v>
      </c>
      <c r="CH52" s="8">
        <v>2</v>
      </c>
      <c r="CI52" s="8">
        <v>2</v>
      </c>
      <c r="CJ52" s="8">
        <v>2</v>
      </c>
      <c r="CK52" s="8">
        <v>2</v>
      </c>
      <c r="CL52" s="8">
        <v>2</v>
      </c>
      <c r="CM52" s="8">
        <v>2</v>
      </c>
      <c r="CN52" s="8">
        <v>2</v>
      </c>
      <c r="CO52" s="8">
        <v>2</v>
      </c>
      <c r="CP52" s="8">
        <v>2</v>
      </c>
      <c r="CQ52" s="8">
        <v>2</v>
      </c>
      <c r="CR52" s="8">
        <v>2</v>
      </c>
      <c r="CS52" s="8">
        <v>2</v>
      </c>
      <c r="CT52" s="8">
        <v>2</v>
      </c>
      <c r="CU52" s="8">
        <v>2</v>
      </c>
      <c r="CV52" s="8">
        <v>2</v>
      </c>
      <c r="CW52" s="8">
        <v>2</v>
      </c>
      <c r="CX52" s="8">
        <v>2</v>
      </c>
      <c r="CY52" s="8">
        <v>2</v>
      </c>
      <c r="CZ52" s="8">
        <v>2</v>
      </c>
      <c r="DA52" s="8">
        <v>2</v>
      </c>
      <c r="DB52" s="8">
        <v>2</v>
      </c>
      <c r="DC52" s="315">
        <v>1</v>
      </c>
      <c r="DD52" s="315">
        <v>1</v>
      </c>
      <c r="DE52" s="315">
        <v>1</v>
      </c>
      <c r="DF52" s="315">
        <v>1</v>
      </c>
      <c r="DG52" s="315">
        <v>1</v>
      </c>
      <c r="DH52" s="315">
        <v>1</v>
      </c>
      <c r="DI52" s="315">
        <v>1</v>
      </c>
      <c r="DJ52" s="315">
        <v>1</v>
      </c>
      <c r="DK52" s="315">
        <v>1</v>
      </c>
      <c r="DL52" s="315">
        <v>1</v>
      </c>
      <c r="DM52" s="315">
        <v>1</v>
      </c>
      <c r="DN52" s="315">
        <v>1</v>
      </c>
      <c r="DO52" s="315">
        <v>1</v>
      </c>
      <c r="DP52" s="315">
        <v>1</v>
      </c>
      <c r="DQ52" s="315">
        <v>1</v>
      </c>
      <c r="DR52" s="315">
        <v>1</v>
      </c>
      <c r="DS52" s="315">
        <v>1</v>
      </c>
      <c r="DT52" s="315">
        <v>1</v>
      </c>
      <c r="DU52" s="315">
        <v>1</v>
      </c>
      <c r="DV52" s="315">
        <v>1</v>
      </c>
      <c r="DW52" s="315">
        <v>1</v>
      </c>
      <c r="DX52" s="315">
        <v>1</v>
      </c>
      <c r="DY52" s="315">
        <v>1</v>
      </c>
      <c r="DZ52" s="315">
        <v>1</v>
      </c>
      <c r="EA52" s="315">
        <v>1</v>
      </c>
      <c r="EB52" s="315">
        <v>1</v>
      </c>
      <c r="EC52" s="315">
        <v>1</v>
      </c>
      <c r="ED52" s="315">
        <v>1</v>
      </c>
      <c r="EE52" s="315">
        <v>1</v>
      </c>
      <c r="EF52" s="315">
        <v>1</v>
      </c>
      <c r="EG52" s="315">
        <v>1</v>
      </c>
      <c r="EH52" s="315">
        <v>1</v>
      </c>
      <c r="EI52" s="315">
        <v>1</v>
      </c>
      <c r="EJ52" s="315">
        <v>1</v>
      </c>
      <c r="EK52" s="315">
        <v>1</v>
      </c>
      <c r="EL52" s="315">
        <v>1</v>
      </c>
      <c r="EM52" s="315">
        <v>1</v>
      </c>
      <c r="EN52" s="315">
        <v>1</v>
      </c>
      <c r="EO52" s="315">
        <v>1</v>
      </c>
      <c r="EP52" s="315">
        <v>1</v>
      </c>
      <c r="EQ52" s="315">
        <v>1</v>
      </c>
      <c r="ER52" s="315">
        <v>1</v>
      </c>
      <c r="ES52" s="315">
        <v>1</v>
      </c>
      <c r="ET52" s="315">
        <v>1</v>
      </c>
      <c r="EU52" s="315">
        <v>1</v>
      </c>
      <c r="EV52" s="315">
        <v>1</v>
      </c>
      <c r="EW52" s="315">
        <v>1</v>
      </c>
      <c r="EX52" s="315">
        <v>1</v>
      </c>
      <c r="EY52" s="315">
        <v>1</v>
      </c>
      <c r="EZ52" s="315">
        <v>1</v>
      </c>
      <c r="FB52" s="50">
        <f>HLOOKUP(M16,$AU$3:$EZ$104,50,TRUE)</f>
        <v>1</v>
      </c>
      <c r="FD52" s="50">
        <f>HLOOKUP(AL42,$AU$3:$EZ$104,50,TRUE)</f>
        <v>1</v>
      </c>
    </row>
    <row r="53" spans="2:160" ht="17.100000000000001" customHeight="1">
      <c r="B53" s="119"/>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120"/>
      <c r="AS53" s="69"/>
      <c r="AT53" s="104">
        <v>2.9510000000000001</v>
      </c>
      <c r="AU53" s="8">
        <v>2</v>
      </c>
      <c r="AV53" s="8">
        <v>2</v>
      </c>
      <c r="AW53" s="8">
        <v>2</v>
      </c>
      <c r="AX53" s="8">
        <v>2</v>
      </c>
      <c r="AY53" s="8">
        <v>2</v>
      </c>
      <c r="AZ53" s="8">
        <v>2</v>
      </c>
      <c r="BA53" s="316">
        <v>2</v>
      </c>
      <c r="BB53" s="8">
        <v>2</v>
      </c>
      <c r="BC53" s="8">
        <v>2</v>
      </c>
      <c r="BD53" s="8">
        <v>2</v>
      </c>
      <c r="BE53" s="8">
        <v>2</v>
      </c>
      <c r="BF53" s="8">
        <v>2</v>
      </c>
      <c r="BG53" s="8">
        <v>2</v>
      </c>
      <c r="BH53" s="8">
        <v>2</v>
      </c>
      <c r="BI53" s="8">
        <v>2</v>
      </c>
      <c r="BJ53" s="8">
        <v>2</v>
      </c>
      <c r="BK53" s="8">
        <v>2</v>
      </c>
      <c r="BL53" s="8">
        <v>2</v>
      </c>
      <c r="BM53" s="8">
        <v>2</v>
      </c>
      <c r="BN53" s="8">
        <v>2</v>
      </c>
      <c r="BO53" s="8">
        <v>2</v>
      </c>
      <c r="BP53" s="8">
        <v>2</v>
      </c>
      <c r="BQ53" s="8">
        <v>2</v>
      </c>
      <c r="BR53" s="8">
        <v>2</v>
      </c>
      <c r="BS53" s="8">
        <v>2</v>
      </c>
      <c r="BT53" s="8">
        <v>2</v>
      </c>
      <c r="BU53" s="8">
        <v>2</v>
      </c>
      <c r="BV53" s="8">
        <v>2</v>
      </c>
      <c r="BW53" s="8">
        <v>2</v>
      </c>
      <c r="BX53" s="8">
        <v>2</v>
      </c>
      <c r="BY53" s="8">
        <v>2</v>
      </c>
      <c r="BZ53" s="8">
        <v>2</v>
      </c>
      <c r="CA53" s="8">
        <v>2</v>
      </c>
      <c r="CB53" s="8">
        <v>2</v>
      </c>
      <c r="CC53" s="8">
        <v>2</v>
      </c>
      <c r="CD53" s="8">
        <v>2</v>
      </c>
      <c r="CE53" s="8">
        <v>2</v>
      </c>
      <c r="CF53" s="8">
        <v>2</v>
      </c>
      <c r="CG53" s="8">
        <v>2</v>
      </c>
      <c r="CH53" s="8">
        <v>2</v>
      </c>
      <c r="CI53" s="8">
        <v>2</v>
      </c>
      <c r="CJ53" s="8">
        <v>2</v>
      </c>
      <c r="CK53" s="8">
        <v>2</v>
      </c>
      <c r="CL53" s="8">
        <v>2</v>
      </c>
      <c r="CM53" s="8">
        <v>2</v>
      </c>
      <c r="CN53" s="8">
        <v>2</v>
      </c>
      <c r="CO53" s="8">
        <v>2</v>
      </c>
      <c r="CP53" s="8">
        <v>2</v>
      </c>
      <c r="CQ53" s="8">
        <v>2</v>
      </c>
      <c r="CR53" s="8">
        <v>2</v>
      </c>
      <c r="CS53" s="8">
        <v>2</v>
      </c>
      <c r="CT53" s="8">
        <v>2</v>
      </c>
      <c r="CU53" s="8">
        <v>2</v>
      </c>
      <c r="CV53" s="8">
        <v>2</v>
      </c>
      <c r="CW53" s="8">
        <v>2</v>
      </c>
      <c r="CX53" s="8">
        <v>2</v>
      </c>
      <c r="CY53" s="8">
        <v>2</v>
      </c>
      <c r="CZ53" s="8">
        <v>2</v>
      </c>
      <c r="DA53" s="8">
        <v>2</v>
      </c>
      <c r="DB53" s="8">
        <v>2</v>
      </c>
      <c r="DC53" s="8">
        <v>2</v>
      </c>
      <c r="DD53" s="315">
        <v>1</v>
      </c>
      <c r="DE53" s="315">
        <v>1</v>
      </c>
      <c r="DF53" s="315">
        <v>1</v>
      </c>
      <c r="DG53" s="315">
        <v>1</v>
      </c>
      <c r="DH53" s="315">
        <v>1</v>
      </c>
      <c r="DI53" s="315">
        <v>1</v>
      </c>
      <c r="DJ53" s="315">
        <v>1</v>
      </c>
      <c r="DK53" s="315">
        <v>1</v>
      </c>
      <c r="DL53" s="315">
        <v>1</v>
      </c>
      <c r="DM53" s="315">
        <v>1</v>
      </c>
      <c r="DN53" s="315">
        <v>1</v>
      </c>
      <c r="DO53" s="315">
        <v>1</v>
      </c>
      <c r="DP53" s="315">
        <v>1</v>
      </c>
      <c r="DQ53" s="315">
        <v>1</v>
      </c>
      <c r="DR53" s="315">
        <v>1</v>
      </c>
      <c r="DS53" s="315">
        <v>1</v>
      </c>
      <c r="DT53" s="315">
        <v>1</v>
      </c>
      <c r="DU53" s="315">
        <v>1</v>
      </c>
      <c r="DV53" s="315">
        <v>1</v>
      </c>
      <c r="DW53" s="315">
        <v>1</v>
      </c>
      <c r="DX53" s="315">
        <v>1</v>
      </c>
      <c r="DY53" s="315">
        <v>1</v>
      </c>
      <c r="DZ53" s="315">
        <v>1</v>
      </c>
      <c r="EA53" s="315">
        <v>1</v>
      </c>
      <c r="EB53" s="315">
        <v>1</v>
      </c>
      <c r="EC53" s="315">
        <v>1</v>
      </c>
      <c r="ED53" s="315">
        <v>1</v>
      </c>
      <c r="EE53" s="315">
        <v>1</v>
      </c>
      <c r="EF53" s="315">
        <v>1</v>
      </c>
      <c r="EG53" s="315">
        <v>1</v>
      </c>
      <c r="EH53" s="315">
        <v>1</v>
      </c>
      <c r="EI53" s="315">
        <v>1</v>
      </c>
      <c r="EJ53" s="315">
        <v>1</v>
      </c>
      <c r="EK53" s="315">
        <v>1</v>
      </c>
      <c r="EL53" s="315">
        <v>1</v>
      </c>
      <c r="EM53" s="315">
        <v>1</v>
      </c>
      <c r="EN53" s="315">
        <v>1</v>
      </c>
      <c r="EO53" s="315">
        <v>1</v>
      </c>
      <c r="EP53" s="315">
        <v>1</v>
      </c>
      <c r="EQ53" s="315">
        <v>1</v>
      </c>
      <c r="ER53" s="315">
        <v>1</v>
      </c>
      <c r="ES53" s="315">
        <v>1</v>
      </c>
      <c r="ET53" s="315">
        <v>1</v>
      </c>
      <c r="EU53" s="315">
        <v>1</v>
      </c>
      <c r="EV53" s="315">
        <v>1</v>
      </c>
      <c r="EW53" s="315">
        <v>1</v>
      </c>
      <c r="EX53" s="315">
        <v>1</v>
      </c>
      <c r="EY53" s="315">
        <v>1</v>
      </c>
      <c r="EZ53" s="315">
        <v>1</v>
      </c>
      <c r="FB53" s="50">
        <f>HLOOKUP(M16,$AU$3:$EZ$104,51,TRUE)</f>
        <v>1</v>
      </c>
      <c r="FD53" s="50">
        <f>HLOOKUP(AL42,$AU$3:$EZ$104,51,TRUE)</f>
        <v>1</v>
      </c>
    </row>
    <row r="54" spans="2:160" ht="17.100000000000001" customHeight="1">
      <c r="B54" s="119"/>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120"/>
      <c r="AS54" s="69"/>
      <c r="AT54" s="104">
        <v>3.1619999999999999</v>
      </c>
      <c r="AU54" s="8">
        <v>2</v>
      </c>
      <c r="AV54" s="8">
        <v>2</v>
      </c>
      <c r="AW54" s="8">
        <v>2</v>
      </c>
      <c r="AX54" s="8">
        <v>2</v>
      </c>
      <c r="AY54" s="8">
        <v>2</v>
      </c>
      <c r="AZ54" s="8">
        <v>2</v>
      </c>
      <c r="BA54" s="316">
        <v>2</v>
      </c>
      <c r="BB54" s="8">
        <v>2</v>
      </c>
      <c r="BC54" s="8">
        <v>2</v>
      </c>
      <c r="BD54" s="8">
        <v>2</v>
      </c>
      <c r="BE54" s="8">
        <v>2</v>
      </c>
      <c r="BF54" s="8">
        <v>2</v>
      </c>
      <c r="BG54" s="8">
        <v>2</v>
      </c>
      <c r="BH54" s="8">
        <v>2</v>
      </c>
      <c r="BI54" s="8">
        <v>2</v>
      </c>
      <c r="BJ54" s="8">
        <v>2</v>
      </c>
      <c r="BK54" s="8">
        <v>2</v>
      </c>
      <c r="BL54" s="8">
        <v>2</v>
      </c>
      <c r="BM54" s="8">
        <v>2</v>
      </c>
      <c r="BN54" s="8">
        <v>2</v>
      </c>
      <c r="BO54" s="8">
        <v>2</v>
      </c>
      <c r="BP54" s="8">
        <v>2</v>
      </c>
      <c r="BQ54" s="8">
        <v>2</v>
      </c>
      <c r="BR54" s="8">
        <v>2</v>
      </c>
      <c r="BS54" s="8">
        <v>2</v>
      </c>
      <c r="BT54" s="8">
        <v>2</v>
      </c>
      <c r="BU54" s="8">
        <v>2</v>
      </c>
      <c r="BV54" s="8">
        <v>2</v>
      </c>
      <c r="BW54" s="8">
        <v>2</v>
      </c>
      <c r="BX54" s="8">
        <v>2</v>
      </c>
      <c r="BY54" s="8">
        <v>2</v>
      </c>
      <c r="BZ54" s="8">
        <v>2</v>
      </c>
      <c r="CA54" s="8">
        <v>2</v>
      </c>
      <c r="CB54" s="8">
        <v>2</v>
      </c>
      <c r="CC54" s="8">
        <v>2</v>
      </c>
      <c r="CD54" s="8">
        <v>2</v>
      </c>
      <c r="CE54" s="8">
        <v>2</v>
      </c>
      <c r="CF54" s="8">
        <v>2</v>
      </c>
      <c r="CG54" s="8">
        <v>2</v>
      </c>
      <c r="CH54" s="8">
        <v>2</v>
      </c>
      <c r="CI54" s="8">
        <v>2</v>
      </c>
      <c r="CJ54" s="8">
        <v>2</v>
      </c>
      <c r="CK54" s="8">
        <v>2</v>
      </c>
      <c r="CL54" s="8">
        <v>2</v>
      </c>
      <c r="CM54" s="8">
        <v>2</v>
      </c>
      <c r="CN54" s="8">
        <v>2</v>
      </c>
      <c r="CO54" s="8">
        <v>2</v>
      </c>
      <c r="CP54" s="8">
        <v>2</v>
      </c>
      <c r="CQ54" s="8">
        <v>2</v>
      </c>
      <c r="CR54" s="8">
        <v>2</v>
      </c>
      <c r="CS54" s="8">
        <v>2</v>
      </c>
      <c r="CT54" s="8">
        <v>2</v>
      </c>
      <c r="CU54" s="8">
        <v>2</v>
      </c>
      <c r="CV54" s="8">
        <v>2</v>
      </c>
      <c r="CW54" s="8">
        <v>2</v>
      </c>
      <c r="CX54" s="8">
        <v>2</v>
      </c>
      <c r="CY54" s="8">
        <v>2</v>
      </c>
      <c r="CZ54" s="8">
        <v>2</v>
      </c>
      <c r="DA54" s="8">
        <v>2</v>
      </c>
      <c r="DB54" s="8">
        <v>2</v>
      </c>
      <c r="DC54" s="8">
        <v>2</v>
      </c>
      <c r="DD54" s="8">
        <v>2</v>
      </c>
      <c r="DE54" s="315">
        <v>1</v>
      </c>
      <c r="DF54" s="315">
        <v>1</v>
      </c>
      <c r="DG54" s="315">
        <v>1</v>
      </c>
      <c r="DH54" s="315">
        <v>1</v>
      </c>
      <c r="DI54" s="315">
        <v>1</v>
      </c>
      <c r="DJ54" s="315">
        <v>1</v>
      </c>
      <c r="DK54" s="315">
        <v>1</v>
      </c>
      <c r="DL54" s="315">
        <v>1</v>
      </c>
      <c r="DM54" s="315">
        <v>1</v>
      </c>
      <c r="DN54" s="315">
        <v>1</v>
      </c>
      <c r="DO54" s="315">
        <v>1</v>
      </c>
      <c r="DP54" s="315">
        <v>1</v>
      </c>
      <c r="DQ54" s="315">
        <v>1</v>
      </c>
      <c r="DR54" s="315">
        <v>1</v>
      </c>
      <c r="DS54" s="315">
        <v>1</v>
      </c>
      <c r="DT54" s="315">
        <v>1</v>
      </c>
      <c r="DU54" s="315">
        <v>1</v>
      </c>
      <c r="DV54" s="315">
        <v>1</v>
      </c>
      <c r="DW54" s="315">
        <v>1</v>
      </c>
      <c r="DX54" s="315">
        <v>1</v>
      </c>
      <c r="DY54" s="315">
        <v>1</v>
      </c>
      <c r="DZ54" s="315">
        <v>1</v>
      </c>
      <c r="EA54" s="315">
        <v>1</v>
      </c>
      <c r="EB54" s="315">
        <v>1</v>
      </c>
      <c r="EC54" s="315">
        <v>1</v>
      </c>
      <c r="ED54" s="315">
        <v>1</v>
      </c>
      <c r="EE54" s="315">
        <v>1</v>
      </c>
      <c r="EF54" s="315">
        <v>1</v>
      </c>
      <c r="EG54" s="315">
        <v>1</v>
      </c>
      <c r="EH54" s="315">
        <v>1</v>
      </c>
      <c r="EI54" s="315">
        <v>1</v>
      </c>
      <c r="EJ54" s="315">
        <v>1</v>
      </c>
      <c r="EK54" s="315">
        <v>1</v>
      </c>
      <c r="EL54" s="315">
        <v>1</v>
      </c>
      <c r="EM54" s="315">
        <v>1</v>
      </c>
      <c r="EN54" s="315">
        <v>1</v>
      </c>
      <c r="EO54" s="315">
        <v>1</v>
      </c>
      <c r="EP54" s="315">
        <v>1</v>
      </c>
      <c r="EQ54" s="315">
        <v>1</v>
      </c>
      <c r="ER54" s="315">
        <v>1</v>
      </c>
      <c r="ES54" s="315">
        <v>1</v>
      </c>
      <c r="ET54" s="315">
        <v>1</v>
      </c>
      <c r="EU54" s="315">
        <v>1</v>
      </c>
      <c r="EV54" s="315">
        <v>1</v>
      </c>
      <c r="EW54" s="315">
        <v>1</v>
      </c>
      <c r="EX54" s="315">
        <v>1</v>
      </c>
      <c r="EY54" s="315">
        <v>1</v>
      </c>
      <c r="EZ54" s="315">
        <v>1</v>
      </c>
      <c r="FB54" s="50">
        <f>HLOOKUP(M16,$AU$3:$EZ$104,52,TRUE)</f>
        <v>1</v>
      </c>
      <c r="FD54" s="50">
        <f>HLOOKUP(AL42,$AU$3:$EZ$104,52,TRUE)</f>
        <v>1</v>
      </c>
    </row>
    <row r="55" spans="2:160" ht="17.100000000000001" customHeight="1">
      <c r="B55" s="119"/>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120"/>
      <c r="AS55" s="69"/>
      <c r="AT55" s="104">
        <v>3.3879999999999999</v>
      </c>
      <c r="AU55" s="8">
        <v>2</v>
      </c>
      <c r="AV55" s="8">
        <v>2</v>
      </c>
      <c r="AW55" s="8">
        <v>2</v>
      </c>
      <c r="AX55" s="8">
        <v>2</v>
      </c>
      <c r="AY55" s="8">
        <v>2</v>
      </c>
      <c r="AZ55" s="8">
        <v>2</v>
      </c>
      <c r="BA55" s="316">
        <v>2</v>
      </c>
      <c r="BB55" s="8">
        <v>2</v>
      </c>
      <c r="BC55" s="8">
        <v>2</v>
      </c>
      <c r="BD55" s="8">
        <v>2</v>
      </c>
      <c r="BE55" s="8">
        <v>2</v>
      </c>
      <c r="BF55" s="8">
        <v>2</v>
      </c>
      <c r="BG55" s="8">
        <v>2</v>
      </c>
      <c r="BH55" s="8">
        <v>2</v>
      </c>
      <c r="BI55" s="8">
        <v>2</v>
      </c>
      <c r="BJ55" s="8">
        <v>2</v>
      </c>
      <c r="BK55" s="8">
        <v>2</v>
      </c>
      <c r="BL55" s="8">
        <v>2</v>
      </c>
      <c r="BM55" s="8">
        <v>2</v>
      </c>
      <c r="BN55" s="8">
        <v>2</v>
      </c>
      <c r="BO55" s="8">
        <v>2</v>
      </c>
      <c r="BP55" s="8">
        <v>2</v>
      </c>
      <c r="BQ55" s="8">
        <v>2</v>
      </c>
      <c r="BR55" s="8">
        <v>2</v>
      </c>
      <c r="BS55" s="8">
        <v>2</v>
      </c>
      <c r="BT55" s="8">
        <v>2</v>
      </c>
      <c r="BU55" s="8">
        <v>2</v>
      </c>
      <c r="BV55" s="8">
        <v>2</v>
      </c>
      <c r="BW55" s="8">
        <v>2</v>
      </c>
      <c r="BX55" s="8">
        <v>2</v>
      </c>
      <c r="BY55" s="8">
        <v>2</v>
      </c>
      <c r="BZ55" s="8">
        <v>2</v>
      </c>
      <c r="CA55" s="8">
        <v>2</v>
      </c>
      <c r="CB55" s="8">
        <v>2</v>
      </c>
      <c r="CC55" s="8">
        <v>2</v>
      </c>
      <c r="CD55" s="8">
        <v>2</v>
      </c>
      <c r="CE55" s="8">
        <v>2</v>
      </c>
      <c r="CF55" s="8">
        <v>2</v>
      </c>
      <c r="CG55" s="8">
        <v>2</v>
      </c>
      <c r="CH55" s="8">
        <v>2</v>
      </c>
      <c r="CI55" s="8">
        <v>2</v>
      </c>
      <c r="CJ55" s="8">
        <v>2</v>
      </c>
      <c r="CK55" s="8">
        <v>2</v>
      </c>
      <c r="CL55" s="8">
        <v>2</v>
      </c>
      <c r="CM55" s="8">
        <v>2</v>
      </c>
      <c r="CN55" s="8">
        <v>2</v>
      </c>
      <c r="CO55" s="8">
        <v>2</v>
      </c>
      <c r="CP55" s="8">
        <v>2</v>
      </c>
      <c r="CQ55" s="8">
        <v>2</v>
      </c>
      <c r="CR55" s="8">
        <v>2</v>
      </c>
      <c r="CS55" s="8">
        <v>2</v>
      </c>
      <c r="CT55" s="8">
        <v>2</v>
      </c>
      <c r="CU55" s="8">
        <v>2</v>
      </c>
      <c r="CV55" s="8">
        <v>2</v>
      </c>
      <c r="CW55" s="8">
        <v>2</v>
      </c>
      <c r="CX55" s="8">
        <v>2</v>
      </c>
      <c r="CY55" s="8">
        <v>2</v>
      </c>
      <c r="CZ55" s="8">
        <v>2</v>
      </c>
      <c r="DA55" s="8">
        <v>2</v>
      </c>
      <c r="DB55" s="8">
        <v>2</v>
      </c>
      <c r="DC55" s="8">
        <v>2</v>
      </c>
      <c r="DD55" s="8">
        <v>2</v>
      </c>
      <c r="DE55" s="8">
        <v>2</v>
      </c>
      <c r="DF55" s="315">
        <v>1</v>
      </c>
      <c r="DG55" s="315">
        <v>1</v>
      </c>
      <c r="DH55" s="315">
        <v>1</v>
      </c>
      <c r="DI55" s="315">
        <v>1</v>
      </c>
      <c r="DJ55" s="315">
        <v>1</v>
      </c>
      <c r="DK55" s="315">
        <v>1</v>
      </c>
      <c r="DL55" s="315">
        <v>1</v>
      </c>
      <c r="DM55" s="315">
        <v>1</v>
      </c>
      <c r="DN55" s="315">
        <v>1</v>
      </c>
      <c r="DO55" s="315">
        <v>1</v>
      </c>
      <c r="DP55" s="315">
        <v>1</v>
      </c>
      <c r="DQ55" s="315">
        <v>1</v>
      </c>
      <c r="DR55" s="315">
        <v>1</v>
      </c>
      <c r="DS55" s="315">
        <v>1</v>
      </c>
      <c r="DT55" s="315">
        <v>1</v>
      </c>
      <c r="DU55" s="315">
        <v>1</v>
      </c>
      <c r="DV55" s="315">
        <v>1</v>
      </c>
      <c r="DW55" s="315">
        <v>1</v>
      </c>
      <c r="DX55" s="315">
        <v>1</v>
      </c>
      <c r="DY55" s="315">
        <v>1</v>
      </c>
      <c r="DZ55" s="315">
        <v>1</v>
      </c>
      <c r="EA55" s="315">
        <v>1</v>
      </c>
      <c r="EB55" s="315">
        <v>1</v>
      </c>
      <c r="EC55" s="315">
        <v>1</v>
      </c>
      <c r="ED55" s="315">
        <v>1</v>
      </c>
      <c r="EE55" s="315">
        <v>1</v>
      </c>
      <c r="EF55" s="315">
        <v>1</v>
      </c>
      <c r="EG55" s="315">
        <v>1</v>
      </c>
      <c r="EH55" s="315">
        <v>1</v>
      </c>
      <c r="EI55" s="315">
        <v>1</v>
      </c>
      <c r="EJ55" s="315">
        <v>1</v>
      </c>
      <c r="EK55" s="315">
        <v>1</v>
      </c>
      <c r="EL55" s="315">
        <v>1</v>
      </c>
      <c r="EM55" s="315">
        <v>1</v>
      </c>
      <c r="EN55" s="315">
        <v>1</v>
      </c>
      <c r="EO55" s="315">
        <v>1</v>
      </c>
      <c r="EP55" s="315">
        <v>1</v>
      </c>
      <c r="EQ55" s="315">
        <v>1</v>
      </c>
      <c r="ER55" s="315">
        <v>1</v>
      </c>
      <c r="ES55" s="315">
        <v>1</v>
      </c>
      <c r="ET55" s="315">
        <v>1</v>
      </c>
      <c r="EU55" s="315">
        <v>1</v>
      </c>
      <c r="EV55" s="315">
        <v>1</v>
      </c>
      <c r="EW55" s="315">
        <v>1</v>
      </c>
      <c r="EX55" s="315">
        <v>1</v>
      </c>
      <c r="EY55" s="315">
        <v>1</v>
      </c>
      <c r="EZ55" s="315">
        <v>1</v>
      </c>
      <c r="FB55" s="50">
        <f>HLOOKUP(M16,$AU$3:$EZ$104,53,TRUE)</f>
        <v>1</v>
      </c>
      <c r="FD55" s="50">
        <f>HLOOKUP(AL42,$AU$3:$EZ$104,53,TRUE)</f>
        <v>1</v>
      </c>
    </row>
    <row r="56" spans="2:160" ht="17.100000000000001" customHeight="1">
      <c r="B56" s="119"/>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120"/>
      <c r="AS56" s="69"/>
      <c r="AT56" s="104">
        <v>3.6309999999999998</v>
      </c>
      <c r="AU56" s="8">
        <v>2</v>
      </c>
      <c r="AV56" s="8">
        <v>2</v>
      </c>
      <c r="AW56" s="8">
        <v>2</v>
      </c>
      <c r="AX56" s="8">
        <v>2</v>
      </c>
      <c r="AY56" s="8">
        <v>2</v>
      </c>
      <c r="AZ56" s="8">
        <v>2</v>
      </c>
      <c r="BA56" s="316">
        <v>2</v>
      </c>
      <c r="BB56" s="8">
        <v>2</v>
      </c>
      <c r="BC56" s="8">
        <v>2</v>
      </c>
      <c r="BD56" s="8">
        <v>2</v>
      </c>
      <c r="BE56" s="8">
        <v>2</v>
      </c>
      <c r="BF56" s="8">
        <v>2</v>
      </c>
      <c r="BG56" s="8">
        <v>2</v>
      </c>
      <c r="BH56" s="8">
        <v>2</v>
      </c>
      <c r="BI56" s="8">
        <v>2</v>
      </c>
      <c r="BJ56" s="8">
        <v>2</v>
      </c>
      <c r="BK56" s="8">
        <v>2</v>
      </c>
      <c r="BL56" s="8">
        <v>2</v>
      </c>
      <c r="BM56" s="8">
        <v>2</v>
      </c>
      <c r="BN56" s="8">
        <v>2</v>
      </c>
      <c r="BO56" s="8">
        <v>2</v>
      </c>
      <c r="BP56" s="8">
        <v>2</v>
      </c>
      <c r="BQ56" s="8">
        <v>2</v>
      </c>
      <c r="BR56" s="8">
        <v>2</v>
      </c>
      <c r="BS56" s="8">
        <v>2</v>
      </c>
      <c r="BT56" s="8">
        <v>2</v>
      </c>
      <c r="BU56" s="8">
        <v>2</v>
      </c>
      <c r="BV56" s="8">
        <v>2</v>
      </c>
      <c r="BW56" s="8">
        <v>2</v>
      </c>
      <c r="BX56" s="8">
        <v>2</v>
      </c>
      <c r="BY56" s="8">
        <v>2</v>
      </c>
      <c r="BZ56" s="8">
        <v>2</v>
      </c>
      <c r="CA56" s="8">
        <v>2</v>
      </c>
      <c r="CB56" s="8">
        <v>2</v>
      </c>
      <c r="CC56" s="8">
        <v>2</v>
      </c>
      <c r="CD56" s="8">
        <v>2</v>
      </c>
      <c r="CE56" s="8">
        <v>2</v>
      </c>
      <c r="CF56" s="8">
        <v>2</v>
      </c>
      <c r="CG56" s="8">
        <v>2</v>
      </c>
      <c r="CH56" s="8">
        <v>2</v>
      </c>
      <c r="CI56" s="8">
        <v>2</v>
      </c>
      <c r="CJ56" s="8">
        <v>2</v>
      </c>
      <c r="CK56" s="8">
        <v>2</v>
      </c>
      <c r="CL56" s="8">
        <v>2</v>
      </c>
      <c r="CM56" s="8">
        <v>2</v>
      </c>
      <c r="CN56" s="8">
        <v>2</v>
      </c>
      <c r="CO56" s="8">
        <v>2</v>
      </c>
      <c r="CP56" s="8">
        <v>2</v>
      </c>
      <c r="CQ56" s="8">
        <v>2</v>
      </c>
      <c r="CR56" s="8">
        <v>2</v>
      </c>
      <c r="CS56" s="8">
        <v>2</v>
      </c>
      <c r="CT56" s="8">
        <v>2</v>
      </c>
      <c r="CU56" s="8">
        <v>2</v>
      </c>
      <c r="CV56" s="8">
        <v>2</v>
      </c>
      <c r="CW56" s="8">
        <v>2</v>
      </c>
      <c r="CX56" s="8">
        <v>2</v>
      </c>
      <c r="CY56" s="8">
        <v>2</v>
      </c>
      <c r="CZ56" s="8">
        <v>2</v>
      </c>
      <c r="DA56" s="8">
        <v>2</v>
      </c>
      <c r="DB56" s="8">
        <v>2</v>
      </c>
      <c r="DC56" s="8">
        <v>2</v>
      </c>
      <c r="DD56" s="8">
        <v>2</v>
      </c>
      <c r="DE56" s="8">
        <v>2</v>
      </c>
      <c r="DF56" s="8">
        <v>2</v>
      </c>
      <c r="DG56" s="315">
        <v>1</v>
      </c>
      <c r="DH56" s="315">
        <v>1</v>
      </c>
      <c r="DI56" s="315">
        <v>1</v>
      </c>
      <c r="DJ56" s="315">
        <v>1</v>
      </c>
      <c r="DK56" s="315">
        <v>1</v>
      </c>
      <c r="DL56" s="315">
        <v>1</v>
      </c>
      <c r="DM56" s="315">
        <v>1</v>
      </c>
      <c r="DN56" s="315">
        <v>1</v>
      </c>
      <c r="DO56" s="315">
        <v>1</v>
      </c>
      <c r="DP56" s="315">
        <v>1</v>
      </c>
      <c r="DQ56" s="315">
        <v>1</v>
      </c>
      <c r="DR56" s="315">
        <v>1</v>
      </c>
      <c r="DS56" s="315">
        <v>1</v>
      </c>
      <c r="DT56" s="315">
        <v>1</v>
      </c>
      <c r="DU56" s="315">
        <v>1</v>
      </c>
      <c r="DV56" s="315">
        <v>1</v>
      </c>
      <c r="DW56" s="315">
        <v>1</v>
      </c>
      <c r="DX56" s="315">
        <v>1</v>
      </c>
      <c r="DY56" s="315">
        <v>1</v>
      </c>
      <c r="DZ56" s="315">
        <v>1</v>
      </c>
      <c r="EA56" s="315">
        <v>1</v>
      </c>
      <c r="EB56" s="315">
        <v>1</v>
      </c>
      <c r="EC56" s="315">
        <v>1</v>
      </c>
      <c r="ED56" s="315">
        <v>1</v>
      </c>
      <c r="EE56" s="315">
        <v>1</v>
      </c>
      <c r="EF56" s="315">
        <v>1</v>
      </c>
      <c r="EG56" s="315">
        <v>1</v>
      </c>
      <c r="EH56" s="315">
        <v>1</v>
      </c>
      <c r="EI56" s="315">
        <v>1</v>
      </c>
      <c r="EJ56" s="315">
        <v>1</v>
      </c>
      <c r="EK56" s="315">
        <v>1</v>
      </c>
      <c r="EL56" s="315">
        <v>1</v>
      </c>
      <c r="EM56" s="315">
        <v>1</v>
      </c>
      <c r="EN56" s="315">
        <v>1</v>
      </c>
      <c r="EO56" s="315">
        <v>1</v>
      </c>
      <c r="EP56" s="315">
        <v>1</v>
      </c>
      <c r="EQ56" s="315">
        <v>1</v>
      </c>
      <c r="ER56" s="315">
        <v>1</v>
      </c>
      <c r="ES56" s="315">
        <v>1</v>
      </c>
      <c r="ET56" s="315">
        <v>1</v>
      </c>
      <c r="EU56" s="315">
        <v>1</v>
      </c>
      <c r="EV56" s="315">
        <v>1</v>
      </c>
      <c r="EW56" s="315">
        <v>1</v>
      </c>
      <c r="EX56" s="315">
        <v>1</v>
      </c>
      <c r="EY56" s="315">
        <v>1</v>
      </c>
      <c r="EZ56" s="315">
        <v>1</v>
      </c>
      <c r="FB56" s="50">
        <f>HLOOKUP(M16,$AU$3:$EZ$104,54,TRUE)</f>
        <v>1</v>
      </c>
      <c r="FD56" s="50">
        <f>HLOOKUP(AL42,$AU$3:$EZ$104,54,TRUE)</f>
        <v>1</v>
      </c>
    </row>
    <row r="57" spans="2:160" ht="17.100000000000001" customHeight="1">
      <c r="B57" s="119"/>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120"/>
      <c r="AS57" s="69"/>
      <c r="AT57" s="104">
        <v>3.89</v>
      </c>
      <c r="AU57" s="8">
        <v>2</v>
      </c>
      <c r="AV57" s="8">
        <v>2</v>
      </c>
      <c r="AW57" s="8">
        <v>2</v>
      </c>
      <c r="AX57" s="8">
        <v>2</v>
      </c>
      <c r="AY57" s="8">
        <v>2</v>
      </c>
      <c r="AZ57" s="8">
        <v>2</v>
      </c>
      <c r="BA57" s="316">
        <v>2</v>
      </c>
      <c r="BB57" s="8">
        <v>2</v>
      </c>
      <c r="BC57" s="8">
        <v>2</v>
      </c>
      <c r="BD57" s="8">
        <v>2</v>
      </c>
      <c r="BE57" s="8">
        <v>2</v>
      </c>
      <c r="BF57" s="8">
        <v>2</v>
      </c>
      <c r="BG57" s="8">
        <v>2</v>
      </c>
      <c r="BH57" s="8">
        <v>2</v>
      </c>
      <c r="BI57" s="8">
        <v>2</v>
      </c>
      <c r="BJ57" s="8">
        <v>2</v>
      </c>
      <c r="BK57" s="8">
        <v>2</v>
      </c>
      <c r="BL57" s="8">
        <v>2</v>
      </c>
      <c r="BM57" s="8">
        <v>2</v>
      </c>
      <c r="BN57" s="8">
        <v>2</v>
      </c>
      <c r="BO57" s="8">
        <v>2</v>
      </c>
      <c r="BP57" s="8">
        <v>2</v>
      </c>
      <c r="BQ57" s="8">
        <v>2</v>
      </c>
      <c r="BR57" s="8">
        <v>2</v>
      </c>
      <c r="BS57" s="8">
        <v>2</v>
      </c>
      <c r="BT57" s="8">
        <v>2</v>
      </c>
      <c r="BU57" s="8">
        <v>2</v>
      </c>
      <c r="BV57" s="8">
        <v>2</v>
      </c>
      <c r="BW57" s="8">
        <v>2</v>
      </c>
      <c r="BX57" s="8">
        <v>2</v>
      </c>
      <c r="BY57" s="8">
        <v>2</v>
      </c>
      <c r="BZ57" s="8">
        <v>2</v>
      </c>
      <c r="CA57" s="8">
        <v>2</v>
      </c>
      <c r="CB57" s="8">
        <v>2</v>
      </c>
      <c r="CC57" s="8">
        <v>2</v>
      </c>
      <c r="CD57" s="8">
        <v>2</v>
      </c>
      <c r="CE57" s="8">
        <v>2</v>
      </c>
      <c r="CF57" s="8">
        <v>2</v>
      </c>
      <c r="CG57" s="8">
        <v>2</v>
      </c>
      <c r="CH57" s="8">
        <v>2</v>
      </c>
      <c r="CI57" s="8">
        <v>2</v>
      </c>
      <c r="CJ57" s="8">
        <v>2</v>
      </c>
      <c r="CK57" s="8">
        <v>2</v>
      </c>
      <c r="CL57" s="8">
        <v>2</v>
      </c>
      <c r="CM57" s="8">
        <v>2</v>
      </c>
      <c r="CN57" s="8">
        <v>2</v>
      </c>
      <c r="CO57" s="8">
        <v>2</v>
      </c>
      <c r="CP57" s="8">
        <v>2</v>
      </c>
      <c r="CQ57" s="8">
        <v>2</v>
      </c>
      <c r="CR57" s="8">
        <v>2</v>
      </c>
      <c r="CS57" s="8">
        <v>2</v>
      </c>
      <c r="CT57" s="8">
        <v>2</v>
      </c>
      <c r="CU57" s="8">
        <v>2</v>
      </c>
      <c r="CV57" s="8">
        <v>2</v>
      </c>
      <c r="CW57" s="8">
        <v>2</v>
      </c>
      <c r="CX57" s="8">
        <v>2</v>
      </c>
      <c r="CY57" s="8">
        <v>2</v>
      </c>
      <c r="CZ57" s="8">
        <v>2</v>
      </c>
      <c r="DA57" s="8">
        <v>2</v>
      </c>
      <c r="DB57" s="8">
        <v>2</v>
      </c>
      <c r="DC57" s="8">
        <v>2</v>
      </c>
      <c r="DD57" s="8">
        <v>2</v>
      </c>
      <c r="DE57" s="8">
        <v>2</v>
      </c>
      <c r="DF57" s="8">
        <v>2</v>
      </c>
      <c r="DG57" s="8">
        <v>2</v>
      </c>
      <c r="DH57" s="315">
        <v>1</v>
      </c>
      <c r="DI57" s="315">
        <v>1</v>
      </c>
      <c r="DJ57" s="315">
        <v>1</v>
      </c>
      <c r="DK57" s="315">
        <v>1</v>
      </c>
      <c r="DL57" s="315">
        <v>1</v>
      </c>
      <c r="DM57" s="315">
        <v>1</v>
      </c>
      <c r="DN57" s="315">
        <v>1</v>
      </c>
      <c r="DO57" s="315">
        <v>1</v>
      </c>
      <c r="DP57" s="315">
        <v>1</v>
      </c>
      <c r="DQ57" s="315">
        <v>1</v>
      </c>
      <c r="DR57" s="315">
        <v>1</v>
      </c>
      <c r="DS57" s="315">
        <v>1</v>
      </c>
      <c r="DT57" s="315">
        <v>1</v>
      </c>
      <c r="DU57" s="315">
        <v>1</v>
      </c>
      <c r="DV57" s="315">
        <v>1</v>
      </c>
      <c r="DW57" s="315">
        <v>1</v>
      </c>
      <c r="DX57" s="315">
        <v>1</v>
      </c>
      <c r="DY57" s="315">
        <v>1</v>
      </c>
      <c r="DZ57" s="315">
        <v>1</v>
      </c>
      <c r="EA57" s="315">
        <v>1</v>
      </c>
      <c r="EB57" s="315">
        <v>1</v>
      </c>
      <c r="EC57" s="315">
        <v>1</v>
      </c>
      <c r="ED57" s="315">
        <v>1</v>
      </c>
      <c r="EE57" s="315">
        <v>1</v>
      </c>
      <c r="EF57" s="315">
        <v>1</v>
      </c>
      <c r="EG57" s="315">
        <v>1</v>
      </c>
      <c r="EH57" s="315">
        <v>1</v>
      </c>
      <c r="EI57" s="315">
        <v>1</v>
      </c>
      <c r="EJ57" s="315">
        <v>1</v>
      </c>
      <c r="EK57" s="315">
        <v>1</v>
      </c>
      <c r="EL57" s="315">
        <v>1</v>
      </c>
      <c r="EM57" s="315">
        <v>1</v>
      </c>
      <c r="EN57" s="315">
        <v>1</v>
      </c>
      <c r="EO57" s="315">
        <v>1</v>
      </c>
      <c r="EP57" s="315">
        <v>1</v>
      </c>
      <c r="EQ57" s="315">
        <v>1</v>
      </c>
      <c r="ER57" s="315">
        <v>1</v>
      </c>
      <c r="ES57" s="315">
        <v>1</v>
      </c>
      <c r="ET57" s="315">
        <v>1</v>
      </c>
      <c r="EU57" s="315">
        <v>1</v>
      </c>
      <c r="EV57" s="315">
        <v>1</v>
      </c>
      <c r="EW57" s="315">
        <v>1</v>
      </c>
      <c r="EX57" s="315">
        <v>1</v>
      </c>
      <c r="EY57" s="315">
        <v>1</v>
      </c>
      <c r="EZ57" s="315">
        <v>1</v>
      </c>
      <c r="FB57" s="50">
        <f>HLOOKUP(M16,$AU$3:$EZ$104,55,TRUE)</f>
        <v>1</v>
      </c>
      <c r="FD57" s="50">
        <f>HLOOKUP(AL42,$AU$3:$EZ$104,55,TRUE)</f>
        <v>1</v>
      </c>
    </row>
    <row r="58" spans="2:160" ht="17.100000000000001" customHeight="1">
      <c r="B58" s="119"/>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120"/>
      <c r="AS58" s="69"/>
      <c r="AT58" s="104">
        <v>4.1689999999999996</v>
      </c>
      <c r="AU58" s="8">
        <v>2</v>
      </c>
      <c r="AV58" s="8">
        <v>2</v>
      </c>
      <c r="AW58" s="8">
        <v>2</v>
      </c>
      <c r="AX58" s="8">
        <v>2</v>
      </c>
      <c r="AY58" s="8">
        <v>2</v>
      </c>
      <c r="AZ58" s="8">
        <v>2</v>
      </c>
      <c r="BA58" s="316">
        <v>2</v>
      </c>
      <c r="BB58" s="8">
        <v>2</v>
      </c>
      <c r="BC58" s="8">
        <v>2</v>
      </c>
      <c r="BD58" s="8">
        <v>2</v>
      </c>
      <c r="BE58" s="8">
        <v>2</v>
      </c>
      <c r="BF58" s="8">
        <v>2</v>
      </c>
      <c r="BG58" s="8">
        <v>2</v>
      </c>
      <c r="BH58" s="8">
        <v>2</v>
      </c>
      <c r="BI58" s="8">
        <v>2</v>
      </c>
      <c r="BJ58" s="8">
        <v>2</v>
      </c>
      <c r="BK58" s="8">
        <v>2</v>
      </c>
      <c r="BL58" s="8">
        <v>2</v>
      </c>
      <c r="BM58" s="8">
        <v>2</v>
      </c>
      <c r="BN58" s="8">
        <v>2</v>
      </c>
      <c r="BO58" s="8">
        <v>2</v>
      </c>
      <c r="BP58" s="8">
        <v>2</v>
      </c>
      <c r="BQ58" s="8">
        <v>2</v>
      </c>
      <c r="BR58" s="8">
        <v>2</v>
      </c>
      <c r="BS58" s="8">
        <v>2</v>
      </c>
      <c r="BT58" s="8">
        <v>2</v>
      </c>
      <c r="BU58" s="8">
        <v>2</v>
      </c>
      <c r="BV58" s="8">
        <v>2</v>
      </c>
      <c r="BW58" s="8">
        <v>2</v>
      </c>
      <c r="BX58" s="8">
        <v>2</v>
      </c>
      <c r="BY58" s="8">
        <v>2</v>
      </c>
      <c r="BZ58" s="8">
        <v>2</v>
      </c>
      <c r="CA58" s="8">
        <v>2</v>
      </c>
      <c r="CB58" s="8">
        <v>2</v>
      </c>
      <c r="CC58" s="8">
        <v>2</v>
      </c>
      <c r="CD58" s="8">
        <v>2</v>
      </c>
      <c r="CE58" s="8">
        <v>2</v>
      </c>
      <c r="CF58" s="8">
        <v>2</v>
      </c>
      <c r="CG58" s="8">
        <v>2</v>
      </c>
      <c r="CH58" s="8">
        <v>2</v>
      </c>
      <c r="CI58" s="8">
        <v>2</v>
      </c>
      <c r="CJ58" s="8">
        <v>2</v>
      </c>
      <c r="CK58" s="8">
        <v>2</v>
      </c>
      <c r="CL58" s="8">
        <v>2</v>
      </c>
      <c r="CM58" s="8">
        <v>2</v>
      </c>
      <c r="CN58" s="8">
        <v>2</v>
      </c>
      <c r="CO58" s="8">
        <v>2</v>
      </c>
      <c r="CP58" s="8">
        <v>2</v>
      </c>
      <c r="CQ58" s="8">
        <v>2</v>
      </c>
      <c r="CR58" s="8">
        <v>2</v>
      </c>
      <c r="CS58" s="8">
        <v>2</v>
      </c>
      <c r="CT58" s="8">
        <v>2</v>
      </c>
      <c r="CU58" s="8">
        <v>2</v>
      </c>
      <c r="CV58" s="8">
        <v>2</v>
      </c>
      <c r="CW58" s="8">
        <v>2</v>
      </c>
      <c r="CX58" s="8">
        <v>2</v>
      </c>
      <c r="CY58" s="8">
        <v>2</v>
      </c>
      <c r="CZ58" s="8">
        <v>2</v>
      </c>
      <c r="DA58" s="8">
        <v>2</v>
      </c>
      <c r="DB58" s="8">
        <v>2</v>
      </c>
      <c r="DC58" s="8">
        <v>2</v>
      </c>
      <c r="DD58" s="8">
        <v>2</v>
      </c>
      <c r="DE58" s="8">
        <v>2</v>
      </c>
      <c r="DF58" s="8">
        <v>2</v>
      </c>
      <c r="DG58" s="8">
        <v>2</v>
      </c>
      <c r="DH58" s="8">
        <v>2</v>
      </c>
      <c r="DI58" s="315">
        <v>1</v>
      </c>
      <c r="DJ58" s="315">
        <v>1</v>
      </c>
      <c r="DK58" s="315">
        <v>1</v>
      </c>
      <c r="DL58" s="315">
        <v>1</v>
      </c>
      <c r="DM58" s="315">
        <v>1</v>
      </c>
      <c r="DN58" s="315">
        <v>1</v>
      </c>
      <c r="DO58" s="315">
        <v>1</v>
      </c>
      <c r="DP58" s="315">
        <v>1</v>
      </c>
      <c r="DQ58" s="315">
        <v>1</v>
      </c>
      <c r="DR58" s="315">
        <v>1</v>
      </c>
      <c r="DS58" s="315">
        <v>1</v>
      </c>
      <c r="DT58" s="315">
        <v>1</v>
      </c>
      <c r="DU58" s="315">
        <v>1</v>
      </c>
      <c r="DV58" s="315">
        <v>1</v>
      </c>
      <c r="DW58" s="315">
        <v>1</v>
      </c>
      <c r="DX58" s="315">
        <v>1</v>
      </c>
      <c r="DY58" s="315">
        <v>1</v>
      </c>
      <c r="DZ58" s="315">
        <v>1</v>
      </c>
      <c r="EA58" s="315">
        <v>1</v>
      </c>
      <c r="EB58" s="315">
        <v>1</v>
      </c>
      <c r="EC58" s="315">
        <v>1</v>
      </c>
      <c r="ED58" s="315">
        <v>1</v>
      </c>
      <c r="EE58" s="315">
        <v>1</v>
      </c>
      <c r="EF58" s="315">
        <v>1</v>
      </c>
      <c r="EG58" s="315">
        <v>1</v>
      </c>
      <c r="EH58" s="315">
        <v>1</v>
      </c>
      <c r="EI58" s="315">
        <v>1</v>
      </c>
      <c r="EJ58" s="315">
        <v>1</v>
      </c>
      <c r="EK58" s="315">
        <v>1</v>
      </c>
      <c r="EL58" s="315">
        <v>1</v>
      </c>
      <c r="EM58" s="315">
        <v>1</v>
      </c>
      <c r="EN58" s="315">
        <v>1</v>
      </c>
      <c r="EO58" s="315">
        <v>1</v>
      </c>
      <c r="EP58" s="315">
        <v>1</v>
      </c>
      <c r="EQ58" s="315">
        <v>1</v>
      </c>
      <c r="ER58" s="315">
        <v>1</v>
      </c>
      <c r="ES58" s="315">
        <v>1</v>
      </c>
      <c r="ET58" s="315">
        <v>1</v>
      </c>
      <c r="EU58" s="315">
        <v>1</v>
      </c>
      <c r="EV58" s="315">
        <v>1</v>
      </c>
      <c r="EW58" s="315">
        <v>1</v>
      </c>
      <c r="EX58" s="315">
        <v>1</v>
      </c>
      <c r="EY58" s="315">
        <v>1</v>
      </c>
      <c r="EZ58" s="315">
        <v>1</v>
      </c>
      <c r="FB58" s="50">
        <f>HLOOKUP(M16,$AU$3:$EZ$104,56,TRUE)</f>
        <v>1</v>
      </c>
      <c r="FD58" s="50">
        <f>HLOOKUP(AL42,$AU$3:$EZ$104,56,TRUE)</f>
        <v>1</v>
      </c>
    </row>
    <row r="59" spans="2:160" ht="17.100000000000001" customHeight="1">
      <c r="B59" s="119"/>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120"/>
      <c r="AS59" s="69"/>
      <c r="AT59" s="104">
        <v>4.4669999999999996</v>
      </c>
      <c r="AU59" s="8">
        <v>2</v>
      </c>
      <c r="AV59" s="8">
        <v>2</v>
      </c>
      <c r="AW59" s="8">
        <v>2</v>
      </c>
      <c r="AX59" s="8">
        <v>2</v>
      </c>
      <c r="AY59" s="8">
        <v>2</v>
      </c>
      <c r="AZ59" s="8">
        <v>2</v>
      </c>
      <c r="BA59" s="316">
        <v>2</v>
      </c>
      <c r="BB59" s="8">
        <v>2</v>
      </c>
      <c r="BC59" s="8">
        <v>2</v>
      </c>
      <c r="BD59" s="8">
        <v>2</v>
      </c>
      <c r="BE59" s="8">
        <v>2</v>
      </c>
      <c r="BF59" s="8">
        <v>2</v>
      </c>
      <c r="BG59" s="8">
        <v>2</v>
      </c>
      <c r="BH59" s="8">
        <v>2</v>
      </c>
      <c r="BI59" s="8">
        <v>2</v>
      </c>
      <c r="BJ59" s="8">
        <v>2</v>
      </c>
      <c r="BK59" s="8">
        <v>2</v>
      </c>
      <c r="BL59" s="8">
        <v>2</v>
      </c>
      <c r="BM59" s="8">
        <v>2</v>
      </c>
      <c r="BN59" s="8">
        <v>2</v>
      </c>
      <c r="BO59" s="8">
        <v>2</v>
      </c>
      <c r="BP59" s="8">
        <v>2</v>
      </c>
      <c r="BQ59" s="8">
        <v>2</v>
      </c>
      <c r="BR59" s="8">
        <v>2</v>
      </c>
      <c r="BS59" s="8">
        <v>2</v>
      </c>
      <c r="BT59" s="8">
        <v>2</v>
      </c>
      <c r="BU59" s="8">
        <v>2</v>
      </c>
      <c r="BV59" s="8">
        <v>2</v>
      </c>
      <c r="BW59" s="8">
        <v>2</v>
      </c>
      <c r="BX59" s="8">
        <v>2</v>
      </c>
      <c r="BY59" s="8">
        <v>2</v>
      </c>
      <c r="BZ59" s="8">
        <v>2</v>
      </c>
      <c r="CA59" s="8">
        <v>2</v>
      </c>
      <c r="CB59" s="8">
        <v>2</v>
      </c>
      <c r="CC59" s="8">
        <v>2</v>
      </c>
      <c r="CD59" s="8">
        <v>2</v>
      </c>
      <c r="CE59" s="8">
        <v>2</v>
      </c>
      <c r="CF59" s="8">
        <v>2</v>
      </c>
      <c r="CG59" s="8">
        <v>2</v>
      </c>
      <c r="CH59" s="8">
        <v>2</v>
      </c>
      <c r="CI59" s="8">
        <v>2</v>
      </c>
      <c r="CJ59" s="8">
        <v>2</v>
      </c>
      <c r="CK59" s="8">
        <v>2</v>
      </c>
      <c r="CL59" s="8">
        <v>2</v>
      </c>
      <c r="CM59" s="8">
        <v>2</v>
      </c>
      <c r="CN59" s="8">
        <v>2</v>
      </c>
      <c r="CO59" s="8">
        <v>2</v>
      </c>
      <c r="CP59" s="8">
        <v>2</v>
      </c>
      <c r="CQ59" s="8">
        <v>2</v>
      </c>
      <c r="CR59" s="8">
        <v>2</v>
      </c>
      <c r="CS59" s="8">
        <v>2</v>
      </c>
      <c r="CT59" s="8">
        <v>2</v>
      </c>
      <c r="CU59" s="8">
        <v>2</v>
      </c>
      <c r="CV59" s="8">
        <v>2</v>
      </c>
      <c r="CW59" s="8">
        <v>2</v>
      </c>
      <c r="CX59" s="8">
        <v>2</v>
      </c>
      <c r="CY59" s="8">
        <v>2</v>
      </c>
      <c r="CZ59" s="8">
        <v>2</v>
      </c>
      <c r="DA59" s="8">
        <v>2</v>
      </c>
      <c r="DB59" s="8">
        <v>2</v>
      </c>
      <c r="DC59" s="8">
        <v>2</v>
      </c>
      <c r="DD59" s="8">
        <v>2</v>
      </c>
      <c r="DE59" s="8">
        <v>2</v>
      </c>
      <c r="DF59" s="8">
        <v>2</v>
      </c>
      <c r="DG59" s="8">
        <v>2</v>
      </c>
      <c r="DH59" s="8">
        <v>2</v>
      </c>
      <c r="DI59" s="315">
        <v>1</v>
      </c>
      <c r="DJ59" s="315">
        <v>1</v>
      </c>
      <c r="DK59" s="315">
        <v>1</v>
      </c>
      <c r="DL59" s="315">
        <v>1</v>
      </c>
      <c r="DM59" s="315">
        <v>1</v>
      </c>
      <c r="DN59" s="315">
        <v>1</v>
      </c>
      <c r="DO59" s="315">
        <v>1</v>
      </c>
      <c r="DP59" s="315">
        <v>1</v>
      </c>
      <c r="DQ59" s="315">
        <v>1</v>
      </c>
      <c r="DR59" s="315">
        <v>1</v>
      </c>
      <c r="DS59" s="315">
        <v>1</v>
      </c>
      <c r="DT59" s="315">
        <v>1</v>
      </c>
      <c r="DU59" s="315">
        <v>1</v>
      </c>
      <c r="DV59" s="315">
        <v>1</v>
      </c>
      <c r="DW59" s="315">
        <v>1</v>
      </c>
      <c r="DX59" s="315">
        <v>1</v>
      </c>
      <c r="DY59" s="315">
        <v>1</v>
      </c>
      <c r="DZ59" s="315">
        <v>1</v>
      </c>
      <c r="EA59" s="315">
        <v>1</v>
      </c>
      <c r="EB59" s="315">
        <v>1</v>
      </c>
      <c r="EC59" s="315">
        <v>1</v>
      </c>
      <c r="ED59" s="315">
        <v>1</v>
      </c>
      <c r="EE59" s="315">
        <v>1</v>
      </c>
      <c r="EF59" s="315">
        <v>1</v>
      </c>
      <c r="EG59" s="315">
        <v>1</v>
      </c>
      <c r="EH59" s="315">
        <v>1</v>
      </c>
      <c r="EI59" s="315">
        <v>1</v>
      </c>
      <c r="EJ59" s="315">
        <v>1</v>
      </c>
      <c r="EK59" s="315">
        <v>1</v>
      </c>
      <c r="EL59" s="315">
        <v>1</v>
      </c>
      <c r="EM59" s="315">
        <v>1</v>
      </c>
      <c r="EN59" s="315">
        <v>1</v>
      </c>
      <c r="EO59" s="315">
        <v>1</v>
      </c>
      <c r="EP59" s="315">
        <v>1</v>
      </c>
      <c r="EQ59" s="315">
        <v>1</v>
      </c>
      <c r="ER59" s="315">
        <v>1</v>
      </c>
      <c r="ES59" s="315">
        <v>1</v>
      </c>
      <c r="ET59" s="315">
        <v>1</v>
      </c>
      <c r="EU59" s="315">
        <v>1</v>
      </c>
      <c r="EV59" s="315">
        <v>1</v>
      </c>
      <c r="EW59" s="315">
        <v>1</v>
      </c>
      <c r="EX59" s="315">
        <v>1</v>
      </c>
      <c r="EY59" s="315">
        <v>1</v>
      </c>
      <c r="EZ59" s="315">
        <v>1</v>
      </c>
      <c r="FB59" s="50">
        <f>HLOOKUP(M16,$AU$3:$EZ$104,57,TRUE)</f>
        <v>1</v>
      </c>
      <c r="FD59" s="50">
        <f>HLOOKUP(AL42,$AU$3:$EZ$104,57,TRUE)</f>
        <v>1</v>
      </c>
    </row>
    <row r="60" spans="2:160" ht="17.100000000000001" customHeight="1">
      <c r="B60" s="119"/>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120"/>
      <c r="AS60" s="69"/>
      <c r="AT60" s="104">
        <v>4.7859999999999996</v>
      </c>
      <c r="AU60" s="8">
        <v>2</v>
      </c>
      <c r="AV60" s="8">
        <v>2</v>
      </c>
      <c r="AW60" s="8">
        <v>2</v>
      </c>
      <c r="AX60" s="8">
        <v>2</v>
      </c>
      <c r="AY60" s="8">
        <v>2</v>
      </c>
      <c r="AZ60" s="8">
        <v>2</v>
      </c>
      <c r="BA60" s="316">
        <v>2</v>
      </c>
      <c r="BB60" s="8">
        <v>2</v>
      </c>
      <c r="BC60" s="8">
        <v>2</v>
      </c>
      <c r="BD60" s="8">
        <v>2</v>
      </c>
      <c r="BE60" s="8">
        <v>2</v>
      </c>
      <c r="BF60" s="8">
        <v>2</v>
      </c>
      <c r="BG60" s="8">
        <v>2</v>
      </c>
      <c r="BH60" s="8">
        <v>2</v>
      </c>
      <c r="BI60" s="8">
        <v>2</v>
      </c>
      <c r="BJ60" s="8">
        <v>2</v>
      </c>
      <c r="BK60" s="8">
        <v>2</v>
      </c>
      <c r="BL60" s="8">
        <v>2</v>
      </c>
      <c r="BM60" s="8">
        <v>2</v>
      </c>
      <c r="BN60" s="8">
        <v>2</v>
      </c>
      <c r="BO60" s="8">
        <v>2</v>
      </c>
      <c r="BP60" s="8">
        <v>2</v>
      </c>
      <c r="BQ60" s="8">
        <v>2</v>
      </c>
      <c r="BR60" s="8">
        <v>2</v>
      </c>
      <c r="BS60" s="8">
        <v>2</v>
      </c>
      <c r="BT60" s="8">
        <v>2</v>
      </c>
      <c r="BU60" s="8">
        <v>2</v>
      </c>
      <c r="BV60" s="8">
        <v>2</v>
      </c>
      <c r="BW60" s="8">
        <v>2</v>
      </c>
      <c r="BX60" s="8">
        <v>2</v>
      </c>
      <c r="BY60" s="8">
        <v>2</v>
      </c>
      <c r="BZ60" s="8">
        <v>2</v>
      </c>
      <c r="CA60" s="8">
        <v>2</v>
      </c>
      <c r="CB60" s="8">
        <v>2</v>
      </c>
      <c r="CC60" s="8">
        <v>2</v>
      </c>
      <c r="CD60" s="8">
        <v>2</v>
      </c>
      <c r="CE60" s="8">
        <v>2</v>
      </c>
      <c r="CF60" s="8">
        <v>2</v>
      </c>
      <c r="CG60" s="8">
        <v>2</v>
      </c>
      <c r="CH60" s="8">
        <v>2</v>
      </c>
      <c r="CI60" s="8">
        <v>2</v>
      </c>
      <c r="CJ60" s="8">
        <v>2</v>
      </c>
      <c r="CK60" s="8">
        <v>2</v>
      </c>
      <c r="CL60" s="8">
        <v>2</v>
      </c>
      <c r="CM60" s="8">
        <v>2</v>
      </c>
      <c r="CN60" s="8">
        <v>2</v>
      </c>
      <c r="CO60" s="8">
        <v>2</v>
      </c>
      <c r="CP60" s="8">
        <v>2</v>
      </c>
      <c r="CQ60" s="8">
        <v>2</v>
      </c>
      <c r="CR60" s="8">
        <v>2</v>
      </c>
      <c r="CS60" s="8">
        <v>2</v>
      </c>
      <c r="CT60" s="8">
        <v>2</v>
      </c>
      <c r="CU60" s="8">
        <v>2</v>
      </c>
      <c r="CV60" s="8">
        <v>2</v>
      </c>
      <c r="CW60" s="8">
        <v>2</v>
      </c>
      <c r="CX60" s="8">
        <v>2</v>
      </c>
      <c r="CY60" s="8">
        <v>2</v>
      </c>
      <c r="CZ60" s="8">
        <v>2</v>
      </c>
      <c r="DA60" s="8">
        <v>2</v>
      </c>
      <c r="DB60" s="8">
        <v>2</v>
      </c>
      <c r="DC60" s="8">
        <v>2</v>
      </c>
      <c r="DD60" s="8">
        <v>2</v>
      </c>
      <c r="DE60" s="8">
        <v>2</v>
      </c>
      <c r="DF60" s="8">
        <v>2</v>
      </c>
      <c r="DG60" s="8">
        <v>2</v>
      </c>
      <c r="DH60" s="8">
        <v>2</v>
      </c>
      <c r="DI60" s="8">
        <v>2</v>
      </c>
      <c r="DJ60" s="315">
        <v>1</v>
      </c>
      <c r="DK60" s="315">
        <v>1</v>
      </c>
      <c r="DL60" s="315">
        <v>1</v>
      </c>
      <c r="DM60" s="315">
        <v>1</v>
      </c>
      <c r="DN60" s="315">
        <v>1</v>
      </c>
      <c r="DO60" s="315">
        <v>1</v>
      </c>
      <c r="DP60" s="315">
        <v>1</v>
      </c>
      <c r="DQ60" s="315">
        <v>1</v>
      </c>
      <c r="DR60" s="315">
        <v>1</v>
      </c>
      <c r="DS60" s="315">
        <v>1</v>
      </c>
      <c r="DT60" s="315">
        <v>1</v>
      </c>
      <c r="DU60" s="315">
        <v>1</v>
      </c>
      <c r="DV60" s="315">
        <v>1</v>
      </c>
      <c r="DW60" s="315">
        <v>1</v>
      </c>
      <c r="DX60" s="315">
        <v>1</v>
      </c>
      <c r="DY60" s="315">
        <v>1</v>
      </c>
      <c r="DZ60" s="315">
        <v>1</v>
      </c>
      <c r="EA60" s="315">
        <v>1</v>
      </c>
      <c r="EB60" s="315">
        <v>1</v>
      </c>
      <c r="EC60" s="315">
        <v>1</v>
      </c>
      <c r="ED60" s="315">
        <v>1</v>
      </c>
      <c r="EE60" s="315">
        <v>1</v>
      </c>
      <c r="EF60" s="315">
        <v>1</v>
      </c>
      <c r="EG60" s="315">
        <v>1</v>
      </c>
      <c r="EH60" s="315">
        <v>1</v>
      </c>
      <c r="EI60" s="315">
        <v>1</v>
      </c>
      <c r="EJ60" s="315">
        <v>1</v>
      </c>
      <c r="EK60" s="315">
        <v>1</v>
      </c>
      <c r="EL60" s="315">
        <v>1</v>
      </c>
      <c r="EM60" s="315">
        <v>1</v>
      </c>
      <c r="EN60" s="315">
        <v>1</v>
      </c>
      <c r="EO60" s="315">
        <v>1</v>
      </c>
      <c r="EP60" s="315">
        <v>1</v>
      </c>
      <c r="EQ60" s="315">
        <v>1</v>
      </c>
      <c r="ER60" s="315">
        <v>1</v>
      </c>
      <c r="ES60" s="315">
        <v>1</v>
      </c>
      <c r="ET60" s="315">
        <v>1</v>
      </c>
      <c r="EU60" s="315">
        <v>1</v>
      </c>
      <c r="EV60" s="315">
        <v>1</v>
      </c>
      <c r="EW60" s="315">
        <v>1</v>
      </c>
      <c r="EX60" s="315">
        <v>1</v>
      </c>
      <c r="EY60" s="315">
        <v>1</v>
      </c>
      <c r="EZ60" s="315">
        <v>1</v>
      </c>
      <c r="FB60" s="50">
        <f>HLOOKUP(M16,$AU$3:$EZ$104,58,TRUE)</f>
        <v>1</v>
      </c>
      <c r="FD60" s="50">
        <f>HLOOKUP(AL42,$AU$3:$EZ$104,58,TRUE)</f>
        <v>1</v>
      </c>
    </row>
    <row r="61" spans="2:160" ht="17.100000000000001" customHeight="1" thickBot="1">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153" t="s">
        <v>395</v>
      </c>
      <c r="AB61" s="126"/>
      <c r="AS61" s="69"/>
      <c r="AT61" s="104">
        <v>5.1289999999999996</v>
      </c>
      <c r="AU61" s="8">
        <v>2</v>
      </c>
      <c r="AV61" s="8">
        <v>2</v>
      </c>
      <c r="AW61" s="8">
        <v>2</v>
      </c>
      <c r="AX61" s="8">
        <v>2</v>
      </c>
      <c r="AY61" s="8">
        <v>2</v>
      </c>
      <c r="AZ61" s="8">
        <v>2</v>
      </c>
      <c r="BA61" s="316">
        <v>2</v>
      </c>
      <c r="BB61" s="8">
        <v>2</v>
      </c>
      <c r="BC61" s="8">
        <v>2</v>
      </c>
      <c r="BD61" s="8">
        <v>2</v>
      </c>
      <c r="BE61" s="8">
        <v>2</v>
      </c>
      <c r="BF61" s="8">
        <v>2</v>
      </c>
      <c r="BG61" s="8">
        <v>2</v>
      </c>
      <c r="BH61" s="8">
        <v>2</v>
      </c>
      <c r="BI61" s="8">
        <v>2</v>
      </c>
      <c r="BJ61" s="8">
        <v>2</v>
      </c>
      <c r="BK61" s="8">
        <v>2</v>
      </c>
      <c r="BL61" s="8">
        <v>2</v>
      </c>
      <c r="BM61" s="8">
        <v>2</v>
      </c>
      <c r="BN61" s="8">
        <v>2</v>
      </c>
      <c r="BO61" s="8">
        <v>2</v>
      </c>
      <c r="BP61" s="8">
        <v>2</v>
      </c>
      <c r="BQ61" s="8">
        <v>2</v>
      </c>
      <c r="BR61" s="8">
        <v>2</v>
      </c>
      <c r="BS61" s="8">
        <v>2</v>
      </c>
      <c r="BT61" s="8">
        <v>2</v>
      </c>
      <c r="BU61" s="8">
        <v>2</v>
      </c>
      <c r="BV61" s="8">
        <v>2</v>
      </c>
      <c r="BW61" s="8">
        <v>2</v>
      </c>
      <c r="BX61" s="8">
        <v>2</v>
      </c>
      <c r="BY61" s="8">
        <v>2</v>
      </c>
      <c r="BZ61" s="8">
        <v>2</v>
      </c>
      <c r="CA61" s="8">
        <v>2</v>
      </c>
      <c r="CB61" s="8">
        <v>2</v>
      </c>
      <c r="CC61" s="8">
        <v>2</v>
      </c>
      <c r="CD61" s="8">
        <v>2</v>
      </c>
      <c r="CE61" s="8">
        <v>2</v>
      </c>
      <c r="CF61" s="8">
        <v>2</v>
      </c>
      <c r="CG61" s="8">
        <v>2</v>
      </c>
      <c r="CH61" s="8">
        <v>2</v>
      </c>
      <c r="CI61" s="8">
        <v>2</v>
      </c>
      <c r="CJ61" s="8">
        <v>2</v>
      </c>
      <c r="CK61" s="8">
        <v>2</v>
      </c>
      <c r="CL61" s="8">
        <v>2</v>
      </c>
      <c r="CM61" s="8">
        <v>2</v>
      </c>
      <c r="CN61" s="8">
        <v>2</v>
      </c>
      <c r="CO61" s="8">
        <v>2</v>
      </c>
      <c r="CP61" s="8">
        <v>2</v>
      </c>
      <c r="CQ61" s="8">
        <v>2</v>
      </c>
      <c r="CR61" s="8">
        <v>2</v>
      </c>
      <c r="CS61" s="8">
        <v>2</v>
      </c>
      <c r="CT61" s="8">
        <v>2</v>
      </c>
      <c r="CU61" s="8">
        <v>2</v>
      </c>
      <c r="CV61" s="8">
        <v>2</v>
      </c>
      <c r="CW61" s="8">
        <v>2</v>
      </c>
      <c r="CX61" s="8">
        <v>2</v>
      </c>
      <c r="CY61" s="8">
        <v>2</v>
      </c>
      <c r="CZ61" s="8">
        <v>2</v>
      </c>
      <c r="DA61" s="8">
        <v>2</v>
      </c>
      <c r="DB61" s="8">
        <v>2</v>
      </c>
      <c r="DC61" s="8">
        <v>2</v>
      </c>
      <c r="DD61" s="8">
        <v>2</v>
      </c>
      <c r="DE61" s="8">
        <v>2</v>
      </c>
      <c r="DF61" s="8">
        <v>2</v>
      </c>
      <c r="DG61" s="8">
        <v>2</v>
      </c>
      <c r="DH61" s="8">
        <v>2</v>
      </c>
      <c r="DI61" s="8">
        <v>2</v>
      </c>
      <c r="DJ61" s="8">
        <v>2</v>
      </c>
      <c r="DK61" s="315">
        <v>1</v>
      </c>
      <c r="DL61" s="315">
        <v>1</v>
      </c>
      <c r="DM61" s="315">
        <v>1</v>
      </c>
      <c r="DN61" s="315">
        <v>1</v>
      </c>
      <c r="DO61" s="315">
        <v>1</v>
      </c>
      <c r="DP61" s="315">
        <v>1</v>
      </c>
      <c r="DQ61" s="315">
        <v>1</v>
      </c>
      <c r="DR61" s="315">
        <v>1</v>
      </c>
      <c r="DS61" s="315">
        <v>1</v>
      </c>
      <c r="DT61" s="315">
        <v>1</v>
      </c>
      <c r="DU61" s="315">
        <v>1</v>
      </c>
      <c r="DV61" s="315">
        <v>1</v>
      </c>
      <c r="DW61" s="315">
        <v>1</v>
      </c>
      <c r="DX61" s="315">
        <v>1</v>
      </c>
      <c r="DY61" s="315">
        <v>1</v>
      </c>
      <c r="DZ61" s="315">
        <v>1</v>
      </c>
      <c r="EA61" s="315">
        <v>1</v>
      </c>
      <c r="EB61" s="315">
        <v>1</v>
      </c>
      <c r="EC61" s="315">
        <v>1</v>
      </c>
      <c r="ED61" s="315">
        <v>1</v>
      </c>
      <c r="EE61" s="315">
        <v>1</v>
      </c>
      <c r="EF61" s="315">
        <v>1</v>
      </c>
      <c r="EG61" s="315">
        <v>1</v>
      </c>
      <c r="EH61" s="315">
        <v>1</v>
      </c>
      <c r="EI61" s="315">
        <v>1</v>
      </c>
      <c r="EJ61" s="315">
        <v>1</v>
      </c>
      <c r="EK61" s="315">
        <v>1</v>
      </c>
      <c r="EL61" s="315">
        <v>1</v>
      </c>
      <c r="EM61" s="315">
        <v>1</v>
      </c>
      <c r="EN61" s="315">
        <v>1</v>
      </c>
      <c r="EO61" s="315">
        <v>1</v>
      </c>
      <c r="EP61" s="315">
        <v>1</v>
      </c>
      <c r="EQ61" s="315">
        <v>1</v>
      </c>
      <c r="ER61" s="315">
        <v>1</v>
      </c>
      <c r="ES61" s="315">
        <v>1</v>
      </c>
      <c r="ET61" s="315">
        <v>1</v>
      </c>
      <c r="EU61" s="315">
        <v>1</v>
      </c>
      <c r="EV61" s="315">
        <v>1</v>
      </c>
      <c r="EW61" s="315">
        <v>1</v>
      </c>
      <c r="EX61" s="315">
        <v>1</v>
      </c>
      <c r="EY61" s="315">
        <v>1</v>
      </c>
      <c r="EZ61" s="315">
        <v>1</v>
      </c>
      <c r="FB61" s="50">
        <f>HLOOKUP(M16,$AU$3:$EZ$104,59,TRUE)</f>
        <v>1</v>
      </c>
      <c r="FD61" s="50">
        <f>HLOOKUP(AL42,$AU$3:$EZ$104,59,TRUE)</f>
        <v>1</v>
      </c>
    </row>
    <row r="62" spans="2:160" ht="17.100000000000001" customHeight="1">
      <c r="AS62" s="69"/>
      <c r="AT62" s="104">
        <v>5.4950000000000001</v>
      </c>
      <c r="AU62" s="8">
        <v>2</v>
      </c>
      <c r="AV62" s="8">
        <v>2</v>
      </c>
      <c r="AW62" s="8">
        <v>2</v>
      </c>
      <c r="AX62" s="8">
        <v>2</v>
      </c>
      <c r="AY62" s="8">
        <v>2</v>
      </c>
      <c r="AZ62" s="8">
        <v>2</v>
      </c>
      <c r="BA62" s="316">
        <v>2</v>
      </c>
      <c r="BB62" s="8">
        <v>2</v>
      </c>
      <c r="BC62" s="8">
        <v>2</v>
      </c>
      <c r="BD62" s="8">
        <v>2</v>
      </c>
      <c r="BE62" s="8">
        <v>2</v>
      </c>
      <c r="BF62" s="8">
        <v>2</v>
      </c>
      <c r="BG62" s="8">
        <v>2</v>
      </c>
      <c r="BH62" s="8">
        <v>2</v>
      </c>
      <c r="BI62" s="8">
        <v>2</v>
      </c>
      <c r="BJ62" s="8">
        <v>2</v>
      </c>
      <c r="BK62" s="8">
        <v>2</v>
      </c>
      <c r="BL62" s="8">
        <v>2</v>
      </c>
      <c r="BM62" s="8">
        <v>2</v>
      </c>
      <c r="BN62" s="8">
        <v>2</v>
      </c>
      <c r="BO62" s="8">
        <v>2</v>
      </c>
      <c r="BP62" s="8">
        <v>2</v>
      </c>
      <c r="BQ62" s="8">
        <v>2</v>
      </c>
      <c r="BR62" s="8">
        <v>2</v>
      </c>
      <c r="BS62" s="8">
        <v>2</v>
      </c>
      <c r="BT62" s="8">
        <v>2</v>
      </c>
      <c r="BU62" s="8">
        <v>2</v>
      </c>
      <c r="BV62" s="8">
        <v>2</v>
      </c>
      <c r="BW62" s="8">
        <v>2</v>
      </c>
      <c r="BX62" s="8">
        <v>2</v>
      </c>
      <c r="BY62" s="8">
        <v>2</v>
      </c>
      <c r="BZ62" s="8">
        <v>2</v>
      </c>
      <c r="CA62" s="8">
        <v>2</v>
      </c>
      <c r="CB62" s="8">
        <v>2</v>
      </c>
      <c r="CC62" s="8">
        <v>2</v>
      </c>
      <c r="CD62" s="8">
        <v>2</v>
      </c>
      <c r="CE62" s="8">
        <v>2</v>
      </c>
      <c r="CF62" s="8">
        <v>2</v>
      </c>
      <c r="CG62" s="8">
        <v>2</v>
      </c>
      <c r="CH62" s="8">
        <v>2</v>
      </c>
      <c r="CI62" s="8">
        <v>2</v>
      </c>
      <c r="CJ62" s="8">
        <v>2</v>
      </c>
      <c r="CK62" s="8">
        <v>2</v>
      </c>
      <c r="CL62" s="8">
        <v>2</v>
      </c>
      <c r="CM62" s="8">
        <v>2</v>
      </c>
      <c r="CN62" s="8">
        <v>2</v>
      </c>
      <c r="CO62" s="8">
        <v>2</v>
      </c>
      <c r="CP62" s="8">
        <v>2</v>
      </c>
      <c r="CQ62" s="8">
        <v>2</v>
      </c>
      <c r="CR62" s="8">
        <v>2</v>
      </c>
      <c r="CS62" s="8">
        <v>2</v>
      </c>
      <c r="CT62" s="8">
        <v>2</v>
      </c>
      <c r="CU62" s="8">
        <v>2</v>
      </c>
      <c r="CV62" s="8">
        <v>2</v>
      </c>
      <c r="CW62" s="8">
        <v>2</v>
      </c>
      <c r="CX62" s="8">
        <v>2</v>
      </c>
      <c r="CY62" s="8">
        <v>2</v>
      </c>
      <c r="CZ62" s="8">
        <v>2</v>
      </c>
      <c r="DA62" s="8">
        <v>2</v>
      </c>
      <c r="DB62" s="8">
        <v>2</v>
      </c>
      <c r="DC62" s="8">
        <v>2</v>
      </c>
      <c r="DD62" s="8">
        <v>2</v>
      </c>
      <c r="DE62" s="8">
        <v>2</v>
      </c>
      <c r="DF62" s="8">
        <v>2</v>
      </c>
      <c r="DG62" s="8">
        <v>2</v>
      </c>
      <c r="DH62" s="8">
        <v>2</v>
      </c>
      <c r="DI62" s="8">
        <v>2</v>
      </c>
      <c r="DJ62" s="8">
        <v>2</v>
      </c>
      <c r="DK62" s="8">
        <v>2</v>
      </c>
      <c r="DL62" s="315">
        <v>1</v>
      </c>
      <c r="DM62" s="315">
        <v>1</v>
      </c>
      <c r="DN62" s="315">
        <v>1</v>
      </c>
      <c r="DO62" s="315">
        <v>1</v>
      </c>
      <c r="DP62" s="315">
        <v>1</v>
      </c>
      <c r="DQ62" s="315">
        <v>1</v>
      </c>
      <c r="DR62" s="315">
        <v>1</v>
      </c>
      <c r="DS62" s="315">
        <v>1</v>
      </c>
      <c r="DT62" s="315">
        <v>1</v>
      </c>
      <c r="DU62" s="315">
        <v>1</v>
      </c>
      <c r="DV62" s="315">
        <v>1</v>
      </c>
      <c r="DW62" s="315">
        <v>1</v>
      </c>
      <c r="DX62" s="315">
        <v>1</v>
      </c>
      <c r="DY62" s="315">
        <v>1</v>
      </c>
      <c r="DZ62" s="315">
        <v>1</v>
      </c>
      <c r="EA62" s="315">
        <v>1</v>
      </c>
      <c r="EB62" s="315">
        <v>1</v>
      </c>
      <c r="EC62" s="315">
        <v>1</v>
      </c>
      <c r="ED62" s="315">
        <v>1</v>
      </c>
      <c r="EE62" s="315">
        <v>1</v>
      </c>
      <c r="EF62" s="315">
        <v>1</v>
      </c>
      <c r="EG62" s="315">
        <v>1</v>
      </c>
      <c r="EH62" s="315">
        <v>1</v>
      </c>
      <c r="EI62" s="315">
        <v>1</v>
      </c>
      <c r="EJ62" s="315">
        <v>1</v>
      </c>
      <c r="EK62" s="315">
        <v>1</v>
      </c>
      <c r="EL62" s="315">
        <v>1</v>
      </c>
      <c r="EM62" s="315">
        <v>1</v>
      </c>
      <c r="EN62" s="315">
        <v>1</v>
      </c>
      <c r="EO62" s="315">
        <v>1</v>
      </c>
      <c r="EP62" s="315">
        <v>1</v>
      </c>
      <c r="EQ62" s="315">
        <v>1</v>
      </c>
      <c r="ER62" s="315">
        <v>1</v>
      </c>
      <c r="ES62" s="315">
        <v>1</v>
      </c>
      <c r="ET62" s="315">
        <v>1</v>
      </c>
      <c r="EU62" s="315">
        <v>1</v>
      </c>
      <c r="EV62" s="315">
        <v>1</v>
      </c>
      <c r="EW62" s="315">
        <v>1</v>
      </c>
      <c r="EX62" s="315">
        <v>1</v>
      </c>
      <c r="EY62" s="315">
        <v>1</v>
      </c>
      <c r="EZ62" s="315">
        <v>1</v>
      </c>
      <c r="FB62" s="50">
        <f>HLOOKUP(M16,$AU$3:$EZ$104,60,TRUE)</f>
        <v>1</v>
      </c>
      <c r="FD62" s="50">
        <f>HLOOKUP(AL42,$AU$3:$EZ$104,60,TRUE)</f>
        <v>1</v>
      </c>
    </row>
    <row r="63" spans="2:160" ht="17.100000000000001" customHeight="1">
      <c r="AS63" s="69"/>
      <c r="AT63" s="104">
        <v>5.8879999999999999</v>
      </c>
      <c r="AU63" s="8">
        <v>2</v>
      </c>
      <c r="AV63" s="8">
        <v>2</v>
      </c>
      <c r="AW63" s="8">
        <v>2</v>
      </c>
      <c r="AX63" s="8">
        <v>2</v>
      </c>
      <c r="AY63" s="8">
        <v>2</v>
      </c>
      <c r="AZ63" s="8">
        <v>2</v>
      </c>
      <c r="BA63" s="316">
        <v>2</v>
      </c>
      <c r="BB63" s="8">
        <v>2</v>
      </c>
      <c r="BC63" s="8">
        <v>2</v>
      </c>
      <c r="BD63" s="8">
        <v>2</v>
      </c>
      <c r="BE63" s="8">
        <v>2</v>
      </c>
      <c r="BF63" s="8">
        <v>2</v>
      </c>
      <c r="BG63" s="8">
        <v>2</v>
      </c>
      <c r="BH63" s="8">
        <v>2</v>
      </c>
      <c r="BI63" s="8">
        <v>2</v>
      </c>
      <c r="BJ63" s="8">
        <v>2</v>
      </c>
      <c r="BK63" s="8">
        <v>2</v>
      </c>
      <c r="BL63" s="8">
        <v>2</v>
      </c>
      <c r="BM63" s="8">
        <v>2</v>
      </c>
      <c r="BN63" s="8">
        <v>2</v>
      </c>
      <c r="BO63" s="8">
        <v>2</v>
      </c>
      <c r="BP63" s="8">
        <v>2</v>
      </c>
      <c r="BQ63" s="8">
        <v>2</v>
      </c>
      <c r="BR63" s="8">
        <v>2</v>
      </c>
      <c r="BS63" s="8">
        <v>2</v>
      </c>
      <c r="BT63" s="8">
        <v>2</v>
      </c>
      <c r="BU63" s="8">
        <v>2</v>
      </c>
      <c r="BV63" s="8">
        <v>2</v>
      </c>
      <c r="BW63" s="8">
        <v>2</v>
      </c>
      <c r="BX63" s="8">
        <v>2</v>
      </c>
      <c r="BY63" s="8">
        <v>2</v>
      </c>
      <c r="BZ63" s="8">
        <v>2</v>
      </c>
      <c r="CA63" s="8">
        <v>2</v>
      </c>
      <c r="CB63" s="8">
        <v>2</v>
      </c>
      <c r="CC63" s="8">
        <v>2</v>
      </c>
      <c r="CD63" s="8">
        <v>2</v>
      </c>
      <c r="CE63" s="8">
        <v>2</v>
      </c>
      <c r="CF63" s="8">
        <v>2</v>
      </c>
      <c r="CG63" s="8">
        <v>2</v>
      </c>
      <c r="CH63" s="8">
        <v>2</v>
      </c>
      <c r="CI63" s="8">
        <v>2</v>
      </c>
      <c r="CJ63" s="8">
        <v>2</v>
      </c>
      <c r="CK63" s="8">
        <v>2</v>
      </c>
      <c r="CL63" s="8">
        <v>2</v>
      </c>
      <c r="CM63" s="8">
        <v>2</v>
      </c>
      <c r="CN63" s="8">
        <v>2</v>
      </c>
      <c r="CO63" s="8">
        <v>2</v>
      </c>
      <c r="CP63" s="8">
        <v>2</v>
      </c>
      <c r="CQ63" s="8">
        <v>2</v>
      </c>
      <c r="CR63" s="8">
        <v>2</v>
      </c>
      <c r="CS63" s="8">
        <v>2</v>
      </c>
      <c r="CT63" s="8">
        <v>2</v>
      </c>
      <c r="CU63" s="8">
        <v>2</v>
      </c>
      <c r="CV63" s="8">
        <v>2</v>
      </c>
      <c r="CW63" s="8">
        <v>2</v>
      </c>
      <c r="CX63" s="8">
        <v>2</v>
      </c>
      <c r="CY63" s="8">
        <v>2</v>
      </c>
      <c r="CZ63" s="8">
        <v>2</v>
      </c>
      <c r="DA63" s="8">
        <v>2</v>
      </c>
      <c r="DB63" s="8">
        <v>2</v>
      </c>
      <c r="DC63" s="8">
        <v>2</v>
      </c>
      <c r="DD63" s="8">
        <v>2</v>
      </c>
      <c r="DE63" s="8">
        <v>2</v>
      </c>
      <c r="DF63" s="8">
        <v>2</v>
      </c>
      <c r="DG63" s="8">
        <v>2</v>
      </c>
      <c r="DH63" s="8">
        <v>2</v>
      </c>
      <c r="DI63" s="8">
        <v>2</v>
      </c>
      <c r="DJ63" s="8">
        <v>2</v>
      </c>
      <c r="DK63" s="8">
        <v>2</v>
      </c>
      <c r="DL63" s="8">
        <v>2</v>
      </c>
      <c r="DM63" s="315">
        <v>1</v>
      </c>
      <c r="DN63" s="315">
        <v>1</v>
      </c>
      <c r="DO63" s="315">
        <v>1</v>
      </c>
      <c r="DP63" s="315">
        <v>1</v>
      </c>
      <c r="DQ63" s="315">
        <v>1</v>
      </c>
      <c r="DR63" s="315">
        <v>1</v>
      </c>
      <c r="DS63" s="315">
        <v>1</v>
      </c>
      <c r="DT63" s="315">
        <v>1</v>
      </c>
      <c r="DU63" s="315">
        <v>1</v>
      </c>
      <c r="DV63" s="315">
        <v>1</v>
      </c>
      <c r="DW63" s="315">
        <v>1</v>
      </c>
      <c r="DX63" s="315">
        <v>1</v>
      </c>
      <c r="DY63" s="315">
        <v>1</v>
      </c>
      <c r="DZ63" s="315">
        <v>1</v>
      </c>
      <c r="EA63" s="315">
        <v>1</v>
      </c>
      <c r="EB63" s="315">
        <v>1</v>
      </c>
      <c r="EC63" s="315">
        <v>1</v>
      </c>
      <c r="ED63" s="315">
        <v>1</v>
      </c>
      <c r="EE63" s="315">
        <v>1</v>
      </c>
      <c r="EF63" s="315">
        <v>1</v>
      </c>
      <c r="EG63" s="315">
        <v>1</v>
      </c>
      <c r="EH63" s="315">
        <v>1</v>
      </c>
      <c r="EI63" s="315">
        <v>1</v>
      </c>
      <c r="EJ63" s="315">
        <v>1</v>
      </c>
      <c r="EK63" s="315">
        <v>1</v>
      </c>
      <c r="EL63" s="315">
        <v>1</v>
      </c>
      <c r="EM63" s="315">
        <v>1</v>
      </c>
      <c r="EN63" s="315">
        <v>1</v>
      </c>
      <c r="EO63" s="315">
        <v>1</v>
      </c>
      <c r="EP63" s="315">
        <v>1</v>
      </c>
      <c r="EQ63" s="315">
        <v>1</v>
      </c>
      <c r="ER63" s="315">
        <v>1</v>
      </c>
      <c r="ES63" s="315">
        <v>1</v>
      </c>
      <c r="ET63" s="315">
        <v>1</v>
      </c>
      <c r="EU63" s="315">
        <v>1</v>
      </c>
      <c r="EV63" s="315">
        <v>1</v>
      </c>
      <c r="EW63" s="315">
        <v>1</v>
      </c>
      <c r="EX63" s="315">
        <v>1</v>
      </c>
      <c r="EY63" s="315">
        <v>1</v>
      </c>
      <c r="EZ63" s="315">
        <v>1</v>
      </c>
      <c r="FB63" s="50">
        <f>HLOOKUP(M16,$AU$3:$EZ$104,61,TRUE)</f>
        <v>1</v>
      </c>
      <c r="FD63" s="50">
        <f>HLOOKUP(AL42,$AU$3:$EZ$104,61,TRUE)</f>
        <v>1</v>
      </c>
    </row>
    <row r="64" spans="2:160" ht="17.100000000000001" customHeight="1">
      <c r="AS64" s="69"/>
      <c r="AT64" s="104">
        <v>6.31</v>
      </c>
      <c r="AU64" s="8">
        <v>2</v>
      </c>
      <c r="AV64" s="8">
        <v>2</v>
      </c>
      <c r="AW64" s="8">
        <v>2</v>
      </c>
      <c r="AX64" s="8">
        <v>2</v>
      </c>
      <c r="AY64" s="8">
        <v>2</v>
      </c>
      <c r="AZ64" s="8">
        <v>2</v>
      </c>
      <c r="BA64" s="316">
        <v>2</v>
      </c>
      <c r="BB64" s="8">
        <v>2</v>
      </c>
      <c r="BC64" s="8">
        <v>2</v>
      </c>
      <c r="BD64" s="8">
        <v>2</v>
      </c>
      <c r="BE64" s="8">
        <v>2</v>
      </c>
      <c r="BF64" s="8">
        <v>2</v>
      </c>
      <c r="BG64" s="8">
        <v>2</v>
      </c>
      <c r="BH64" s="8">
        <v>2</v>
      </c>
      <c r="BI64" s="8">
        <v>2</v>
      </c>
      <c r="BJ64" s="8">
        <v>2</v>
      </c>
      <c r="BK64" s="8">
        <v>2</v>
      </c>
      <c r="BL64" s="8">
        <v>2</v>
      </c>
      <c r="BM64" s="8">
        <v>2</v>
      </c>
      <c r="BN64" s="8">
        <v>2</v>
      </c>
      <c r="BO64" s="8">
        <v>2</v>
      </c>
      <c r="BP64" s="8">
        <v>2</v>
      </c>
      <c r="BQ64" s="8">
        <v>2</v>
      </c>
      <c r="BR64" s="8">
        <v>2</v>
      </c>
      <c r="BS64" s="8">
        <v>2</v>
      </c>
      <c r="BT64" s="8">
        <v>2</v>
      </c>
      <c r="BU64" s="8">
        <v>2</v>
      </c>
      <c r="BV64" s="8">
        <v>2</v>
      </c>
      <c r="BW64" s="8">
        <v>2</v>
      </c>
      <c r="BX64" s="8">
        <v>2</v>
      </c>
      <c r="BY64" s="8">
        <v>2</v>
      </c>
      <c r="BZ64" s="8">
        <v>2</v>
      </c>
      <c r="CA64" s="8">
        <v>2</v>
      </c>
      <c r="CB64" s="8">
        <v>2</v>
      </c>
      <c r="CC64" s="8">
        <v>2</v>
      </c>
      <c r="CD64" s="8">
        <v>2</v>
      </c>
      <c r="CE64" s="8">
        <v>2</v>
      </c>
      <c r="CF64" s="8">
        <v>2</v>
      </c>
      <c r="CG64" s="8">
        <v>2</v>
      </c>
      <c r="CH64" s="8">
        <v>2</v>
      </c>
      <c r="CI64" s="8">
        <v>2</v>
      </c>
      <c r="CJ64" s="8">
        <v>2</v>
      </c>
      <c r="CK64" s="8">
        <v>2</v>
      </c>
      <c r="CL64" s="8">
        <v>2</v>
      </c>
      <c r="CM64" s="8">
        <v>2</v>
      </c>
      <c r="CN64" s="8">
        <v>2</v>
      </c>
      <c r="CO64" s="8">
        <v>2</v>
      </c>
      <c r="CP64" s="8">
        <v>2</v>
      </c>
      <c r="CQ64" s="8">
        <v>2</v>
      </c>
      <c r="CR64" s="8">
        <v>2</v>
      </c>
      <c r="CS64" s="8">
        <v>2</v>
      </c>
      <c r="CT64" s="8">
        <v>2</v>
      </c>
      <c r="CU64" s="8">
        <v>2</v>
      </c>
      <c r="CV64" s="8">
        <v>2</v>
      </c>
      <c r="CW64" s="8">
        <v>2</v>
      </c>
      <c r="CX64" s="8">
        <v>2</v>
      </c>
      <c r="CY64" s="8">
        <v>2</v>
      </c>
      <c r="CZ64" s="8">
        <v>2</v>
      </c>
      <c r="DA64" s="8">
        <v>2</v>
      </c>
      <c r="DB64" s="8">
        <v>2</v>
      </c>
      <c r="DC64" s="8">
        <v>2</v>
      </c>
      <c r="DD64" s="8">
        <v>2</v>
      </c>
      <c r="DE64" s="8">
        <v>2</v>
      </c>
      <c r="DF64" s="8">
        <v>2</v>
      </c>
      <c r="DG64" s="8">
        <v>2</v>
      </c>
      <c r="DH64" s="8">
        <v>2</v>
      </c>
      <c r="DI64" s="8">
        <v>2</v>
      </c>
      <c r="DJ64" s="8">
        <v>2</v>
      </c>
      <c r="DK64" s="8">
        <v>2</v>
      </c>
      <c r="DL64" s="8">
        <v>2</v>
      </c>
      <c r="DM64" s="8">
        <v>2</v>
      </c>
      <c r="DN64" s="315">
        <v>1</v>
      </c>
      <c r="DO64" s="315">
        <v>1</v>
      </c>
      <c r="DP64" s="315">
        <v>1</v>
      </c>
      <c r="DQ64" s="315">
        <v>1</v>
      </c>
      <c r="DR64" s="315">
        <v>1</v>
      </c>
      <c r="DS64" s="315">
        <v>1</v>
      </c>
      <c r="DT64" s="315">
        <v>1</v>
      </c>
      <c r="DU64" s="315">
        <v>1</v>
      </c>
      <c r="DV64" s="315">
        <v>1</v>
      </c>
      <c r="DW64" s="315">
        <v>1</v>
      </c>
      <c r="DX64" s="315">
        <v>1</v>
      </c>
      <c r="DY64" s="315">
        <v>1</v>
      </c>
      <c r="DZ64" s="315">
        <v>1</v>
      </c>
      <c r="EA64" s="315">
        <v>1</v>
      </c>
      <c r="EB64" s="315">
        <v>1</v>
      </c>
      <c r="EC64" s="315">
        <v>1</v>
      </c>
      <c r="ED64" s="315">
        <v>1</v>
      </c>
      <c r="EE64" s="315">
        <v>1</v>
      </c>
      <c r="EF64" s="315">
        <v>1</v>
      </c>
      <c r="EG64" s="315">
        <v>1</v>
      </c>
      <c r="EH64" s="315">
        <v>1</v>
      </c>
      <c r="EI64" s="315">
        <v>1</v>
      </c>
      <c r="EJ64" s="315">
        <v>1</v>
      </c>
      <c r="EK64" s="315">
        <v>1</v>
      </c>
      <c r="EL64" s="315">
        <v>1</v>
      </c>
      <c r="EM64" s="315">
        <v>1</v>
      </c>
      <c r="EN64" s="315">
        <v>1</v>
      </c>
      <c r="EO64" s="315">
        <v>1</v>
      </c>
      <c r="EP64" s="315">
        <v>1</v>
      </c>
      <c r="EQ64" s="315">
        <v>1</v>
      </c>
      <c r="ER64" s="315">
        <v>1</v>
      </c>
      <c r="ES64" s="315">
        <v>1</v>
      </c>
      <c r="ET64" s="315">
        <v>1</v>
      </c>
      <c r="EU64" s="315">
        <v>1</v>
      </c>
      <c r="EV64" s="315">
        <v>1</v>
      </c>
      <c r="EW64" s="315">
        <v>1</v>
      </c>
      <c r="EX64" s="315">
        <v>1</v>
      </c>
      <c r="EY64" s="315">
        <v>1</v>
      </c>
      <c r="EZ64" s="315">
        <v>1</v>
      </c>
      <c r="FB64" s="50">
        <f>HLOOKUP(M16,$AU$3:$EZ$104,62,TRUE)</f>
        <v>1</v>
      </c>
      <c r="FD64" s="50">
        <f>HLOOKUP(AL42,$AU$3:$EZ$104,62,TRUE)</f>
        <v>1</v>
      </c>
    </row>
    <row r="65" spans="3:160" ht="17.100000000000001" customHeight="1">
      <c r="C65" s="668" t="s">
        <v>423</v>
      </c>
      <c r="D65" s="669"/>
      <c r="E65" s="669"/>
      <c r="F65" s="669"/>
      <c r="G65" s="669"/>
      <c r="H65" s="669"/>
      <c r="I65" s="669"/>
      <c r="J65" s="669"/>
      <c r="K65" s="669"/>
      <c r="L65" s="669"/>
      <c r="M65" s="669"/>
      <c r="N65" s="669"/>
      <c r="O65" s="669"/>
      <c r="P65" s="669"/>
      <c r="Q65" s="669"/>
      <c r="R65" s="669"/>
      <c r="S65" s="669"/>
      <c r="T65" s="669"/>
      <c r="U65" s="669"/>
      <c r="V65" s="669"/>
      <c r="W65" s="669"/>
      <c r="X65" s="669"/>
      <c r="Y65" s="669"/>
      <c r="Z65" s="669"/>
      <c r="AA65" s="670"/>
      <c r="AS65" s="69"/>
      <c r="AT65" s="104">
        <v>6.7610000000000001</v>
      </c>
      <c r="AU65" s="8">
        <v>2</v>
      </c>
      <c r="AV65" s="8">
        <v>2</v>
      </c>
      <c r="AW65" s="8">
        <v>2</v>
      </c>
      <c r="AX65" s="8">
        <v>2</v>
      </c>
      <c r="AY65" s="8">
        <v>2</v>
      </c>
      <c r="AZ65" s="8">
        <v>2</v>
      </c>
      <c r="BA65" s="316">
        <v>2</v>
      </c>
      <c r="BB65" s="8">
        <v>2</v>
      </c>
      <c r="BC65" s="8">
        <v>2</v>
      </c>
      <c r="BD65" s="8">
        <v>2</v>
      </c>
      <c r="BE65" s="8">
        <v>2</v>
      </c>
      <c r="BF65" s="8">
        <v>2</v>
      </c>
      <c r="BG65" s="8">
        <v>2</v>
      </c>
      <c r="BH65" s="8">
        <v>2</v>
      </c>
      <c r="BI65" s="8">
        <v>2</v>
      </c>
      <c r="BJ65" s="8">
        <v>2</v>
      </c>
      <c r="BK65" s="8">
        <v>2</v>
      </c>
      <c r="BL65" s="8">
        <v>2</v>
      </c>
      <c r="BM65" s="8">
        <v>2</v>
      </c>
      <c r="BN65" s="8">
        <v>2</v>
      </c>
      <c r="BO65" s="8">
        <v>2</v>
      </c>
      <c r="BP65" s="8">
        <v>2</v>
      </c>
      <c r="BQ65" s="8">
        <v>2</v>
      </c>
      <c r="BR65" s="8">
        <v>2</v>
      </c>
      <c r="BS65" s="8">
        <v>2</v>
      </c>
      <c r="BT65" s="8">
        <v>2</v>
      </c>
      <c r="BU65" s="8">
        <v>2</v>
      </c>
      <c r="BV65" s="8">
        <v>2</v>
      </c>
      <c r="BW65" s="8">
        <v>2</v>
      </c>
      <c r="BX65" s="8">
        <v>2</v>
      </c>
      <c r="BY65" s="8">
        <v>2</v>
      </c>
      <c r="BZ65" s="8">
        <v>2</v>
      </c>
      <c r="CA65" s="8">
        <v>2</v>
      </c>
      <c r="CB65" s="8">
        <v>2</v>
      </c>
      <c r="CC65" s="8">
        <v>2</v>
      </c>
      <c r="CD65" s="8">
        <v>2</v>
      </c>
      <c r="CE65" s="8">
        <v>2</v>
      </c>
      <c r="CF65" s="8">
        <v>2</v>
      </c>
      <c r="CG65" s="8">
        <v>2</v>
      </c>
      <c r="CH65" s="8">
        <v>2</v>
      </c>
      <c r="CI65" s="8">
        <v>2</v>
      </c>
      <c r="CJ65" s="8">
        <v>2</v>
      </c>
      <c r="CK65" s="8">
        <v>2</v>
      </c>
      <c r="CL65" s="8">
        <v>2</v>
      </c>
      <c r="CM65" s="8">
        <v>2</v>
      </c>
      <c r="CN65" s="8">
        <v>2</v>
      </c>
      <c r="CO65" s="8">
        <v>2</v>
      </c>
      <c r="CP65" s="8">
        <v>2</v>
      </c>
      <c r="CQ65" s="8">
        <v>2</v>
      </c>
      <c r="CR65" s="8">
        <v>2</v>
      </c>
      <c r="CS65" s="8">
        <v>2</v>
      </c>
      <c r="CT65" s="8">
        <v>2</v>
      </c>
      <c r="CU65" s="8">
        <v>2</v>
      </c>
      <c r="CV65" s="8">
        <v>2</v>
      </c>
      <c r="CW65" s="8">
        <v>2</v>
      </c>
      <c r="CX65" s="8">
        <v>2</v>
      </c>
      <c r="CY65" s="8">
        <v>2</v>
      </c>
      <c r="CZ65" s="8">
        <v>2</v>
      </c>
      <c r="DA65" s="8">
        <v>2</v>
      </c>
      <c r="DB65" s="8">
        <v>2</v>
      </c>
      <c r="DC65" s="8">
        <v>2</v>
      </c>
      <c r="DD65" s="8">
        <v>2</v>
      </c>
      <c r="DE65" s="8">
        <v>2</v>
      </c>
      <c r="DF65" s="8">
        <v>2</v>
      </c>
      <c r="DG65" s="8">
        <v>2</v>
      </c>
      <c r="DH65" s="8">
        <v>2</v>
      </c>
      <c r="DI65" s="8">
        <v>2</v>
      </c>
      <c r="DJ65" s="8">
        <v>2</v>
      </c>
      <c r="DK65" s="8">
        <v>2</v>
      </c>
      <c r="DL65" s="8">
        <v>2</v>
      </c>
      <c r="DM65" s="8">
        <v>2</v>
      </c>
      <c r="DN65" s="8">
        <v>2</v>
      </c>
      <c r="DO65" s="315">
        <v>1</v>
      </c>
      <c r="DP65" s="315">
        <v>1</v>
      </c>
      <c r="DQ65" s="315">
        <v>1</v>
      </c>
      <c r="DR65" s="315">
        <v>1</v>
      </c>
      <c r="DS65" s="315">
        <v>1</v>
      </c>
      <c r="DT65" s="315">
        <v>1</v>
      </c>
      <c r="DU65" s="315">
        <v>1</v>
      </c>
      <c r="DV65" s="315">
        <v>1</v>
      </c>
      <c r="DW65" s="315">
        <v>1</v>
      </c>
      <c r="DX65" s="315">
        <v>1</v>
      </c>
      <c r="DY65" s="315">
        <v>1</v>
      </c>
      <c r="DZ65" s="315">
        <v>1</v>
      </c>
      <c r="EA65" s="315">
        <v>1</v>
      </c>
      <c r="EB65" s="315">
        <v>1</v>
      </c>
      <c r="EC65" s="315">
        <v>1</v>
      </c>
      <c r="ED65" s="315">
        <v>1</v>
      </c>
      <c r="EE65" s="315">
        <v>1</v>
      </c>
      <c r="EF65" s="315">
        <v>1</v>
      </c>
      <c r="EG65" s="315">
        <v>1</v>
      </c>
      <c r="EH65" s="315">
        <v>1</v>
      </c>
      <c r="EI65" s="315">
        <v>1</v>
      </c>
      <c r="EJ65" s="315">
        <v>1</v>
      </c>
      <c r="EK65" s="315">
        <v>1</v>
      </c>
      <c r="EL65" s="315">
        <v>1</v>
      </c>
      <c r="EM65" s="315">
        <v>1</v>
      </c>
      <c r="EN65" s="315">
        <v>1</v>
      </c>
      <c r="EO65" s="315">
        <v>1</v>
      </c>
      <c r="EP65" s="315">
        <v>1</v>
      </c>
      <c r="EQ65" s="315">
        <v>1</v>
      </c>
      <c r="ER65" s="315">
        <v>1</v>
      </c>
      <c r="ES65" s="315">
        <v>1</v>
      </c>
      <c r="ET65" s="315">
        <v>1</v>
      </c>
      <c r="EU65" s="315">
        <v>1</v>
      </c>
      <c r="EV65" s="315">
        <v>1</v>
      </c>
      <c r="EW65" s="315">
        <v>1</v>
      </c>
      <c r="EX65" s="315">
        <v>1</v>
      </c>
      <c r="EY65" s="315">
        <v>1</v>
      </c>
      <c r="EZ65" s="315">
        <v>1</v>
      </c>
      <c r="FB65" s="50">
        <f>HLOOKUP(M16,$AU$3:$EZ$104,63,TRUE)</f>
        <v>1</v>
      </c>
      <c r="FD65" s="50">
        <f>HLOOKUP(AL42,$AU$3:$EZ$104,63,TRUE)</f>
        <v>1</v>
      </c>
    </row>
    <row r="66" spans="3:160" ht="17.100000000000001" customHeight="1">
      <c r="C66" s="160"/>
      <c r="D66" s="161"/>
      <c r="E66" s="161"/>
      <c r="F66" s="161"/>
      <c r="G66" s="161"/>
      <c r="H66" s="161"/>
      <c r="I66" s="161"/>
      <c r="J66" s="161"/>
      <c r="K66" s="161"/>
      <c r="L66" s="161"/>
      <c r="M66" s="161"/>
      <c r="N66" s="161"/>
      <c r="O66" s="161"/>
      <c r="P66" s="161"/>
      <c r="Q66" s="161"/>
      <c r="R66" s="161"/>
      <c r="S66" s="161"/>
      <c r="T66" s="161"/>
      <c r="U66" s="161"/>
      <c r="V66" s="161"/>
      <c r="W66" s="161"/>
      <c r="X66" s="161"/>
      <c r="Y66" s="161"/>
      <c r="Z66" s="161"/>
      <c r="AA66" s="162"/>
      <c r="AS66" s="69"/>
      <c r="AT66" s="104">
        <v>7.2439999999999998</v>
      </c>
      <c r="AU66" s="8">
        <v>2</v>
      </c>
      <c r="AV66" s="8">
        <v>2</v>
      </c>
      <c r="AW66" s="8">
        <v>2</v>
      </c>
      <c r="AX66" s="8">
        <v>2</v>
      </c>
      <c r="AY66" s="8">
        <v>2</v>
      </c>
      <c r="AZ66" s="8">
        <v>2</v>
      </c>
      <c r="BA66" s="316">
        <v>2</v>
      </c>
      <c r="BB66" s="8">
        <v>2</v>
      </c>
      <c r="BC66" s="8">
        <v>2</v>
      </c>
      <c r="BD66" s="8">
        <v>2</v>
      </c>
      <c r="BE66" s="8">
        <v>2</v>
      </c>
      <c r="BF66" s="8">
        <v>2</v>
      </c>
      <c r="BG66" s="8">
        <v>2</v>
      </c>
      <c r="BH66" s="8">
        <v>2</v>
      </c>
      <c r="BI66" s="8">
        <v>2</v>
      </c>
      <c r="BJ66" s="8">
        <v>2</v>
      </c>
      <c r="BK66" s="8">
        <v>2</v>
      </c>
      <c r="BL66" s="8">
        <v>2</v>
      </c>
      <c r="BM66" s="8">
        <v>2</v>
      </c>
      <c r="BN66" s="8">
        <v>2</v>
      </c>
      <c r="BO66" s="8">
        <v>2</v>
      </c>
      <c r="BP66" s="8">
        <v>2</v>
      </c>
      <c r="BQ66" s="8">
        <v>2</v>
      </c>
      <c r="BR66" s="8">
        <v>2</v>
      </c>
      <c r="BS66" s="8">
        <v>2</v>
      </c>
      <c r="BT66" s="8">
        <v>2</v>
      </c>
      <c r="BU66" s="8">
        <v>2</v>
      </c>
      <c r="BV66" s="8">
        <v>2</v>
      </c>
      <c r="BW66" s="8">
        <v>2</v>
      </c>
      <c r="BX66" s="8">
        <v>2</v>
      </c>
      <c r="BY66" s="8">
        <v>2</v>
      </c>
      <c r="BZ66" s="8">
        <v>2</v>
      </c>
      <c r="CA66" s="8">
        <v>2</v>
      </c>
      <c r="CB66" s="8">
        <v>2</v>
      </c>
      <c r="CC66" s="8">
        <v>2</v>
      </c>
      <c r="CD66" s="8">
        <v>2</v>
      </c>
      <c r="CE66" s="8">
        <v>2</v>
      </c>
      <c r="CF66" s="8">
        <v>2</v>
      </c>
      <c r="CG66" s="8">
        <v>2</v>
      </c>
      <c r="CH66" s="8">
        <v>2</v>
      </c>
      <c r="CI66" s="8">
        <v>2</v>
      </c>
      <c r="CJ66" s="8">
        <v>2</v>
      </c>
      <c r="CK66" s="8">
        <v>2</v>
      </c>
      <c r="CL66" s="8">
        <v>2</v>
      </c>
      <c r="CM66" s="8">
        <v>2</v>
      </c>
      <c r="CN66" s="8">
        <v>2</v>
      </c>
      <c r="CO66" s="8">
        <v>2</v>
      </c>
      <c r="CP66" s="8">
        <v>2</v>
      </c>
      <c r="CQ66" s="8">
        <v>2</v>
      </c>
      <c r="CR66" s="8">
        <v>2</v>
      </c>
      <c r="CS66" s="8">
        <v>2</v>
      </c>
      <c r="CT66" s="8">
        <v>2</v>
      </c>
      <c r="CU66" s="8">
        <v>2</v>
      </c>
      <c r="CV66" s="8">
        <v>2</v>
      </c>
      <c r="CW66" s="8">
        <v>2</v>
      </c>
      <c r="CX66" s="8">
        <v>2</v>
      </c>
      <c r="CY66" s="8">
        <v>2</v>
      </c>
      <c r="CZ66" s="8">
        <v>2</v>
      </c>
      <c r="DA66" s="8">
        <v>2</v>
      </c>
      <c r="DB66" s="8">
        <v>2</v>
      </c>
      <c r="DC66" s="8">
        <v>2</v>
      </c>
      <c r="DD66" s="8">
        <v>2</v>
      </c>
      <c r="DE66" s="8">
        <v>2</v>
      </c>
      <c r="DF66" s="8">
        <v>2</v>
      </c>
      <c r="DG66" s="8">
        <v>2</v>
      </c>
      <c r="DH66" s="8">
        <v>2</v>
      </c>
      <c r="DI66" s="8">
        <v>2</v>
      </c>
      <c r="DJ66" s="8">
        <v>2</v>
      </c>
      <c r="DK66" s="8">
        <v>2</v>
      </c>
      <c r="DL66" s="8">
        <v>2</v>
      </c>
      <c r="DM66" s="8">
        <v>2</v>
      </c>
      <c r="DN66" s="8">
        <v>2</v>
      </c>
      <c r="DO66" s="8">
        <v>2</v>
      </c>
      <c r="DP66" s="315">
        <v>1</v>
      </c>
      <c r="DQ66" s="315">
        <v>1</v>
      </c>
      <c r="DR66" s="315">
        <v>1</v>
      </c>
      <c r="DS66" s="315">
        <v>1</v>
      </c>
      <c r="DT66" s="315">
        <v>1</v>
      </c>
      <c r="DU66" s="315">
        <v>1</v>
      </c>
      <c r="DV66" s="315">
        <v>1</v>
      </c>
      <c r="DW66" s="315">
        <v>1</v>
      </c>
      <c r="DX66" s="315">
        <v>1</v>
      </c>
      <c r="DY66" s="315">
        <v>1</v>
      </c>
      <c r="DZ66" s="315">
        <v>1</v>
      </c>
      <c r="EA66" s="315">
        <v>1</v>
      </c>
      <c r="EB66" s="315">
        <v>1</v>
      </c>
      <c r="EC66" s="315">
        <v>1</v>
      </c>
      <c r="ED66" s="315">
        <v>1</v>
      </c>
      <c r="EE66" s="315">
        <v>1</v>
      </c>
      <c r="EF66" s="315">
        <v>1</v>
      </c>
      <c r="EG66" s="315">
        <v>1</v>
      </c>
      <c r="EH66" s="315">
        <v>1</v>
      </c>
      <c r="EI66" s="315">
        <v>1</v>
      </c>
      <c r="EJ66" s="315">
        <v>1</v>
      </c>
      <c r="EK66" s="315">
        <v>1</v>
      </c>
      <c r="EL66" s="315">
        <v>1</v>
      </c>
      <c r="EM66" s="315">
        <v>1</v>
      </c>
      <c r="EN66" s="315">
        <v>1</v>
      </c>
      <c r="EO66" s="315">
        <v>1</v>
      </c>
      <c r="EP66" s="315">
        <v>1</v>
      </c>
      <c r="EQ66" s="315">
        <v>1</v>
      </c>
      <c r="ER66" s="315">
        <v>1</v>
      </c>
      <c r="ES66" s="315">
        <v>1</v>
      </c>
      <c r="ET66" s="315">
        <v>1</v>
      </c>
      <c r="EU66" s="315">
        <v>1</v>
      </c>
      <c r="EV66" s="315">
        <v>1</v>
      </c>
      <c r="EW66" s="315">
        <v>1</v>
      </c>
      <c r="EX66" s="315">
        <v>1</v>
      </c>
      <c r="EY66" s="315">
        <v>1</v>
      </c>
      <c r="EZ66" s="315">
        <v>1</v>
      </c>
      <c r="FB66" s="50">
        <f>HLOOKUP(M16,$AU$3:$EZ$104,64,TRUE)</f>
        <v>1</v>
      </c>
      <c r="FD66" s="50">
        <f>HLOOKUP(AL42,$AU$3:$EZ$104,64,TRUE)</f>
        <v>1</v>
      </c>
    </row>
    <row r="67" spans="3:160" ht="17.100000000000001" customHeight="1">
      <c r="C67" s="163"/>
      <c r="D67" s="164"/>
      <c r="E67" s="164"/>
      <c r="F67" s="164"/>
      <c r="G67" s="164"/>
      <c r="H67" s="513"/>
      <c r="I67" s="513"/>
      <c r="J67" s="513"/>
      <c r="K67" s="513"/>
      <c r="L67" s="513"/>
      <c r="M67" s="513"/>
      <c r="N67" s="513"/>
      <c r="O67" s="513"/>
      <c r="P67" s="513"/>
      <c r="Q67" s="513"/>
      <c r="R67" s="164"/>
      <c r="S67" s="164"/>
      <c r="T67" s="164"/>
      <c r="U67" s="164"/>
      <c r="V67" s="164"/>
      <c r="W67" s="164"/>
      <c r="X67" s="164"/>
      <c r="Y67" s="164"/>
      <c r="Z67" s="164"/>
      <c r="AA67" s="165"/>
      <c r="AS67" s="69"/>
      <c r="AT67" s="104">
        <v>7.7619999999999996</v>
      </c>
      <c r="AU67" s="8">
        <v>2</v>
      </c>
      <c r="AV67" s="8">
        <v>2</v>
      </c>
      <c r="AW67" s="8">
        <v>2</v>
      </c>
      <c r="AX67" s="8">
        <v>2</v>
      </c>
      <c r="AY67" s="8">
        <v>2</v>
      </c>
      <c r="AZ67" s="8">
        <v>2</v>
      </c>
      <c r="BA67" s="316">
        <v>2</v>
      </c>
      <c r="BB67" s="8">
        <v>2</v>
      </c>
      <c r="BC67" s="8">
        <v>2</v>
      </c>
      <c r="BD67" s="8">
        <v>2</v>
      </c>
      <c r="BE67" s="8">
        <v>2</v>
      </c>
      <c r="BF67" s="8">
        <v>2</v>
      </c>
      <c r="BG67" s="8">
        <v>2</v>
      </c>
      <c r="BH67" s="8">
        <v>2</v>
      </c>
      <c r="BI67" s="8">
        <v>2</v>
      </c>
      <c r="BJ67" s="8">
        <v>2</v>
      </c>
      <c r="BK67" s="8">
        <v>2</v>
      </c>
      <c r="BL67" s="8">
        <v>2</v>
      </c>
      <c r="BM67" s="8">
        <v>2</v>
      </c>
      <c r="BN67" s="8">
        <v>2</v>
      </c>
      <c r="BO67" s="8">
        <v>2</v>
      </c>
      <c r="BP67" s="8">
        <v>2</v>
      </c>
      <c r="BQ67" s="8">
        <v>2</v>
      </c>
      <c r="BR67" s="8">
        <v>2</v>
      </c>
      <c r="BS67" s="8">
        <v>2</v>
      </c>
      <c r="BT67" s="8">
        <v>2</v>
      </c>
      <c r="BU67" s="8">
        <v>2</v>
      </c>
      <c r="BV67" s="8">
        <v>2</v>
      </c>
      <c r="BW67" s="8">
        <v>2</v>
      </c>
      <c r="BX67" s="8">
        <v>2</v>
      </c>
      <c r="BY67" s="8">
        <v>2</v>
      </c>
      <c r="BZ67" s="8">
        <v>2</v>
      </c>
      <c r="CA67" s="8">
        <v>2</v>
      </c>
      <c r="CB67" s="8">
        <v>2</v>
      </c>
      <c r="CC67" s="8">
        <v>2</v>
      </c>
      <c r="CD67" s="8">
        <v>2</v>
      </c>
      <c r="CE67" s="8">
        <v>2</v>
      </c>
      <c r="CF67" s="8">
        <v>2</v>
      </c>
      <c r="CG67" s="8">
        <v>2</v>
      </c>
      <c r="CH67" s="8">
        <v>2</v>
      </c>
      <c r="CI67" s="8">
        <v>2</v>
      </c>
      <c r="CJ67" s="8">
        <v>2</v>
      </c>
      <c r="CK67" s="8">
        <v>2</v>
      </c>
      <c r="CL67" s="8">
        <v>2</v>
      </c>
      <c r="CM67" s="8">
        <v>2</v>
      </c>
      <c r="CN67" s="8">
        <v>2</v>
      </c>
      <c r="CO67" s="8">
        <v>2</v>
      </c>
      <c r="CP67" s="8">
        <v>2</v>
      </c>
      <c r="CQ67" s="8">
        <v>2</v>
      </c>
      <c r="CR67" s="8">
        <v>2</v>
      </c>
      <c r="CS67" s="8">
        <v>2</v>
      </c>
      <c r="CT67" s="8">
        <v>2</v>
      </c>
      <c r="CU67" s="8">
        <v>2</v>
      </c>
      <c r="CV67" s="8">
        <v>2</v>
      </c>
      <c r="CW67" s="8">
        <v>2</v>
      </c>
      <c r="CX67" s="8">
        <v>2</v>
      </c>
      <c r="CY67" s="8">
        <v>2</v>
      </c>
      <c r="CZ67" s="8">
        <v>2</v>
      </c>
      <c r="DA67" s="8">
        <v>2</v>
      </c>
      <c r="DB67" s="8">
        <v>2</v>
      </c>
      <c r="DC67" s="8">
        <v>2</v>
      </c>
      <c r="DD67" s="8">
        <v>2</v>
      </c>
      <c r="DE67" s="8">
        <v>2</v>
      </c>
      <c r="DF67" s="8">
        <v>2</v>
      </c>
      <c r="DG67" s="8">
        <v>2</v>
      </c>
      <c r="DH67" s="8">
        <v>2</v>
      </c>
      <c r="DI67" s="8">
        <v>2</v>
      </c>
      <c r="DJ67" s="8">
        <v>2</v>
      </c>
      <c r="DK67" s="8">
        <v>2</v>
      </c>
      <c r="DL67" s="8">
        <v>2</v>
      </c>
      <c r="DM67" s="8">
        <v>2</v>
      </c>
      <c r="DN67" s="8">
        <v>2</v>
      </c>
      <c r="DO67" s="8">
        <v>2</v>
      </c>
      <c r="DP67" s="8">
        <v>2</v>
      </c>
      <c r="DQ67" s="315">
        <v>1</v>
      </c>
      <c r="DR67" s="315">
        <v>1</v>
      </c>
      <c r="DS67" s="315">
        <v>1</v>
      </c>
      <c r="DT67" s="315">
        <v>1</v>
      </c>
      <c r="DU67" s="315">
        <v>1</v>
      </c>
      <c r="DV67" s="315">
        <v>1</v>
      </c>
      <c r="DW67" s="315">
        <v>1</v>
      </c>
      <c r="DX67" s="315">
        <v>1</v>
      </c>
      <c r="DY67" s="315">
        <v>1</v>
      </c>
      <c r="DZ67" s="315">
        <v>1</v>
      </c>
      <c r="EA67" s="315">
        <v>1</v>
      </c>
      <c r="EB67" s="315">
        <v>1</v>
      </c>
      <c r="EC67" s="315">
        <v>1</v>
      </c>
      <c r="ED67" s="315">
        <v>1</v>
      </c>
      <c r="EE67" s="315">
        <v>1</v>
      </c>
      <c r="EF67" s="315">
        <v>1</v>
      </c>
      <c r="EG67" s="315">
        <v>1</v>
      </c>
      <c r="EH67" s="315">
        <v>1</v>
      </c>
      <c r="EI67" s="315">
        <v>1</v>
      </c>
      <c r="EJ67" s="315">
        <v>1</v>
      </c>
      <c r="EK67" s="315">
        <v>1</v>
      </c>
      <c r="EL67" s="315">
        <v>1</v>
      </c>
      <c r="EM67" s="315">
        <v>1</v>
      </c>
      <c r="EN67" s="315">
        <v>1</v>
      </c>
      <c r="EO67" s="315">
        <v>1</v>
      </c>
      <c r="EP67" s="315">
        <v>1</v>
      </c>
      <c r="EQ67" s="315">
        <v>1</v>
      </c>
      <c r="ER67" s="315">
        <v>1</v>
      </c>
      <c r="ES67" s="315">
        <v>1</v>
      </c>
      <c r="ET67" s="315">
        <v>1</v>
      </c>
      <c r="EU67" s="315">
        <v>1</v>
      </c>
      <c r="EV67" s="315">
        <v>1</v>
      </c>
      <c r="EW67" s="315">
        <v>1</v>
      </c>
      <c r="EX67" s="315">
        <v>1</v>
      </c>
      <c r="EY67" s="315">
        <v>1</v>
      </c>
      <c r="EZ67" s="315">
        <v>1</v>
      </c>
      <c r="FB67" s="50">
        <f>HLOOKUP(M16,$AU$3:$EZ$104,65,TRUE)</f>
        <v>1</v>
      </c>
      <c r="FD67" s="50">
        <f>HLOOKUP(AL42,$AU$3:$EZ$104,65,TRUE)</f>
        <v>1</v>
      </c>
    </row>
    <row r="68" spans="3:160" ht="17.100000000000001" customHeight="1" thickBot="1">
      <c r="C68" s="163"/>
      <c r="D68" s="164"/>
      <c r="E68" s="671" t="str">
        <f>"b1 = "&amp;FIXED(+'Hipped roofs'!$AL$3/4,2)&amp;"m"</f>
        <v>b1 = 20.00m</v>
      </c>
      <c r="F68" s="671"/>
      <c r="G68" s="671"/>
      <c r="H68" s="671"/>
      <c r="I68" s="671"/>
      <c r="J68" s="671"/>
      <c r="K68" s="671" t="str">
        <f>"b2 = "&amp;FIXED('Hipped roofs'!M13-2*'Hipped roofs'!$AL$3/4,2)&amp;"m"</f>
        <v>b2 = 40.00m</v>
      </c>
      <c r="L68" s="671"/>
      <c r="M68" s="671"/>
      <c r="N68" s="671"/>
      <c r="O68" s="671"/>
      <c r="P68" s="671"/>
      <c r="Q68" s="671"/>
      <c r="R68" s="671"/>
      <c r="S68" s="671"/>
      <c r="T68" s="671" t="str">
        <f>"b3 = "&amp;FIXED(+'Hipped roofs'!$AL$3/4,2)&amp;"m"</f>
        <v>b3 = 20.00m</v>
      </c>
      <c r="U68" s="671"/>
      <c r="V68" s="671"/>
      <c r="W68" s="671"/>
      <c r="X68" s="671"/>
      <c r="Y68" s="671"/>
      <c r="Z68" s="164"/>
      <c r="AA68" s="165"/>
      <c r="AS68" s="69"/>
      <c r="AT68" s="104">
        <v>8.3179999999999996</v>
      </c>
      <c r="AU68" s="8">
        <v>2</v>
      </c>
      <c r="AV68" s="8">
        <v>2</v>
      </c>
      <c r="AW68" s="8">
        <v>2</v>
      </c>
      <c r="AX68" s="8">
        <v>2</v>
      </c>
      <c r="AY68" s="8">
        <v>2</v>
      </c>
      <c r="AZ68" s="8">
        <v>2</v>
      </c>
      <c r="BA68" s="316">
        <v>2</v>
      </c>
      <c r="BB68" s="8">
        <v>2</v>
      </c>
      <c r="BC68" s="8">
        <v>2</v>
      </c>
      <c r="BD68" s="8">
        <v>2</v>
      </c>
      <c r="BE68" s="8">
        <v>2</v>
      </c>
      <c r="BF68" s="8">
        <v>2</v>
      </c>
      <c r="BG68" s="8">
        <v>2</v>
      </c>
      <c r="BH68" s="8">
        <v>2</v>
      </c>
      <c r="BI68" s="8">
        <v>2</v>
      </c>
      <c r="BJ68" s="8">
        <v>2</v>
      </c>
      <c r="BK68" s="8">
        <v>2</v>
      </c>
      <c r="BL68" s="8">
        <v>2</v>
      </c>
      <c r="BM68" s="8">
        <v>2</v>
      </c>
      <c r="BN68" s="8">
        <v>2</v>
      </c>
      <c r="BO68" s="8">
        <v>2</v>
      </c>
      <c r="BP68" s="8">
        <v>2</v>
      </c>
      <c r="BQ68" s="8">
        <v>2</v>
      </c>
      <c r="BR68" s="8">
        <v>2</v>
      </c>
      <c r="BS68" s="8">
        <v>2</v>
      </c>
      <c r="BT68" s="8">
        <v>2</v>
      </c>
      <c r="BU68" s="8">
        <v>2</v>
      </c>
      <c r="BV68" s="8">
        <v>2</v>
      </c>
      <c r="BW68" s="8">
        <v>2</v>
      </c>
      <c r="BX68" s="8">
        <v>2</v>
      </c>
      <c r="BY68" s="8">
        <v>2</v>
      </c>
      <c r="BZ68" s="8">
        <v>2</v>
      </c>
      <c r="CA68" s="8">
        <v>2</v>
      </c>
      <c r="CB68" s="8">
        <v>2</v>
      </c>
      <c r="CC68" s="8">
        <v>2</v>
      </c>
      <c r="CD68" s="8">
        <v>2</v>
      </c>
      <c r="CE68" s="8">
        <v>2</v>
      </c>
      <c r="CF68" s="8">
        <v>2</v>
      </c>
      <c r="CG68" s="8">
        <v>2</v>
      </c>
      <c r="CH68" s="8">
        <v>2</v>
      </c>
      <c r="CI68" s="8">
        <v>2</v>
      </c>
      <c r="CJ68" s="8">
        <v>2</v>
      </c>
      <c r="CK68" s="8">
        <v>2</v>
      </c>
      <c r="CL68" s="8">
        <v>2</v>
      </c>
      <c r="CM68" s="8">
        <v>2</v>
      </c>
      <c r="CN68" s="8">
        <v>2</v>
      </c>
      <c r="CO68" s="8">
        <v>2</v>
      </c>
      <c r="CP68" s="8">
        <v>2</v>
      </c>
      <c r="CQ68" s="8">
        <v>2</v>
      </c>
      <c r="CR68" s="8">
        <v>2</v>
      </c>
      <c r="CS68" s="8">
        <v>2</v>
      </c>
      <c r="CT68" s="8">
        <v>2</v>
      </c>
      <c r="CU68" s="8">
        <v>2</v>
      </c>
      <c r="CV68" s="8">
        <v>2</v>
      </c>
      <c r="CW68" s="8">
        <v>2</v>
      </c>
      <c r="CX68" s="8">
        <v>2</v>
      </c>
      <c r="CY68" s="8">
        <v>2</v>
      </c>
      <c r="CZ68" s="8">
        <v>2</v>
      </c>
      <c r="DA68" s="8">
        <v>2</v>
      </c>
      <c r="DB68" s="8">
        <v>2</v>
      </c>
      <c r="DC68" s="8">
        <v>2</v>
      </c>
      <c r="DD68" s="8">
        <v>2</v>
      </c>
      <c r="DE68" s="8">
        <v>2</v>
      </c>
      <c r="DF68" s="8">
        <v>2</v>
      </c>
      <c r="DG68" s="8">
        <v>2</v>
      </c>
      <c r="DH68" s="8">
        <v>2</v>
      </c>
      <c r="DI68" s="8">
        <v>2</v>
      </c>
      <c r="DJ68" s="8">
        <v>2</v>
      </c>
      <c r="DK68" s="8">
        <v>2</v>
      </c>
      <c r="DL68" s="8">
        <v>2</v>
      </c>
      <c r="DM68" s="8">
        <v>2</v>
      </c>
      <c r="DN68" s="8">
        <v>2</v>
      </c>
      <c r="DO68" s="8">
        <v>2</v>
      </c>
      <c r="DP68" s="8">
        <v>2</v>
      </c>
      <c r="DQ68" s="8">
        <v>2</v>
      </c>
      <c r="DR68" s="315">
        <v>1</v>
      </c>
      <c r="DS68" s="315">
        <v>1</v>
      </c>
      <c r="DT68" s="315">
        <v>1</v>
      </c>
      <c r="DU68" s="315">
        <v>1</v>
      </c>
      <c r="DV68" s="315">
        <v>1</v>
      </c>
      <c r="DW68" s="315">
        <v>1</v>
      </c>
      <c r="DX68" s="315">
        <v>1</v>
      </c>
      <c r="DY68" s="315">
        <v>1</v>
      </c>
      <c r="DZ68" s="315">
        <v>1</v>
      </c>
      <c r="EA68" s="315">
        <v>1</v>
      </c>
      <c r="EB68" s="315">
        <v>1</v>
      </c>
      <c r="EC68" s="315">
        <v>1</v>
      </c>
      <c r="ED68" s="315">
        <v>1</v>
      </c>
      <c r="EE68" s="315">
        <v>1</v>
      </c>
      <c r="EF68" s="315">
        <v>1</v>
      </c>
      <c r="EG68" s="315">
        <v>1</v>
      </c>
      <c r="EH68" s="315">
        <v>1</v>
      </c>
      <c r="EI68" s="315">
        <v>1</v>
      </c>
      <c r="EJ68" s="315">
        <v>1</v>
      </c>
      <c r="EK68" s="315">
        <v>1</v>
      </c>
      <c r="EL68" s="315">
        <v>1</v>
      </c>
      <c r="EM68" s="315">
        <v>1</v>
      </c>
      <c r="EN68" s="315">
        <v>1</v>
      </c>
      <c r="EO68" s="315">
        <v>1</v>
      </c>
      <c r="EP68" s="315">
        <v>1</v>
      </c>
      <c r="EQ68" s="315">
        <v>1</v>
      </c>
      <c r="ER68" s="315">
        <v>1</v>
      </c>
      <c r="ES68" s="315">
        <v>1</v>
      </c>
      <c r="ET68" s="315">
        <v>1</v>
      </c>
      <c r="EU68" s="315">
        <v>1</v>
      </c>
      <c r="EV68" s="315">
        <v>1</v>
      </c>
      <c r="EW68" s="315">
        <v>1</v>
      </c>
      <c r="EX68" s="315">
        <v>1</v>
      </c>
      <c r="EY68" s="315">
        <v>1</v>
      </c>
      <c r="EZ68" s="315">
        <v>1</v>
      </c>
      <c r="FB68" s="50">
        <f>HLOOKUP(M16,$AU$3:$EZ$104,66,TRUE)</f>
        <v>1</v>
      </c>
      <c r="FD68" s="50">
        <f>HLOOKUP(AL42,$AU$3:$EZ$104,66,TRUE)</f>
        <v>1</v>
      </c>
    </row>
    <row r="69" spans="3:160" ht="17.100000000000001" customHeight="1">
      <c r="C69" s="672" t="str">
        <f>'Hipped roofs'!$AI$7</f>
        <v>Roof depth d = 50.00m</v>
      </c>
      <c r="D69" s="164"/>
      <c r="E69" s="168"/>
      <c r="F69" s="169"/>
      <c r="G69" s="514"/>
      <c r="H69" s="169"/>
      <c r="I69" s="169"/>
      <c r="J69" s="169"/>
      <c r="K69" s="169"/>
      <c r="L69" s="169"/>
      <c r="M69" s="169"/>
      <c r="N69" s="169"/>
      <c r="O69" s="169"/>
      <c r="P69" s="169"/>
      <c r="Q69" s="169"/>
      <c r="R69" s="169"/>
      <c r="S69" s="169"/>
      <c r="T69" s="169"/>
      <c r="U69" s="169"/>
      <c r="V69" s="169"/>
      <c r="W69" s="169"/>
      <c r="X69" s="169"/>
      <c r="Y69" s="170"/>
      <c r="Z69" s="673" t="str">
        <f>"d2 = "&amp;FIXED(+'Hipped roofs'!$AL$3/10,2)&amp;"m"</f>
        <v>d2 = 8.00m</v>
      </c>
      <c r="AA69" s="165"/>
      <c r="AS69" s="69"/>
      <c r="AT69" s="104">
        <v>8.9130000000000003</v>
      </c>
      <c r="AU69" s="8">
        <v>2</v>
      </c>
      <c r="AV69" s="8">
        <v>2</v>
      </c>
      <c r="AW69" s="8">
        <v>2</v>
      </c>
      <c r="AX69" s="8">
        <v>2</v>
      </c>
      <c r="AY69" s="8">
        <v>2</v>
      </c>
      <c r="AZ69" s="8">
        <v>2</v>
      </c>
      <c r="BA69" s="316">
        <v>2</v>
      </c>
      <c r="BB69" s="8">
        <v>2</v>
      </c>
      <c r="BC69" s="8">
        <v>2</v>
      </c>
      <c r="BD69" s="8">
        <v>2</v>
      </c>
      <c r="BE69" s="8">
        <v>2</v>
      </c>
      <c r="BF69" s="8">
        <v>2</v>
      </c>
      <c r="BG69" s="8">
        <v>2</v>
      </c>
      <c r="BH69" s="8">
        <v>2</v>
      </c>
      <c r="BI69" s="8">
        <v>2</v>
      </c>
      <c r="BJ69" s="8">
        <v>2</v>
      </c>
      <c r="BK69" s="8">
        <v>2</v>
      </c>
      <c r="BL69" s="8">
        <v>2</v>
      </c>
      <c r="BM69" s="8">
        <v>2</v>
      </c>
      <c r="BN69" s="8">
        <v>2</v>
      </c>
      <c r="BO69" s="8">
        <v>2</v>
      </c>
      <c r="BP69" s="8">
        <v>2</v>
      </c>
      <c r="BQ69" s="8">
        <v>2</v>
      </c>
      <c r="BR69" s="8">
        <v>2</v>
      </c>
      <c r="BS69" s="8">
        <v>2</v>
      </c>
      <c r="BT69" s="8">
        <v>2</v>
      </c>
      <c r="BU69" s="8">
        <v>2</v>
      </c>
      <c r="BV69" s="8">
        <v>2</v>
      </c>
      <c r="BW69" s="8">
        <v>2</v>
      </c>
      <c r="BX69" s="8">
        <v>2</v>
      </c>
      <c r="BY69" s="8">
        <v>2</v>
      </c>
      <c r="BZ69" s="8">
        <v>2</v>
      </c>
      <c r="CA69" s="8">
        <v>2</v>
      </c>
      <c r="CB69" s="8">
        <v>2</v>
      </c>
      <c r="CC69" s="8">
        <v>2</v>
      </c>
      <c r="CD69" s="8">
        <v>2</v>
      </c>
      <c r="CE69" s="8">
        <v>2</v>
      </c>
      <c r="CF69" s="8">
        <v>2</v>
      </c>
      <c r="CG69" s="8">
        <v>2</v>
      </c>
      <c r="CH69" s="8">
        <v>2</v>
      </c>
      <c r="CI69" s="8">
        <v>2</v>
      </c>
      <c r="CJ69" s="8">
        <v>2</v>
      </c>
      <c r="CK69" s="8">
        <v>2</v>
      </c>
      <c r="CL69" s="8">
        <v>2</v>
      </c>
      <c r="CM69" s="8">
        <v>2</v>
      </c>
      <c r="CN69" s="8">
        <v>2</v>
      </c>
      <c r="CO69" s="8">
        <v>2</v>
      </c>
      <c r="CP69" s="8">
        <v>2</v>
      </c>
      <c r="CQ69" s="8">
        <v>2</v>
      </c>
      <c r="CR69" s="8">
        <v>2</v>
      </c>
      <c r="CS69" s="8">
        <v>2</v>
      </c>
      <c r="CT69" s="8">
        <v>2</v>
      </c>
      <c r="CU69" s="8">
        <v>2</v>
      </c>
      <c r="CV69" s="8">
        <v>2</v>
      </c>
      <c r="CW69" s="8">
        <v>2</v>
      </c>
      <c r="CX69" s="8">
        <v>2</v>
      </c>
      <c r="CY69" s="8">
        <v>2</v>
      </c>
      <c r="CZ69" s="8">
        <v>2</v>
      </c>
      <c r="DA69" s="8">
        <v>2</v>
      </c>
      <c r="DB69" s="8">
        <v>2</v>
      </c>
      <c r="DC69" s="8">
        <v>2</v>
      </c>
      <c r="DD69" s="8">
        <v>2</v>
      </c>
      <c r="DE69" s="8">
        <v>2</v>
      </c>
      <c r="DF69" s="8">
        <v>2</v>
      </c>
      <c r="DG69" s="8">
        <v>2</v>
      </c>
      <c r="DH69" s="8">
        <v>2</v>
      </c>
      <c r="DI69" s="8">
        <v>2</v>
      </c>
      <c r="DJ69" s="8">
        <v>2</v>
      </c>
      <c r="DK69" s="8">
        <v>2</v>
      </c>
      <c r="DL69" s="8">
        <v>2</v>
      </c>
      <c r="DM69" s="8">
        <v>2</v>
      </c>
      <c r="DN69" s="8">
        <v>2</v>
      </c>
      <c r="DO69" s="8">
        <v>2</v>
      </c>
      <c r="DP69" s="8">
        <v>2</v>
      </c>
      <c r="DQ69" s="8">
        <v>2</v>
      </c>
      <c r="DR69" s="315">
        <v>1</v>
      </c>
      <c r="DS69" s="315">
        <v>1</v>
      </c>
      <c r="DT69" s="315">
        <v>1</v>
      </c>
      <c r="DU69" s="315">
        <v>1</v>
      </c>
      <c r="DV69" s="315">
        <v>1</v>
      </c>
      <c r="DW69" s="315">
        <v>1</v>
      </c>
      <c r="DX69" s="315">
        <v>1</v>
      </c>
      <c r="DY69" s="315">
        <v>1</v>
      </c>
      <c r="DZ69" s="315">
        <v>1</v>
      </c>
      <c r="EA69" s="315">
        <v>1</v>
      </c>
      <c r="EB69" s="315">
        <v>1</v>
      </c>
      <c r="EC69" s="315">
        <v>1</v>
      </c>
      <c r="ED69" s="315">
        <v>1</v>
      </c>
      <c r="EE69" s="315">
        <v>1</v>
      </c>
      <c r="EF69" s="315">
        <v>1</v>
      </c>
      <c r="EG69" s="315">
        <v>1</v>
      </c>
      <c r="EH69" s="315">
        <v>1</v>
      </c>
      <c r="EI69" s="315">
        <v>1</v>
      </c>
      <c r="EJ69" s="315">
        <v>1</v>
      </c>
      <c r="EK69" s="315">
        <v>1</v>
      </c>
      <c r="EL69" s="315">
        <v>1</v>
      </c>
      <c r="EM69" s="315">
        <v>1</v>
      </c>
      <c r="EN69" s="315">
        <v>1</v>
      </c>
      <c r="EO69" s="315">
        <v>1</v>
      </c>
      <c r="EP69" s="315">
        <v>1</v>
      </c>
      <c r="EQ69" s="315">
        <v>1</v>
      </c>
      <c r="ER69" s="315">
        <v>1</v>
      </c>
      <c r="ES69" s="315">
        <v>1</v>
      </c>
      <c r="ET69" s="315">
        <v>1</v>
      </c>
      <c r="EU69" s="315">
        <v>1</v>
      </c>
      <c r="EV69" s="315">
        <v>1</v>
      </c>
      <c r="EW69" s="315">
        <v>1</v>
      </c>
      <c r="EX69" s="315">
        <v>1</v>
      </c>
      <c r="EY69" s="315">
        <v>1</v>
      </c>
      <c r="EZ69" s="315">
        <v>1</v>
      </c>
      <c r="FB69" s="50">
        <f>HLOOKUP(M16,$AU$3:$EZ$104,67,TRUE)</f>
        <v>1</v>
      </c>
      <c r="FD69" s="50">
        <f>HLOOKUP(AL42,$AU$3:$EZ$104,67,TRUE)</f>
        <v>1</v>
      </c>
    </row>
    <row r="70" spans="3:160" ht="17.100000000000001" customHeight="1">
      <c r="C70" s="672"/>
      <c r="D70" s="164"/>
      <c r="E70" s="171"/>
      <c r="F70" s="172"/>
      <c r="G70" s="515"/>
      <c r="H70" s="172"/>
      <c r="I70" s="172"/>
      <c r="J70" s="172"/>
      <c r="K70" s="172"/>
      <c r="L70" s="172"/>
      <c r="M70" s="172"/>
      <c r="N70" s="172"/>
      <c r="O70" s="172"/>
      <c r="P70" s="172"/>
      <c r="Q70" s="172"/>
      <c r="R70" s="172"/>
      <c r="S70" s="172"/>
      <c r="T70" s="172"/>
      <c r="U70" s="172"/>
      <c r="V70" s="172"/>
      <c r="W70" s="172"/>
      <c r="X70" s="172"/>
      <c r="Y70" s="173"/>
      <c r="Z70" s="673"/>
      <c r="AA70" s="165"/>
      <c r="AS70" s="69"/>
      <c r="AT70" s="104">
        <v>9.5500000000000007</v>
      </c>
      <c r="AU70" s="8">
        <v>2</v>
      </c>
      <c r="AV70" s="8">
        <v>2</v>
      </c>
      <c r="AW70" s="8">
        <v>2</v>
      </c>
      <c r="AX70" s="8">
        <v>2</v>
      </c>
      <c r="AY70" s="8">
        <v>2</v>
      </c>
      <c r="AZ70" s="8">
        <v>2</v>
      </c>
      <c r="BA70" s="316">
        <v>2</v>
      </c>
      <c r="BB70" s="8">
        <v>2</v>
      </c>
      <c r="BC70" s="8">
        <v>2</v>
      </c>
      <c r="BD70" s="8">
        <v>2</v>
      </c>
      <c r="BE70" s="8">
        <v>2</v>
      </c>
      <c r="BF70" s="8">
        <v>2</v>
      </c>
      <c r="BG70" s="8">
        <v>2</v>
      </c>
      <c r="BH70" s="8">
        <v>2</v>
      </c>
      <c r="BI70" s="8">
        <v>2</v>
      </c>
      <c r="BJ70" s="8">
        <v>2</v>
      </c>
      <c r="BK70" s="8">
        <v>2</v>
      </c>
      <c r="BL70" s="8">
        <v>2</v>
      </c>
      <c r="BM70" s="8">
        <v>2</v>
      </c>
      <c r="BN70" s="8">
        <v>2</v>
      </c>
      <c r="BO70" s="8">
        <v>2</v>
      </c>
      <c r="BP70" s="8">
        <v>2</v>
      </c>
      <c r="BQ70" s="8">
        <v>2</v>
      </c>
      <c r="BR70" s="8">
        <v>2</v>
      </c>
      <c r="BS70" s="8">
        <v>2</v>
      </c>
      <c r="BT70" s="8">
        <v>2</v>
      </c>
      <c r="BU70" s="8">
        <v>2</v>
      </c>
      <c r="BV70" s="8">
        <v>2</v>
      </c>
      <c r="BW70" s="8">
        <v>2</v>
      </c>
      <c r="BX70" s="8">
        <v>2</v>
      </c>
      <c r="BY70" s="8">
        <v>2</v>
      </c>
      <c r="BZ70" s="8">
        <v>2</v>
      </c>
      <c r="CA70" s="8">
        <v>2</v>
      </c>
      <c r="CB70" s="8">
        <v>2</v>
      </c>
      <c r="CC70" s="8">
        <v>2</v>
      </c>
      <c r="CD70" s="8">
        <v>2</v>
      </c>
      <c r="CE70" s="8">
        <v>2</v>
      </c>
      <c r="CF70" s="8">
        <v>2</v>
      </c>
      <c r="CG70" s="8">
        <v>2</v>
      </c>
      <c r="CH70" s="8">
        <v>2</v>
      </c>
      <c r="CI70" s="8">
        <v>2</v>
      </c>
      <c r="CJ70" s="8">
        <v>2</v>
      </c>
      <c r="CK70" s="8">
        <v>2</v>
      </c>
      <c r="CL70" s="8">
        <v>2</v>
      </c>
      <c r="CM70" s="8">
        <v>2</v>
      </c>
      <c r="CN70" s="8">
        <v>2</v>
      </c>
      <c r="CO70" s="8">
        <v>2</v>
      </c>
      <c r="CP70" s="8">
        <v>2</v>
      </c>
      <c r="CQ70" s="8">
        <v>2</v>
      </c>
      <c r="CR70" s="8">
        <v>2</v>
      </c>
      <c r="CS70" s="8">
        <v>2</v>
      </c>
      <c r="CT70" s="8">
        <v>2</v>
      </c>
      <c r="CU70" s="8">
        <v>2</v>
      </c>
      <c r="CV70" s="8">
        <v>2</v>
      </c>
      <c r="CW70" s="8">
        <v>2</v>
      </c>
      <c r="CX70" s="8">
        <v>2</v>
      </c>
      <c r="CY70" s="8">
        <v>2</v>
      </c>
      <c r="CZ70" s="8">
        <v>2</v>
      </c>
      <c r="DA70" s="8">
        <v>2</v>
      </c>
      <c r="DB70" s="8">
        <v>2</v>
      </c>
      <c r="DC70" s="8">
        <v>2</v>
      </c>
      <c r="DD70" s="8">
        <v>2</v>
      </c>
      <c r="DE70" s="8">
        <v>2</v>
      </c>
      <c r="DF70" s="8">
        <v>2</v>
      </c>
      <c r="DG70" s="8">
        <v>2</v>
      </c>
      <c r="DH70" s="8">
        <v>2</v>
      </c>
      <c r="DI70" s="8">
        <v>2</v>
      </c>
      <c r="DJ70" s="8">
        <v>2</v>
      </c>
      <c r="DK70" s="8">
        <v>2</v>
      </c>
      <c r="DL70" s="8">
        <v>2</v>
      </c>
      <c r="DM70" s="8">
        <v>2</v>
      </c>
      <c r="DN70" s="8">
        <v>2</v>
      </c>
      <c r="DO70" s="8">
        <v>2</v>
      </c>
      <c r="DP70" s="8">
        <v>2</v>
      </c>
      <c r="DQ70" s="8">
        <v>2</v>
      </c>
      <c r="DR70" s="8">
        <v>2</v>
      </c>
      <c r="DS70" s="315">
        <v>1</v>
      </c>
      <c r="DT70" s="315">
        <v>1</v>
      </c>
      <c r="DU70" s="315">
        <v>1</v>
      </c>
      <c r="DV70" s="315">
        <v>1</v>
      </c>
      <c r="DW70" s="315">
        <v>1</v>
      </c>
      <c r="DX70" s="315">
        <v>1</v>
      </c>
      <c r="DY70" s="315">
        <v>1</v>
      </c>
      <c r="DZ70" s="315">
        <v>1</v>
      </c>
      <c r="EA70" s="315">
        <v>1</v>
      </c>
      <c r="EB70" s="315">
        <v>1</v>
      </c>
      <c r="EC70" s="315">
        <v>1</v>
      </c>
      <c r="ED70" s="315">
        <v>1</v>
      </c>
      <c r="EE70" s="315">
        <v>1</v>
      </c>
      <c r="EF70" s="315">
        <v>1</v>
      </c>
      <c r="EG70" s="315">
        <v>1</v>
      </c>
      <c r="EH70" s="315">
        <v>1</v>
      </c>
      <c r="EI70" s="315">
        <v>1</v>
      </c>
      <c r="EJ70" s="315">
        <v>1</v>
      </c>
      <c r="EK70" s="315">
        <v>1</v>
      </c>
      <c r="EL70" s="315">
        <v>1</v>
      </c>
      <c r="EM70" s="315">
        <v>1</v>
      </c>
      <c r="EN70" s="315">
        <v>1</v>
      </c>
      <c r="EO70" s="315">
        <v>1</v>
      </c>
      <c r="EP70" s="315">
        <v>1</v>
      </c>
      <c r="EQ70" s="315">
        <v>1</v>
      </c>
      <c r="ER70" s="315">
        <v>1</v>
      </c>
      <c r="ES70" s="315">
        <v>1</v>
      </c>
      <c r="ET70" s="315">
        <v>1</v>
      </c>
      <c r="EU70" s="315">
        <v>1</v>
      </c>
      <c r="EV70" s="315">
        <v>1</v>
      </c>
      <c r="EW70" s="315">
        <v>1</v>
      </c>
      <c r="EX70" s="315">
        <v>1</v>
      </c>
      <c r="EY70" s="315">
        <v>1</v>
      </c>
      <c r="EZ70" s="315">
        <v>1</v>
      </c>
      <c r="FB70" s="50">
        <f>HLOOKUP(M16,$AU$3:$EZ$104,68,TRUE)</f>
        <v>1</v>
      </c>
      <c r="FD70" s="50">
        <f>HLOOKUP(AL42,$AU$3:$EZ$104,68,TRUE)</f>
        <v>1</v>
      </c>
    </row>
    <row r="71" spans="3:160" ht="17.100000000000001" customHeight="1">
      <c r="C71" s="672"/>
      <c r="D71" s="164"/>
      <c r="E71" s="171"/>
      <c r="F71" s="172"/>
      <c r="G71" s="515"/>
      <c r="H71" s="172"/>
      <c r="I71" s="172"/>
      <c r="J71" s="172"/>
      <c r="K71" s="172"/>
      <c r="L71" s="172"/>
      <c r="M71" s="172"/>
      <c r="N71" s="172"/>
      <c r="O71" s="172"/>
      <c r="P71" s="172"/>
      <c r="Q71" s="172"/>
      <c r="R71" s="172"/>
      <c r="S71" s="172"/>
      <c r="T71" s="172"/>
      <c r="U71" s="172"/>
      <c r="V71" s="172"/>
      <c r="W71" s="172"/>
      <c r="X71" s="172"/>
      <c r="Y71" s="173"/>
      <c r="Z71" s="673"/>
      <c r="AA71" s="165"/>
      <c r="AS71" s="69"/>
      <c r="AT71" s="104">
        <v>10.233000000000001</v>
      </c>
      <c r="AU71" s="8">
        <v>2</v>
      </c>
      <c r="AV71" s="8">
        <v>2</v>
      </c>
      <c r="AW71" s="8">
        <v>2</v>
      </c>
      <c r="AX71" s="8">
        <v>2</v>
      </c>
      <c r="AY71" s="8">
        <v>2</v>
      </c>
      <c r="AZ71" s="8">
        <v>2</v>
      </c>
      <c r="BA71" s="316">
        <v>2</v>
      </c>
      <c r="BB71" s="8">
        <v>2</v>
      </c>
      <c r="BC71" s="8">
        <v>2</v>
      </c>
      <c r="BD71" s="8">
        <v>2</v>
      </c>
      <c r="BE71" s="8">
        <v>2</v>
      </c>
      <c r="BF71" s="8">
        <v>2</v>
      </c>
      <c r="BG71" s="8">
        <v>2</v>
      </c>
      <c r="BH71" s="8">
        <v>2</v>
      </c>
      <c r="BI71" s="8">
        <v>2</v>
      </c>
      <c r="BJ71" s="8">
        <v>2</v>
      </c>
      <c r="BK71" s="8">
        <v>2</v>
      </c>
      <c r="BL71" s="8">
        <v>2</v>
      </c>
      <c r="BM71" s="8">
        <v>2</v>
      </c>
      <c r="BN71" s="8">
        <v>2</v>
      </c>
      <c r="BO71" s="8">
        <v>2</v>
      </c>
      <c r="BP71" s="8">
        <v>2</v>
      </c>
      <c r="BQ71" s="8">
        <v>2</v>
      </c>
      <c r="BR71" s="8">
        <v>2</v>
      </c>
      <c r="BS71" s="8">
        <v>2</v>
      </c>
      <c r="BT71" s="8">
        <v>2</v>
      </c>
      <c r="BU71" s="8">
        <v>2</v>
      </c>
      <c r="BV71" s="8">
        <v>2</v>
      </c>
      <c r="BW71" s="8">
        <v>2</v>
      </c>
      <c r="BX71" s="8">
        <v>2</v>
      </c>
      <c r="BY71" s="8">
        <v>2</v>
      </c>
      <c r="BZ71" s="8">
        <v>2</v>
      </c>
      <c r="CA71" s="8">
        <v>2</v>
      </c>
      <c r="CB71" s="8">
        <v>2</v>
      </c>
      <c r="CC71" s="8">
        <v>2</v>
      </c>
      <c r="CD71" s="8">
        <v>2</v>
      </c>
      <c r="CE71" s="8">
        <v>2</v>
      </c>
      <c r="CF71" s="8">
        <v>2</v>
      </c>
      <c r="CG71" s="8">
        <v>2</v>
      </c>
      <c r="CH71" s="8">
        <v>2</v>
      </c>
      <c r="CI71" s="8">
        <v>2</v>
      </c>
      <c r="CJ71" s="8">
        <v>2</v>
      </c>
      <c r="CK71" s="8">
        <v>2</v>
      </c>
      <c r="CL71" s="8">
        <v>2</v>
      </c>
      <c r="CM71" s="8">
        <v>2</v>
      </c>
      <c r="CN71" s="8">
        <v>2</v>
      </c>
      <c r="CO71" s="8">
        <v>2</v>
      </c>
      <c r="CP71" s="8">
        <v>2</v>
      </c>
      <c r="CQ71" s="8">
        <v>2</v>
      </c>
      <c r="CR71" s="8">
        <v>2</v>
      </c>
      <c r="CS71" s="8">
        <v>2</v>
      </c>
      <c r="CT71" s="8">
        <v>2</v>
      </c>
      <c r="CU71" s="8">
        <v>2</v>
      </c>
      <c r="CV71" s="8">
        <v>2</v>
      </c>
      <c r="CW71" s="8">
        <v>2</v>
      </c>
      <c r="CX71" s="8">
        <v>2</v>
      </c>
      <c r="CY71" s="8">
        <v>2</v>
      </c>
      <c r="CZ71" s="8">
        <v>2</v>
      </c>
      <c r="DA71" s="8">
        <v>2</v>
      </c>
      <c r="DB71" s="8">
        <v>2</v>
      </c>
      <c r="DC71" s="8">
        <v>2</v>
      </c>
      <c r="DD71" s="8">
        <v>2</v>
      </c>
      <c r="DE71" s="8">
        <v>2</v>
      </c>
      <c r="DF71" s="8">
        <v>2</v>
      </c>
      <c r="DG71" s="8">
        <v>2</v>
      </c>
      <c r="DH71" s="8">
        <v>2</v>
      </c>
      <c r="DI71" s="8">
        <v>2</v>
      </c>
      <c r="DJ71" s="8">
        <v>2</v>
      </c>
      <c r="DK71" s="8">
        <v>2</v>
      </c>
      <c r="DL71" s="8">
        <v>2</v>
      </c>
      <c r="DM71" s="8">
        <v>2</v>
      </c>
      <c r="DN71" s="8">
        <v>2</v>
      </c>
      <c r="DO71" s="8">
        <v>2</v>
      </c>
      <c r="DP71" s="8">
        <v>2</v>
      </c>
      <c r="DQ71" s="8">
        <v>2</v>
      </c>
      <c r="DR71" s="8">
        <v>2</v>
      </c>
      <c r="DS71" s="8">
        <v>2</v>
      </c>
      <c r="DT71" s="315">
        <v>1</v>
      </c>
      <c r="DU71" s="315">
        <v>1</v>
      </c>
      <c r="DV71" s="315">
        <v>1</v>
      </c>
      <c r="DW71" s="315">
        <v>1</v>
      </c>
      <c r="DX71" s="315">
        <v>1</v>
      </c>
      <c r="DY71" s="315">
        <v>1</v>
      </c>
      <c r="DZ71" s="315">
        <v>1</v>
      </c>
      <c r="EA71" s="315">
        <v>1</v>
      </c>
      <c r="EB71" s="315">
        <v>1</v>
      </c>
      <c r="EC71" s="315">
        <v>1</v>
      </c>
      <c r="ED71" s="315">
        <v>1</v>
      </c>
      <c r="EE71" s="315">
        <v>1</v>
      </c>
      <c r="EF71" s="315">
        <v>1</v>
      </c>
      <c r="EG71" s="315">
        <v>1</v>
      </c>
      <c r="EH71" s="315">
        <v>1</v>
      </c>
      <c r="EI71" s="315">
        <v>1</v>
      </c>
      <c r="EJ71" s="315">
        <v>1</v>
      </c>
      <c r="EK71" s="315">
        <v>1</v>
      </c>
      <c r="EL71" s="315">
        <v>1</v>
      </c>
      <c r="EM71" s="315">
        <v>1</v>
      </c>
      <c r="EN71" s="315">
        <v>1</v>
      </c>
      <c r="EO71" s="315">
        <v>1</v>
      </c>
      <c r="EP71" s="315">
        <v>1</v>
      </c>
      <c r="EQ71" s="315">
        <v>1</v>
      </c>
      <c r="ER71" s="315">
        <v>1</v>
      </c>
      <c r="ES71" s="315">
        <v>1</v>
      </c>
      <c r="ET71" s="315">
        <v>1</v>
      </c>
      <c r="EU71" s="315">
        <v>1</v>
      </c>
      <c r="EV71" s="315">
        <v>1</v>
      </c>
      <c r="EW71" s="315">
        <v>1</v>
      </c>
      <c r="EX71" s="315">
        <v>1</v>
      </c>
      <c r="EY71" s="315">
        <v>1</v>
      </c>
      <c r="EZ71" s="315">
        <v>1</v>
      </c>
      <c r="FB71" s="50">
        <f>HLOOKUP(M16,$AU$3:$EZ$104,69,TRUE)</f>
        <v>1</v>
      </c>
      <c r="FD71" s="50">
        <f>HLOOKUP(AL42,$AU$3:$EZ$104,69,TRUE)</f>
        <v>2</v>
      </c>
    </row>
    <row r="72" spans="3:160" ht="17.100000000000001" customHeight="1">
      <c r="C72" s="672"/>
      <c r="D72" s="164"/>
      <c r="E72" s="171"/>
      <c r="F72" s="172"/>
      <c r="G72" s="515"/>
      <c r="H72" s="172"/>
      <c r="I72" s="172"/>
      <c r="J72" s="172"/>
      <c r="K72" s="172"/>
      <c r="L72" s="172"/>
      <c r="M72" s="172"/>
      <c r="N72" s="172"/>
      <c r="O72" s="172"/>
      <c r="P72" s="172"/>
      <c r="Q72" s="172"/>
      <c r="R72" s="172"/>
      <c r="S72" s="172"/>
      <c r="T72" s="172"/>
      <c r="U72" s="172"/>
      <c r="V72" s="172"/>
      <c r="W72" s="172"/>
      <c r="X72" s="172"/>
      <c r="Y72" s="173"/>
      <c r="Z72" s="673"/>
      <c r="AA72" s="165"/>
      <c r="AS72" s="69"/>
      <c r="AT72" s="104">
        <v>10.965</v>
      </c>
      <c r="AU72" s="8">
        <v>2</v>
      </c>
      <c r="AV72" s="8">
        <v>2</v>
      </c>
      <c r="AW72" s="8">
        <v>2</v>
      </c>
      <c r="AX72" s="8">
        <v>2</v>
      </c>
      <c r="AY72" s="8">
        <v>2</v>
      </c>
      <c r="AZ72" s="8">
        <v>2</v>
      </c>
      <c r="BA72" s="316">
        <v>2</v>
      </c>
      <c r="BB72" s="8">
        <v>2</v>
      </c>
      <c r="BC72" s="8">
        <v>2</v>
      </c>
      <c r="BD72" s="8">
        <v>2</v>
      </c>
      <c r="BE72" s="8">
        <v>2</v>
      </c>
      <c r="BF72" s="8">
        <v>2</v>
      </c>
      <c r="BG72" s="8">
        <v>2</v>
      </c>
      <c r="BH72" s="8">
        <v>2</v>
      </c>
      <c r="BI72" s="8">
        <v>2</v>
      </c>
      <c r="BJ72" s="8">
        <v>2</v>
      </c>
      <c r="BK72" s="8">
        <v>2</v>
      </c>
      <c r="BL72" s="8">
        <v>2</v>
      </c>
      <c r="BM72" s="8">
        <v>2</v>
      </c>
      <c r="BN72" s="8">
        <v>2</v>
      </c>
      <c r="BO72" s="8">
        <v>2</v>
      </c>
      <c r="BP72" s="8">
        <v>2</v>
      </c>
      <c r="BQ72" s="8">
        <v>2</v>
      </c>
      <c r="BR72" s="8">
        <v>2</v>
      </c>
      <c r="BS72" s="8">
        <v>2</v>
      </c>
      <c r="BT72" s="8">
        <v>2</v>
      </c>
      <c r="BU72" s="8">
        <v>2</v>
      </c>
      <c r="BV72" s="8">
        <v>2</v>
      </c>
      <c r="BW72" s="8">
        <v>2</v>
      </c>
      <c r="BX72" s="8">
        <v>2</v>
      </c>
      <c r="BY72" s="8">
        <v>2</v>
      </c>
      <c r="BZ72" s="8">
        <v>2</v>
      </c>
      <c r="CA72" s="8">
        <v>2</v>
      </c>
      <c r="CB72" s="8">
        <v>2</v>
      </c>
      <c r="CC72" s="8">
        <v>2</v>
      </c>
      <c r="CD72" s="8">
        <v>2</v>
      </c>
      <c r="CE72" s="8">
        <v>2</v>
      </c>
      <c r="CF72" s="8">
        <v>2</v>
      </c>
      <c r="CG72" s="8">
        <v>2</v>
      </c>
      <c r="CH72" s="8">
        <v>2</v>
      </c>
      <c r="CI72" s="8">
        <v>2</v>
      </c>
      <c r="CJ72" s="8">
        <v>2</v>
      </c>
      <c r="CK72" s="8">
        <v>2</v>
      </c>
      <c r="CL72" s="8">
        <v>2</v>
      </c>
      <c r="CM72" s="8">
        <v>2</v>
      </c>
      <c r="CN72" s="8">
        <v>2</v>
      </c>
      <c r="CO72" s="8">
        <v>2</v>
      </c>
      <c r="CP72" s="8">
        <v>2</v>
      </c>
      <c r="CQ72" s="8">
        <v>2</v>
      </c>
      <c r="CR72" s="8">
        <v>2</v>
      </c>
      <c r="CS72" s="8">
        <v>2</v>
      </c>
      <c r="CT72" s="8">
        <v>2</v>
      </c>
      <c r="CU72" s="8">
        <v>2</v>
      </c>
      <c r="CV72" s="8">
        <v>2</v>
      </c>
      <c r="CW72" s="8">
        <v>2</v>
      </c>
      <c r="CX72" s="8">
        <v>2</v>
      </c>
      <c r="CY72" s="8">
        <v>2</v>
      </c>
      <c r="CZ72" s="8">
        <v>2</v>
      </c>
      <c r="DA72" s="8">
        <v>2</v>
      </c>
      <c r="DB72" s="8">
        <v>2</v>
      </c>
      <c r="DC72" s="8">
        <v>2</v>
      </c>
      <c r="DD72" s="8">
        <v>2</v>
      </c>
      <c r="DE72" s="8">
        <v>2</v>
      </c>
      <c r="DF72" s="8">
        <v>2</v>
      </c>
      <c r="DG72" s="8">
        <v>2</v>
      </c>
      <c r="DH72" s="8">
        <v>2</v>
      </c>
      <c r="DI72" s="8">
        <v>2</v>
      </c>
      <c r="DJ72" s="8">
        <v>2</v>
      </c>
      <c r="DK72" s="8">
        <v>2</v>
      </c>
      <c r="DL72" s="8">
        <v>2</v>
      </c>
      <c r="DM72" s="8">
        <v>2</v>
      </c>
      <c r="DN72" s="8">
        <v>2</v>
      </c>
      <c r="DO72" s="8">
        <v>2</v>
      </c>
      <c r="DP72" s="8">
        <v>2</v>
      </c>
      <c r="DQ72" s="8">
        <v>2</v>
      </c>
      <c r="DR72" s="8">
        <v>2</v>
      </c>
      <c r="DS72" s="8">
        <v>2</v>
      </c>
      <c r="DT72" s="8">
        <v>2</v>
      </c>
      <c r="DU72" s="315">
        <v>1</v>
      </c>
      <c r="DV72" s="315">
        <v>1</v>
      </c>
      <c r="DW72" s="315">
        <v>1</v>
      </c>
      <c r="DX72" s="315">
        <v>1</v>
      </c>
      <c r="DY72" s="315">
        <v>1</v>
      </c>
      <c r="DZ72" s="315">
        <v>1</v>
      </c>
      <c r="EA72" s="315">
        <v>1</v>
      </c>
      <c r="EB72" s="315">
        <v>1</v>
      </c>
      <c r="EC72" s="315">
        <v>1</v>
      </c>
      <c r="ED72" s="315">
        <v>1</v>
      </c>
      <c r="EE72" s="315">
        <v>1</v>
      </c>
      <c r="EF72" s="315">
        <v>1</v>
      </c>
      <c r="EG72" s="315">
        <v>1</v>
      </c>
      <c r="EH72" s="315">
        <v>1</v>
      </c>
      <c r="EI72" s="315">
        <v>1</v>
      </c>
      <c r="EJ72" s="315">
        <v>1</v>
      </c>
      <c r="EK72" s="315">
        <v>1</v>
      </c>
      <c r="EL72" s="315">
        <v>1</v>
      </c>
      <c r="EM72" s="315">
        <v>1</v>
      </c>
      <c r="EN72" s="315">
        <v>1</v>
      </c>
      <c r="EO72" s="315">
        <v>1</v>
      </c>
      <c r="EP72" s="315">
        <v>1</v>
      </c>
      <c r="EQ72" s="315">
        <v>1</v>
      </c>
      <c r="ER72" s="315">
        <v>1</v>
      </c>
      <c r="ES72" s="315">
        <v>1</v>
      </c>
      <c r="ET72" s="315">
        <v>1</v>
      </c>
      <c r="EU72" s="315">
        <v>1</v>
      </c>
      <c r="EV72" s="315">
        <v>1</v>
      </c>
      <c r="EW72" s="315">
        <v>1</v>
      </c>
      <c r="EX72" s="315">
        <v>1</v>
      </c>
      <c r="EY72" s="315">
        <v>1</v>
      </c>
      <c r="EZ72" s="315">
        <v>1</v>
      </c>
      <c r="FB72" s="50">
        <f>HLOOKUP(M16,$AU$3:$EZ$104,70,TRUE)</f>
        <v>2</v>
      </c>
      <c r="FD72" s="50">
        <f>HLOOKUP(AL42,$AU$3:$EZ$104,70,TRUE)</f>
        <v>2</v>
      </c>
    </row>
    <row r="73" spans="3:160" ht="17.100000000000001" customHeight="1">
      <c r="C73" s="672"/>
      <c r="D73" s="164"/>
      <c r="E73" s="171"/>
      <c r="F73" s="172"/>
      <c r="G73" s="515"/>
      <c r="H73" s="172"/>
      <c r="I73" s="172"/>
      <c r="J73" s="172"/>
      <c r="K73" s="172"/>
      <c r="L73" s="172"/>
      <c r="M73" s="172"/>
      <c r="N73" s="172"/>
      <c r="O73" s="172"/>
      <c r="P73" s="172"/>
      <c r="Q73" s="172"/>
      <c r="R73" s="172"/>
      <c r="S73" s="172"/>
      <c r="T73" s="172"/>
      <c r="U73" s="172"/>
      <c r="V73" s="172"/>
      <c r="W73" s="172"/>
      <c r="X73" s="172"/>
      <c r="Y73" s="173"/>
      <c r="Z73" s="673" t="str">
        <f>"d1 = "&amp;FIXED('Hipped roofs'!M14-'Hipped roofs'!$AL$3/10,2)&amp;"m"</f>
        <v>d1 = 42.00m</v>
      </c>
      <c r="AA73" s="165"/>
      <c r="AS73" s="69"/>
      <c r="AT73" s="104">
        <v>11.749000000000001</v>
      </c>
      <c r="AU73" s="8">
        <v>2</v>
      </c>
      <c r="AV73" s="8">
        <v>2</v>
      </c>
      <c r="AW73" s="8">
        <v>2</v>
      </c>
      <c r="AX73" s="8">
        <v>2</v>
      </c>
      <c r="AY73" s="8">
        <v>2</v>
      </c>
      <c r="AZ73" s="8">
        <v>2</v>
      </c>
      <c r="BA73" s="316">
        <v>2</v>
      </c>
      <c r="BB73" s="8">
        <v>2</v>
      </c>
      <c r="BC73" s="8">
        <v>2</v>
      </c>
      <c r="BD73" s="8">
        <v>2</v>
      </c>
      <c r="BE73" s="8">
        <v>2</v>
      </c>
      <c r="BF73" s="8">
        <v>2</v>
      </c>
      <c r="BG73" s="8">
        <v>2</v>
      </c>
      <c r="BH73" s="8">
        <v>2</v>
      </c>
      <c r="BI73" s="8">
        <v>2</v>
      </c>
      <c r="BJ73" s="8">
        <v>2</v>
      </c>
      <c r="BK73" s="8">
        <v>2</v>
      </c>
      <c r="BL73" s="8">
        <v>2</v>
      </c>
      <c r="BM73" s="8">
        <v>2</v>
      </c>
      <c r="BN73" s="8">
        <v>2</v>
      </c>
      <c r="BO73" s="8">
        <v>2</v>
      </c>
      <c r="BP73" s="8">
        <v>2</v>
      </c>
      <c r="BQ73" s="8">
        <v>2</v>
      </c>
      <c r="BR73" s="8">
        <v>2</v>
      </c>
      <c r="BS73" s="8">
        <v>2</v>
      </c>
      <c r="BT73" s="8">
        <v>2</v>
      </c>
      <c r="BU73" s="8">
        <v>2</v>
      </c>
      <c r="BV73" s="8">
        <v>2</v>
      </c>
      <c r="BW73" s="8">
        <v>2</v>
      </c>
      <c r="BX73" s="8">
        <v>2</v>
      </c>
      <c r="BY73" s="8">
        <v>2</v>
      </c>
      <c r="BZ73" s="8">
        <v>2</v>
      </c>
      <c r="CA73" s="8">
        <v>2</v>
      </c>
      <c r="CB73" s="8">
        <v>2</v>
      </c>
      <c r="CC73" s="8">
        <v>2</v>
      </c>
      <c r="CD73" s="8">
        <v>2</v>
      </c>
      <c r="CE73" s="8">
        <v>2</v>
      </c>
      <c r="CF73" s="8">
        <v>2</v>
      </c>
      <c r="CG73" s="8">
        <v>2</v>
      </c>
      <c r="CH73" s="8">
        <v>2</v>
      </c>
      <c r="CI73" s="8">
        <v>2</v>
      </c>
      <c r="CJ73" s="8">
        <v>2</v>
      </c>
      <c r="CK73" s="8">
        <v>2</v>
      </c>
      <c r="CL73" s="8">
        <v>2</v>
      </c>
      <c r="CM73" s="8">
        <v>2</v>
      </c>
      <c r="CN73" s="8">
        <v>2</v>
      </c>
      <c r="CO73" s="8">
        <v>2</v>
      </c>
      <c r="CP73" s="8">
        <v>2</v>
      </c>
      <c r="CQ73" s="8">
        <v>2</v>
      </c>
      <c r="CR73" s="8">
        <v>2</v>
      </c>
      <c r="CS73" s="8">
        <v>2</v>
      </c>
      <c r="CT73" s="8">
        <v>2</v>
      </c>
      <c r="CU73" s="8">
        <v>2</v>
      </c>
      <c r="CV73" s="8">
        <v>2</v>
      </c>
      <c r="CW73" s="8">
        <v>2</v>
      </c>
      <c r="CX73" s="8">
        <v>2</v>
      </c>
      <c r="CY73" s="8">
        <v>2</v>
      </c>
      <c r="CZ73" s="8">
        <v>2</v>
      </c>
      <c r="DA73" s="8">
        <v>2</v>
      </c>
      <c r="DB73" s="8">
        <v>2</v>
      </c>
      <c r="DC73" s="8">
        <v>2</v>
      </c>
      <c r="DD73" s="8">
        <v>2</v>
      </c>
      <c r="DE73" s="8">
        <v>2</v>
      </c>
      <c r="DF73" s="8">
        <v>2</v>
      </c>
      <c r="DG73" s="8">
        <v>2</v>
      </c>
      <c r="DH73" s="8">
        <v>2</v>
      </c>
      <c r="DI73" s="8">
        <v>2</v>
      </c>
      <c r="DJ73" s="8">
        <v>2</v>
      </c>
      <c r="DK73" s="8">
        <v>2</v>
      </c>
      <c r="DL73" s="8">
        <v>2</v>
      </c>
      <c r="DM73" s="8">
        <v>2</v>
      </c>
      <c r="DN73" s="8">
        <v>2</v>
      </c>
      <c r="DO73" s="8">
        <v>2</v>
      </c>
      <c r="DP73" s="8">
        <v>2</v>
      </c>
      <c r="DQ73" s="8">
        <v>2</v>
      </c>
      <c r="DR73" s="8">
        <v>2</v>
      </c>
      <c r="DS73" s="8">
        <v>2</v>
      </c>
      <c r="DT73" s="8">
        <v>2</v>
      </c>
      <c r="DU73" s="8">
        <v>2</v>
      </c>
      <c r="DV73" s="315">
        <v>1</v>
      </c>
      <c r="DW73" s="315">
        <v>1</v>
      </c>
      <c r="DX73" s="315">
        <v>1</v>
      </c>
      <c r="DY73" s="315">
        <v>1</v>
      </c>
      <c r="DZ73" s="315">
        <v>1</v>
      </c>
      <c r="EA73" s="315">
        <v>1</v>
      </c>
      <c r="EB73" s="315">
        <v>1</v>
      </c>
      <c r="EC73" s="315">
        <v>1</v>
      </c>
      <c r="ED73" s="315">
        <v>1</v>
      </c>
      <c r="EE73" s="315">
        <v>1</v>
      </c>
      <c r="EF73" s="315">
        <v>1</v>
      </c>
      <c r="EG73" s="315">
        <v>1</v>
      </c>
      <c r="EH73" s="315">
        <v>1</v>
      </c>
      <c r="EI73" s="315">
        <v>1</v>
      </c>
      <c r="EJ73" s="315">
        <v>1</v>
      </c>
      <c r="EK73" s="315">
        <v>1</v>
      </c>
      <c r="EL73" s="315">
        <v>1</v>
      </c>
      <c r="EM73" s="315">
        <v>1</v>
      </c>
      <c r="EN73" s="315">
        <v>1</v>
      </c>
      <c r="EO73" s="315">
        <v>1</v>
      </c>
      <c r="EP73" s="315">
        <v>1</v>
      </c>
      <c r="EQ73" s="315">
        <v>1</v>
      </c>
      <c r="ER73" s="315">
        <v>1</v>
      </c>
      <c r="ES73" s="315">
        <v>1</v>
      </c>
      <c r="ET73" s="315">
        <v>1</v>
      </c>
      <c r="EU73" s="315">
        <v>1</v>
      </c>
      <c r="EV73" s="315">
        <v>1</v>
      </c>
      <c r="EW73" s="315">
        <v>1</v>
      </c>
      <c r="EX73" s="315">
        <v>1</v>
      </c>
      <c r="EY73" s="315">
        <v>1</v>
      </c>
      <c r="EZ73" s="315">
        <v>1</v>
      </c>
      <c r="FB73" s="50">
        <f>HLOOKUP(M16,$AU$3:$EZ$104,71,TRUE)</f>
        <v>2</v>
      </c>
      <c r="FD73" s="50">
        <f>HLOOKUP(AL42,$AU$3:$EZ$104,71,TRUE)</f>
        <v>2</v>
      </c>
    </row>
    <row r="74" spans="3:160" ht="17.100000000000001" customHeight="1">
      <c r="C74" s="672"/>
      <c r="D74" s="164"/>
      <c r="E74" s="171"/>
      <c r="F74" s="172"/>
      <c r="G74" s="515"/>
      <c r="H74" s="172"/>
      <c r="I74" s="172"/>
      <c r="J74" s="172"/>
      <c r="K74" s="172"/>
      <c r="L74" s="172"/>
      <c r="M74" s="172"/>
      <c r="N74" s="172"/>
      <c r="O74" s="172"/>
      <c r="P74" s="172"/>
      <c r="Q74" s="172"/>
      <c r="R74" s="172"/>
      <c r="S74" s="172"/>
      <c r="T74" s="172"/>
      <c r="U74" s="172"/>
      <c r="V74" s="172"/>
      <c r="W74" s="172"/>
      <c r="X74" s="172"/>
      <c r="Y74" s="173"/>
      <c r="Z74" s="673"/>
      <c r="AA74" s="165"/>
      <c r="AS74" s="69"/>
      <c r="AT74" s="104">
        <v>12.589</v>
      </c>
      <c r="AU74" s="8">
        <v>2</v>
      </c>
      <c r="AV74" s="8">
        <v>2</v>
      </c>
      <c r="AW74" s="8">
        <v>2</v>
      </c>
      <c r="AX74" s="8">
        <v>2</v>
      </c>
      <c r="AY74" s="8">
        <v>2</v>
      </c>
      <c r="AZ74" s="8">
        <v>2</v>
      </c>
      <c r="BA74" s="316">
        <v>2</v>
      </c>
      <c r="BB74" s="8">
        <v>2</v>
      </c>
      <c r="BC74" s="8">
        <v>2</v>
      </c>
      <c r="BD74" s="8">
        <v>2</v>
      </c>
      <c r="BE74" s="8">
        <v>2</v>
      </c>
      <c r="BF74" s="8">
        <v>2</v>
      </c>
      <c r="BG74" s="8">
        <v>2</v>
      </c>
      <c r="BH74" s="8">
        <v>2</v>
      </c>
      <c r="BI74" s="8">
        <v>2</v>
      </c>
      <c r="BJ74" s="8">
        <v>2</v>
      </c>
      <c r="BK74" s="8">
        <v>2</v>
      </c>
      <c r="BL74" s="8">
        <v>2</v>
      </c>
      <c r="BM74" s="8">
        <v>2</v>
      </c>
      <c r="BN74" s="8">
        <v>2</v>
      </c>
      <c r="BO74" s="8">
        <v>2</v>
      </c>
      <c r="BP74" s="8">
        <v>2</v>
      </c>
      <c r="BQ74" s="8">
        <v>2</v>
      </c>
      <c r="BR74" s="8">
        <v>2</v>
      </c>
      <c r="BS74" s="8">
        <v>2</v>
      </c>
      <c r="BT74" s="8">
        <v>2</v>
      </c>
      <c r="BU74" s="8">
        <v>2</v>
      </c>
      <c r="BV74" s="8">
        <v>2</v>
      </c>
      <c r="BW74" s="8">
        <v>2</v>
      </c>
      <c r="BX74" s="8">
        <v>2</v>
      </c>
      <c r="BY74" s="8">
        <v>2</v>
      </c>
      <c r="BZ74" s="8">
        <v>2</v>
      </c>
      <c r="CA74" s="8">
        <v>2</v>
      </c>
      <c r="CB74" s="8">
        <v>2</v>
      </c>
      <c r="CC74" s="8">
        <v>2</v>
      </c>
      <c r="CD74" s="8">
        <v>2</v>
      </c>
      <c r="CE74" s="8">
        <v>2</v>
      </c>
      <c r="CF74" s="8">
        <v>2</v>
      </c>
      <c r="CG74" s="8">
        <v>2</v>
      </c>
      <c r="CH74" s="8">
        <v>2</v>
      </c>
      <c r="CI74" s="8">
        <v>2</v>
      </c>
      <c r="CJ74" s="8">
        <v>2</v>
      </c>
      <c r="CK74" s="8">
        <v>2</v>
      </c>
      <c r="CL74" s="8">
        <v>2</v>
      </c>
      <c r="CM74" s="8">
        <v>2</v>
      </c>
      <c r="CN74" s="8">
        <v>2</v>
      </c>
      <c r="CO74" s="8">
        <v>2</v>
      </c>
      <c r="CP74" s="8">
        <v>2</v>
      </c>
      <c r="CQ74" s="8">
        <v>2</v>
      </c>
      <c r="CR74" s="8">
        <v>2</v>
      </c>
      <c r="CS74" s="8">
        <v>2</v>
      </c>
      <c r="CT74" s="8">
        <v>2</v>
      </c>
      <c r="CU74" s="8">
        <v>2</v>
      </c>
      <c r="CV74" s="8">
        <v>2</v>
      </c>
      <c r="CW74" s="8">
        <v>2</v>
      </c>
      <c r="CX74" s="8">
        <v>2</v>
      </c>
      <c r="CY74" s="8">
        <v>2</v>
      </c>
      <c r="CZ74" s="8">
        <v>2</v>
      </c>
      <c r="DA74" s="8">
        <v>2</v>
      </c>
      <c r="DB74" s="8">
        <v>2</v>
      </c>
      <c r="DC74" s="8">
        <v>2</v>
      </c>
      <c r="DD74" s="8">
        <v>2</v>
      </c>
      <c r="DE74" s="8">
        <v>2</v>
      </c>
      <c r="DF74" s="8">
        <v>2</v>
      </c>
      <c r="DG74" s="8">
        <v>2</v>
      </c>
      <c r="DH74" s="8">
        <v>2</v>
      </c>
      <c r="DI74" s="8">
        <v>2</v>
      </c>
      <c r="DJ74" s="8">
        <v>2</v>
      </c>
      <c r="DK74" s="8">
        <v>2</v>
      </c>
      <c r="DL74" s="8">
        <v>2</v>
      </c>
      <c r="DM74" s="8">
        <v>2</v>
      </c>
      <c r="DN74" s="8">
        <v>2</v>
      </c>
      <c r="DO74" s="8">
        <v>2</v>
      </c>
      <c r="DP74" s="8">
        <v>2</v>
      </c>
      <c r="DQ74" s="8">
        <v>2</v>
      </c>
      <c r="DR74" s="8">
        <v>2</v>
      </c>
      <c r="DS74" s="8">
        <v>2</v>
      </c>
      <c r="DT74" s="8">
        <v>2</v>
      </c>
      <c r="DU74" s="8">
        <v>2</v>
      </c>
      <c r="DV74" s="8">
        <v>2</v>
      </c>
      <c r="DW74" s="315">
        <v>1</v>
      </c>
      <c r="DX74" s="315">
        <v>1</v>
      </c>
      <c r="DY74" s="315">
        <v>1</v>
      </c>
      <c r="DZ74" s="315">
        <v>1</v>
      </c>
      <c r="EA74" s="315">
        <v>1</v>
      </c>
      <c r="EB74" s="315">
        <v>1</v>
      </c>
      <c r="EC74" s="315">
        <v>1</v>
      </c>
      <c r="ED74" s="315">
        <v>1</v>
      </c>
      <c r="EE74" s="315">
        <v>1</v>
      </c>
      <c r="EF74" s="315">
        <v>1</v>
      </c>
      <c r="EG74" s="315">
        <v>1</v>
      </c>
      <c r="EH74" s="315">
        <v>1</v>
      </c>
      <c r="EI74" s="315">
        <v>1</v>
      </c>
      <c r="EJ74" s="315">
        <v>1</v>
      </c>
      <c r="EK74" s="315">
        <v>1</v>
      </c>
      <c r="EL74" s="315">
        <v>1</v>
      </c>
      <c r="EM74" s="315">
        <v>1</v>
      </c>
      <c r="EN74" s="315">
        <v>1</v>
      </c>
      <c r="EO74" s="315">
        <v>1</v>
      </c>
      <c r="EP74" s="315">
        <v>1</v>
      </c>
      <c r="EQ74" s="315">
        <v>1</v>
      </c>
      <c r="ER74" s="315">
        <v>1</v>
      </c>
      <c r="ES74" s="315">
        <v>1</v>
      </c>
      <c r="ET74" s="315">
        <v>1</v>
      </c>
      <c r="EU74" s="315">
        <v>1</v>
      </c>
      <c r="EV74" s="315">
        <v>1</v>
      </c>
      <c r="EW74" s="315">
        <v>1</v>
      </c>
      <c r="EX74" s="315">
        <v>1</v>
      </c>
      <c r="EY74" s="315">
        <v>1</v>
      </c>
      <c r="EZ74" s="315">
        <v>1</v>
      </c>
      <c r="FB74" s="50">
        <f>HLOOKUP(M16,$AU$3:$EZ$104,72,TRUE)</f>
        <v>2</v>
      </c>
      <c r="FD74" s="50">
        <f>HLOOKUP(AL42,$AU$3:$EZ$104,72,TRUE)</f>
        <v>2</v>
      </c>
    </row>
    <row r="75" spans="3:160" ht="17.100000000000001" customHeight="1">
      <c r="C75" s="672"/>
      <c r="D75" s="164"/>
      <c r="E75" s="171"/>
      <c r="F75" s="172"/>
      <c r="G75" s="515"/>
      <c r="H75" s="172"/>
      <c r="I75" s="172"/>
      <c r="J75" s="172"/>
      <c r="K75" s="172"/>
      <c r="L75" s="172"/>
      <c r="M75" s="172"/>
      <c r="N75" s="172"/>
      <c r="O75" s="172"/>
      <c r="P75" s="172"/>
      <c r="Q75" s="172"/>
      <c r="R75" s="172"/>
      <c r="S75" s="172"/>
      <c r="T75" s="172"/>
      <c r="U75" s="172"/>
      <c r="V75" s="172"/>
      <c r="W75" s="172"/>
      <c r="X75" s="172"/>
      <c r="Y75" s="173"/>
      <c r="Z75" s="673"/>
      <c r="AA75" s="165"/>
      <c r="AS75" s="69"/>
      <c r="AT75" s="104">
        <v>13.49</v>
      </c>
      <c r="AU75" s="8">
        <v>2</v>
      </c>
      <c r="AV75" s="8">
        <v>2</v>
      </c>
      <c r="AW75" s="8">
        <v>2</v>
      </c>
      <c r="AX75" s="8">
        <v>2</v>
      </c>
      <c r="AY75" s="8">
        <v>2</v>
      </c>
      <c r="AZ75" s="8">
        <v>2</v>
      </c>
      <c r="BA75" s="316">
        <v>2</v>
      </c>
      <c r="BB75" s="8">
        <v>2</v>
      </c>
      <c r="BC75" s="8">
        <v>2</v>
      </c>
      <c r="BD75" s="8">
        <v>2</v>
      </c>
      <c r="BE75" s="8">
        <v>2</v>
      </c>
      <c r="BF75" s="8">
        <v>2</v>
      </c>
      <c r="BG75" s="8">
        <v>2</v>
      </c>
      <c r="BH75" s="8">
        <v>2</v>
      </c>
      <c r="BI75" s="8">
        <v>2</v>
      </c>
      <c r="BJ75" s="8">
        <v>2</v>
      </c>
      <c r="BK75" s="8">
        <v>2</v>
      </c>
      <c r="BL75" s="8">
        <v>2</v>
      </c>
      <c r="BM75" s="8">
        <v>2</v>
      </c>
      <c r="BN75" s="8">
        <v>2</v>
      </c>
      <c r="BO75" s="8">
        <v>2</v>
      </c>
      <c r="BP75" s="8">
        <v>2</v>
      </c>
      <c r="BQ75" s="8">
        <v>2</v>
      </c>
      <c r="BR75" s="8">
        <v>2</v>
      </c>
      <c r="BS75" s="8">
        <v>2</v>
      </c>
      <c r="BT75" s="8">
        <v>2</v>
      </c>
      <c r="BU75" s="8">
        <v>2</v>
      </c>
      <c r="BV75" s="8">
        <v>2</v>
      </c>
      <c r="BW75" s="8">
        <v>2</v>
      </c>
      <c r="BX75" s="8">
        <v>2</v>
      </c>
      <c r="BY75" s="8">
        <v>2</v>
      </c>
      <c r="BZ75" s="8">
        <v>2</v>
      </c>
      <c r="CA75" s="8">
        <v>2</v>
      </c>
      <c r="CB75" s="8">
        <v>2</v>
      </c>
      <c r="CC75" s="8">
        <v>2</v>
      </c>
      <c r="CD75" s="8">
        <v>2</v>
      </c>
      <c r="CE75" s="8">
        <v>2</v>
      </c>
      <c r="CF75" s="8">
        <v>2</v>
      </c>
      <c r="CG75" s="8">
        <v>2</v>
      </c>
      <c r="CH75" s="8">
        <v>2</v>
      </c>
      <c r="CI75" s="8">
        <v>2</v>
      </c>
      <c r="CJ75" s="8">
        <v>2</v>
      </c>
      <c r="CK75" s="8">
        <v>2</v>
      </c>
      <c r="CL75" s="8">
        <v>2</v>
      </c>
      <c r="CM75" s="8">
        <v>2</v>
      </c>
      <c r="CN75" s="8">
        <v>2</v>
      </c>
      <c r="CO75" s="8">
        <v>2</v>
      </c>
      <c r="CP75" s="8">
        <v>2</v>
      </c>
      <c r="CQ75" s="8">
        <v>2</v>
      </c>
      <c r="CR75" s="8">
        <v>2</v>
      </c>
      <c r="CS75" s="8">
        <v>2</v>
      </c>
      <c r="CT75" s="8">
        <v>2</v>
      </c>
      <c r="CU75" s="8">
        <v>2</v>
      </c>
      <c r="CV75" s="8">
        <v>2</v>
      </c>
      <c r="CW75" s="8">
        <v>2</v>
      </c>
      <c r="CX75" s="8">
        <v>2</v>
      </c>
      <c r="CY75" s="8">
        <v>2</v>
      </c>
      <c r="CZ75" s="8">
        <v>2</v>
      </c>
      <c r="DA75" s="8">
        <v>2</v>
      </c>
      <c r="DB75" s="8">
        <v>2</v>
      </c>
      <c r="DC75" s="8">
        <v>2</v>
      </c>
      <c r="DD75" s="8">
        <v>2</v>
      </c>
      <c r="DE75" s="8">
        <v>2</v>
      </c>
      <c r="DF75" s="8">
        <v>2</v>
      </c>
      <c r="DG75" s="8">
        <v>2</v>
      </c>
      <c r="DH75" s="8">
        <v>2</v>
      </c>
      <c r="DI75" s="8">
        <v>2</v>
      </c>
      <c r="DJ75" s="8">
        <v>2</v>
      </c>
      <c r="DK75" s="8">
        <v>2</v>
      </c>
      <c r="DL75" s="8">
        <v>2</v>
      </c>
      <c r="DM75" s="8">
        <v>2</v>
      </c>
      <c r="DN75" s="8">
        <v>2</v>
      </c>
      <c r="DO75" s="8">
        <v>2</v>
      </c>
      <c r="DP75" s="8">
        <v>2</v>
      </c>
      <c r="DQ75" s="8">
        <v>2</v>
      </c>
      <c r="DR75" s="8">
        <v>2</v>
      </c>
      <c r="DS75" s="8">
        <v>2</v>
      </c>
      <c r="DT75" s="8">
        <v>2</v>
      </c>
      <c r="DU75" s="8">
        <v>2</v>
      </c>
      <c r="DV75" s="8">
        <v>2</v>
      </c>
      <c r="DW75" s="8">
        <v>2</v>
      </c>
      <c r="DX75" s="315">
        <v>1</v>
      </c>
      <c r="DY75" s="315">
        <v>1</v>
      </c>
      <c r="DZ75" s="315">
        <v>1</v>
      </c>
      <c r="EA75" s="315">
        <v>1</v>
      </c>
      <c r="EB75" s="315">
        <v>1</v>
      </c>
      <c r="EC75" s="315">
        <v>1</v>
      </c>
      <c r="ED75" s="315">
        <v>1</v>
      </c>
      <c r="EE75" s="315">
        <v>1</v>
      </c>
      <c r="EF75" s="315">
        <v>1</v>
      </c>
      <c r="EG75" s="315">
        <v>1</v>
      </c>
      <c r="EH75" s="315">
        <v>1</v>
      </c>
      <c r="EI75" s="315">
        <v>1</v>
      </c>
      <c r="EJ75" s="315">
        <v>1</v>
      </c>
      <c r="EK75" s="315">
        <v>1</v>
      </c>
      <c r="EL75" s="315">
        <v>1</v>
      </c>
      <c r="EM75" s="315">
        <v>1</v>
      </c>
      <c r="EN75" s="315">
        <v>1</v>
      </c>
      <c r="EO75" s="315">
        <v>1</v>
      </c>
      <c r="EP75" s="315">
        <v>1</v>
      </c>
      <c r="EQ75" s="315">
        <v>1</v>
      </c>
      <c r="ER75" s="315">
        <v>1</v>
      </c>
      <c r="ES75" s="315">
        <v>1</v>
      </c>
      <c r="ET75" s="315">
        <v>1</v>
      </c>
      <c r="EU75" s="315">
        <v>1</v>
      </c>
      <c r="EV75" s="315">
        <v>1</v>
      </c>
      <c r="EW75" s="315">
        <v>1</v>
      </c>
      <c r="EX75" s="315">
        <v>1</v>
      </c>
      <c r="EY75" s="315">
        <v>1</v>
      </c>
      <c r="EZ75" s="315">
        <v>1</v>
      </c>
      <c r="FB75" s="50">
        <f>HLOOKUP(M16,$AU$3:$EZ$104,73,TRUE)</f>
        <v>2</v>
      </c>
      <c r="FD75" s="50">
        <f>HLOOKUP(AL42,$AU$3:$EZ$104,73,TRUE)</f>
        <v>2</v>
      </c>
    </row>
    <row r="76" spans="3:160" ht="17.100000000000001" customHeight="1">
      <c r="C76" s="672"/>
      <c r="D76" s="164"/>
      <c r="E76" s="171"/>
      <c r="F76" s="172"/>
      <c r="G76" s="515"/>
      <c r="H76" s="172"/>
      <c r="I76" s="172"/>
      <c r="J76" s="172"/>
      <c r="K76" s="172"/>
      <c r="L76" s="172"/>
      <c r="M76" s="172"/>
      <c r="N76" s="172"/>
      <c r="O76" s="172"/>
      <c r="P76" s="172"/>
      <c r="Q76" s="172"/>
      <c r="R76" s="172"/>
      <c r="S76" s="172"/>
      <c r="T76" s="172"/>
      <c r="U76" s="172"/>
      <c r="V76" s="172"/>
      <c r="W76" s="172"/>
      <c r="X76" s="172"/>
      <c r="Y76" s="173"/>
      <c r="Z76" s="673"/>
      <c r="AA76" s="165"/>
      <c r="AS76" s="69"/>
      <c r="AT76" s="104">
        <v>14.454000000000001</v>
      </c>
      <c r="AU76" s="8">
        <v>2</v>
      </c>
      <c r="AV76" s="8">
        <v>2</v>
      </c>
      <c r="AW76" s="8">
        <v>2</v>
      </c>
      <c r="AX76" s="8">
        <v>2</v>
      </c>
      <c r="AY76" s="8">
        <v>2</v>
      </c>
      <c r="AZ76" s="8">
        <v>2</v>
      </c>
      <c r="BA76" s="316">
        <v>2</v>
      </c>
      <c r="BB76" s="8">
        <v>2</v>
      </c>
      <c r="BC76" s="8">
        <v>2</v>
      </c>
      <c r="BD76" s="8">
        <v>2</v>
      </c>
      <c r="BE76" s="8">
        <v>2</v>
      </c>
      <c r="BF76" s="8">
        <v>2</v>
      </c>
      <c r="BG76" s="8">
        <v>2</v>
      </c>
      <c r="BH76" s="8">
        <v>2</v>
      </c>
      <c r="BI76" s="8">
        <v>2</v>
      </c>
      <c r="BJ76" s="8">
        <v>2</v>
      </c>
      <c r="BK76" s="8">
        <v>2</v>
      </c>
      <c r="BL76" s="8">
        <v>2</v>
      </c>
      <c r="BM76" s="8">
        <v>2</v>
      </c>
      <c r="BN76" s="8">
        <v>2</v>
      </c>
      <c r="BO76" s="8">
        <v>2</v>
      </c>
      <c r="BP76" s="8">
        <v>2</v>
      </c>
      <c r="BQ76" s="8">
        <v>2</v>
      </c>
      <c r="BR76" s="8">
        <v>2</v>
      </c>
      <c r="BS76" s="8">
        <v>2</v>
      </c>
      <c r="BT76" s="8">
        <v>2</v>
      </c>
      <c r="BU76" s="8">
        <v>2</v>
      </c>
      <c r="BV76" s="8">
        <v>2</v>
      </c>
      <c r="BW76" s="8">
        <v>2</v>
      </c>
      <c r="BX76" s="8">
        <v>2</v>
      </c>
      <c r="BY76" s="8">
        <v>2</v>
      </c>
      <c r="BZ76" s="8">
        <v>2</v>
      </c>
      <c r="CA76" s="8">
        <v>2</v>
      </c>
      <c r="CB76" s="8">
        <v>2</v>
      </c>
      <c r="CC76" s="8">
        <v>2</v>
      </c>
      <c r="CD76" s="8">
        <v>2</v>
      </c>
      <c r="CE76" s="8">
        <v>2</v>
      </c>
      <c r="CF76" s="8">
        <v>2</v>
      </c>
      <c r="CG76" s="8">
        <v>2</v>
      </c>
      <c r="CH76" s="8">
        <v>2</v>
      </c>
      <c r="CI76" s="8">
        <v>2</v>
      </c>
      <c r="CJ76" s="8">
        <v>2</v>
      </c>
      <c r="CK76" s="8">
        <v>2</v>
      </c>
      <c r="CL76" s="8">
        <v>2</v>
      </c>
      <c r="CM76" s="8">
        <v>2</v>
      </c>
      <c r="CN76" s="8">
        <v>2</v>
      </c>
      <c r="CO76" s="8">
        <v>2</v>
      </c>
      <c r="CP76" s="8">
        <v>2</v>
      </c>
      <c r="CQ76" s="8">
        <v>2</v>
      </c>
      <c r="CR76" s="8">
        <v>2</v>
      </c>
      <c r="CS76" s="8">
        <v>2</v>
      </c>
      <c r="CT76" s="8">
        <v>2</v>
      </c>
      <c r="CU76" s="8">
        <v>2</v>
      </c>
      <c r="CV76" s="8">
        <v>2</v>
      </c>
      <c r="CW76" s="8">
        <v>2</v>
      </c>
      <c r="CX76" s="8">
        <v>2</v>
      </c>
      <c r="CY76" s="8">
        <v>2</v>
      </c>
      <c r="CZ76" s="8">
        <v>2</v>
      </c>
      <c r="DA76" s="8">
        <v>2</v>
      </c>
      <c r="DB76" s="8">
        <v>2</v>
      </c>
      <c r="DC76" s="8">
        <v>2</v>
      </c>
      <c r="DD76" s="8">
        <v>2</v>
      </c>
      <c r="DE76" s="8">
        <v>2</v>
      </c>
      <c r="DF76" s="8">
        <v>2</v>
      </c>
      <c r="DG76" s="8">
        <v>2</v>
      </c>
      <c r="DH76" s="8">
        <v>2</v>
      </c>
      <c r="DI76" s="8">
        <v>2</v>
      </c>
      <c r="DJ76" s="8">
        <v>2</v>
      </c>
      <c r="DK76" s="8">
        <v>2</v>
      </c>
      <c r="DL76" s="8">
        <v>2</v>
      </c>
      <c r="DM76" s="8">
        <v>2</v>
      </c>
      <c r="DN76" s="8">
        <v>2</v>
      </c>
      <c r="DO76" s="8">
        <v>2</v>
      </c>
      <c r="DP76" s="8">
        <v>2</v>
      </c>
      <c r="DQ76" s="8">
        <v>2</v>
      </c>
      <c r="DR76" s="8">
        <v>2</v>
      </c>
      <c r="DS76" s="8">
        <v>2</v>
      </c>
      <c r="DT76" s="8">
        <v>2</v>
      </c>
      <c r="DU76" s="8">
        <v>2</v>
      </c>
      <c r="DV76" s="8">
        <v>2</v>
      </c>
      <c r="DW76" s="8">
        <v>2</v>
      </c>
      <c r="DX76" s="315">
        <v>1</v>
      </c>
      <c r="DY76" s="315">
        <v>1</v>
      </c>
      <c r="DZ76" s="315">
        <v>1</v>
      </c>
      <c r="EA76" s="315">
        <v>1</v>
      </c>
      <c r="EB76" s="315">
        <v>1</v>
      </c>
      <c r="EC76" s="315">
        <v>1</v>
      </c>
      <c r="ED76" s="315">
        <v>1</v>
      </c>
      <c r="EE76" s="315">
        <v>1</v>
      </c>
      <c r="EF76" s="315">
        <v>1</v>
      </c>
      <c r="EG76" s="315">
        <v>1</v>
      </c>
      <c r="EH76" s="315">
        <v>1</v>
      </c>
      <c r="EI76" s="315">
        <v>1</v>
      </c>
      <c r="EJ76" s="315">
        <v>1</v>
      </c>
      <c r="EK76" s="315">
        <v>1</v>
      </c>
      <c r="EL76" s="315">
        <v>1</v>
      </c>
      <c r="EM76" s="315">
        <v>1</v>
      </c>
      <c r="EN76" s="315">
        <v>1</v>
      </c>
      <c r="EO76" s="315">
        <v>1</v>
      </c>
      <c r="EP76" s="315">
        <v>1</v>
      </c>
      <c r="EQ76" s="315">
        <v>1</v>
      </c>
      <c r="ER76" s="315">
        <v>1</v>
      </c>
      <c r="ES76" s="315">
        <v>1</v>
      </c>
      <c r="ET76" s="315">
        <v>1</v>
      </c>
      <c r="EU76" s="315">
        <v>1</v>
      </c>
      <c r="EV76" s="315">
        <v>1</v>
      </c>
      <c r="EW76" s="315">
        <v>1</v>
      </c>
      <c r="EX76" s="315">
        <v>1</v>
      </c>
      <c r="EY76" s="315">
        <v>1</v>
      </c>
      <c r="EZ76" s="315">
        <v>1</v>
      </c>
      <c r="FB76" s="50">
        <f>HLOOKUP(M16,$AU$3:$EZ$104,74,TRUE)</f>
        <v>2</v>
      </c>
      <c r="FD76" s="50">
        <f>HLOOKUP(AL42,$AU$3:$EZ$104,74,TRUE)</f>
        <v>2</v>
      </c>
    </row>
    <row r="77" spans="3:160" ht="17.100000000000001" customHeight="1">
      <c r="C77" s="672"/>
      <c r="D77" s="164"/>
      <c r="E77" s="171"/>
      <c r="F77" s="172"/>
      <c r="G77" s="515"/>
      <c r="H77" s="172"/>
      <c r="I77" s="172"/>
      <c r="J77" s="172"/>
      <c r="K77" s="172"/>
      <c r="L77" s="172"/>
      <c r="M77" s="172"/>
      <c r="N77" s="172"/>
      <c r="O77" s="172"/>
      <c r="P77" s="172"/>
      <c r="Q77" s="172"/>
      <c r="R77" s="172"/>
      <c r="S77" s="172"/>
      <c r="T77" s="172"/>
      <c r="U77" s="172"/>
      <c r="V77" s="172"/>
      <c r="W77" s="172"/>
      <c r="X77" s="172"/>
      <c r="Y77" s="173"/>
      <c r="Z77" s="673"/>
      <c r="AA77" s="165"/>
      <c r="AS77" s="69"/>
      <c r="AT77" s="104">
        <v>15.488</v>
      </c>
      <c r="AU77" s="8">
        <v>2</v>
      </c>
      <c r="AV77" s="8">
        <v>2</v>
      </c>
      <c r="AW77" s="8">
        <v>2</v>
      </c>
      <c r="AX77" s="8">
        <v>2</v>
      </c>
      <c r="AY77" s="8">
        <v>2</v>
      </c>
      <c r="AZ77" s="8">
        <v>2</v>
      </c>
      <c r="BA77" s="316">
        <v>2</v>
      </c>
      <c r="BB77" s="8">
        <v>2</v>
      </c>
      <c r="BC77" s="8">
        <v>2</v>
      </c>
      <c r="BD77" s="8">
        <v>2</v>
      </c>
      <c r="BE77" s="8">
        <v>2</v>
      </c>
      <c r="BF77" s="8">
        <v>2</v>
      </c>
      <c r="BG77" s="8">
        <v>2</v>
      </c>
      <c r="BH77" s="8">
        <v>2</v>
      </c>
      <c r="BI77" s="8">
        <v>2</v>
      </c>
      <c r="BJ77" s="8">
        <v>2</v>
      </c>
      <c r="BK77" s="8">
        <v>2</v>
      </c>
      <c r="BL77" s="8">
        <v>2</v>
      </c>
      <c r="BM77" s="8">
        <v>2</v>
      </c>
      <c r="BN77" s="8">
        <v>2</v>
      </c>
      <c r="BO77" s="8">
        <v>2</v>
      </c>
      <c r="BP77" s="8">
        <v>2</v>
      </c>
      <c r="BQ77" s="8">
        <v>2</v>
      </c>
      <c r="BR77" s="8">
        <v>2</v>
      </c>
      <c r="BS77" s="8">
        <v>2</v>
      </c>
      <c r="BT77" s="8">
        <v>2</v>
      </c>
      <c r="BU77" s="8">
        <v>2</v>
      </c>
      <c r="BV77" s="8">
        <v>2</v>
      </c>
      <c r="BW77" s="8">
        <v>2</v>
      </c>
      <c r="BX77" s="8">
        <v>2</v>
      </c>
      <c r="BY77" s="8">
        <v>2</v>
      </c>
      <c r="BZ77" s="8">
        <v>2</v>
      </c>
      <c r="CA77" s="8">
        <v>2</v>
      </c>
      <c r="CB77" s="8">
        <v>2</v>
      </c>
      <c r="CC77" s="8">
        <v>2</v>
      </c>
      <c r="CD77" s="8">
        <v>2</v>
      </c>
      <c r="CE77" s="8">
        <v>2</v>
      </c>
      <c r="CF77" s="8">
        <v>2</v>
      </c>
      <c r="CG77" s="8">
        <v>2</v>
      </c>
      <c r="CH77" s="8">
        <v>2</v>
      </c>
      <c r="CI77" s="8">
        <v>2</v>
      </c>
      <c r="CJ77" s="8">
        <v>2</v>
      </c>
      <c r="CK77" s="8">
        <v>2</v>
      </c>
      <c r="CL77" s="8">
        <v>2</v>
      </c>
      <c r="CM77" s="8">
        <v>2</v>
      </c>
      <c r="CN77" s="8">
        <v>2</v>
      </c>
      <c r="CO77" s="8">
        <v>2</v>
      </c>
      <c r="CP77" s="8">
        <v>2</v>
      </c>
      <c r="CQ77" s="8">
        <v>2</v>
      </c>
      <c r="CR77" s="8">
        <v>2</v>
      </c>
      <c r="CS77" s="8">
        <v>2</v>
      </c>
      <c r="CT77" s="8">
        <v>2</v>
      </c>
      <c r="CU77" s="8">
        <v>2</v>
      </c>
      <c r="CV77" s="8">
        <v>2</v>
      </c>
      <c r="CW77" s="8">
        <v>2</v>
      </c>
      <c r="CX77" s="8">
        <v>2</v>
      </c>
      <c r="CY77" s="8">
        <v>2</v>
      </c>
      <c r="CZ77" s="8">
        <v>2</v>
      </c>
      <c r="DA77" s="8">
        <v>2</v>
      </c>
      <c r="DB77" s="8">
        <v>2</v>
      </c>
      <c r="DC77" s="8">
        <v>2</v>
      </c>
      <c r="DD77" s="8">
        <v>2</v>
      </c>
      <c r="DE77" s="8">
        <v>2</v>
      </c>
      <c r="DF77" s="8">
        <v>2</v>
      </c>
      <c r="DG77" s="8">
        <v>2</v>
      </c>
      <c r="DH77" s="8">
        <v>2</v>
      </c>
      <c r="DI77" s="8">
        <v>2</v>
      </c>
      <c r="DJ77" s="8">
        <v>2</v>
      </c>
      <c r="DK77" s="8">
        <v>2</v>
      </c>
      <c r="DL77" s="8">
        <v>2</v>
      </c>
      <c r="DM77" s="8">
        <v>2</v>
      </c>
      <c r="DN77" s="8">
        <v>2</v>
      </c>
      <c r="DO77" s="8">
        <v>2</v>
      </c>
      <c r="DP77" s="8">
        <v>2</v>
      </c>
      <c r="DQ77" s="8">
        <v>2</v>
      </c>
      <c r="DR77" s="8">
        <v>2</v>
      </c>
      <c r="DS77" s="8">
        <v>2</v>
      </c>
      <c r="DT77" s="8">
        <v>2</v>
      </c>
      <c r="DU77" s="8">
        <v>2</v>
      </c>
      <c r="DV77" s="8">
        <v>2</v>
      </c>
      <c r="DW77" s="8">
        <v>2</v>
      </c>
      <c r="DX77" s="8">
        <v>2</v>
      </c>
      <c r="DY77" s="315">
        <v>1</v>
      </c>
      <c r="DZ77" s="315">
        <v>1</v>
      </c>
      <c r="EA77" s="315">
        <v>1</v>
      </c>
      <c r="EB77" s="315">
        <v>1</v>
      </c>
      <c r="EC77" s="315">
        <v>1</v>
      </c>
      <c r="ED77" s="315">
        <v>1</v>
      </c>
      <c r="EE77" s="315">
        <v>1</v>
      </c>
      <c r="EF77" s="315">
        <v>1</v>
      </c>
      <c r="EG77" s="315">
        <v>1</v>
      </c>
      <c r="EH77" s="315">
        <v>1</v>
      </c>
      <c r="EI77" s="315">
        <v>1</v>
      </c>
      <c r="EJ77" s="315">
        <v>1</v>
      </c>
      <c r="EK77" s="315">
        <v>1</v>
      </c>
      <c r="EL77" s="315">
        <v>1</v>
      </c>
      <c r="EM77" s="315">
        <v>1</v>
      </c>
      <c r="EN77" s="315">
        <v>1</v>
      </c>
      <c r="EO77" s="315">
        <v>1</v>
      </c>
      <c r="EP77" s="315">
        <v>1</v>
      </c>
      <c r="EQ77" s="315">
        <v>1</v>
      </c>
      <c r="ER77" s="315">
        <v>1</v>
      </c>
      <c r="ES77" s="315">
        <v>1</v>
      </c>
      <c r="ET77" s="315">
        <v>1</v>
      </c>
      <c r="EU77" s="315">
        <v>1</v>
      </c>
      <c r="EV77" s="315">
        <v>1</v>
      </c>
      <c r="EW77" s="315">
        <v>1</v>
      </c>
      <c r="EX77" s="315">
        <v>1</v>
      </c>
      <c r="EY77" s="315">
        <v>1</v>
      </c>
      <c r="EZ77" s="315">
        <v>1</v>
      </c>
      <c r="FB77" s="50">
        <f>HLOOKUP(M16,$AU$3:$EZ$104,75,TRUE)</f>
        <v>2</v>
      </c>
      <c r="FD77" s="50">
        <f>HLOOKUP(AL42,$AU$3:$EZ$104,75,TRUE)</f>
        <v>2</v>
      </c>
    </row>
    <row r="78" spans="3:160" ht="17.100000000000001" customHeight="1">
      <c r="C78" s="672"/>
      <c r="D78" s="164"/>
      <c r="E78" s="171"/>
      <c r="F78" s="172"/>
      <c r="G78" s="515"/>
      <c r="H78" s="172"/>
      <c r="I78" s="172"/>
      <c r="J78" s="172"/>
      <c r="K78" s="172"/>
      <c r="L78" s="172"/>
      <c r="M78" s="172"/>
      <c r="N78" s="172"/>
      <c r="O78" s="172"/>
      <c r="P78" s="172"/>
      <c r="Q78" s="172"/>
      <c r="R78" s="172"/>
      <c r="S78" s="172"/>
      <c r="T78" s="172"/>
      <c r="U78" s="172"/>
      <c r="V78" s="172"/>
      <c r="W78" s="172"/>
      <c r="X78" s="172"/>
      <c r="Y78" s="173"/>
      <c r="Z78" s="673"/>
      <c r="AA78" s="165"/>
      <c r="AS78" s="69"/>
      <c r="AT78" s="104">
        <v>16.596</v>
      </c>
      <c r="AU78" s="8">
        <v>2</v>
      </c>
      <c r="AV78" s="8">
        <v>2</v>
      </c>
      <c r="AW78" s="8">
        <v>2</v>
      </c>
      <c r="AX78" s="8">
        <v>2</v>
      </c>
      <c r="AY78" s="8">
        <v>2</v>
      </c>
      <c r="AZ78" s="8">
        <v>2</v>
      </c>
      <c r="BA78" s="316">
        <v>2</v>
      </c>
      <c r="BB78" s="8">
        <v>2</v>
      </c>
      <c r="BC78" s="8">
        <v>2</v>
      </c>
      <c r="BD78" s="8">
        <v>2</v>
      </c>
      <c r="BE78" s="8">
        <v>2</v>
      </c>
      <c r="BF78" s="8">
        <v>2</v>
      </c>
      <c r="BG78" s="8">
        <v>2</v>
      </c>
      <c r="BH78" s="8">
        <v>2</v>
      </c>
      <c r="BI78" s="8">
        <v>2</v>
      </c>
      <c r="BJ78" s="8">
        <v>2</v>
      </c>
      <c r="BK78" s="8">
        <v>2</v>
      </c>
      <c r="BL78" s="8">
        <v>2</v>
      </c>
      <c r="BM78" s="8">
        <v>2</v>
      </c>
      <c r="BN78" s="8">
        <v>2</v>
      </c>
      <c r="BO78" s="8">
        <v>2</v>
      </c>
      <c r="BP78" s="8">
        <v>2</v>
      </c>
      <c r="BQ78" s="8">
        <v>2</v>
      </c>
      <c r="BR78" s="8">
        <v>2</v>
      </c>
      <c r="BS78" s="8">
        <v>2</v>
      </c>
      <c r="BT78" s="8">
        <v>2</v>
      </c>
      <c r="BU78" s="8">
        <v>2</v>
      </c>
      <c r="BV78" s="8">
        <v>2</v>
      </c>
      <c r="BW78" s="8">
        <v>2</v>
      </c>
      <c r="BX78" s="8">
        <v>2</v>
      </c>
      <c r="BY78" s="8">
        <v>2</v>
      </c>
      <c r="BZ78" s="8">
        <v>2</v>
      </c>
      <c r="CA78" s="8">
        <v>2</v>
      </c>
      <c r="CB78" s="8">
        <v>2</v>
      </c>
      <c r="CC78" s="8">
        <v>2</v>
      </c>
      <c r="CD78" s="8">
        <v>2</v>
      </c>
      <c r="CE78" s="8">
        <v>2</v>
      </c>
      <c r="CF78" s="8">
        <v>2</v>
      </c>
      <c r="CG78" s="8">
        <v>2</v>
      </c>
      <c r="CH78" s="8">
        <v>2</v>
      </c>
      <c r="CI78" s="8">
        <v>2</v>
      </c>
      <c r="CJ78" s="8">
        <v>2</v>
      </c>
      <c r="CK78" s="8">
        <v>2</v>
      </c>
      <c r="CL78" s="8">
        <v>2</v>
      </c>
      <c r="CM78" s="8">
        <v>2</v>
      </c>
      <c r="CN78" s="8">
        <v>2</v>
      </c>
      <c r="CO78" s="8">
        <v>2</v>
      </c>
      <c r="CP78" s="8">
        <v>2</v>
      </c>
      <c r="CQ78" s="8">
        <v>2</v>
      </c>
      <c r="CR78" s="8">
        <v>2</v>
      </c>
      <c r="CS78" s="8">
        <v>2</v>
      </c>
      <c r="CT78" s="8">
        <v>2</v>
      </c>
      <c r="CU78" s="8">
        <v>2</v>
      </c>
      <c r="CV78" s="8">
        <v>2</v>
      </c>
      <c r="CW78" s="8">
        <v>2</v>
      </c>
      <c r="CX78" s="8">
        <v>2</v>
      </c>
      <c r="CY78" s="8">
        <v>2</v>
      </c>
      <c r="CZ78" s="8">
        <v>2</v>
      </c>
      <c r="DA78" s="8">
        <v>2</v>
      </c>
      <c r="DB78" s="8">
        <v>2</v>
      </c>
      <c r="DC78" s="8">
        <v>2</v>
      </c>
      <c r="DD78" s="8">
        <v>2</v>
      </c>
      <c r="DE78" s="8">
        <v>2</v>
      </c>
      <c r="DF78" s="8">
        <v>2</v>
      </c>
      <c r="DG78" s="8">
        <v>2</v>
      </c>
      <c r="DH78" s="8">
        <v>2</v>
      </c>
      <c r="DI78" s="8">
        <v>2</v>
      </c>
      <c r="DJ78" s="8">
        <v>2</v>
      </c>
      <c r="DK78" s="8">
        <v>2</v>
      </c>
      <c r="DL78" s="8">
        <v>2</v>
      </c>
      <c r="DM78" s="8">
        <v>2</v>
      </c>
      <c r="DN78" s="8">
        <v>2</v>
      </c>
      <c r="DO78" s="8">
        <v>2</v>
      </c>
      <c r="DP78" s="8">
        <v>2</v>
      </c>
      <c r="DQ78" s="8">
        <v>2</v>
      </c>
      <c r="DR78" s="8">
        <v>2</v>
      </c>
      <c r="DS78" s="8">
        <v>2</v>
      </c>
      <c r="DT78" s="8">
        <v>2</v>
      </c>
      <c r="DU78" s="8">
        <v>2</v>
      </c>
      <c r="DV78" s="8">
        <v>2</v>
      </c>
      <c r="DW78" s="8">
        <v>2</v>
      </c>
      <c r="DX78" s="8">
        <v>2</v>
      </c>
      <c r="DY78" s="8">
        <v>2</v>
      </c>
      <c r="DZ78" s="315">
        <v>1</v>
      </c>
      <c r="EA78" s="315">
        <v>1</v>
      </c>
      <c r="EB78" s="315">
        <v>1</v>
      </c>
      <c r="EC78" s="315">
        <v>1</v>
      </c>
      <c r="ED78" s="315">
        <v>1</v>
      </c>
      <c r="EE78" s="315">
        <v>1</v>
      </c>
      <c r="EF78" s="315">
        <v>1</v>
      </c>
      <c r="EG78" s="315">
        <v>1</v>
      </c>
      <c r="EH78" s="315">
        <v>1</v>
      </c>
      <c r="EI78" s="315">
        <v>1</v>
      </c>
      <c r="EJ78" s="315">
        <v>1</v>
      </c>
      <c r="EK78" s="315">
        <v>1</v>
      </c>
      <c r="EL78" s="315">
        <v>1</v>
      </c>
      <c r="EM78" s="315">
        <v>1</v>
      </c>
      <c r="EN78" s="315">
        <v>1</v>
      </c>
      <c r="EO78" s="315">
        <v>1</v>
      </c>
      <c r="EP78" s="315">
        <v>1</v>
      </c>
      <c r="EQ78" s="315">
        <v>1</v>
      </c>
      <c r="ER78" s="315">
        <v>1</v>
      </c>
      <c r="ES78" s="315">
        <v>1</v>
      </c>
      <c r="ET78" s="315">
        <v>1</v>
      </c>
      <c r="EU78" s="315">
        <v>1</v>
      </c>
      <c r="EV78" s="315">
        <v>1</v>
      </c>
      <c r="EW78" s="315">
        <v>1</v>
      </c>
      <c r="EX78" s="315">
        <v>1</v>
      </c>
      <c r="EY78" s="315">
        <v>1</v>
      </c>
      <c r="EZ78" s="315">
        <v>1</v>
      </c>
      <c r="FB78" s="50">
        <f>HLOOKUP(M16,$AU$3:$EZ$104,76,TRUE)</f>
        <v>2</v>
      </c>
      <c r="FD78" s="50">
        <f>HLOOKUP(AL42,$AU$3:$EZ$104,76,TRUE)</f>
        <v>2</v>
      </c>
    </row>
    <row r="79" spans="3:160" ht="17.100000000000001" customHeight="1">
      <c r="C79" s="672"/>
      <c r="D79" s="164"/>
      <c r="E79" s="171"/>
      <c r="F79" s="172"/>
      <c r="G79" s="515"/>
      <c r="H79" s="172"/>
      <c r="I79" s="172"/>
      <c r="J79" s="172"/>
      <c r="K79" s="172"/>
      <c r="L79" s="172"/>
      <c r="M79" s="172"/>
      <c r="N79" s="172"/>
      <c r="O79" s="172"/>
      <c r="P79" s="172"/>
      <c r="Q79" s="172"/>
      <c r="R79" s="172"/>
      <c r="S79" s="172"/>
      <c r="T79" s="172"/>
      <c r="U79" s="172"/>
      <c r="V79" s="172"/>
      <c r="W79" s="172"/>
      <c r="X79" s="172"/>
      <c r="Y79" s="173"/>
      <c r="Z79" s="673"/>
      <c r="AA79" s="165"/>
      <c r="AS79" s="69"/>
      <c r="AT79" s="104">
        <v>17.783000000000001</v>
      </c>
      <c r="AU79" s="8">
        <v>2</v>
      </c>
      <c r="AV79" s="8">
        <v>2</v>
      </c>
      <c r="AW79" s="8">
        <v>2</v>
      </c>
      <c r="AX79" s="8">
        <v>2</v>
      </c>
      <c r="AY79" s="8">
        <v>2</v>
      </c>
      <c r="AZ79" s="8">
        <v>2</v>
      </c>
      <c r="BA79" s="316">
        <v>2</v>
      </c>
      <c r="BB79" s="8">
        <v>2</v>
      </c>
      <c r="BC79" s="8">
        <v>2</v>
      </c>
      <c r="BD79" s="8">
        <v>2</v>
      </c>
      <c r="BE79" s="8">
        <v>2</v>
      </c>
      <c r="BF79" s="8">
        <v>2</v>
      </c>
      <c r="BG79" s="8">
        <v>2</v>
      </c>
      <c r="BH79" s="8">
        <v>2</v>
      </c>
      <c r="BI79" s="8">
        <v>2</v>
      </c>
      <c r="BJ79" s="8">
        <v>2</v>
      </c>
      <c r="BK79" s="8">
        <v>2</v>
      </c>
      <c r="BL79" s="8">
        <v>2</v>
      </c>
      <c r="BM79" s="8">
        <v>2</v>
      </c>
      <c r="BN79" s="8">
        <v>2</v>
      </c>
      <c r="BO79" s="8">
        <v>2</v>
      </c>
      <c r="BP79" s="8">
        <v>2</v>
      </c>
      <c r="BQ79" s="8">
        <v>2</v>
      </c>
      <c r="BR79" s="8">
        <v>2</v>
      </c>
      <c r="BS79" s="8">
        <v>2</v>
      </c>
      <c r="BT79" s="8">
        <v>2</v>
      </c>
      <c r="BU79" s="8">
        <v>2</v>
      </c>
      <c r="BV79" s="8">
        <v>2</v>
      </c>
      <c r="BW79" s="8">
        <v>2</v>
      </c>
      <c r="BX79" s="8">
        <v>2</v>
      </c>
      <c r="BY79" s="8">
        <v>2</v>
      </c>
      <c r="BZ79" s="8">
        <v>2</v>
      </c>
      <c r="CA79" s="8">
        <v>2</v>
      </c>
      <c r="CB79" s="8">
        <v>2</v>
      </c>
      <c r="CC79" s="8">
        <v>2</v>
      </c>
      <c r="CD79" s="8">
        <v>2</v>
      </c>
      <c r="CE79" s="8">
        <v>2</v>
      </c>
      <c r="CF79" s="8">
        <v>2</v>
      </c>
      <c r="CG79" s="8">
        <v>2</v>
      </c>
      <c r="CH79" s="8">
        <v>2</v>
      </c>
      <c r="CI79" s="8">
        <v>2</v>
      </c>
      <c r="CJ79" s="8">
        <v>2</v>
      </c>
      <c r="CK79" s="8">
        <v>2</v>
      </c>
      <c r="CL79" s="8">
        <v>2</v>
      </c>
      <c r="CM79" s="8">
        <v>2</v>
      </c>
      <c r="CN79" s="8">
        <v>2</v>
      </c>
      <c r="CO79" s="8">
        <v>2</v>
      </c>
      <c r="CP79" s="8">
        <v>2</v>
      </c>
      <c r="CQ79" s="8">
        <v>2</v>
      </c>
      <c r="CR79" s="8">
        <v>2</v>
      </c>
      <c r="CS79" s="8">
        <v>2</v>
      </c>
      <c r="CT79" s="8">
        <v>2</v>
      </c>
      <c r="CU79" s="8">
        <v>2</v>
      </c>
      <c r="CV79" s="8">
        <v>2</v>
      </c>
      <c r="CW79" s="8">
        <v>2</v>
      </c>
      <c r="CX79" s="8">
        <v>2</v>
      </c>
      <c r="CY79" s="8">
        <v>2</v>
      </c>
      <c r="CZ79" s="8">
        <v>2</v>
      </c>
      <c r="DA79" s="8">
        <v>2</v>
      </c>
      <c r="DB79" s="8">
        <v>2</v>
      </c>
      <c r="DC79" s="8">
        <v>2</v>
      </c>
      <c r="DD79" s="8">
        <v>2</v>
      </c>
      <c r="DE79" s="8">
        <v>2</v>
      </c>
      <c r="DF79" s="8">
        <v>2</v>
      </c>
      <c r="DG79" s="8">
        <v>2</v>
      </c>
      <c r="DH79" s="8">
        <v>2</v>
      </c>
      <c r="DI79" s="8">
        <v>2</v>
      </c>
      <c r="DJ79" s="8">
        <v>2</v>
      </c>
      <c r="DK79" s="8">
        <v>2</v>
      </c>
      <c r="DL79" s="8">
        <v>2</v>
      </c>
      <c r="DM79" s="8">
        <v>2</v>
      </c>
      <c r="DN79" s="8">
        <v>2</v>
      </c>
      <c r="DO79" s="8">
        <v>2</v>
      </c>
      <c r="DP79" s="8">
        <v>2</v>
      </c>
      <c r="DQ79" s="8">
        <v>2</v>
      </c>
      <c r="DR79" s="8">
        <v>2</v>
      </c>
      <c r="DS79" s="8">
        <v>2</v>
      </c>
      <c r="DT79" s="8">
        <v>2</v>
      </c>
      <c r="DU79" s="8">
        <v>2</v>
      </c>
      <c r="DV79" s="8">
        <v>2</v>
      </c>
      <c r="DW79" s="8">
        <v>2</v>
      </c>
      <c r="DX79" s="8">
        <v>2</v>
      </c>
      <c r="DY79" s="8">
        <v>2</v>
      </c>
      <c r="DZ79" s="8">
        <v>2</v>
      </c>
      <c r="EA79" s="315">
        <v>1</v>
      </c>
      <c r="EB79" s="315">
        <v>1</v>
      </c>
      <c r="EC79" s="315">
        <v>1</v>
      </c>
      <c r="ED79" s="315">
        <v>1</v>
      </c>
      <c r="EE79" s="315">
        <v>1</v>
      </c>
      <c r="EF79" s="315">
        <v>1</v>
      </c>
      <c r="EG79" s="315">
        <v>1</v>
      </c>
      <c r="EH79" s="315">
        <v>1</v>
      </c>
      <c r="EI79" s="315">
        <v>1</v>
      </c>
      <c r="EJ79" s="315">
        <v>1</v>
      </c>
      <c r="EK79" s="315">
        <v>1</v>
      </c>
      <c r="EL79" s="315">
        <v>1</v>
      </c>
      <c r="EM79" s="315">
        <v>1</v>
      </c>
      <c r="EN79" s="315">
        <v>1</v>
      </c>
      <c r="EO79" s="315">
        <v>1</v>
      </c>
      <c r="EP79" s="315">
        <v>1</v>
      </c>
      <c r="EQ79" s="315">
        <v>1</v>
      </c>
      <c r="ER79" s="315">
        <v>1</v>
      </c>
      <c r="ES79" s="315">
        <v>1</v>
      </c>
      <c r="ET79" s="315">
        <v>1</v>
      </c>
      <c r="EU79" s="315">
        <v>1</v>
      </c>
      <c r="EV79" s="315">
        <v>1</v>
      </c>
      <c r="EW79" s="315">
        <v>1</v>
      </c>
      <c r="EX79" s="315">
        <v>1</v>
      </c>
      <c r="EY79" s="315">
        <v>1</v>
      </c>
      <c r="EZ79" s="315">
        <v>1</v>
      </c>
      <c r="FB79" s="50">
        <f>HLOOKUP(M16,$AU$3:$EZ$104,77,TRUE)</f>
        <v>2</v>
      </c>
      <c r="FD79" s="50">
        <f>HLOOKUP(AL42,$AU$3:$EZ$104,77,TRUE)</f>
        <v>2</v>
      </c>
    </row>
    <row r="80" spans="3:160" ht="17.100000000000001" customHeight="1">
      <c r="C80" s="672"/>
      <c r="D80" s="164"/>
      <c r="E80" s="171"/>
      <c r="F80" s="172"/>
      <c r="G80" s="515"/>
      <c r="H80" s="172"/>
      <c r="I80" s="172"/>
      <c r="J80" s="172"/>
      <c r="K80" s="172"/>
      <c r="L80" s="172"/>
      <c r="M80" s="172"/>
      <c r="N80" s="172"/>
      <c r="O80" s="172"/>
      <c r="P80" s="172"/>
      <c r="Q80" s="172"/>
      <c r="R80" s="172"/>
      <c r="S80" s="172"/>
      <c r="T80" s="172"/>
      <c r="U80" s="172"/>
      <c r="V80" s="172"/>
      <c r="W80" s="172"/>
      <c r="X80" s="172"/>
      <c r="Y80" s="173"/>
      <c r="Z80" s="673"/>
      <c r="AA80" s="165"/>
      <c r="AS80" s="69"/>
      <c r="AT80" s="104">
        <v>19.055</v>
      </c>
      <c r="AU80" s="8">
        <v>2</v>
      </c>
      <c r="AV80" s="8">
        <v>2</v>
      </c>
      <c r="AW80" s="8">
        <v>2</v>
      </c>
      <c r="AX80" s="8">
        <v>2</v>
      </c>
      <c r="AY80" s="8">
        <v>2</v>
      </c>
      <c r="AZ80" s="8">
        <v>2</v>
      </c>
      <c r="BA80" s="316">
        <v>2</v>
      </c>
      <c r="BB80" s="8">
        <v>2</v>
      </c>
      <c r="BC80" s="8">
        <v>2</v>
      </c>
      <c r="BD80" s="8">
        <v>2</v>
      </c>
      <c r="BE80" s="8">
        <v>2</v>
      </c>
      <c r="BF80" s="8">
        <v>2</v>
      </c>
      <c r="BG80" s="8">
        <v>2</v>
      </c>
      <c r="BH80" s="8">
        <v>2</v>
      </c>
      <c r="BI80" s="8">
        <v>2</v>
      </c>
      <c r="BJ80" s="8">
        <v>2</v>
      </c>
      <c r="BK80" s="8">
        <v>2</v>
      </c>
      <c r="BL80" s="8">
        <v>2</v>
      </c>
      <c r="BM80" s="8">
        <v>2</v>
      </c>
      <c r="BN80" s="8">
        <v>2</v>
      </c>
      <c r="BO80" s="8">
        <v>2</v>
      </c>
      <c r="BP80" s="8">
        <v>2</v>
      </c>
      <c r="BQ80" s="8">
        <v>2</v>
      </c>
      <c r="BR80" s="8">
        <v>2</v>
      </c>
      <c r="BS80" s="8">
        <v>2</v>
      </c>
      <c r="BT80" s="8">
        <v>2</v>
      </c>
      <c r="BU80" s="8">
        <v>2</v>
      </c>
      <c r="BV80" s="8">
        <v>2</v>
      </c>
      <c r="BW80" s="8">
        <v>2</v>
      </c>
      <c r="BX80" s="8">
        <v>2</v>
      </c>
      <c r="BY80" s="8">
        <v>2</v>
      </c>
      <c r="BZ80" s="8">
        <v>2</v>
      </c>
      <c r="CA80" s="8">
        <v>2</v>
      </c>
      <c r="CB80" s="8">
        <v>2</v>
      </c>
      <c r="CC80" s="8">
        <v>2</v>
      </c>
      <c r="CD80" s="8">
        <v>2</v>
      </c>
      <c r="CE80" s="8">
        <v>2</v>
      </c>
      <c r="CF80" s="8">
        <v>2</v>
      </c>
      <c r="CG80" s="8">
        <v>2</v>
      </c>
      <c r="CH80" s="8">
        <v>2</v>
      </c>
      <c r="CI80" s="8">
        <v>2</v>
      </c>
      <c r="CJ80" s="8">
        <v>2</v>
      </c>
      <c r="CK80" s="8">
        <v>2</v>
      </c>
      <c r="CL80" s="8">
        <v>2</v>
      </c>
      <c r="CM80" s="8">
        <v>2</v>
      </c>
      <c r="CN80" s="8">
        <v>2</v>
      </c>
      <c r="CO80" s="8">
        <v>2</v>
      </c>
      <c r="CP80" s="8">
        <v>2</v>
      </c>
      <c r="CQ80" s="8">
        <v>2</v>
      </c>
      <c r="CR80" s="8">
        <v>2</v>
      </c>
      <c r="CS80" s="8">
        <v>2</v>
      </c>
      <c r="CT80" s="8">
        <v>2</v>
      </c>
      <c r="CU80" s="8">
        <v>2</v>
      </c>
      <c r="CV80" s="8">
        <v>2</v>
      </c>
      <c r="CW80" s="8">
        <v>2</v>
      </c>
      <c r="CX80" s="8">
        <v>2</v>
      </c>
      <c r="CY80" s="8">
        <v>2</v>
      </c>
      <c r="CZ80" s="8">
        <v>2</v>
      </c>
      <c r="DA80" s="8">
        <v>2</v>
      </c>
      <c r="DB80" s="8">
        <v>2</v>
      </c>
      <c r="DC80" s="8">
        <v>2</v>
      </c>
      <c r="DD80" s="8">
        <v>2</v>
      </c>
      <c r="DE80" s="8">
        <v>2</v>
      </c>
      <c r="DF80" s="8">
        <v>2</v>
      </c>
      <c r="DG80" s="8">
        <v>2</v>
      </c>
      <c r="DH80" s="8">
        <v>2</v>
      </c>
      <c r="DI80" s="8">
        <v>2</v>
      </c>
      <c r="DJ80" s="8">
        <v>2</v>
      </c>
      <c r="DK80" s="8">
        <v>2</v>
      </c>
      <c r="DL80" s="8">
        <v>2</v>
      </c>
      <c r="DM80" s="8">
        <v>2</v>
      </c>
      <c r="DN80" s="8">
        <v>2</v>
      </c>
      <c r="DO80" s="8">
        <v>2</v>
      </c>
      <c r="DP80" s="8">
        <v>2</v>
      </c>
      <c r="DQ80" s="8">
        <v>2</v>
      </c>
      <c r="DR80" s="8">
        <v>2</v>
      </c>
      <c r="DS80" s="8">
        <v>2</v>
      </c>
      <c r="DT80" s="8">
        <v>2</v>
      </c>
      <c r="DU80" s="8">
        <v>2</v>
      </c>
      <c r="DV80" s="8">
        <v>2</v>
      </c>
      <c r="DW80" s="8">
        <v>2</v>
      </c>
      <c r="DX80" s="8">
        <v>2</v>
      </c>
      <c r="DY80" s="8">
        <v>2</v>
      </c>
      <c r="DZ80" s="8">
        <v>2</v>
      </c>
      <c r="EA80" s="8">
        <v>2</v>
      </c>
      <c r="EB80" s="315">
        <v>1</v>
      </c>
      <c r="EC80" s="315">
        <v>1</v>
      </c>
      <c r="ED80" s="315">
        <v>1</v>
      </c>
      <c r="EE80" s="315">
        <v>1</v>
      </c>
      <c r="EF80" s="315">
        <v>1</v>
      </c>
      <c r="EG80" s="315">
        <v>1</v>
      </c>
      <c r="EH80" s="315">
        <v>1</v>
      </c>
      <c r="EI80" s="315">
        <v>1</v>
      </c>
      <c r="EJ80" s="315">
        <v>1</v>
      </c>
      <c r="EK80" s="315">
        <v>1</v>
      </c>
      <c r="EL80" s="315">
        <v>1</v>
      </c>
      <c r="EM80" s="315">
        <v>1</v>
      </c>
      <c r="EN80" s="315">
        <v>1</v>
      </c>
      <c r="EO80" s="315">
        <v>1</v>
      </c>
      <c r="EP80" s="315">
        <v>1</v>
      </c>
      <c r="EQ80" s="315">
        <v>1</v>
      </c>
      <c r="ER80" s="315">
        <v>1</v>
      </c>
      <c r="ES80" s="315">
        <v>1</v>
      </c>
      <c r="ET80" s="315">
        <v>1</v>
      </c>
      <c r="EU80" s="315">
        <v>1</v>
      </c>
      <c r="EV80" s="315">
        <v>1</v>
      </c>
      <c r="EW80" s="315">
        <v>1</v>
      </c>
      <c r="EX80" s="315">
        <v>1</v>
      </c>
      <c r="EY80" s="315">
        <v>1</v>
      </c>
      <c r="EZ80" s="315">
        <v>1</v>
      </c>
      <c r="FB80" s="50">
        <f>HLOOKUP(M16,$AU$3:$EZ$104,78,TRUE)</f>
        <v>2</v>
      </c>
      <c r="FD80" s="50">
        <f>HLOOKUP(AL42,$AU$3:$EZ$104,78,TRUE)</f>
        <v>2</v>
      </c>
    </row>
    <row r="81" spans="3:160" ht="17.100000000000001" customHeight="1">
      <c r="C81" s="672"/>
      <c r="D81" s="164"/>
      <c r="E81" s="171"/>
      <c r="F81" s="172"/>
      <c r="G81" s="515"/>
      <c r="H81" s="172"/>
      <c r="I81" s="172"/>
      <c r="J81" s="172"/>
      <c r="K81" s="172"/>
      <c r="L81" s="172"/>
      <c r="M81" s="172"/>
      <c r="N81" s="172"/>
      <c r="O81" s="172"/>
      <c r="P81" s="172"/>
      <c r="Q81" s="172"/>
      <c r="R81" s="172"/>
      <c r="S81" s="172"/>
      <c r="T81" s="172"/>
      <c r="U81" s="172"/>
      <c r="V81" s="172"/>
      <c r="W81" s="172"/>
      <c r="X81" s="172"/>
      <c r="Y81" s="173"/>
      <c r="Z81" s="673"/>
      <c r="AA81" s="165"/>
      <c r="AS81" s="69"/>
      <c r="AT81" s="104">
        <v>20.417000000000002</v>
      </c>
      <c r="AU81" s="8">
        <v>2</v>
      </c>
      <c r="AV81" s="8">
        <v>2</v>
      </c>
      <c r="AW81" s="8">
        <v>2</v>
      </c>
      <c r="AX81" s="8">
        <v>2</v>
      </c>
      <c r="AY81" s="8">
        <v>2</v>
      </c>
      <c r="AZ81" s="8">
        <v>2</v>
      </c>
      <c r="BA81" s="316">
        <v>2</v>
      </c>
      <c r="BB81" s="8">
        <v>2</v>
      </c>
      <c r="BC81" s="8">
        <v>2</v>
      </c>
      <c r="BD81" s="8">
        <v>2</v>
      </c>
      <c r="BE81" s="8">
        <v>2</v>
      </c>
      <c r="BF81" s="8">
        <v>2</v>
      </c>
      <c r="BG81" s="8">
        <v>2</v>
      </c>
      <c r="BH81" s="8">
        <v>2</v>
      </c>
      <c r="BI81" s="8">
        <v>2</v>
      </c>
      <c r="BJ81" s="8">
        <v>2</v>
      </c>
      <c r="BK81" s="8">
        <v>2</v>
      </c>
      <c r="BL81" s="8">
        <v>2</v>
      </c>
      <c r="BM81" s="8">
        <v>2</v>
      </c>
      <c r="BN81" s="8">
        <v>2</v>
      </c>
      <c r="BO81" s="8">
        <v>2</v>
      </c>
      <c r="BP81" s="8">
        <v>2</v>
      </c>
      <c r="BQ81" s="8">
        <v>2</v>
      </c>
      <c r="BR81" s="8">
        <v>2</v>
      </c>
      <c r="BS81" s="8">
        <v>2</v>
      </c>
      <c r="BT81" s="8">
        <v>2</v>
      </c>
      <c r="BU81" s="8">
        <v>2</v>
      </c>
      <c r="BV81" s="8">
        <v>2</v>
      </c>
      <c r="BW81" s="8">
        <v>2</v>
      </c>
      <c r="BX81" s="8">
        <v>2</v>
      </c>
      <c r="BY81" s="8">
        <v>2</v>
      </c>
      <c r="BZ81" s="8">
        <v>2</v>
      </c>
      <c r="CA81" s="8">
        <v>2</v>
      </c>
      <c r="CB81" s="8">
        <v>2</v>
      </c>
      <c r="CC81" s="8">
        <v>2</v>
      </c>
      <c r="CD81" s="8">
        <v>2</v>
      </c>
      <c r="CE81" s="8">
        <v>2</v>
      </c>
      <c r="CF81" s="8">
        <v>2</v>
      </c>
      <c r="CG81" s="8">
        <v>2</v>
      </c>
      <c r="CH81" s="8">
        <v>2</v>
      </c>
      <c r="CI81" s="8">
        <v>2</v>
      </c>
      <c r="CJ81" s="8">
        <v>2</v>
      </c>
      <c r="CK81" s="8">
        <v>2</v>
      </c>
      <c r="CL81" s="8">
        <v>2</v>
      </c>
      <c r="CM81" s="8">
        <v>2</v>
      </c>
      <c r="CN81" s="8">
        <v>2</v>
      </c>
      <c r="CO81" s="8">
        <v>2</v>
      </c>
      <c r="CP81" s="8">
        <v>2</v>
      </c>
      <c r="CQ81" s="8">
        <v>2</v>
      </c>
      <c r="CR81" s="8">
        <v>2</v>
      </c>
      <c r="CS81" s="8">
        <v>2</v>
      </c>
      <c r="CT81" s="8">
        <v>2</v>
      </c>
      <c r="CU81" s="8">
        <v>2</v>
      </c>
      <c r="CV81" s="8">
        <v>2</v>
      </c>
      <c r="CW81" s="8">
        <v>2</v>
      </c>
      <c r="CX81" s="8">
        <v>2</v>
      </c>
      <c r="CY81" s="8">
        <v>2</v>
      </c>
      <c r="CZ81" s="8">
        <v>2</v>
      </c>
      <c r="DA81" s="8">
        <v>2</v>
      </c>
      <c r="DB81" s="8">
        <v>2</v>
      </c>
      <c r="DC81" s="8">
        <v>2</v>
      </c>
      <c r="DD81" s="8">
        <v>2</v>
      </c>
      <c r="DE81" s="8">
        <v>2</v>
      </c>
      <c r="DF81" s="8">
        <v>2</v>
      </c>
      <c r="DG81" s="8">
        <v>2</v>
      </c>
      <c r="DH81" s="8">
        <v>2</v>
      </c>
      <c r="DI81" s="8">
        <v>2</v>
      </c>
      <c r="DJ81" s="8">
        <v>2</v>
      </c>
      <c r="DK81" s="8">
        <v>2</v>
      </c>
      <c r="DL81" s="8">
        <v>2</v>
      </c>
      <c r="DM81" s="8">
        <v>2</v>
      </c>
      <c r="DN81" s="8">
        <v>2</v>
      </c>
      <c r="DO81" s="8">
        <v>2</v>
      </c>
      <c r="DP81" s="8">
        <v>2</v>
      </c>
      <c r="DQ81" s="8">
        <v>2</v>
      </c>
      <c r="DR81" s="8">
        <v>2</v>
      </c>
      <c r="DS81" s="8">
        <v>2</v>
      </c>
      <c r="DT81" s="8">
        <v>2</v>
      </c>
      <c r="DU81" s="8">
        <v>2</v>
      </c>
      <c r="DV81" s="8">
        <v>2</v>
      </c>
      <c r="DW81" s="8">
        <v>2</v>
      </c>
      <c r="DX81" s="8">
        <v>2</v>
      </c>
      <c r="DY81" s="8">
        <v>2</v>
      </c>
      <c r="DZ81" s="8">
        <v>2</v>
      </c>
      <c r="EA81" s="8">
        <v>2</v>
      </c>
      <c r="EB81" s="8">
        <v>2</v>
      </c>
      <c r="EC81" s="315">
        <v>1</v>
      </c>
      <c r="ED81" s="315">
        <v>1</v>
      </c>
      <c r="EE81" s="315">
        <v>1</v>
      </c>
      <c r="EF81" s="315">
        <v>1</v>
      </c>
      <c r="EG81" s="315">
        <v>1</v>
      </c>
      <c r="EH81" s="315">
        <v>1</v>
      </c>
      <c r="EI81" s="315">
        <v>1</v>
      </c>
      <c r="EJ81" s="315">
        <v>1</v>
      </c>
      <c r="EK81" s="315">
        <v>1</v>
      </c>
      <c r="EL81" s="315">
        <v>1</v>
      </c>
      <c r="EM81" s="315">
        <v>1</v>
      </c>
      <c r="EN81" s="315">
        <v>1</v>
      </c>
      <c r="EO81" s="315">
        <v>1</v>
      </c>
      <c r="EP81" s="315">
        <v>1</v>
      </c>
      <c r="EQ81" s="315">
        <v>1</v>
      </c>
      <c r="ER81" s="315">
        <v>1</v>
      </c>
      <c r="ES81" s="315">
        <v>1</v>
      </c>
      <c r="ET81" s="315">
        <v>1</v>
      </c>
      <c r="EU81" s="315">
        <v>1</v>
      </c>
      <c r="EV81" s="315">
        <v>1</v>
      </c>
      <c r="EW81" s="315">
        <v>1</v>
      </c>
      <c r="EX81" s="315">
        <v>1</v>
      </c>
      <c r="EY81" s="315">
        <v>1</v>
      </c>
      <c r="EZ81" s="315">
        <v>1</v>
      </c>
      <c r="FB81" s="50">
        <f>HLOOKUP(M16,$AU$3:$EZ$104,79,TRUE)</f>
        <v>2</v>
      </c>
      <c r="FD81" s="50">
        <f>HLOOKUP(AL42,$AU$3:$EZ$104,79,TRUE)</f>
        <v>2</v>
      </c>
    </row>
    <row r="82" spans="3:160" ht="17.100000000000001" customHeight="1">
      <c r="C82" s="672"/>
      <c r="D82" s="164"/>
      <c r="E82" s="171"/>
      <c r="F82" s="172"/>
      <c r="G82" s="515"/>
      <c r="H82" s="172"/>
      <c r="I82" s="172"/>
      <c r="J82" s="172"/>
      <c r="K82" s="172"/>
      <c r="L82" s="172"/>
      <c r="M82" s="172"/>
      <c r="N82" s="172"/>
      <c r="O82" s="172"/>
      <c r="P82" s="172"/>
      <c r="Q82" s="172"/>
      <c r="R82" s="172"/>
      <c r="S82" s="172"/>
      <c r="T82" s="172"/>
      <c r="U82" s="172"/>
      <c r="V82" s="172"/>
      <c r="W82" s="172"/>
      <c r="X82" s="172"/>
      <c r="Y82" s="173"/>
      <c r="Z82" s="673"/>
      <c r="AA82" s="165"/>
      <c r="AS82" s="69"/>
      <c r="AT82" s="104">
        <v>21.878</v>
      </c>
      <c r="AU82" s="8">
        <v>2</v>
      </c>
      <c r="AV82" s="8">
        <v>2</v>
      </c>
      <c r="AW82" s="8">
        <v>2</v>
      </c>
      <c r="AX82" s="8">
        <v>2</v>
      </c>
      <c r="AY82" s="8">
        <v>2</v>
      </c>
      <c r="AZ82" s="8">
        <v>2</v>
      </c>
      <c r="BA82" s="316">
        <v>2</v>
      </c>
      <c r="BB82" s="8">
        <v>2</v>
      </c>
      <c r="BC82" s="8">
        <v>2</v>
      </c>
      <c r="BD82" s="8">
        <v>2</v>
      </c>
      <c r="BE82" s="8">
        <v>2</v>
      </c>
      <c r="BF82" s="8">
        <v>2</v>
      </c>
      <c r="BG82" s="8">
        <v>2</v>
      </c>
      <c r="BH82" s="8">
        <v>2</v>
      </c>
      <c r="BI82" s="8">
        <v>2</v>
      </c>
      <c r="BJ82" s="8">
        <v>2</v>
      </c>
      <c r="BK82" s="8">
        <v>2</v>
      </c>
      <c r="BL82" s="8">
        <v>2</v>
      </c>
      <c r="BM82" s="8">
        <v>2</v>
      </c>
      <c r="BN82" s="8">
        <v>2</v>
      </c>
      <c r="BO82" s="8">
        <v>2</v>
      </c>
      <c r="BP82" s="8">
        <v>2</v>
      </c>
      <c r="BQ82" s="8">
        <v>2</v>
      </c>
      <c r="BR82" s="8">
        <v>2</v>
      </c>
      <c r="BS82" s="8">
        <v>2</v>
      </c>
      <c r="BT82" s="8">
        <v>2</v>
      </c>
      <c r="BU82" s="8">
        <v>2</v>
      </c>
      <c r="BV82" s="8">
        <v>2</v>
      </c>
      <c r="BW82" s="8">
        <v>2</v>
      </c>
      <c r="BX82" s="8">
        <v>2</v>
      </c>
      <c r="BY82" s="8">
        <v>2</v>
      </c>
      <c r="BZ82" s="8">
        <v>2</v>
      </c>
      <c r="CA82" s="8">
        <v>2</v>
      </c>
      <c r="CB82" s="8">
        <v>2</v>
      </c>
      <c r="CC82" s="8">
        <v>2</v>
      </c>
      <c r="CD82" s="8">
        <v>2</v>
      </c>
      <c r="CE82" s="8">
        <v>2</v>
      </c>
      <c r="CF82" s="8">
        <v>2</v>
      </c>
      <c r="CG82" s="8">
        <v>2</v>
      </c>
      <c r="CH82" s="8">
        <v>2</v>
      </c>
      <c r="CI82" s="8">
        <v>2</v>
      </c>
      <c r="CJ82" s="8">
        <v>2</v>
      </c>
      <c r="CK82" s="8">
        <v>2</v>
      </c>
      <c r="CL82" s="8">
        <v>2</v>
      </c>
      <c r="CM82" s="8">
        <v>2</v>
      </c>
      <c r="CN82" s="8">
        <v>2</v>
      </c>
      <c r="CO82" s="8">
        <v>2</v>
      </c>
      <c r="CP82" s="8">
        <v>2</v>
      </c>
      <c r="CQ82" s="8">
        <v>2</v>
      </c>
      <c r="CR82" s="8">
        <v>2</v>
      </c>
      <c r="CS82" s="8">
        <v>2</v>
      </c>
      <c r="CT82" s="8">
        <v>2</v>
      </c>
      <c r="CU82" s="8">
        <v>2</v>
      </c>
      <c r="CV82" s="8">
        <v>2</v>
      </c>
      <c r="CW82" s="8">
        <v>2</v>
      </c>
      <c r="CX82" s="8">
        <v>2</v>
      </c>
      <c r="CY82" s="8">
        <v>2</v>
      </c>
      <c r="CZ82" s="8">
        <v>2</v>
      </c>
      <c r="DA82" s="8">
        <v>2</v>
      </c>
      <c r="DB82" s="8">
        <v>2</v>
      </c>
      <c r="DC82" s="8">
        <v>2</v>
      </c>
      <c r="DD82" s="8">
        <v>2</v>
      </c>
      <c r="DE82" s="8">
        <v>2</v>
      </c>
      <c r="DF82" s="8">
        <v>2</v>
      </c>
      <c r="DG82" s="8">
        <v>2</v>
      </c>
      <c r="DH82" s="8">
        <v>2</v>
      </c>
      <c r="DI82" s="8">
        <v>2</v>
      </c>
      <c r="DJ82" s="8">
        <v>2</v>
      </c>
      <c r="DK82" s="8">
        <v>2</v>
      </c>
      <c r="DL82" s="8">
        <v>2</v>
      </c>
      <c r="DM82" s="8">
        <v>2</v>
      </c>
      <c r="DN82" s="8">
        <v>2</v>
      </c>
      <c r="DO82" s="8">
        <v>2</v>
      </c>
      <c r="DP82" s="8">
        <v>2</v>
      </c>
      <c r="DQ82" s="8">
        <v>2</v>
      </c>
      <c r="DR82" s="8">
        <v>2</v>
      </c>
      <c r="DS82" s="8">
        <v>2</v>
      </c>
      <c r="DT82" s="8">
        <v>2</v>
      </c>
      <c r="DU82" s="8">
        <v>2</v>
      </c>
      <c r="DV82" s="8">
        <v>2</v>
      </c>
      <c r="DW82" s="8">
        <v>2</v>
      </c>
      <c r="DX82" s="8">
        <v>2</v>
      </c>
      <c r="DY82" s="8">
        <v>2</v>
      </c>
      <c r="DZ82" s="8">
        <v>2</v>
      </c>
      <c r="EA82" s="8">
        <v>2</v>
      </c>
      <c r="EB82" s="8">
        <v>2</v>
      </c>
      <c r="EC82" s="8">
        <v>2</v>
      </c>
      <c r="ED82" s="315">
        <v>1</v>
      </c>
      <c r="EE82" s="315">
        <v>1</v>
      </c>
      <c r="EF82" s="315">
        <v>1</v>
      </c>
      <c r="EG82" s="315">
        <v>1</v>
      </c>
      <c r="EH82" s="315">
        <v>1</v>
      </c>
      <c r="EI82" s="315">
        <v>1</v>
      </c>
      <c r="EJ82" s="315">
        <v>1</v>
      </c>
      <c r="EK82" s="315">
        <v>1</v>
      </c>
      <c r="EL82" s="315">
        <v>1</v>
      </c>
      <c r="EM82" s="315">
        <v>1</v>
      </c>
      <c r="EN82" s="315">
        <v>1</v>
      </c>
      <c r="EO82" s="315">
        <v>1</v>
      </c>
      <c r="EP82" s="315">
        <v>1</v>
      </c>
      <c r="EQ82" s="315">
        <v>1</v>
      </c>
      <c r="ER82" s="315">
        <v>1</v>
      </c>
      <c r="ES82" s="315">
        <v>1</v>
      </c>
      <c r="ET82" s="315">
        <v>1</v>
      </c>
      <c r="EU82" s="315">
        <v>1</v>
      </c>
      <c r="EV82" s="315">
        <v>1</v>
      </c>
      <c r="EW82" s="315">
        <v>1</v>
      </c>
      <c r="EX82" s="315">
        <v>1</v>
      </c>
      <c r="EY82" s="315">
        <v>1</v>
      </c>
      <c r="EZ82" s="315">
        <v>1</v>
      </c>
      <c r="FB82" s="50">
        <f>HLOOKUP(M16,$AU$3:$EZ$104,80,TRUE)</f>
        <v>2</v>
      </c>
      <c r="FD82" s="50">
        <f>HLOOKUP(AL42,$AU$3:$EZ$104,80,TRUE)</f>
        <v>2</v>
      </c>
    </row>
    <row r="83" spans="3:160" ht="17.100000000000001" customHeight="1" thickBot="1">
      <c r="C83" s="672"/>
      <c r="D83" s="164"/>
      <c r="E83" s="174"/>
      <c r="F83" s="175"/>
      <c r="G83" s="516"/>
      <c r="H83" s="175"/>
      <c r="I83" s="175"/>
      <c r="J83" s="175"/>
      <c r="K83" s="175"/>
      <c r="L83" s="175"/>
      <c r="M83" s="175"/>
      <c r="N83" s="175"/>
      <c r="O83" s="175"/>
      <c r="P83" s="175"/>
      <c r="Q83" s="175"/>
      <c r="R83" s="175"/>
      <c r="S83" s="175"/>
      <c r="T83" s="175"/>
      <c r="U83" s="175"/>
      <c r="V83" s="175"/>
      <c r="W83" s="175"/>
      <c r="X83" s="175"/>
      <c r="Y83" s="176"/>
      <c r="Z83" s="673"/>
      <c r="AA83" s="165"/>
      <c r="AS83" s="69"/>
      <c r="AT83" s="104">
        <v>23.442</v>
      </c>
      <c r="AU83" s="8">
        <v>2</v>
      </c>
      <c r="AV83" s="8">
        <v>2</v>
      </c>
      <c r="AW83" s="8">
        <v>2</v>
      </c>
      <c r="AX83" s="8">
        <v>2</v>
      </c>
      <c r="AY83" s="8">
        <v>2</v>
      </c>
      <c r="AZ83" s="8">
        <v>2</v>
      </c>
      <c r="BA83" s="316">
        <v>2</v>
      </c>
      <c r="BB83" s="8">
        <v>2</v>
      </c>
      <c r="BC83" s="8">
        <v>2</v>
      </c>
      <c r="BD83" s="8">
        <v>2</v>
      </c>
      <c r="BE83" s="8">
        <v>2</v>
      </c>
      <c r="BF83" s="8">
        <v>2</v>
      </c>
      <c r="BG83" s="8">
        <v>2</v>
      </c>
      <c r="BH83" s="8">
        <v>2</v>
      </c>
      <c r="BI83" s="8">
        <v>2</v>
      </c>
      <c r="BJ83" s="8">
        <v>2</v>
      </c>
      <c r="BK83" s="8">
        <v>2</v>
      </c>
      <c r="BL83" s="8">
        <v>2</v>
      </c>
      <c r="BM83" s="8">
        <v>2</v>
      </c>
      <c r="BN83" s="8">
        <v>2</v>
      </c>
      <c r="BO83" s="8">
        <v>2</v>
      </c>
      <c r="BP83" s="8">
        <v>2</v>
      </c>
      <c r="BQ83" s="8">
        <v>2</v>
      </c>
      <c r="BR83" s="8">
        <v>2</v>
      </c>
      <c r="BS83" s="8">
        <v>2</v>
      </c>
      <c r="BT83" s="8">
        <v>2</v>
      </c>
      <c r="BU83" s="8">
        <v>2</v>
      </c>
      <c r="BV83" s="8">
        <v>2</v>
      </c>
      <c r="BW83" s="8">
        <v>2</v>
      </c>
      <c r="BX83" s="8">
        <v>2</v>
      </c>
      <c r="BY83" s="8">
        <v>2</v>
      </c>
      <c r="BZ83" s="8">
        <v>2</v>
      </c>
      <c r="CA83" s="8">
        <v>2</v>
      </c>
      <c r="CB83" s="8">
        <v>2</v>
      </c>
      <c r="CC83" s="8">
        <v>2</v>
      </c>
      <c r="CD83" s="8">
        <v>2</v>
      </c>
      <c r="CE83" s="8">
        <v>2</v>
      </c>
      <c r="CF83" s="8">
        <v>2</v>
      </c>
      <c r="CG83" s="8">
        <v>2</v>
      </c>
      <c r="CH83" s="8">
        <v>2</v>
      </c>
      <c r="CI83" s="8">
        <v>2</v>
      </c>
      <c r="CJ83" s="8">
        <v>2</v>
      </c>
      <c r="CK83" s="8">
        <v>2</v>
      </c>
      <c r="CL83" s="8">
        <v>2</v>
      </c>
      <c r="CM83" s="8">
        <v>2</v>
      </c>
      <c r="CN83" s="8">
        <v>2</v>
      </c>
      <c r="CO83" s="8">
        <v>2</v>
      </c>
      <c r="CP83" s="8">
        <v>2</v>
      </c>
      <c r="CQ83" s="8">
        <v>2</v>
      </c>
      <c r="CR83" s="8">
        <v>2</v>
      </c>
      <c r="CS83" s="8">
        <v>2</v>
      </c>
      <c r="CT83" s="8">
        <v>2</v>
      </c>
      <c r="CU83" s="8">
        <v>2</v>
      </c>
      <c r="CV83" s="8">
        <v>2</v>
      </c>
      <c r="CW83" s="8">
        <v>2</v>
      </c>
      <c r="CX83" s="8">
        <v>2</v>
      </c>
      <c r="CY83" s="8">
        <v>2</v>
      </c>
      <c r="CZ83" s="8">
        <v>2</v>
      </c>
      <c r="DA83" s="8">
        <v>2</v>
      </c>
      <c r="DB83" s="8">
        <v>2</v>
      </c>
      <c r="DC83" s="8">
        <v>2</v>
      </c>
      <c r="DD83" s="8">
        <v>2</v>
      </c>
      <c r="DE83" s="8">
        <v>2</v>
      </c>
      <c r="DF83" s="8">
        <v>2</v>
      </c>
      <c r="DG83" s="8">
        <v>2</v>
      </c>
      <c r="DH83" s="8">
        <v>2</v>
      </c>
      <c r="DI83" s="8">
        <v>2</v>
      </c>
      <c r="DJ83" s="8">
        <v>2</v>
      </c>
      <c r="DK83" s="8">
        <v>2</v>
      </c>
      <c r="DL83" s="8">
        <v>2</v>
      </c>
      <c r="DM83" s="8">
        <v>2</v>
      </c>
      <c r="DN83" s="8">
        <v>2</v>
      </c>
      <c r="DO83" s="8">
        <v>2</v>
      </c>
      <c r="DP83" s="8">
        <v>2</v>
      </c>
      <c r="DQ83" s="8">
        <v>2</v>
      </c>
      <c r="DR83" s="8">
        <v>2</v>
      </c>
      <c r="DS83" s="8">
        <v>2</v>
      </c>
      <c r="DT83" s="8">
        <v>2</v>
      </c>
      <c r="DU83" s="8">
        <v>2</v>
      </c>
      <c r="DV83" s="8">
        <v>2</v>
      </c>
      <c r="DW83" s="8">
        <v>2</v>
      </c>
      <c r="DX83" s="8">
        <v>2</v>
      </c>
      <c r="DY83" s="8">
        <v>2</v>
      </c>
      <c r="DZ83" s="8">
        <v>2</v>
      </c>
      <c r="EA83" s="8">
        <v>2</v>
      </c>
      <c r="EB83" s="8">
        <v>2</v>
      </c>
      <c r="EC83" s="8">
        <v>2</v>
      </c>
      <c r="ED83" s="8">
        <v>2</v>
      </c>
      <c r="EE83" s="315">
        <v>1</v>
      </c>
      <c r="EF83" s="315">
        <v>1</v>
      </c>
      <c r="EG83" s="315">
        <v>1</v>
      </c>
      <c r="EH83" s="315">
        <v>1</v>
      </c>
      <c r="EI83" s="315">
        <v>1</v>
      </c>
      <c r="EJ83" s="315">
        <v>1</v>
      </c>
      <c r="EK83" s="315">
        <v>1</v>
      </c>
      <c r="EL83" s="315">
        <v>1</v>
      </c>
      <c r="EM83" s="315">
        <v>1</v>
      </c>
      <c r="EN83" s="315">
        <v>1</v>
      </c>
      <c r="EO83" s="315">
        <v>1</v>
      </c>
      <c r="EP83" s="315">
        <v>1</v>
      </c>
      <c r="EQ83" s="315">
        <v>1</v>
      </c>
      <c r="ER83" s="315">
        <v>1</v>
      </c>
      <c r="ES83" s="315">
        <v>1</v>
      </c>
      <c r="ET83" s="315">
        <v>1</v>
      </c>
      <c r="EU83" s="315">
        <v>1</v>
      </c>
      <c r="EV83" s="315">
        <v>1</v>
      </c>
      <c r="EW83" s="315">
        <v>1</v>
      </c>
      <c r="EX83" s="315">
        <v>1</v>
      </c>
      <c r="EY83" s="315">
        <v>1</v>
      </c>
      <c r="EZ83" s="315">
        <v>1</v>
      </c>
      <c r="FB83" s="50">
        <f>HLOOKUP(M16,$AU$3:$EZ$104,81,TRUE)</f>
        <v>2</v>
      </c>
      <c r="FD83" s="50">
        <f>HLOOKUP(AL42,$AU$3:$EZ$104,81,TRUE)</f>
        <v>2</v>
      </c>
    </row>
    <row r="84" spans="3:160" ht="17.100000000000001" customHeight="1">
      <c r="C84" s="163"/>
      <c r="D84" s="164"/>
      <c r="E84" s="665" t="str">
        <f>"b4 = "&amp;FIXED(+'Hipped roofs'!$AL$3/10,2)&amp;"m"</f>
        <v>b4 = 8.00m</v>
      </c>
      <c r="F84" s="665"/>
      <c r="G84" s="665"/>
      <c r="H84" s="666" t="str">
        <f>"b5 = "&amp;FIXED('Hipped roofs'!M13-2*'Hipped roofs'!$AL$3/10,2)&amp;"m"</f>
        <v>b5 = 64.00m</v>
      </c>
      <c r="I84" s="666"/>
      <c r="J84" s="666"/>
      <c r="K84" s="666"/>
      <c r="L84" s="666"/>
      <c r="M84" s="666"/>
      <c r="N84" s="666"/>
      <c r="O84" s="666"/>
      <c r="P84" s="666"/>
      <c r="Q84" s="666"/>
      <c r="R84" s="666"/>
      <c r="S84" s="666"/>
      <c r="T84" s="666"/>
      <c r="U84" s="666"/>
      <c r="V84" s="666"/>
      <c r="W84" s="667" t="str">
        <f>"b6 = "&amp;FIXED(+'Hipped roofs'!$AL$3/10,2)&amp;"m"</f>
        <v>b6 = 8.00m</v>
      </c>
      <c r="X84" s="667"/>
      <c r="Y84" s="667"/>
      <c r="Z84" s="164"/>
      <c r="AA84" s="165"/>
      <c r="AS84" s="69"/>
      <c r="AT84" s="104">
        <v>25.119</v>
      </c>
      <c r="AU84" s="8">
        <v>2</v>
      </c>
      <c r="AV84" s="8">
        <v>2</v>
      </c>
      <c r="AW84" s="8">
        <v>2</v>
      </c>
      <c r="AX84" s="8">
        <v>2</v>
      </c>
      <c r="AY84" s="8">
        <v>2</v>
      </c>
      <c r="AZ84" s="8">
        <v>2</v>
      </c>
      <c r="BA84" s="316">
        <v>2</v>
      </c>
      <c r="BB84" s="8">
        <v>2</v>
      </c>
      <c r="BC84" s="8">
        <v>2</v>
      </c>
      <c r="BD84" s="8">
        <v>2</v>
      </c>
      <c r="BE84" s="8">
        <v>2</v>
      </c>
      <c r="BF84" s="8">
        <v>2</v>
      </c>
      <c r="BG84" s="8">
        <v>2</v>
      </c>
      <c r="BH84" s="8">
        <v>2</v>
      </c>
      <c r="BI84" s="8">
        <v>2</v>
      </c>
      <c r="BJ84" s="8">
        <v>2</v>
      </c>
      <c r="BK84" s="8">
        <v>2</v>
      </c>
      <c r="BL84" s="8">
        <v>2</v>
      </c>
      <c r="BM84" s="8">
        <v>2</v>
      </c>
      <c r="BN84" s="8">
        <v>2</v>
      </c>
      <c r="BO84" s="8">
        <v>2</v>
      </c>
      <c r="BP84" s="8">
        <v>2</v>
      </c>
      <c r="BQ84" s="8">
        <v>2</v>
      </c>
      <c r="BR84" s="8">
        <v>2</v>
      </c>
      <c r="BS84" s="8">
        <v>2</v>
      </c>
      <c r="BT84" s="8">
        <v>2</v>
      </c>
      <c r="BU84" s="8">
        <v>2</v>
      </c>
      <c r="BV84" s="8">
        <v>2</v>
      </c>
      <c r="BW84" s="8">
        <v>2</v>
      </c>
      <c r="BX84" s="8">
        <v>2</v>
      </c>
      <c r="BY84" s="8">
        <v>2</v>
      </c>
      <c r="BZ84" s="8">
        <v>2</v>
      </c>
      <c r="CA84" s="8">
        <v>2</v>
      </c>
      <c r="CB84" s="8">
        <v>2</v>
      </c>
      <c r="CC84" s="8">
        <v>2</v>
      </c>
      <c r="CD84" s="8">
        <v>2</v>
      </c>
      <c r="CE84" s="8">
        <v>2</v>
      </c>
      <c r="CF84" s="8">
        <v>2</v>
      </c>
      <c r="CG84" s="8">
        <v>2</v>
      </c>
      <c r="CH84" s="8">
        <v>2</v>
      </c>
      <c r="CI84" s="8">
        <v>2</v>
      </c>
      <c r="CJ84" s="8">
        <v>2</v>
      </c>
      <c r="CK84" s="8">
        <v>2</v>
      </c>
      <c r="CL84" s="8">
        <v>2</v>
      </c>
      <c r="CM84" s="8">
        <v>2</v>
      </c>
      <c r="CN84" s="8">
        <v>2</v>
      </c>
      <c r="CO84" s="8">
        <v>2</v>
      </c>
      <c r="CP84" s="8">
        <v>2</v>
      </c>
      <c r="CQ84" s="8">
        <v>2</v>
      </c>
      <c r="CR84" s="8">
        <v>2</v>
      </c>
      <c r="CS84" s="8">
        <v>2</v>
      </c>
      <c r="CT84" s="8">
        <v>2</v>
      </c>
      <c r="CU84" s="8">
        <v>2</v>
      </c>
      <c r="CV84" s="8">
        <v>2</v>
      </c>
      <c r="CW84" s="8">
        <v>2</v>
      </c>
      <c r="CX84" s="8">
        <v>2</v>
      </c>
      <c r="CY84" s="8">
        <v>2</v>
      </c>
      <c r="CZ84" s="8">
        <v>2</v>
      </c>
      <c r="DA84" s="8">
        <v>2</v>
      </c>
      <c r="DB84" s="8">
        <v>2</v>
      </c>
      <c r="DC84" s="8">
        <v>2</v>
      </c>
      <c r="DD84" s="8">
        <v>2</v>
      </c>
      <c r="DE84" s="8">
        <v>2</v>
      </c>
      <c r="DF84" s="8">
        <v>2</v>
      </c>
      <c r="DG84" s="8">
        <v>2</v>
      </c>
      <c r="DH84" s="8">
        <v>2</v>
      </c>
      <c r="DI84" s="8">
        <v>2</v>
      </c>
      <c r="DJ84" s="8">
        <v>2</v>
      </c>
      <c r="DK84" s="8">
        <v>2</v>
      </c>
      <c r="DL84" s="8">
        <v>2</v>
      </c>
      <c r="DM84" s="8">
        <v>2</v>
      </c>
      <c r="DN84" s="8">
        <v>2</v>
      </c>
      <c r="DO84" s="8">
        <v>2</v>
      </c>
      <c r="DP84" s="8">
        <v>2</v>
      </c>
      <c r="DQ84" s="8">
        <v>2</v>
      </c>
      <c r="DR84" s="8">
        <v>2</v>
      </c>
      <c r="DS84" s="8">
        <v>2</v>
      </c>
      <c r="DT84" s="8">
        <v>2</v>
      </c>
      <c r="DU84" s="8">
        <v>2</v>
      </c>
      <c r="DV84" s="8">
        <v>2</v>
      </c>
      <c r="DW84" s="8">
        <v>2</v>
      </c>
      <c r="DX84" s="8">
        <v>2</v>
      </c>
      <c r="DY84" s="8">
        <v>2</v>
      </c>
      <c r="DZ84" s="8">
        <v>2</v>
      </c>
      <c r="EA84" s="8">
        <v>2</v>
      </c>
      <c r="EB84" s="8">
        <v>2</v>
      </c>
      <c r="EC84" s="8">
        <v>2</v>
      </c>
      <c r="ED84" s="8">
        <v>2</v>
      </c>
      <c r="EE84" s="8">
        <v>2</v>
      </c>
      <c r="EF84" s="315">
        <v>1</v>
      </c>
      <c r="EG84" s="315">
        <v>1</v>
      </c>
      <c r="EH84" s="315">
        <v>1</v>
      </c>
      <c r="EI84" s="315">
        <v>1</v>
      </c>
      <c r="EJ84" s="315">
        <v>1</v>
      </c>
      <c r="EK84" s="315">
        <v>1</v>
      </c>
      <c r="EL84" s="315">
        <v>1</v>
      </c>
      <c r="EM84" s="315">
        <v>1</v>
      </c>
      <c r="EN84" s="315">
        <v>1</v>
      </c>
      <c r="EO84" s="315">
        <v>1</v>
      </c>
      <c r="EP84" s="315">
        <v>1</v>
      </c>
      <c r="EQ84" s="315">
        <v>1</v>
      </c>
      <c r="ER84" s="315">
        <v>1</v>
      </c>
      <c r="ES84" s="315">
        <v>1</v>
      </c>
      <c r="ET84" s="315">
        <v>1</v>
      </c>
      <c r="EU84" s="315">
        <v>1</v>
      </c>
      <c r="EV84" s="315">
        <v>1</v>
      </c>
      <c r="EW84" s="315">
        <v>1</v>
      </c>
      <c r="EX84" s="315">
        <v>1</v>
      </c>
      <c r="EY84" s="315">
        <v>1</v>
      </c>
      <c r="EZ84" s="315">
        <v>1</v>
      </c>
      <c r="FB84" s="50">
        <f>HLOOKUP(M16,$AU$3:$EZ$104,82,TRUE)</f>
        <v>2</v>
      </c>
      <c r="FD84" s="50">
        <f>HLOOKUP(AL42,$AU$3:$EZ$104,82,TRUE)</f>
        <v>2</v>
      </c>
    </row>
    <row r="85" spans="3:160" ht="17.100000000000001" customHeight="1">
      <c r="C85" s="166"/>
      <c r="D85" s="167"/>
      <c r="E85" s="167"/>
      <c r="F85" s="167"/>
      <c r="G85" s="167"/>
      <c r="H85" s="167"/>
      <c r="I85" s="167"/>
      <c r="J85" s="167"/>
      <c r="K85" s="167"/>
      <c r="L85" s="167"/>
      <c r="M85" s="167"/>
      <c r="N85" s="167"/>
      <c r="O85" s="167"/>
      <c r="P85" s="167"/>
      <c r="Q85" s="167"/>
      <c r="R85" s="167"/>
      <c r="S85" s="167"/>
      <c r="T85" s="167"/>
      <c r="U85" s="167"/>
      <c r="V85" s="167"/>
      <c r="W85" s="167"/>
      <c r="X85" s="167"/>
      <c r="Y85" s="167"/>
      <c r="Z85" s="167"/>
      <c r="AA85" s="179" t="s">
        <v>500</v>
      </c>
      <c r="AS85" s="69"/>
      <c r="AT85" s="104">
        <v>26.914999999999999</v>
      </c>
      <c r="AU85" s="8">
        <v>2</v>
      </c>
      <c r="AV85" s="8">
        <v>2</v>
      </c>
      <c r="AW85" s="8">
        <v>2</v>
      </c>
      <c r="AX85" s="8">
        <v>2</v>
      </c>
      <c r="AY85" s="8">
        <v>2</v>
      </c>
      <c r="AZ85" s="8">
        <v>2</v>
      </c>
      <c r="BA85" s="316">
        <v>2</v>
      </c>
      <c r="BB85" s="8">
        <v>2</v>
      </c>
      <c r="BC85" s="8">
        <v>2</v>
      </c>
      <c r="BD85" s="8">
        <v>2</v>
      </c>
      <c r="BE85" s="8">
        <v>2</v>
      </c>
      <c r="BF85" s="8">
        <v>2</v>
      </c>
      <c r="BG85" s="8">
        <v>2</v>
      </c>
      <c r="BH85" s="8">
        <v>2</v>
      </c>
      <c r="BI85" s="8">
        <v>2</v>
      </c>
      <c r="BJ85" s="8">
        <v>2</v>
      </c>
      <c r="BK85" s="8">
        <v>2</v>
      </c>
      <c r="BL85" s="8">
        <v>2</v>
      </c>
      <c r="BM85" s="8">
        <v>2</v>
      </c>
      <c r="BN85" s="8">
        <v>2</v>
      </c>
      <c r="BO85" s="8">
        <v>2</v>
      </c>
      <c r="BP85" s="8">
        <v>2</v>
      </c>
      <c r="BQ85" s="8">
        <v>2</v>
      </c>
      <c r="BR85" s="8">
        <v>2</v>
      </c>
      <c r="BS85" s="8">
        <v>2</v>
      </c>
      <c r="BT85" s="8">
        <v>2</v>
      </c>
      <c r="BU85" s="8">
        <v>2</v>
      </c>
      <c r="BV85" s="8">
        <v>2</v>
      </c>
      <c r="BW85" s="8">
        <v>2</v>
      </c>
      <c r="BX85" s="8">
        <v>2</v>
      </c>
      <c r="BY85" s="8">
        <v>2</v>
      </c>
      <c r="BZ85" s="8">
        <v>2</v>
      </c>
      <c r="CA85" s="8">
        <v>2</v>
      </c>
      <c r="CB85" s="8">
        <v>2</v>
      </c>
      <c r="CC85" s="8">
        <v>2</v>
      </c>
      <c r="CD85" s="8">
        <v>2</v>
      </c>
      <c r="CE85" s="8">
        <v>2</v>
      </c>
      <c r="CF85" s="8">
        <v>2</v>
      </c>
      <c r="CG85" s="8">
        <v>2</v>
      </c>
      <c r="CH85" s="8">
        <v>2</v>
      </c>
      <c r="CI85" s="8">
        <v>2</v>
      </c>
      <c r="CJ85" s="8">
        <v>2</v>
      </c>
      <c r="CK85" s="8">
        <v>2</v>
      </c>
      <c r="CL85" s="8">
        <v>2</v>
      </c>
      <c r="CM85" s="8">
        <v>2</v>
      </c>
      <c r="CN85" s="8">
        <v>2</v>
      </c>
      <c r="CO85" s="8">
        <v>2</v>
      </c>
      <c r="CP85" s="8">
        <v>2</v>
      </c>
      <c r="CQ85" s="8">
        <v>2</v>
      </c>
      <c r="CR85" s="8">
        <v>2</v>
      </c>
      <c r="CS85" s="8">
        <v>2</v>
      </c>
      <c r="CT85" s="8">
        <v>2</v>
      </c>
      <c r="CU85" s="8">
        <v>2</v>
      </c>
      <c r="CV85" s="8">
        <v>2</v>
      </c>
      <c r="CW85" s="8">
        <v>2</v>
      </c>
      <c r="CX85" s="8">
        <v>2</v>
      </c>
      <c r="CY85" s="8">
        <v>2</v>
      </c>
      <c r="CZ85" s="8">
        <v>2</v>
      </c>
      <c r="DA85" s="8">
        <v>2</v>
      </c>
      <c r="DB85" s="8">
        <v>2</v>
      </c>
      <c r="DC85" s="8">
        <v>2</v>
      </c>
      <c r="DD85" s="8">
        <v>2</v>
      </c>
      <c r="DE85" s="8">
        <v>2</v>
      </c>
      <c r="DF85" s="8">
        <v>2</v>
      </c>
      <c r="DG85" s="8">
        <v>2</v>
      </c>
      <c r="DH85" s="8">
        <v>2</v>
      </c>
      <c r="DI85" s="8">
        <v>2</v>
      </c>
      <c r="DJ85" s="8">
        <v>2</v>
      </c>
      <c r="DK85" s="8">
        <v>2</v>
      </c>
      <c r="DL85" s="8">
        <v>2</v>
      </c>
      <c r="DM85" s="8">
        <v>2</v>
      </c>
      <c r="DN85" s="8">
        <v>2</v>
      </c>
      <c r="DO85" s="8">
        <v>2</v>
      </c>
      <c r="DP85" s="8">
        <v>2</v>
      </c>
      <c r="DQ85" s="8">
        <v>2</v>
      </c>
      <c r="DR85" s="8">
        <v>2</v>
      </c>
      <c r="DS85" s="8">
        <v>2</v>
      </c>
      <c r="DT85" s="8">
        <v>2</v>
      </c>
      <c r="DU85" s="8">
        <v>2</v>
      </c>
      <c r="DV85" s="8">
        <v>2</v>
      </c>
      <c r="DW85" s="8">
        <v>2</v>
      </c>
      <c r="DX85" s="8">
        <v>2</v>
      </c>
      <c r="DY85" s="8">
        <v>2</v>
      </c>
      <c r="DZ85" s="8">
        <v>2</v>
      </c>
      <c r="EA85" s="8">
        <v>2</v>
      </c>
      <c r="EB85" s="8">
        <v>2</v>
      </c>
      <c r="EC85" s="8">
        <v>2</v>
      </c>
      <c r="ED85" s="8">
        <v>2</v>
      </c>
      <c r="EE85" s="8">
        <v>2</v>
      </c>
      <c r="EF85" s="315">
        <v>1</v>
      </c>
      <c r="EG85" s="315">
        <v>1</v>
      </c>
      <c r="EH85" s="315">
        <v>1</v>
      </c>
      <c r="EI85" s="315">
        <v>1</v>
      </c>
      <c r="EJ85" s="315">
        <v>1</v>
      </c>
      <c r="EK85" s="315">
        <v>1</v>
      </c>
      <c r="EL85" s="315">
        <v>1</v>
      </c>
      <c r="EM85" s="315">
        <v>1</v>
      </c>
      <c r="EN85" s="315">
        <v>1</v>
      </c>
      <c r="EO85" s="315">
        <v>1</v>
      </c>
      <c r="EP85" s="315">
        <v>1</v>
      </c>
      <c r="EQ85" s="315">
        <v>1</v>
      </c>
      <c r="ER85" s="315">
        <v>1</v>
      </c>
      <c r="ES85" s="315">
        <v>1</v>
      </c>
      <c r="ET85" s="315">
        <v>1</v>
      </c>
      <c r="EU85" s="315">
        <v>1</v>
      </c>
      <c r="EV85" s="315">
        <v>1</v>
      </c>
      <c r="EW85" s="315">
        <v>1</v>
      </c>
      <c r="EX85" s="315">
        <v>1</v>
      </c>
      <c r="EY85" s="315">
        <v>1</v>
      </c>
      <c r="EZ85" s="315">
        <v>1</v>
      </c>
      <c r="FB85" s="50">
        <f>HLOOKUP(M16,$AU$3:$EZ$104,83,TRUE)</f>
        <v>2</v>
      </c>
      <c r="FD85" s="50">
        <f>HLOOKUP(AL42,$AU$3:$EZ$104,83,TRUE)</f>
        <v>2</v>
      </c>
    </row>
    <row r="86" spans="3:160" ht="17.100000000000001" customHeight="1">
      <c r="AS86" s="69"/>
      <c r="AT86" s="104">
        <v>28.84</v>
      </c>
      <c r="AU86" s="8">
        <v>2</v>
      </c>
      <c r="AV86" s="8">
        <v>2</v>
      </c>
      <c r="AW86" s="8">
        <v>2</v>
      </c>
      <c r="AX86" s="8">
        <v>2</v>
      </c>
      <c r="AY86" s="8">
        <v>2</v>
      </c>
      <c r="AZ86" s="8">
        <v>2</v>
      </c>
      <c r="BA86" s="316">
        <v>2</v>
      </c>
      <c r="BB86" s="8">
        <v>2</v>
      </c>
      <c r="BC86" s="8">
        <v>2</v>
      </c>
      <c r="BD86" s="8">
        <v>2</v>
      </c>
      <c r="BE86" s="8">
        <v>2</v>
      </c>
      <c r="BF86" s="8">
        <v>2</v>
      </c>
      <c r="BG86" s="8">
        <v>2</v>
      </c>
      <c r="BH86" s="8">
        <v>2</v>
      </c>
      <c r="BI86" s="8">
        <v>2</v>
      </c>
      <c r="BJ86" s="8">
        <v>2</v>
      </c>
      <c r="BK86" s="8">
        <v>2</v>
      </c>
      <c r="BL86" s="8">
        <v>2</v>
      </c>
      <c r="BM86" s="8">
        <v>2</v>
      </c>
      <c r="BN86" s="8">
        <v>2</v>
      </c>
      <c r="BO86" s="8">
        <v>2</v>
      </c>
      <c r="BP86" s="8">
        <v>2</v>
      </c>
      <c r="BQ86" s="8">
        <v>2</v>
      </c>
      <c r="BR86" s="8">
        <v>2</v>
      </c>
      <c r="BS86" s="8">
        <v>2</v>
      </c>
      <c r="BT86" s="8">
        <v>2</v>
      </c>
      <c r="BU86" s="8">
        <v>2</v>
      </c>
      <c r="BV86" s="8">
        <v>2</v>
      </c>
      <c r="BW86" s="8">
        <v>2</v>
      </c>
      <c r="BX86" s="8">
        <v>2</v>
      </c>
      <c r="BY86" s="8">
        <v>2</v>
      </c>
      <c r="BZ86" s="8">
        <v>2</v>
      </c>
      <c r="CA86" s="8">
        <v>2</v>
      </c>
      <c r="CB86" s="8">
        <v>2</v>
      </c>
      <c r="CC86" s="8">
        <v>2</v>
      </c>
      <c r="CD86" s="8">
        <v>2</v>
      </c>
      <c r="CE86" s="8">
        <v>2</v>
      </c>
      <c r="CF86" s="8">
        <v>2</v>
      </c>
      <c r="CG86" s="8">
        <v>2</v>
      </c>
      <c r="CH86" s="8">
        <v>2</v>
      </c>
      <c r="CI86" s="8">
        <v>2</v>
      </c>
      <c r="CJ86" s="8">
        <v>2</v>
      </c>
      <c r="CK86" s="8">
        <v>2</v>
      </c>
      <c r="CL86" s="8">
        <v>2</v>
      </c>
      <c r="CM86" s="8">
        <v>2</v>
      </c>
      <c r="CN86" s="8">
        <v>2</v>
      </c>
      <c r="CO86" s="8">
        <v>2</v>
      </c>
      <c r="CP86" s="8">
        <v>2</v>
      </c>
      <c r="CQ86" s="8">
        <v>2</v>
      </c>
      <c r="CR86" s="8">
        <v>2</v>
      </c>
      <c r="CS86" s="8">
        <v>2</v>
      </c>
      <c r="CT86" s="8">
        <v>2</v>
      </c>
      <c r="CU86" s="8">
        <v>2</v>
      </c>
      <c r="CV86" s="8">
        <v>2</v>
      </c>
      <c r="CW86" s="8">
        <v>2</v>
      </c>
      <c r="CX86" s="8">
        <v>2</v>
      </c>
      <c r="CY86" s="8">
        <v>2</v>
      </c>
      <c r="CZ86" s="8">
        <v>2</v>
      </c>
      <c r="DA86" s="8">
        <v>2</v>
      </c>
      <c r="DB86" s="8">
        <v>2</v>
      </c>
      <c r="DC86" s="8">
        <v>2</v>
      </c>
      <c r="DD86" s="8">
        <v>2</v>
      </c>
      <c r="DE86" s="8">
        <v>2</v>
      </c>
      <c r="DF86" s="8">
        <v>2</v>
      </c>
      <c r="DG86" s="8">
        <v>2</v>
      </c>
      <c r="DH86" s="8">
        <v>2</v>
      </c>
      <c r="DI86" s="8">
        <v>2</v>
      </c>
      <c r="DJ86" s="8">
        <v>2</v>
      </c>
      <c r="DK86" s="8">
        <v>2</v>
      </c>
      <c r="DL86" s="8">
        <v>2</v>
      </c>
      <c r="DM86" s="8">
        <v>2</v>
      </c>
      <c r="DN86" s="8">
        <v>2</v>
      </c>
      <c r="DO86" s="8">
        <v>2</v>
      </c>
      <c r="DP86" s="8">
        <v>2</v>
      </c>
      <c r="DQ86" s="8">
        <v>2</v>
      </c>
      <c r="DR86" s="8">
        <v>2</v>
      </c>
      <c r="DS86" s="8">
        <v>2</v>
      </c>
      <c r="DT86" s="8">
        <v>2</v>
      </c>
      <c r="DU86" s="8">
        <v>2</v>
      </c>
      <c r="DV86" s="8">
        <v>2</v>
      </c>
      <c r="DW86" s="8">
        <v>2</v>
      </c>
      <c r="DX86" s="8">
        <v>2</v>
      </c>
      <c r="DY86" s="8">
        <v>2</v>
      </c>
      <c r="DZ86" s="8">
        <v>2</v>
      </c>
      <c r="EA86" s="8">
        <v>2</v>
      </c>
      <c r="EB86" s="8">
        <v>2</v>
      </c>
      <c r="EC86" s="8">
        <v>2</v>
      </c>
      <c r="ED86" s="8">
        <v>2</v>
      </c>
      <c r="EE86" s="8">
        <v>2</v>
      </c>
      <c r="EF86" s="8">
        <v>2</v>
      </c>
      <c r="EG86" s="315">
        <v>1</v>
      </c>
      <c r="EH86" s="315">
        <v>1</v>
      </c>
      <c r="EI86" s="315">
        <v>1</v>
      </c>
      <c r="EJ86" s="315">
        <v>1</v>
      </c>
      <c r="EK86" s="315">
        <v>1</v>
      </c>
      <c r="EL86" s="315">
        <v>1</v>
      </c>
      <c r="EM86" s="315">
        <v>1</v>
      </c>
      <c r="EN86" s="315">
        <v>1</v>
      </c>
      <c r="EO86" s="315">
        <v>1</v>
      </c>
      <c r="EP86" s="315">
        <v>1</v>
      </c>
      <c r="EQ86" s="315">
        <v>1</v>
      </c>
      <c r="ER86" s="315">
        <v>1</v>
      </c>
      <c r="ES86" s="315">
        <v>1</v>
      </c>
      <c r="ET86" s="315">
        <v>1</v>
      </c>
      <c r="EU86" s="315">
        <v>1</v>
      </c>
      <c r="EV86" s="315">
        <v>1</v>
      </c>
      <c r="EW86" s="315">
        <v>1</v>
      </c>
      <c r="EX86" s="315">
        <v>1</v>
      </c>
      <c r="EY86" s="315">
        <v>1</v>
      </c>
      <c r="EZ86" s="315">
        <v>1</v>
      </c>
      <c r="FB86" s="50">
        <f>HLOOKUP(M16,$AU$3:$EZ$104,84,TRUE)</f>
        <v>2</v>
      </c>
      <c r="FD86" s="50">
        <f>HLOOKUP(AL42,$AU$3:$EZ$104,84,TRUE)</f>
        <v>2</v>
      </c>
    </row>
    <row r="87" spans="3:160" ht="17.100000000000001" customHeight="1">
      <c r="AS87" s="69"/>
      <c r="AT87" s="104">
        <v>30.902999999999999</v>
      </c>
      <c r="AU87" s="8">
        <v>2</v>
      </c>
      <c r="AV87" s="8">
        <v>2</v>
      </c>
      <c r="AW87" s="8">
        <v>2</v>
      </c>
      <c r="AX87" s="8">
        <v>2</v>
      </c>
      <c r="AY87" s="8">
        <v>2</v>
      </c>
      <c r="AZ87" s="8">
        <v>2</v>
      </c>
      <c r="BA87" s="316">
        <v>2</v>
      </c>
      <c r="BB87" s="8">
        <v>2</v>
      </c>
      <c r="BC87" s="8">
        <v>2</v>
      </c>
      <c r="BD87" s="8">
        <v>2</v>
      </c>
      <c r="BE87" s="8">
        <v>2</v>
      </c>
      <c r="BF87" s="8">
        <v>2</v>
      </c>
      <c r="BG87" s="8">
        <v>2</v>
      </c>
      <c r="BH87" s="8">
        <v>2</v>
      </c>
      <c r="BI87" s="8">
        <v>2</v>
      </c>
      <c r="BJ87" s="8">
        <v>2</v>
      </c>
      <c r="BK87" s="8">
        <v>2</v>
      </c>
      <c r="BL87" s="8">
        <v>2</v>
      </c>
      <c r="BM87" s="8">
        <v>2</v>
      </c>
      <c r="BN87" s="8">
        <v>2</v>
      </c>
      <c r="BO87" s="8">
        <v>2</v>
      </c>
      <c r="BP87" s="8">
        <v>2</v>
      </c>
      <c r="BQ87" s="8">
        <v>2</v>
      </c>
      <c r="BR87" s="8">
        <v>2</v>
      </c>
      <c r="BS87" s="8">
        <v>2</v>
      </c>
      <c r="BT87" s="8">
        <v>2</v>
      </c>
      <c r="BU87" s="8">
        <v>2</v>
      </c>
      <c r="BV87" s="8">
        <v>2</v>
      </c>
      <c r="BW87" s="8">
        <v>2</v>
      </c>
      <c r="BX87" s="8">
        <v>2</v>
      </c>
      <c r="BY87" s="8">
        <v>2</v>
      </c>
      <c r="BZ87" s="8">
        <v>2</v>
      </c>
      <c r="CA87" s="8">
        <v>2</v>
      </c>
      <c r="CB87" s="8">
        <v>2</v>
      </c>
      <c r="CC87" s="8">
        <v>2</v>
      </c>
      <c r="CD87" s="8">
        <v>2</v>
      </c>
      <c r="CE87" s="8">
        <v>2</v>
      </c>
      <c r="CF87" s="8">
        <v>2</v>
      </c>
      <c r="CG87" s="8">
        <v>2</v>
      </c>
      <c r="CH87" s="8">
        <v>2</v>
      </c>
      <c r="CI87" s="8">
        <v>2</v>
      </c>
      <c r="CJ87" s="8">
        <v>2</v>
      </c>
      <c r="CK87" s="8">
        <v>2</v>
      </c>
      <c r="CL87" s="8">
        <v>2</v>
      </c>
      <c r="CM87" s="8">
        <v>2</v>
      </c>
      <c r="CN87" s="8">
        <v>2</v>
      </c>
      <c r="CO87" s="8">
        <v>2</v>
      </c>
      <c r="CP87" s="8">
        <v>2</v>
      </c>
      <c r="CQ87" s="8">
        <v>2</v>
      </c>
      <c r="CR87" s="8">
        <v>2</v>
      </c>
      <c r="CS87" s="8">
        <v>2</v>
      </c>
      <c r="CT87" s="8">
        <v>2</v>
      </c>
      <c r="CU87" s="8">
        <v>2</v>
      </c>
      <c r="CV87" s="8">
        <v>2</v>
      </c>
      <c r="CW87" s="8">
        <v>2</v>
      </c>
      <c r="CX87" s="8">
        <v>2</v>
      </c>
      <c r="CY87" s="8">
        <v>2</v>
      </c>
      <c r="CZ87" s="8">
        <v>2</v>
      </c>
      <c r="DA87" s="8">
        <v>2</v>
      </c>
      <c r="DB87" s="8">
        <v>2</v>
      </c>
      <c r="DC87" s="8">
        <v>2</v>
      </c>
      <c r="DD87" s="8">
        <v>2</v>
      </c>
      <c r="DE87" s="8">
        <v>2</v>
      </c>
      <c r="DF87" s="8">
        <v>2</v>
      </c>
      <c r="DG87" s="8">
        <v>2</v>
      </c>
      <c r="DH87" s="8">
        <v>2</v>
      </c>
      <c r="DI87" s="8">
        <v>2</v>
      </c>
      <c r="DJ87" s="8">
        <v>2</v>
      </c>
      <c r="DK87" s="8">
        <v>2</v>
      </c>
      <c r="DL87" s="8">
        <v>2</v>
      </c>
      <c r="DM87" s="8">
        <v>2</v>
      </c>
      <c r="DN87" s="8">
        <v>2</v>
      </c>
      <c r="DO87" s="8">
        <v>2</v>
      </c>
      <c r="DP87" s="8">
        <v>2</v>
      </c>
      <c r="DQ87" s="8">
        <v>2</v>
      </c>
      <c r="DR87" s="8">
        <v>2</v>
      </c>
      <c r="DS87" s="8">
        <v>2</v>
      </c>
      <c r="DT87" s="8">
        <v>2</v>
      </c>
      <c r="DU87" s="8">
        <v>2</v>
      </c>
      <c r="DV87" s="8">
        <v>2</v>
      </c>
      <c r="DW87" s="8">
        <v>2</v>
      </c>
      <c r="DX87" s="8">
        <v>2</v>
      </c>
      <c r="DY87" s="8">
        <v>2</v>
      </c>
      <c r="DZ87" s="8">
        <v>2</v>
      </c>
      <c r="EA87" s="8">
        <v>2</v>
      </c>
      <c r="EB87" s="8">
        <v>2</v>
      </c>
      <c r="EC87" s="8">
        <v>2</v>
      </c>
      <c r="ED87" s="8">
        <v>2</v>
      </c>
      <c r="EE87" s="8">
        <v>2</v>
      </c>
      <c r="EF87" s="8">
        <v>2</v>
      </c>
      <c r="EG87" s="8">
        <v>2</v>
      </c>
      <c r="EH87" s="315">
        <v>1</v>
      </c>
      <c r="EI87" s="315">
        <v>1</v>
      </c>
      <c r="EJ87" s="315">
        <v>1</v>
      </c>
      <c r="EK87" s="315">
        <v>1</v>
      </c>
      <c r="EL87" s="315">
        <v>1</v>
      </c>
      <c r="EM87" s="315">
        <v>1</v>
      </c>
      <c r="EN87" s="315">
        <v>1</v>
      </c>
      <c r="EO87" s="315">
        <v>1</v>
      </c>
      <c r="EP87" s="315">
        <v>1</v>
      </c>
      <c r="EQ87" s="315">
        <v>1</v>
      </c>
      <c r="ER87" s="315">
        <v>1</v>
      </c>
      <c r="ES87" s="315">
        <v>1</v>
      </c>
      <c r="ET87" s="315">
        <v>1</v>
      </c>
      <c r="EU87" s="315">
        <v>1</v>
      </c>
      <c r="EV87" s="315">
        <v>1</v>
      </c>
      <c r="EW87" s="315">
        <v>1</v>
      </c>
      <c r="EX87" s="315">
        <v>1</v>
      </c>
      <c r="EY87" s="315">
        <v>1</v>
      </c>
      <c r="EZ87" s="315">
        <v>1</v>
      </c>
      <c r="FB87" s="50">
        <f>HLOOKUP(M16,$AU$3:$EZ$104,85,TRUE)</f>
        <v>2</v>
      </c>
      <c r="FD87" s="50">
        <f>HLOOKUP(AL42,$AU$3:$EZ$104,85,TRUE)</f>
        <v>2</v>
      </c>
    </row>
    <row r="88" spans="3:160" ht="17.100000000000001" customHeight="1">
      <c r="AS88" s="69"/>
      <c r="AT88" s="104">
        <v>33.113</v>
      </c>
      <c r="AU88" s="8">
        <v>2</v>
      </c>
      <c r="AV88" s="8">
        <v>2</v>
      </c>
      <c r="AW88" s="8">
        <v>2</v>
      </c>
      <c r="AX88" s="8">
        <v>2</v>
      </c>
      <c r="AY88" s="8">
        <v>2</v>
      </c>
      <c r="AZ88" s="8">
        <v>2</v>
      </c>
      <c r="BA88" s="316">
        <v>2</v>
      </c>
      <c r="BB88" s="8">
        <v>2</v>
      </c>
      <c r="BC88" s="8">
        <v>2</v>
      </c>
      <c r="BD88" s="8">
        <v>2</v>
      </c>
      <c r="BE88" s="8">
        <v>2</v>
      </c>
      <c r="BF88" s="8">
        <v>2</v>
      </c>
      <c r="BG88" s="8">
        <v>2</v>
      </c>
      <c r="BH88" s="8">
        <v>2</v>
      </c>
      <c r="BI88" s="8">
        <v>2</v>
      </c>
      <c r="BJ88" s="8">
        <v>2</v>
      </c>
      <c r="BK88" s="8">
        <v>2</v>
      </c>
      <c r="BL88" s="8">
        <v>2</v>
      </c>
      <c r="BM88" s="8">
        <v>2</v>
      </c>
      <c r="BN88" s="8">
        <v>2</v>
      </c>
      <c r="BO88" s="8">
        <v>2</v>
      </c>
      <c r="BP88" s="8">
        <v>2</v>
      </c>
      <c r="BQ88" s="8">
        <v>2</v>
      </c>
      <c r="BR88" s="8">
        <v>2</v>
      </c>
      <c r="BS88" s="8">
        <v>2</v>
      </c>
      <c r="BT88" s="8">
        <v>2</v>
      </c>
      <c r="BU88" s="8">
        <v>2</v>
      </c>
      <c r="BV88" s="8">
        <v>2</v>
      </c>
      <c r="BW88" s="8">
        <v>2</v>
      </c>
      <c r="BX88" s="8">
        <v>2</v>
      </c>
      <c r="BY88" s="8">
        <v>2</v>
      </c>
      <c r="BZ88" s="8">
        <v>2</v>
      </c>
      <c r="CA88" s="8">
        <v>2</v>
      </c>
      <c r="CB88" s="8">
        <v>2</v>
      </c>
      <c r="CC88" s="8">
        <v>2</v>
      </c>
      <c r="CD88" s="8">
        <v>2</v>
      </c>
      <c r="CE88" s="8">
        <v>2</v>
      </c>
      <c r="CF88" s="8">
        <v>2</v>
      </c>
      <c r="CG88" s="8">
        <v>2</v>
      </c>
      <c r="CH88" s="8">
        <v>2</v>
      </c>
      <c r="CI88" s="8">
        <v>2</v>
      </c>
      <c r="CJ88" s="8">
        <v>2</v>
      </c>
      <c r="CK88" s="8">
        <v>2</v>
      </c>
      <c r="CL88" s="8">
        <v>2</v>
      </c>
      <c r="CM88" s="8">
        <v>2</v>
      </c>
      <c r="CN88" s="8">
        <v>2</v>
      </c>
      <c r="CO88" s="8">
        <v>2</v>
      </c>
      <c r="CP88" s="8">
        <v>2</v>
      </c>
      <c r="CQ88" s="8">
        <v>2</v>
      </c>
      <c r="CR88" s="8">
        <v>2</v>
      </c>
      <c r="CS88" s="8">
        <v>2</v>
      </c>
      <c r="CT88" s="8">
        <v>2</v>
      </c>
      <c r="CU88" s="8">
        <v>2</v>
      </c>
      <c r="CV88" s="8">
        <v>2</v>
      </c>
      <c r="CW88" s="8">
        <v>2</v>
      </c>
      <c r="CX88" s="8">
        <v>2</v>
      </c>
      <c r="CY88" s="8">
        <v>2</v>
      </c>
      <c r="CZ88" s="8">
        <v>2</v>
      </c>
      <c r="DA88" s="8">
        <v>2</v>
      </c>
      <c r="DB88" s="8">
        <v>2</v>
      </c>
      <c r="DC88" s="8">
        <v>2</v>
      </c>
      <c r="DD88" s="8">
        <v>2</v>
      </c>
      <c r="DE88" s="8">
        <v>2</v>
      </c>
      <c r="DF88" s="8">
        <v>2</v>
      </c>
      <c r="DG88" s="8">
        <v>2</v>
      </c>
      <c r="DH88" s="8">
        <v>2</v>
      </c>
      <c r="DI88" s="8">
        <v>2</v>
      </c>
      <c r="DJ88" s="8">
        <v>2</v>
      </c>
      <c r="DK88" s="8">
        <v>2</v>
      </c>
      <c r="DL88" s="8">
        <v>2</v>
      </c>
      <c r="DM88" s="8">
        <v>2</v>
      </c>
      <c r="DN88" s="8">
        <v>2</v>
      </c>
      <c r="DO88" s="8">
        <v>2</v>
      </c>
      <c r="DP88" s="8">
        <v>2</v>
      </c>
      <c r="DQ88" s="8">
        <v>2</v>
      </c>
      <c r="DR88" s="8">
        <v>2</v>
      </c>
      <c r="DS88" s="8">
        <v>2</v>
      </c>
      <c r="DT88" s="8">
        <v>2</v>
      </c>
      <c r="DU88" s="8">
        <v>2</v>
      </c>
      <c r="DV88" s="8">
        <v>2</v>
      </c>
      <c r="DW88" s="8">
        <v>2</v>
      </c>
      <c r="DX88" s="8">
        <v>2</v>
      </c>
      <c r="DY88" s="8">
        <v>2</v>
      </c>
      <c r="DZ88" s="8">
        <v>2</v>
      </c>
      <c r="EA88" s="8">
        <v>2</v>
      </c>
      <c r="EB88" s="8">
        <v>2</v>
      </c>
      <c r="EC88" s="8">
        <v>2</v>
      </c>
      <c r="ED88" s="8">
        <v>2</v>
      </c>
      <c r="EE88" s="8">
        <v>2</v>
      </c>
      <c r="EF88" s="8">
        <v>2</v>
      </c>
      <c r="EG88" s="8">
        <v>2</v>
      </c>
      <c r="EH88" s="8">
        <v>2</v>
      </c>
      <c r="EI88" s="315">
        <v>1</v>
      </c>
      <c r="EJ88" s="315">
        <v>1</v>
      </c>
      <c r="EK88" s="315">
        <v>1</v>
      </c>
      <c r="EL88" s="315">
        <v>1</v>
      </c>
      <c r="EM88" s="315">
        <v>1</v>
      </c>
      <c r="EN88" s="315">
        <v>1</v>
      </c>
      <c r="EO88" s="315">
        <v>1</v>
      </c>
      <c r="EP88" s="315">
        <v>1</v>
      </c>
      <c r="EQ88" s="315">
        <v>1</v>
      </c>
      <c r="ER88" s="315">
        <v>1</v>
      </c>
      <c r="ES88" s="315">
        <v>1</v>
      </c>
      <c r="ET88" s="315">
        <v>1</v>
      </c>
      <c r="EU88" s="315">
        <v>1</v>
      </c>
      <c r="EV88" s="315">
        <v>1</v>
      </c>
      <c r="EW88" s="315">
        <v>1</v>
      </c>
      <c r="EX88" s="315">
        <v>1</v>
      </c>
      <c r="EY88" s="315">
        <v>1</v>
      </c>
      <c r="EZ88" s="315">
        <v>1</v>
      </c>
      <c r="FB88" s="50">
        <f>HLOOKUP(M16,$AU$3:$EZ$104,86,TRUE)</f>
        <v>2</v>
      </c>
      <c r="FD88" s="50">
        <f>HLOOKUP(AL42,$AU$3:$EZ$104,86,TRUE)</f>
        <v>2</v>
      </c>
    </row>
    <row r="89" spans="3:160" ht="17.100000000000001" customHeight="1">
      <c r="AS89" s="69"/>
      <c r="AT89" s="104">
        <v>35.481000000000002</v>
      </c>
      <c r="AU89" s="8">
        <v>2</v>
      </c>
      <c r="AV89" s="8">
        <v>2</v>
      </c>
      <c r="AW89" s="8">
        <v>2</v>
      </c>
      <c r="AX89" s="8">
        <v>2</v>
      </c>
      <c r="AY89" s="8">
        <v>2</v>
      </c>
      <c r="AZ89" s="8">
        <v>2</v>
      </c>
      <c r="BA89" s="316">
        <v>2</v>
      </c>
      <c r="BB89" s="8">
        <v>2</v>
      </c>
      <c r="BC89" s="8">
        <v>2</v>
      </c>
      <c r="BD89" s="8">
        <v>2</v>
      </c>
      <c r="BE89" s="8">
        <v>2</v>
      </c>
      <c r="BF89" s="8">
        <v>2</v>
      </c>
      <c r="BG89" s="8">
        <v>2</v>
      </c>
      <c r="BH89" s="8">
        <v>2</v>
      </c>
      <c r="BI89" s="8">
        <v>2</v>
      </c>
      <c r="BJ89" s="8">
        <v>2</v>
      </c>
      <c r="BK89" s="8">
        <v>2</v>
      </c>
      <c r="BL89" s="8">
        <v>2</v>
      </c>
      <c r="BM89" s="8">
        <v>2</v>
      </c>
      <c r="BN89" s="8">
        <v>2</v>
      </c>
      <c r="BO89" s="8">
        <v>2</v>
      </c>
      <c r="BP89" s="8">
        <v>2</v>
      </c>
      <c r="BQ89" s="8">
        <v>2</v>
      </c>
      <c r="BR89" s="8">
        <v>2</v>
      </c>
      <c r="BS89" s="8">
        <v>2</v>
      </c>
      <c r="BT89" s="8">
        <v>2</v>
      </c>
      <c r="BU89" s="8">
        <v>2</v>
      </c>
      <c r="BV89" s="8">
        <v>2</v>
      </c>
      <c r="BW89" s="8">
        <v>2</v>
      </c>
      <c r="BX89" s="8">
        <v>2</v>
      </c>
      <c r="BY89" s="8">
        <v>2</v>
      </c>
      <c r="BZ89" s="8">
        <v>2</v>
      </c>
      <c r="CA89" s="8">
        <v>2</v>
      </c>
      <c r="CB89" s="8">
        <v>2</v>
      </c>
      <c r="CC89" s="8">
        <v>2</v>
      </c>
      <c r="CD89" s="8">
        <v>2</v>
      </c>
      <c r="CE89" s="8">
        <v>2</v>
      </c>
      <c r="CF89" s="8">
        <v>2</v>
      </c>
      <c r="CG89" s="8">
        <v>2</v>
      </c>
      <c r="CH89" s="8">
        <v>2</v>
      </c>
      <c r="CI89" s="8">
        <v>2</v>
      </c>
      <c r="CJ89" s="8">
        <v>2</v>
      </c>
      <c r="CK89" s="8">
        <v>2</v>
      </c>
      <c r="CL89" s="8">
        <v>2</v>
      </c>
      <c r="CM89" s="8">
        <v>2</v>
      </c>
      <c r="CN89" s="8">
        <v>2</v>
      </c>
      <c r="CO89" s="8">
        <v>2</v>
      </c>
      <c r="CP89" s="8">
        <v>2</v>
      </c>
      <c r="CQ89" s="8">
        <v>2</v>
      </c>
      <c r="CR89" s="8">
        <v>2</v>
      </c>
      <c r="CS89" s="8">
        <v>2</v>
      </c>
      <c r="CT89" s="8">
        <v>2</v>
      </c>
      <c r="CU89" s="8">
        <v>2</v>
      </c>
      <c r="CV89" s="8">
        <v>2</v>
      </c>
      <c r="CW89" s="8">
        <v>2</v>
      </c>
      <c r="CX89" s="8">
        <v>2</v>
      </c>
      <c r="CY89" s="8">
        <v>2</v>
      </c>
      <c r="CZ89" s="8">
        <v>2</v>
      </c>
      <c r="DA89" s="8">
        <v>2</v>
      </c>
      <c r="DB89" s="8">
        <v>2</v>
      </c>
      <c r="DC89" s="8">
        <v>2</v>
      </c>
      <c r="DD89" s="8">
        <v>2</v>
      </c>
      <c r="DE89" s="8">
        <v>2</v>
      </c>
      <c r="DF89" s="8">
        <v>2</v>
      </c>
      <c r="DG89" s="8">
        <v>2</v>
      </c>
      <c r="DH89" s="8">
        <v>2</v>
      </c>
      <c r="DI89" s="8">
        <v>2</v>
      </c>
      <c r="DJ89" s="8">
        <v>2</v>
      </c>
      <c r="DK89" s="8">
        <v>2</v>
      </c>
      <c r="DL89" s="8">
        <v>2</v>
      </c>
      <c r="DM89" s="8">
        <v>2</v>
      </c>
      <c r="DN89" s="8">
        <v>2</v>
      </c>
      <c r="DO89" s="8">
        <v>2</v>
      </c>
      <c r="DP89" s="8">
        <v>2</v>
      </c>
      <c r="DQ89" s="8">
        <v>2</v>
      </c>
      <c r="DR89" s="8">
        <v>2</v>
      </c>
      <c r="DS89" s="8">
        <v>2</v>
      </c>
      <c r="DT89" s="8">
        <v>2</v>
      </c>
      <c r="DU89" s="8">
        <v>2</v>
      </c>
      <c r="DV89" s="8">
        <v>2</v>
      </c>
      <c r="DW89" s="8">
        <v>2</v>
      </c>
      <c r="DX89" s="8">
        <v>2</v>
      </c>
      <c r="DY89" s="8">
        <v>2</v>
      </c>
      <c r="DZ89" s="8">
        <v>2</v>
      </c>
      <c r="EA89" s="8">
        <v>2</v>
      </c>
      <c r="EB89" s="8">
        <v>2</v>
      </c>
      <c r="EC89" s="8">
        <v>2</v>
      </c>
      <c r="ED89" s="8">
        <v>2</v>
      </c>
      <c r="EE89" s="8">
        <v>2</v>
      </c>
      <c r="EF89" s="8">
        <v>2</v>
      </c>
      <c r="EG89" s="8">
        <v>2</v>
      </c>
      <c r="EH89" s="8">
        <v>2</v>
      </c>
      <c r="EI89" s="8">
        <v>2</v>
      </c>
      <c r="EJ89" s="315">
        <v>1</v>
      </c>
      <c r="EK89" s="315">
        <v>1</v>
      </c>
      <c r="EL89" s="315">
        <v>1</v>
      </c>
      <c r="EM89" s="315">
        <v>1</v>
      </c>
      <c r="EN89" s="315">
        <v>1</v>
      </c>
      <c r="EO89" s="315">
        <v>1</v>
      </c>
      <c r="EP89" s="315">
        <v>1</v>
      </c>
      <c r="EQ89" s="315">
        <v>1</v>
      </c>
      <c r="ER89" s="315">
        <v>1</v>
      </c>
      <c r="ES89" s="315">
        <v>1</v>
      </c>
      <c r="ET89" s="315">
        <v>1</v>
      </c>
      <c r="EU89" s="315">
        <v>1</v>
      </c>
      <c r="EV89" s="315">
        <v>1</v>
      </c>
      <c r="EW89" s="315">
        <v>1</v>
      </c>
      <c r="EX89" s="315">
        <v>1</v>
      </c>
      <c r="EY89" s="315">
        <v>1</v>
      </c>
      <c r="EZ89" s="315">
        <v>1</v>
      </c>
      <c r="FB89" s="50">
        <f>HLOOKUP(M16,$AU$3:$EZ$104,87,TRUE)</f>
        <v>2</v>
      </c>
      <c r="FD89" s="50">
        <f>HLOOKUP(AL42,$AU$3:$EZ$104,87,TRUE)</f>
        <v>2</v>
      </c>
    </row>
    <row r="90" spans="3:160" ht="17.100000000000001" customHeight="1">
      <c r="AS90" s="69"/>
      <c r="AT90" s="104">
        <v>38.018999999999998</v>
      </c>
      <c r="AU90" s="8">
        <v>2</v>
      </c>
      <c r="AV90" s="8">
        <v>2</v>
      </c>
      <c r="AW90" s="8">
        <v>2</v>
      </c>
      <c r="AX90" s="8">
        <v>2</v>
      </c>
      <c r="AY90" s="8">
        <v>2</v>
      </c>
      <c r="AZ90" s="8">
        <v>2</v>
      </c>
      <c r="BA90" s="316">
        <v>2</v>
      </c>
      <c r="BB90" s="8">
        <v>2</v>
      </c>
      <c r="BC90" s="8">
        <v>2</v>
      </c>
      <c r="BD90" s="8">
        <v>2</v>
      </c>
      <c r="BE90" s="8">
        <v>2</v>
      </c>
      <c r="BF90" s="8">
        <v>2</v>
      </c>
      <c r="BG90" s="8">
        <v>2</v>
      </c>
      <c r="BH90" s="8">
        <v>2</v>
      </c>
      <c r="BI90" s="8">
        <v>2</v>
      </c>
      <c r="BJ90" s="8">
        <v>2</v>
      </c>
      <c r="BK90" s="8">
        <v>2</v>
      </c>
      <c r="BL90" s="8">
        <v>2</v>
      </c>
      <c r="BM90" s="8">
        <v>2</v>
      </c>
      <c r="BN90" s="8">
        <v>2</v>
      </c>
      <c r="BO90" s="8">
        <v>2</v>
      </c>
      <c r="BP90" s="8">
        <v>2</v>
      </c>
      <c r="BQ90" s="8">
        <v>2</v>
      </c>
      <c r="BR90" s="8">
        <v>2</v>
      </c>
      <c r="BS90" s="8">
        <v>2</v>
      </c>
      <c r="BT90" s="8">
        <v>2</v>
      </c>
      <c r="BU90" s="8">
        <v>2</v>
      </c>
      <c r="BV90" s="8">
        <v>2</v>
      </c>
      <c r="BW90" s="8">
        <v>2</v>
      </c>
      <c r="BX90" s="8">
        <v>2</v>
      </c>
      <c r="BY90" s="8">
        <v>2</v>
      </c>
      <c r="BZ90" s="8">
        <v>2</v>
      </c>
      <c r="CA90" s="8">
        <v>2</v>
      </c>
      <c r="CB90" s="8">
        <v>2</v>
      </c>
      <c r="CC90" s="8">
        <v>2</v>
      </c>
      <c r="CD90" s="8">
        <v>2</v>
      </c>
      <c r="CE90" s="8">
        <v>2</v>
      </c>
      <c r="CF90" s="8">
        <v>2</v>
      </c>
      <c r="CG90" s="8">
        <v>2</v>
      </c>
      <c r="CH90" s="8">
        <v>2</v>
      </c>
      <c r="CI90" s="8">
        <v>2</v>
      </c>
      <c r="CJ90" s="8">
        <v>2</v>
      </c>
      <c r="CK90" s="8">
        <v>2</v>
      </c>
      <c r="CL90" s="8">
        <v>2</v>
      </c>
      <c r="CM90" s="8">
        <v>2</v>
      </c>
      <c r="CN90" s="8">
        <v>2</v>
      </c>
      <c r="CO90" s="8">
        <v>2</v>
      </c>
      <c r="CP90" s="8">
        <v>2</v>
      </c>
      <c r="CQ90" s="8">
        <v>2</v>
      </c>
      <c r="CR90" s="8">
        <v>2</v>
      </c>
      <c r="CS90" s="8">
        <v>2</v>
      </c>
      <c r="CT90" s="8">
        <v>2</v>
      </c>
      <c r="CU90" s="8">
        <v>2</v>
      </c>
      <c r="CV90" s="8">
        <v>2</v>
      </c>
      <c r="CW90" s="8">
        <v>2</v>
      </c>
      <c r="CX90" s="8">
        <v>2</v>
      </c>
      <c r="CY90" s="8">
        <v>2</v>
      </c>
      <c r="CZ90" s="8">
        <v>2</v>
      </c>
      <c r="DA90" s="8">
        <v>2</v>
      </c>
      <c r="DB90" s="8">
        <v>2</v>
      </c>
      <c r="DC90" s="8">
        <v>2</v>
      </c>
      <c r="DD90" s="8">
        <v>2</v>
      </c>
      <c r="DE90" s="8">
        <v>2</v>
      </c>
      <c r="DF90" s="8">
        <v>2</v>
      </c>
      <c r="DG90" s="8">
        <v>2</v>
      </c>
      <c r="DH90" s="8">
        <v>2</v>
      </c>
      <c r="DI90" s="8">
        <v>2</v>
      </c>
      <c r="DJ90" s="8">
        <v>2</v>
      </c>
      <c r="DK90" s="8">
        <v>2</v>
      </c>
      <c r="DL90" s="8">
        <v>2</v>
      </c>
      <c r="DM90" s="8">
        <v>2</v>
      </c>
      <c r="DN90" s="8">
        <v>2</v>
      </c>
      <c r="DO90" s="8">
        <v>2</v>
      </c>
      <c r="DP90" s="8">
        <v>2</v>
      </c>
      <c r="DQ90" s="8">
        <v>2</v>
      </c>
      <c r="DR90" s="8">
        <v>2</v>
      </c>
      <c r="DS90" s="8">
        <v>2</v>
      </c>
      <c r="DT90" s="8">
        <v>2</v>
      </c>
      <c r="DU90" s="8">
        <v>2</v>
      </c>
      <c r="DV90" s="8">
        <v>2</v>
      </c>
      <c r="DW90" s="8">
        <v>2</v>
      </c>
      <c r="DX90" s="8">
        <v>2</v>
      </c>
      <c r="DY90" s="8">
        <v>2</v>
      </c>
      <c r="DZ90" s="8">
        <v>2</v>
      </c>
      <c r="EA90" s="8">
        <v>2</v>
      </c>
      <c r="EB90" s="8">
        <v>2</v>
      </c>
      <c r="EC90" s="8">
        <v>2</v>
      </c>
      <c r="ED90" s="8">
        <v>2</v>
      </c>
      <c r="EE90" s="8">
        <v>2</v>
      </c>
      <c r="EF90" s="8">
        <v>2</v>
      </c>
      <c r="EG90" s="8">
        <v>2</v>
      </c>
      <c r="EH90" s="8">
        <v>2</v>
      </c>
      <c r="EI90" s="8">
        <v>2</v>
      </c>
      <c r="EJ90" s="8">
        <v>2</v>
      </c>
      <c r="EK90" s="315">
        <v>1</v>
      </c>
      <c r="EL90" s="315">
        <v>1</v>
      </c>
      <c r="EM90" s="315">
        <v>1</v>
      </c>
      <c r="EN90" s="315">
        <v>1</v>
      </c>
      <c r="EO90" s="315">
        <v>1</v>
      </c>
      <c r="EP90" s="315">
        <v>1</v>
      </c>
      <c r="EQ90" s="315">
        <v>1</v>
      </c>
      <c r="ER90" s="315">
        <v>1</v>
      </c>
      <c r="ES90" s="315">
        <v>1</v>
      </c>
      <c r="ET90" s="315">
        <v>1</v>
      </c>
      <c r="EU90" s="315">
        <v>1</v>
      </c>
      <c r="EV90" s="315">
        <v>1</v>
      </c>
      <c r="EW90" s="315">
        <v>1</v>
      </c>
      <c r="EX90" s="315">
        <v>1</v>
      </c>
      <c r="EY90" s="315">
        <v>1</v>
      </c>
      <c r="EZ90" s="315">
        <v>1</v>
      </c>
      <c r="FB90" s="50">
        <f>HLOOKUP(M16,$AU$3:$EZ$104,88,TRUE)</f>
        <v>2</v>
      </c>
      <c r="FD90" s="50">
        <f>HLOOKUP(AL42,$AU$3:$EZ$104,88,TRUE)</f>
        <v>2</v>
      </c>
    </row>
    <row r="91" spans="3:160" ht="17.100000000000001" customHeight="1">
      <c r="AS91" s="69"/>
      <c r="AT91" s="104">
        <v>40.738</v>
      </c>
      <c r="AU91" s="8">
        <v>2</v>
      </c>
      <c r="AV91" s="8">
        <v>2</v>
      </c>
      <c r="AW91" s="8">
        <v>2</v>
      </c>
      <c r="AX91" s="8">
        <v>2</v>
      </c>
      <c r="AY91" s="8">
        <v>2</v>
      </c>
      <c r="AZ91" s="8">
        <v>2</v>
      </c>
      <c r="BA91" s="316">
        <v>2</v>
      </c>
      <c r="BB91" s="8">
        <v>2</v>
      </c>
      <c r="BC91" s="8">
        <v>2</v>
      </c>
      <c r="BD91" s="8">
        <v>2</v>
      </c>
      <c r="BE91" s="8">
        <v>2</v>
      </c>
      <c r="BF91" s="8">
        <v>2</v>
      </c>
      <c r="BG91" s="8">
        <v>2</v>
      </c>
      <c r="BH91" s="8">
        <v>2</v>
      </c>
      <c r="BI91" s="8">
        <v>2</v>
      </c>
      <c r="BJ91" s="8">
        <v>2</v>
      </c>
      <c r="BK91" s="8">
        <v>2</v>
      </c>
      <c r="BL91" s="8">
        <v>2</v>
      </c>
      <c r="BM91" s="8">
        <v>2</v>
      </c>
      <c r="BN91" s="8">
        <v>2</v>
      </c>
      <c r="BO91" s="8">
        <v>2</v>
      </c>
      <c r="BP91" s="8">
        <v>2</v>
      </c>
      <c r="BQ91" s="8">
        <v>2</v>
      </c>
      <c r="BR91" s="8">
        <v>2</v>
      </c>
      <c r="BS91" s="8">
        <v>2</v>
      </c>
      <c r="BT91" s="8">
        <v>2</v>
      </c>
      <c r="BU91" s="8">
        <v>2</v>
      </c>
      <c r="BV91" s="8">
        <v>2</v>
      </c>
      <c r="BW91" s="8">
        <v>2</v>
      </c>
      <c r="BX91" s="8">
        <v>2</v>
      </c>
      <c r="BY91" s="8">
        <v>2</v>
      </c>
      <c r="BZ91" s="8">
        <v>2</v>
      </c>
      <c r="CA91" s="8">
        <v>2</v>
      </c>
      <c r="CB91" s="8">
        <v>2</v>
      </c>
      <c r="CC91" s="8">
        <v>2</v>
      </c>
      <c r="CD91" s="8">
        <v>2</v>
      </c>
      <c r="CE91" s="8">
        <v>2</v>
      </c>
      <c r="CF91" s="8">
        <v>2</v>
      </c>
      <c r="CG91" s="8">
        <v>2</v>
      </c>
      <c r="CH91" s="8">
        <v>2</v>
      </c>
      <c r="CI91" s="8">
        <v>2</v>
      </c>
      <c r="CJ91" s="8">
        <v>2</v>
      </c>
      <c r="CK91" s="8">
        <v>2</v>
      </c>
      <c r="CL91" s="8">
        <v>2</v>
      </c>
      <c r="CM91" s="8">
        <v>2</v>
      </c>
      <c r="CN91" s="8">
        <v>2</v>
      </c>
      <c r="CO91" s="8">
        <v>2</v>
      </c>
      <c r="CP91" s="8">
        <v>2</v>
      </c>
      <c r="CQ91" s="8">
        <v>2</v>
      </c>
      <c r="CR91" s="8">
        <v>2</v>
      </c>
      <c r="CS91" s="8">
        <v>2</v>
      </c>
      <c r="CT91" s="8">
        <v>2</v>
      </c>
      <c r="CU91" s="8">
        <v>2</v>
      </c>
      <c r="CV91" s="8">
        <v>2</v>
      </c>
      <c r="CW91" s="8">
        <v>2</v>
      </c>
      <c r="CX91" s="8">
        <v>2</v>
      </c>
      <c r="CY91" s="8">
        <v>2</v>
      </c>
      <c r="CZ91" s="8">
        <v>2</v>
      </c>
      <c r="DA91" s="8">
        <v>2</v>
      </c>
      <c r="DB91" s="8">
        <v>2</v>
      </c>
      <c r="DC91" s="8">
        <v>2</v>
      </c>
      <c r="DD91" s="8">
        <v>2</v>
      </c>
      <c r="DE91" s="8">
        <v>2</v>
      </c>
      <c r="DF91" s="8">
        <v>2</v>
      </c>
      <c r="DG91" s="8">
        <v>2</v>
      </c>
      <c r="DH91" s="8">
        <v>2</v>
      </c>
      <c r="DI91" s="8">
        <v>2</v>
      </c>
      <c r="DJ91" s="8">
        <v>2</v>
      </c>
      <c r="DK91" s="8">
        <v>2</v>
      </c>
      <c r="DL91" s="8">
        <v>2</v>
      </c>
      <c r="DM91" s="8">
        <v>2</v>
      </c>
      <c r="DN91" s="8">
        <v>2</v>
      </c>
      <c r="DO91" s="8">
        <v>2</v>
      </c>
      <c r="DP91" s="8">
        <v>2</v>
      </c>
      <c r="DQ91" s="8">
        <v>2</v>
      </c>
      <c r="DR91" s="8">
        <v>2</v>
      </c>
      <c r="DS91" s="8">
        <v>2</v>
      </c>
      <c r="DT91" s="8">
        <v>2</v>
      </c>
      <c r="DU91" s="8">
        <v>2</v>
      </c>
      <c r="DV91" s="8">
        <v>2</v>
      </c>
      <c r="DW91" s="8">
        <v>2</v>
      </c>
      <c r="DX91" s="8">
        <v>2</v>
      </c>
      <c r="DY91" s="8">
        <v>2</v>
      </c>
      <c r="DZ91" s="8">
        <v>2</v>
      </c>
      <c r="EA91" s="8">
        <v>2</v>
      </c>
      <c r="EB91" s="8">
        <v>2</v>
      </c>
      <c r="EC91" s="8">
        <v>2</v>
      </c>
      <c r="ED91" s="8">
        <v>2</v>
      </c>
      <c r="EE91" s="8">
        <v>2</v>
      </c>
      <c r="EF91" s="8">
        <v>2</v>
      </c>
      <c r="EG91" s="8">
        <v>2</v>
      </c>
      <c r="EH91" s="8">
        <v>2</v>
      </c>
      <c r="EI91" s="8">
        <v>2</v>
      </c>
      <c r="EJ91" s="8">
        <v>2</v>
      </c>
      <c r="EK91" s="8">
        <v>2</v>
      </c>
      <c r="EL91" s="315">
        <v>1</v>
      </c>
      <c r="EM91" s="315">
        <v>1</v>
      </c>
      <c r="EN91" s="315">
        <v>1</v>
      </c>
      <c r="EO91" s="315">
        <v>1</v>
      </c>
      <c r="EP91" s="315">
        <v>1</v>
      </c>
      <c r="EQ91" s="315">
        <v>1</v>
      </c>
      <c r="ER91" s="315">
        <v>1</v>
      </c>
      <c r="ES91" s="315">
        <v>1</v>
      </c>
      <c r="ET91" s="315">
        <v>1</v>
      </c>
      <c r="EU91" s="315">
        <v>1</v>
      </c>
      <c r="EV91" s="315">
        <v>1</v>
      </c>
      <c r="EW91" s="315">
        <v>1</v>
      </c>
      <c r="EX91" s="315">
        <v>1</v>
      </c>
      <c r="EY91" s="315">
        <v>1</v>
      </c>
      <c r="EZ91" s="315">
        <v>1</v>
      </c>
      <c r="FB91" s="50">
        <f>HLOOKUP(M16,$AU$3:$EZ$104,89,TRUE)</f>
        <v>2</v>
      </c>
      <c r="FD91" s="50">
        <f>HLOOKUP(AL42,$AU$3:$EZ$104,89,TRUE)</f>
        <v>2</v>
      </c>
    </row>
    <row r="92" spans="3:160" ht="17.100000000000001" customHeight="1">
      <c r="AS92" s="69"/>
      <c r="AT92" s="104">
        <v>43.652000000000001</v>
      </c>
      <c r="AU92" s="8">
        <v>2</v>
      </c>
      <c r="AV92" s="8">
        <v>2</v>
      </c>
      <c r="AW92" s="8">
        <v>2</v>
      </c>
      <c r="AX92" s="8">
        <v>2</v>
      </c>
      <c r="AY92" s="8">
        <v>2</v>
      </c>
      <c r="AZ92" s="8">
        <v>2</v>
      </c>
      <c r="BA92" s="316">
        <v>2</v>
      </c>
      <c r="BB92" s="8">
        <v>2</v>
      </c>
      <c r="BC92" s="8">
        <v>2</v>
      </c>
      <c r="BD92" s="8">
        <v>2</v>
      </c>
      <c r="BE92" s="8">
        <v>2</v>
      </c>
      <c r="BF92" s="8">
        <v>2</v>
      </c>
      <c r="BG92" s="8">
        <v>2</v>
      </c>
      <c r="BH92" s="8">
        <v>2</v>
      </c>
      <c r="BI92" s="8">
        <v>2</v>
      </c>
      <c r="BJ92" s="8">
        <v>2</v>
      </c>
      <c r="BK92" s="8">
        <v>2</v>
      </c>
      <c r="BL92" s="8">
        <v>2</v>
      </c>
      <c r="BM92" s="8">
        <v>2</v>
      </c>
      <c r="BN92" s="8">
        <v>2</v>
      </c>
      <c r="BO92" s="8">
        <v>2</v>
      </c>
      <c r="BP92" s="8">
        <v>2</v>
      </c>
      <c r="BQ92" s="8">
        <v>2</v>
      </c>
      <c r="BR92" s="8">
        <v>2</v>
      </c>
      <c r="BS92" s="8">
        <v>2</v>
      </c>
      <c r="BT92" s="8">
        <v>2</v>
      </c>
      <c r="BU92" s="8">
        <v>2</v>
      </c>
      <c r="BV92" s="8">
        <v>2</v>
      </c>
      <c r="BW92" s="8">
        <v>2</v>
      </c>
      <c r="BX92" s="8">
        <v>2</v>
      </c>
      <c r="BY92" s="8">
        <v>2</v>
      </c>
      <c r="BZ92" s="8">
        <v>2</v>
      </c>
      <c r="CA92" s="8">
        <v>2</v>
      </c>
      <c r="CB92" s="8">
        <v>2</v>
      </c>
      <c r="CC92" s="8">
        <v>2</v>
      </c>
      <c r="CD92" s="8">
        <v>2</v>
      </c>
      <c r="CE92" s="8">
        <v>2</v>
      </c>
      <c r="CF92" s="8">
        <v>2</v>
      </c>
      <c r="CG92" s="8">
        <v>2</v>
      </c>
      <c r="CH92" s="8">
        <v>2</v>
      </c>
      <c r="CI92" s="8">
        <v>2</v>
      </c>
      <c r="CJ92" s="8">
        <v>2</v>
      </c>
      <c r="CK92" s="8">
        <v>2</v>
      </c>
      <c r="CL92" s="8">
        <v>2</v>
      </c>
      <c r="CM92" s="8">
        <v>2</v>
      </c>
      <c r="CN92" s="8">
        <v>2</v>
      </c>
      <c r="CO92" s="8">
        <v>2</v>
      </c>
      <c r="CP92" s="8">
        <v>2</v>
      </c>
      <c r="CQ92" s="8">
        <v>2</v>
      </c>
      <c r="CR92" s="8">
        <v>2</v>
      </c>
      <c r="CS92" s="8">
        <v>2</v>
      </c>
      <c r="CT92" s="8">
        <v>2</v>
      </c>
      <c r="CU92" s="8">
        <v>2</v>
      </c>
      <c r="CV92" s="8">
        <v>2</v>
      </c>
      <c r="CW92" s="8">
        <v>2</v>
      </c>
      <c r="CX92" s="8">
        <v>2</v>
      </c>
      <c r="CY92" s="8">
        <v>2</v>
      </c>
      <c r="CZ92" s="8">
        <v>2</v>
      </c>
      <c r="DA92" s="8">
        <v>2</v>
      </c>
      <c r="DB92" s="8">
        <v>2</v>
      </c>
      <c r="DC92" s="8">
        <v>2</v>
      </c>
      <c r="DD92" s="8">
        <v>2</v>
      </c>
      <c r="DE92" s="8">
        <v>2</v>
      </c>
      <c r="DF92" s="8">
        <v>2</v>
      </c>
      <c r="DG92" s="8">
        <v>2</v>
      </c>
      <c r="DH92" s="8">
        <v>2</v>
      </c>
      <c r="DI92" s="8">
        <v>2</v>
      </c>
      <c r="DJ92" s="8">
        <v>2</v>
      </c>
      <c r="DK92" s="8">
        <v>2</v>
      </c>
      <c r="DL92" s="8">
        <v>2</v>
      </c>
      <c r="DM92" s="8">
        <v>2</v>
      </c>
      <c r="DN92" s="8">
        <v>2</v>
      </c>
      <c r="DO92" s="8">
        <v>2</v>
      </c>
      <c r="DP92" s="8">
        <v>2</v>
      </c>
      <c r="DQ92" s="8">
        <v>2</v>
      </c>
      <c r="DR92" s="8">
        <v>2</v>
      </c>
      <c r="DS92" s="8">
        <v>2</v>
      </c>
      <c r="DT92" s="8">
        <v>2</v>
      </c>
      <c r="DU92" s="8">
        <v>2</v>
      </c>
      <c r="DV92" s="8">
        <v>2</v>
      </c>
      <c r="DW92" s="8">
        <v>2</v>
      </c>
      <c r="DX92" s="8">
        <v>2</v>
      </c>
      <c r="DY92" s="8">
        <v>2</v>
      </c>
      <c r="DZ92" s="8">
        <v>2</v>
      </c>
      <c r="EA92" s="8">
        <v>2</v>
      </c>
      <c r="EB92" s="8">
        <v>2</v>
      </c>
      <c r="EC92" s="8">
        <v>2</v>
      </c>
      <c r="ED92" s="8">
        <v>2</v>
      </c>
      <c r="EE92" s="8">
        <v>2</v>
      </c>
      <c r="EF92" s="8">
        <v>2</v>
      </c>
      <c r="EG92" s="8">
        <v>2</v>
      </c>
      <c r="EH92" s="8">
        <v>2</v>
      </c>
      <c r="EI92" s="8">
        <v>2</v>
      </c>
      <c r="EJ92" s="8">
        <v>2</v>
      </c>
      <c r="EK92" s="8">
        <v>2</v>
      </c>
      <c r="EL92" s="8">
        <v>2</v>
      </c>
      <c r="EM92" s="8">
        <v>2</v>
      </c>
      <c r="EN92" s="315">
        <v>1</v>
      </c>
      <c r="EO92" s="315">
        <v>1</v>
      </c>
      <c r="EP92" s="315">
        <v>1</v>
      </c>
      <c r="EQ92" s="315">
        <v>1</v>
      </c>
      <c r="ER92" s="315">
        <v>1</v>
      </c>
      <c r="ES92" s="315">
        <v>1</v>
      </c>
      <c r="ET92" s="315">
        <v>1</v>
      </c>
      <c r="EU92" s="315">
        <v>1</v>
      </c>
      <c r="EV92" s="315">
        <v>1</v>
      </c>
      <c r="EW92" s="315">
        <v>1</v>
      </c>
      <c r="EX92" s="315">
        <v>1</v>
      </c>
      <c r="EY92" s="315">
        <v>1</v>
      </c>
      <c r="EZ92" s="315">
        <v>1</v>
      </c>
      <c r="FB92" s="50">
        <f>HLOOKUP(M16,$AU$3:$EZ$104,90,TRUE)</f>
        <v>2</v>
      </c>
      <c r="FD92" s="50">
        <f>HLOOKUP(AL42,$AU$3:$EZ$104,90,TRUE)</f>
        <v>2</v>
      </c>
    </row>
    <row r="93" spans="3:160" ht="17.100000000000001" customHeight="1">
      <c r="AS93" s="69"/>
      <c r="AT93" s="104">
        <v>46.774000000000001</v>
      </c>
      <c r="AU93" s="8">
        <v>2</v>
      </c>
      <c r="AV93" s="8">
        <v>2</v>
      </c>
      <c r="AW93" s="8">
        <v>2</v>
      </c>
      <c r="AX93" s="8">
        <v>2</v>
      </c>
      <c r="AY93" s="8">
        <v>2</v>
      </c>
      <c r="AZ93" s="8">
        <v>2</v>
      </c>
      <c r="BA93" s="316">
        <v>2</v>
      </c>
      <c r="BB93" s="8">
        <v>2</v>
      </c>
      <c r="BC93" s="8">
        <v>2</v>
      </c>
      <c r="BD93" s="8">
        <v>2</v>
      </c>
      <c r="BE93" s="8">
        <v>2</v>
      </c>
      <c r="BF93" s="8">
        <v>2</v>
      </c>
      <c r="BG93" s="8">
        <v>2</v>
      </c>
      <c r="BH93" s="8">
        <v>2</v>
      </c>
      <c r="BI93" s="8">
        <v>2</v>
      </c>
      <c r="BJ93" s="8">
        <v>2</v>
      </c>
      <c r="BK93" s="8">
        <v>2</v>
      </c>
      <c r="BL93" s="8">
        <v>2</v>
      </c>
      <c r="BM93" s="8">
        <v>2</v>
      </c>
      <c r="BN93" s="8">
        <v>2</v>
      </c>
      <c r="BO93" s="8">
        <v>2</v>
      </c>
      <c r="BP93" s="8">
        <v>2</v>
      </c>
      <c r="BQ93" s="8">
        <v>2</v>
      </c>
      <c r="BR93" s="8">
        <v>2</v>
      </c>
      <c r="BS93" s="8">
        <v>2</v>
      </c>
      <c r="BT93" s="8">
        <v>2</v>
      </c>
      <c r="BU93" s="8">
        <v>2</v>
      </c>
      <c r="BV93" s="8">
        <v>2</v>
      </c>
      <c r="BW93" s="8">
        <v>2</v>
      </c>
      <c r="BX93" s="8">
        <v>2</v>
      </c>
      <c r="BY93" s="8">
        <v>2</v>
      </c>
      <c r="BZ93" s="8">
        <v>2</v>
      </c>
      <c r="CA93" s="8">
        <v>2</v>
      </c>
      <c r="CB93" s="8">
        <v>2</v>
      </c>
      <c r="CC93" s="8">
        <v>2</v>
      </c>
      <c r="CD93" s="8">
        <v>2</v>
      </c>
      <c r="CE93" s="8">
        <v>2</v>
      </c>
      <c r="CF93" s="8">
        <v>2</v>
      </c>
      <c r="CG93" s="8">
        <v>2</v>
      </c>
      <c r="CH93" s="8">
        <v>2</v>
      </c>
      <c r="CI93" s="8">
        <v>2</v>
      </c>
      <c r="CJ93" s="8">
        <v>2</v>
      </c>
      <c r="CK93" s="8">
        <v>2</v>
      </c>
      <c r="CL93" s="8">
        <v>2</v>
      </c>
      <c r="CM93" s="8">
        <v>2</v>
      </c>
      <c r="CN93" s="8">
        <v>2</v>
      </c>
      <c r="CO93" s="8">
        <v>2</v>
      </c>
      <c r="CP93" s="8">
        <v>2</v>
      </c>
      <c r="CQ93" s="8">
        <v>2</v>
      </c>
      <c r="CR93" s="8">
        <v>2</v>
      </c>
      <c r="CS93" s="8">
        <v>2</v>
      </c>
      <c r="CT93" s="8">
        <v>2</v>
      </c>
      <c r="CU93" s="8">
        <v>2</v>
      </c>
      <c r="CV93" s="8">
        <v>2</v>
      </c>
      <c r="CW93" s="8">
        <v>2</v>
      </c>
      <c r="CX93" s="8">
        <v>2</v>
      </c>
      <c r="CY93" s="8">
        <v>2</v>
      </c>
      <c r="CZ93" s="8">
        <v>2</v>
      </c>
      <c r="DA93" s="8">
        <v>2</v>
      </c>
      <c r="DB93" s="8">
        <v>2</v>
      </c>
      <c r="DC93" s="8">
        <v>2</v>
      </c>
      <c r="DD93" s="8">
        <v>2</v>
      </c>
      <c r="DE93" s="8">
        <v>2</v>
      </c>
      <c r="DF93" s="8">
        <v>2</v>
      </c>
      <c r="DG93" s="8">
        <v>2</v>
      </c>
      <c r="DH93" s="8">
        <v>2</v>
      </c>
      <c r="DI93" s="8">
        <v>2</v>
      </c>
      <c r="DJ93" s="8">
        <v>2</v>
      </c>
      <c r="DK93" s="8">
        <v>2</v>
      </c>
      <c r="DL93" s="8">
        <v>2</v>
      </c>
      <c r="DM93" s="8">
        <v>2</v>
      </c>
      <c r="DN93" s="8">
        <v>2</v>
      </c>
      <c r="DO93" s="8">
        <v>2</v>
      </c>
      <c r="DP93" s="8">
        <v>2</v>
      </c>
      <c r="DQ93" s="8">
        <v>2</v>
      </c>
      <c r="DR93" s="8">
        <v>2</v>
      </c>
      <c r="DS93" s="8">
        <v>2</v>
      </c>
      <c r="DT93" s="8">
        <v>2</v>
      </c>
      <c r="DU93" s="8">
        <v>2</v>
      </c>
      <c r="DV93" s="8">
        <v>2</v>
      </c>
      <c r="DW93" s="8">
        <v>2</v>
      </c>
      <c r="DX93" s="8">
        <v>2</v>
      </c>
      <c r="DY93" s="8">
        <v>2</v>
      </c>
      <c r="DZ93" s="8">
        <v>2</v>
      </c>
      <c r="EA93" s="8">
        <v>2</v>
      </c>
      <c r="EB93" s="8">
        <v>2</v>
      </c>
      <c r="EC93" s="8">
        <v>2</v>
      </c>
      <c r="ED93" s="8">
        <v>2</v>
      </c>
      <c r="EE93" s="8">
        <v>2</v>
      </c>
      <c r="EF93" s="8">
        <v>2</v>
      </c>
      <c r="EG93" s="8">
        <v>2</v>
      </c>
      <c r="EH93" s="8">
        <v>2</v>
      </c>
      <c r="EI93" s="8">
        <v>2</v>
      </c>
      <c r="EJ93" s="8">
        <v>2</v>
      </c>
      <c r="EK93" s="8">
        <v>2</v>
      </c>
      <c r="EL93" s="8">
        <v>2</v>
      </c>
      <c r="EM93" s="8">
        <v>2</v>
      </c>
      <c r="EN93" s="8">
        <v>2</v>
      </c>
      <c r="EO93" s="315">
        <v>1</v>
      </c>
      <c r="EP93" s="315">
        <v>1</v>
      </c>
      <c r="EQ93" s="315">
        <v>1</v>
      </c>
      <c r="ER93" s="315">
        <v>1</v>
      </c>
      <c r="ES93" s="315">
        <v>1</v>
      </c>
      <c r="ET93" s="315">
        <v>1</v>
      </c>
      <c r="EU93" s="315">
        <v>1</v>
      </c>
      <c r="EV93" s="315">
        <v>1</v>
      </c>
      <c r="EW93" s="315">
        <v>1</v>
      </c>
      <c r="EX93" s="315">
        <v>1</v>
      </c>
      <c r="EY93" s="315">
        <v>1</v>
      </c>
      <c r="EZ93" s="315">
        <v>1</v>
      </c>
      <c r="FB93" s="50">
        <f>HLOOKUP(M16,$AU$3:$EZ$104,91,TRUE)</f>
        <v>2</v>
      </c>
      <c r="FD93" s="50">
        <f>HLOOKUP(AL42,$AU$3:$EZ$104,91,TRUE)</f>
        <v>2</v>
      </c>
    </row>
    <row r="94" spans="3:160" ht="17.100000000000001" customHeight="1">
      <c r="AS94" s="69"/>
      <c r="AT94" s="104">
        <v>50.119</v>
      </c>
      <c r="AU94" s="8">
        <v>2</v>
      </c>
      <c r="AV94" s="8">
        <v>2</v>
      </c>
      <c r="AW94" s="8">
        <v>2</v>
      </c>
      <c r="AX94" s="8">
        <v>2</v>
      </c>
      <c r="AY94" s="8">
        <v>2</v>
      </c>
      <c r="AZ94" s="8">
        <v>2</v>
      </c>
      <c r="BA94" s="316">
        <v>2</v>
      </c>
      <c r="BB94" s="8">
        <v>2</v>
      </c>
      <c r="BC94" s="8">
        <v>2</v>
      </c>
      <c r="BD94" s="8">
        <v>2</v>
      </c>
      <c r="BE94" s="8">
        <v>2</v>
      </c>
      <c r="BF94" s="8">
        <v>2</v>
      </c>
      <c r="BG94" s="8">
        <v>2</v>
      </c>
      <c r="BH94" s="8">
        <v>2</v>
      </c>
      <c r="BI94" s="8">
        <v>2</v>
      </c>
      <c r="BJ94" s="8">
        <v>2</v>
      </c>
      <c r="BK94" s="8">
        <v>2</v>
      </c>
      <c r="BL94" s="8">
        <v>2</v>
      </c>
      <c r="BM94" s="8">
        <v>2</v>
      </c>
      <c r="BN94" s="8">
        <v>2</v>
      </c>
      <c r="BO94" s="8">
        <v>2</v>
      </c>
      <c r="BP94" s="8">
        <v>2</v>
      </c>
      <c r="BQ94" s="8">
        <v>2</v>
      </c>
      <c r="BR94" s="8">
        <v>2</v>
      </c>
      <c r="BS94" s="8">
        <v>2</v>
      </c>
      <c r="BT94" s="8">
        <v>2</v>
      </c>
      <c r="BU94" s="8">
        <v>2</v>
      </c>
      <c r="BV94" s="8">
        <v>2</v>
      </c>
      <c r="BW94" s="8">
        <v>2</v>
      </c>
      <c r="BX94" s="8">
        <v>2</v>
      </c>
      <c r="BY94" s="8">
        <v>2</v>
      </c>
      <c r="BZ94" s="8">
        <v>2</v>
      </c>
      <c r="CA94" s="8">
        <v>2</v>
      </c>
      <c r="CB94" s="8">
        <v>2</v>
      </c>
      <c r="CC94" s="8">
        <v>2</v>
      </c>
      <c r="CD94" s="8">
        <v>2</v>
      </c>
      <c r="CE94" s="8">
        <v>2</v>
      </c>
      <c r="CF94" s="8">
        <v>2</v>
      </c>
      <c r="CG94" s="8">
        <v>2</v>
      </c>
      <c r="CH94" s="8">
        <v>2</v>
      </c>
      <c r="CI94" s="8">
        <v>2</v>
      </c>
      <c r="CJ94" s="8">
        <v>2</v>
      </c>
      <c r="CK94" s="8">
        <v>2</v>
      </c>
      <c r="CL94" s="8">
        <v>2</v>
      </c>
      <c r="CM94" s="8">
        <v>2</v>
      </c>
      <c r="CN94" s="8">
        <v>2</v>
      </c>
      <c r="CO94" s="8">
        <v>2</v>
      </c>
      <c r="CP94" s="8">
        <v>2</v>
      </c>
      <c r="CQ94" s="8">
        <v>2</v>
      </c>
      <c r="CR94" s="8">
        <v>2</v>
      </c>
      <c r="CS94" s="8">
        <v>2</v>
      </c>
      <c r="CT94" s="8">
        <v>2</v>
      </c>
      <c r="CU94" s="8">
        <v>2</v>
      </c>
      <c r="CV94" s="8">
        <v>2</v>
      </c>
      <c r="CW94" s="8">
        <v>2</v>
      </c>
      <c r="CX94" s="8">
        <v>2</v>
      </c>
      <c r="CY94" s="8">
        <v>2</v>
      </c>
      <c r="CZ94" s="8">
        <v>2</v>
      </c>
      <c r="DA94" s="8">
        <v>2</v>
      </c>
      <c r="DB94" s="8">
        <v>2</v>
      </c>
      <c r="DC94" s="8">
        <v>2</v>
      </c>
      <c r="DD94" s="8">
        <v>2</v>
      </c>
      <c r="DE94" s="8">
        <v>2</v>
      </c>
      <c r="DF94" s="8">
        <v>2</v>
      </c>
      <c r="DG94" s="8">
        <v>2</v>
      </c>
      <c r="DH94" s="8">
        <v>2</v>
      </c>
      <c r="DI94" s="8">
        <v>2</v>
      </c>
      <c r="DJ94" s="8">
        <v>2</v>
      </c>
      <c r="DK94" s="8">
        <v>2</v>
      </c>
      <c r="DL94" s="8">
        <v>2</v>
      </c>
      <c r="DM94" s="8">
        <v>2</v>
      </c>
      <c r="DN94" s="8">
        <v>2</v>
      </c>
      <c r="DO94" s="8">
        <v>2</v>
      </c>
      <c r="DP94" s="8">
        <v>2</v>
      </c>
      <c r="DQ94" s="8">
        <v>2</v>
      </c>
      <c r="DR94" s="8">
        <v>2</v>
      </c>
      <c r="DS94" s="8">
        <v>2</v>
      </c>
      <c r="DT94" s="8">
        <v>2</v>
      </c>
      <c r="DU94" s="8">
        <v>2</v>
      </c>
      <c r="DV94" s="8">
        <v>2</v>
      </c>
      <c r="DW94" s="8">
        <v>2</v>
      </c>
      <c r="DX94" s="8">
        <v>2</v>
      </c>
      <c r="DY94" s="8">
        <v>2</v>
      </c>
      <c r="DZ94" s="8">
        <v>2</v>
      </c>
      <c r="EA94" s="8">
        <v>2</v>
      </c>
      <c r="EB94" s="8">
        <v>2</v>
      </c>
      <c r="EC94" s="8">
        <v>2</v>
      </c>
      <c r="ED94" s="8">
        <v>2</v>
      </c>
      <c r="EE94" s="8">
        <v>2</v>
      </c>
      <c r="EF94" s="8">
        <v>2</v>
      </c>
      <c r="EG94" s="8">
        <v>2</v>
      </c>
      <c r="EH94" s="8">
        <v>2</v>
      </c>
      <c r="EI94" s="8">
        <v>2</v>
      </c>
      <c r="EJ94" s="8">
        <v>2</v>
      </c>
      <c r="EK94" s="8">
        <v>2</v>
      </c>
      <c r="EL94" s="8">
        <v>2</v>
      </c>
      <c r="EM94" s="8">
        <v>2</v>
      </c>
      <c r="EN94" s="8">
        <v>2</v>
      </c>
      <c r="EO94" s="8">
        <v>2</v>
      </c>
      <c r="EP94" s="315">
        <v>1</v>
      </c>
      <c r="EQ94" s="315">
        <v>1</v>
      </c>
      <c r="ER94" s="315">
        <v>1</v>
      </c>
      <c r="ES94" s="315">
        <v>1</v>
      </c>
      <c r="ET94" s="315">
        <v>1</v>
      </c>
      <c r="EU94" s="315">
        <v>1</v>
      </c>
      <c r="EV94" s="315">
        <v>1</v>
      </c>
      <c r="EW94" s="315">
        <v>1</v>
      </c>
      <c r="EX94" s="315">
        <v>1</v>
      </c>
      <c r="EY94" s="315">
        <v>1</v>
      </c>
      <c r="EZ94" s="315">
        <v>1</v>
      </c>
      <c r="FB94" s="50">
        <f>HLOOKUP(M16,$AU$3:$EZ$104,92,TRUE)</f>
        <v>2</v>
      </c>
      <c r="FD94" s="50">
        <f>HLOOKUP(AL42,$AU$3:$EZ$104,92,TRUE)</f>
        <v>2</v>
      </c>
    </row>
    <row r="95" spans="3:160" ht="17.100000000000001" customHeight="1">
      <c r="AS95" s="69"/>
      <c r="AT95" s="104">
        <v>53.703000000000003</v>
      </c>
      <c r="AU95" s="8">
        <v>2</v>
      </c>
      <c r="AV95" s="8">
        <v>2</v>
      </c>
      <c r="AW95" s="8">
        <v>2</v>
      </c>
      <c r="AX95" s="8">
        <v>2</v>
      </c>
      <c r="AY95" s="8">
        <v>2</v>
      </c>
      <c r="AZ95" s="8">
        <v>2</v>
      </c>
      <c r="BA95" s="316">
        <v>2</v>
      </c>
      <c r="BB95" s="8">
        <v>2</v>
      </c>
      <c r="BC95" s="8">
        <v>2</v>
      </c>
      <c r="BD95" s="8">
        <v>2</v>
      </c>
      <c r="BE95" s="8">
        <v>2</v>
      </c>
      <c r="BF95" s="8">
        <v>2</v>
      </c>
      <c r="BG95" s="8">
        <v>2</v>
      </c>
      <c r="BH95" s="8">
        <v>2</v>
      </c>
      <c r="BI95" s="8">
        <v>2</v>
      </c>
      <c r="BJ95" s="8">
        <v>2</v>
      </c>
      <c r="BK95" s="8">
        <v>2</v>
      </c>
      <c r="BL95" s="8">
        <v>2</v>
      </c>
      <c r="BM95" s="8">
        <v>2</v>
      </c>
      <c r="BN95" s="8">
        <v>2</v>
      </c>
      <c r="BO95" s="8">
        <v>2</v>
      </c>
      <c r="BP95" s="8">
        <v>2</v>
      </c>
      <c r="BQ95" s="8">
        <v>2</v>
      </c>
      <c r="BR95" s="8">
        <v>2</v>
      </c>
      <c r="BS95" s="8">
        <v>2</v>
      </c>
      <c r="BT95" s="8">
        <v>2</v>
      </c>
      <c r="BU95" s="8">
        <v>2</v>
      </c>
      <c r="BV95" s="8">
        <v>2</v>
      </c>
      <c r="BW95" s="8">
        <v>2</v>
      </c>
      <c r="BX95" s="8">
        <v>2</v>
      </c>
      <c r="BY95" s="8">
        <v>2</v>
      </c>
      <c r="BZ95" s="8">
        <v>2</v>
      </c>
      <c r="CA95" s="8">
        <v>2</v>
      </c>
      <c r="CB95" s="8">
        <v>2</v>
      </c>
      <c r="CC95" s="8">
        <v>2</v>
      </c>
      <c r="CD95" s="8">
        <v>2</v>
      </c>
      <c r="CE95" s="8">
        <v>2</v>
      </c>
      <c r="CF95" s="8">
        <v>2</v>
      </c>
      <c r="CG95" s="8">
        <v>2</v>
      </c>
      <c r="CH95" s="8">
        <v>2</v>
      </c>
      <c r="CI95" s="8">
        <v>2</v>
      </c>
      <c r="CJ95" s="8">
        <v>2</v>
      </c>
      <c r="CK95" s="8">
        <v>2</v>
      </c>
      <c r="CL95" s="8">
        <v>2</v>
      </c>
      <c r="CM95" s="8">
        <v>2</v>
      </c>
      <c r="CN95" s="8">
        <v>2</v>
      </c>
      <c r="CO95" s="8">
        <v>2</v>
      </c>
      <c r="CP95" s="8">
        <v>2</v>
      </c>
      <c r="CQ95" s="8">
        <v>2</v>
      </c>
      <c r="CR95" s="8">
        <v>2</v>
      </c>
      <c r="CS95" s="8">
        <v>2</v>
      </c>
      <c r="CT95" s="8">
        <v>2</v>
      </c>
      <c r="CU95" s="8">
        <v>2</v>
      </c>
      <c r="CV95" s="8">
        <v>2</v>
      </c>
      <c r="CW95" s="8">
        <v>2</v>
      </c>
      <c r="CX95" s="8">
        <v>2</v>
      </c>
      <c r="CY95" s="8">
        <v>2</v>
      </c>
      <c r="CZ95" s="8">
        <v>2</v>
      </c>
      <c r="DA95" s="8">
        <v>2</v>
      </c>
      <c r="DB95" s="8">
        <v>2</v>
      </c>
      <c r="DC95" s="8">
        <v>2</v>
      </c>
      <c r="DD95" s="8">
        <v>2</v>
      </c>
      <c r="DE95" s="8">
        <v>2</v>
      </c>
      <c r="DF95" s="8">
        <v>2</v>
      </c>
      <c r="DG95" s="8">
        <v>2</v>
      </c>
      <c r="DH95" s="8">
        <v>2</v>
      </c>
      <c r="DI95" s="8">
        <v>2</v>
      </c>
      <c r="DJ95" s="8">
        <v>2</v>
      </c>
      <c r="DK95" s="8">
        <v>2</v>
      </c>
      <c r="DL95" s="8">
        <v>2</v>
      </c>
      <c r="DM95" s="8">
        <v>2</v>
      </c>
      <c r="DN95" s="8">
        <v>2</v>
      </c>
      <c r="DO95" s="8">
        <v>2</v>
      </c>
      <c r="DP95" s="8">
        <v>2</v>
      </c>
      <c r="DQ95" s="8">
        <v>2</v>
      </c>
      <c r="DR95" s="8">
        <v>2</v>
      </c>
      <c r="DS95" s="8">
        <v>2</v>
      </c>
      <c r="DT95" s="8">
        <v>2</v>
      </c>
      <c r="DU95" s="8">
        <v>2</v>
      </c>
      <c r="DV95" s="8">
        <v>2</v>
      </c>
      <c r="DW95" s="8">
        <v>2</v>
      </c>
      <c r="DX95" s="8">
        <v>2</v>
      </c>
      <c r="DY95" s="8">
        <v>2</v>
      </c>
      <c r="DZ95" s="8">
        <v>2</v>
      </c>
      <c r="EA95" s="8">
        <v>2</v>
      </c>
      <c r="EB95" s="8">
        <v>2</v>
      </c>
      <c r="EC95" s="8">
        <v>2</v>
      </c>
      <c r="ED95" s="8">
        <v>2</v>
      </c>
      <c r="EE95" s="8">
        <v>2</v>
      </c>
      <c r="EF95" s="8">
        <v>2</v>
      </c>
      <c r="EG95" s="8">
        <v>2</v>
      </c>
      <c r="EH95" s="8">
        <v>2</v>
      </c>
      <c r="EI95" s="8">
        <v>2</v>
      </c>
      <c r="EJ95" s="8">
        <v>2</v>
      </c>
      <c r="EK95" s="8">
        <v>2</v>
      </c>
      <c r="EL95" s="8">
        <v>2</v>
      </c>
      <c r="EM95" s="8">
        <v>2</v>
      </c>
      <c r="EN95" s="8">
        <v>2</v>
      </c>
      <c r="EO95" s="8">
        <v>2</v>
      </c>
      <c r="EP95" s="8">
        <v>2</v>
      </c>
      <c r="EQ95" s="315">
        <v>1</v>
      </c>
      <c r="ER95" s="315">
        <v>1</v>
      </c>
      <c r="ES95" s="315">
        <v>1</v>
      </c>
      <c r="ET95" s="315">
        <v>1</v>
      </c>
      <c r="EU95" s="315">
        <v>1</v>
      </c>
      <c r="EV95" s="315">
        <v>1</v>
      </c>
      <c r="EW95" s="315">
        <v>1</v>
      </c>
      <c r="EX95" s="315">
        <v>1</v>
      </c>
      <c r="EY95" s="315">
        <v>1</v>
      </c>
      <c r="EZ95" s="315">
        <v>1</v>
      </c>
      <c r="FB95" s="50">
        <f>HLOOKUP(M16,$AU$3:$EZ$104,93,TRUE)</f>
        <v>2</v>
      </c>
      <c r="FD95" s="50">
        <f>HLOOKUP(AL42,$AU$3:$EZ$104,93,TRUE)</f>
        <v>2</v>
      </c>
    </row>
    <row r="96" spans="3:160" ht="17.100000000000001" customHeight="1">
      <c r="AS96" s="69"/>
      <c r="AT96" s="104">
        <v>57.543999999999997</v>
      </c>
      <c r="AU96" s="8">
        <v>2</v>
      </c>
      <c r="AV96" s="8">
        <v>2</v>
      </c>
      <c r="AW96" s="8">
        <v>2</v>
      </c>
      <c r="AX96" s="8">
        <v>2</v>
      </c>
      <c r="AY96" s="8">
        <v>2</v>
      </c>
      <c r="AZ96" s="8">
        <v>2</v>
      </c>
      <c r="BA96" s="316">
        <v>2</v>
      </c>
      <c r="BB96" s="8">
        <v>2</v>
      </c>
      <c r="BC96" s="8">
        <v>2</v>
      </c>
      <c r="BD96" s="8">
        <v>2</v>
      </c>
      <c r="BE96" s="8">
        <v>2</v>
      </c>
      <c r="BF96" s="8">
        <v>2</v>
      </c>
      <c r="BG96" s="8">
        <v>2</v>
      </c>
      <c r="BH96" s="8">
        <v>2</v>
      </c>
      <c r="BI96" s="8">
        <v>2</v>
      </c>
      <c r="BJ96" s="8">
        <v>2</v>
      </c>
      <c r="BK96" s="8">
        <v>2</v>
      </c>
      <c r="BL96" s="8">
        <v>2</v>
      </c>
      <c r="BM96" s="8">
        <v>2</v>
      </c>
      <c r="BN96" s="8">
        <v>2</v>
      </c>
      <c r="BO96" s="8">
        <v>2</v>
      </c>
      <c r="BP96" s="8">
        <v>2</v>
      </c>
      <c r="BQ96" s="8">
        <v>2</v>
      </c>
      <c r="BR96" s="8">
        <v>2</v>
      </c>
      <c r="BS96" s="8">
        <v>2</v>
      </c>
      <c r="BT96" s="8">
        <v>2</v>
      </c>
      <c r="BU96" s="8">
        <v>2</v>
      </c>
      <c r="BV96" s="8">
        <v>2</v>
      </c>
      <c r="BW96" s="8">
        <v>2</v>
      </c>
      <c r="BX96" s="8">
        <v>2</v>
      </c>
      <c r="BY96" s="8">
        <v>2</v>
      </c>
      <c r="BZ96" s="8">
        <v>2</v>
      </c>
      <c r="CA96" s="8">
        <v>2</v>
      </c>
      <c r="CB96" s="8">
        <v>2</v>
      </c>
      <c r="CC96" s="8">
        <v>2</v>
      </c>
      <c r="CD96" s="8">
        <v>2</v>
      </c>
      <c r="CE96" s="8">
        <v>2</v>
      </c>
      <c r="CF96" s="8">
        <v>2</v>
      </c>
      <c r="CG96" s="8">
        <v>2</v>
      </c>
      <c r="CH96" s="8">
        <v>2</v>
      </c>
      <c r="CI96" s="8">
        <v>2</v>
      </c>
      <c r="CJ96" s="8">
        <v>2</v>
      </c>
      <c r="CK96" s="8">
        <v>2</v>
      </c>
      <c r="CL96" s="8">
        <v>2</v>
      </c>
      <c r="CM96" s="8">
        <v>2</v>
      </c>
      <c r="CN96" s="8">
        <v>2</v>
      </c>
      <c r="CO96" s="8">
        <v>2</v>
      </c>
      <c r="CP96" s="8">
        <v>2</v>
      </c>
      <c r="CQ96" s="8">
        <v>2</v>
      </c>
      <c r="CR96" s="8">
        <v>2</v>
      </c>
      <c r="CS96" s="8">
        <v>2</v>
      </c>
      <c r="CT96" s="8">
        <v>2</v>
      </c>
      <c r="CU96" s="8">
        <v>2</v>
      </c>
      <c r="CV96" s="8">
        <v>2</v>
      </c>
      <c r="CW96" s="8">
        <v>2</v>
      </c>
      <c r="CX96" s="8">
        <v>2</v>
      </c>
      <c r="CY96" s="8">
        <v>2</v>
      </c>
      <c r="CZ96" s="8">
        <v>2</v>
      </c>
      <c r="DA96" s="8">
        <v>2</v>
      </c>
      <c r="DB96" s="8">
        <v>2</v>
      </c>
      <c r="DC96" s="8">
        <v>2</v>
      </c>
      <c r="DD96" s="8">
        <v>2</v>
      </c>
      <c r="DE96" s="8">
        <v>2</v>
      </c>
      <c r="DF96" s="8">
        <v>2</v>
      </c>
      <c r="DG96" s="8">
        <v>2</v>
      </c>
      <c r="DH96" s="8">
        <v>2</v>
      </c>
      <c r="DI96" s="8">
        <v>2</v>
      </c>
      <c r="DJ96" s="8">
        <v>2</v>
      </c>
      <c r="DK96" s="8">
        <v>2</v>
      </c>
      <c r="DL96" s="8">
        <v>2</v>
      </c>
      <c r="DM96" s="8">
        <v>2</v>
      </c>
      <c r="DN96" s="8">
        <v>2</v>
      </c>
      <c r="DO96" s="8">
        <v>2</v>
      </c>
      <c r="DP96" s="8">
        <v>2</v>
      </c>
      <c r="DQ96" s="8">
        <v>2</v>
      </c>
      <c r="DR96" s="8">
        <v>2</v>
      </c>
      <c r="DS96" s="8">
        <v>2</v>
      </c>
      <c r="DT96" s="8">
        <v>2</v>
      </c>
      <c r="DU96" s="8">
        <v>2</v>
      </c>
      <c r="DV96" s="8">
        <v>2</v>
      </c>
      <c r="DW96" s="8">
        <v>2</v>
      </c>
      <c r="DX96" s="8">
        <v>2</v>
      </c>
      <c r="DY96" s="8">
        <v>2</v>
      </c>
      <c r="DZ96" s="8">
        <v>2</v>
      </c>
      <c r="EA96" s="8">
        <v>2</v>
      </c>
      <c r="EB96" s="8">
        <v>2</v>
      </c>
      <c r="EC96" s="8">
        <v>2</v>
      </c>
      <c r="ED96" s="8">
        <v>2</v>
      </c>
      <c r="EE96" s="8">
        <v>2</v>
      </c>
      <c r="EF96" s="8">
        <v>2</v>
      </c>
      <c r="EG96" s="8">
        <v>2</v>
      </c>
      <c r="EH96" s="8">
        <v>2</v>
      </c>
      <c r="EI96" s="8">
        <v>2</v>
      </c>
      <c r="EJ96" s="8">
        <v>2</v>
      </c>
      <c r="EK96" s="8">
        <v>2</v>
      </c>
      <c r="EL96" s="8">
        <v>2</v>
      </c>
      <c r="EM96" s="8">
        <v>2</v>
      </c>
      <c r="EN96" s="8">
        <v>2</v>
      </c>
      <c r="EO96" s="8">
        <v>2</v>
      </c>
      <c r="EP96" s="8">
        <v>2</v>
      </c>
      <c r="EQ96" s="8">
        <v>2</v>
      </c>
      <c r="ER96" s="8">
        <v>2</v>
      </c>
      <c r="ES96" s="315">
        <v>1</v>
      </c>
      <c r="ET96" s="315">
        <v>1</v>
      </c>
      <c r="EU96" s="315">
        <v>1</v>
      </c>
      <c r="EV96" s="315">
        <v>1</v>
      </c>
      <c r="EW96" s="315">
        <v>1</v>
      </c>
      <c r="EX96" s="315">
        <v>1</v>
      </c>
      <c r="EY96" s="315">
        <v>1</v>
      </c>
      <c r="EZ96" s="315">
        <v>1</v>
      </c>
      <c r="FB96" s="50">
        <f>HLOOKUP(M16,$AU$3:$EZ$104,94,TRUE)</f>
        <v>2</v>
      </c>
      <c r="FD96" s="50">
        <f>HLOOKUP(AL42,$AU$3:$EZ$104,94,TRUE)</f>
        <v>2</v>
      </c>
    </row>
    <row r="97" spans="45:160" ht="17.100000000000001" customHeight="1">
      <c r="AS97" s="69"/>
      <c r="AT97" s="104">
        <v>61.66</v>
      </c>
      <c r="AU97" s="8">
        <v>2</v>
      </c>
      <c r="AV97" s="8">
        <v>2</v>
      </c>
      <c r="AW97" s="8">
        <v>2</v>
      </c>
      <c r="AX97" s="8">
        <v>2</v>
      </c>
      <c r="AY97" s="8">
        <v>2</v>
      </c>
      <c r="AZ97" s="8">
        <v>2</v>
      </c>
      <c r="BA97" s="316">
        <v>2</v>
      </c>
      <c r="BB97" s="8">
        <v>2</v>
      </c>
      <c r="BC97" s="8">
        <v>2</v>
      </c>
      <c r="BD97" s="8">
        <v>2</v>
      </c>
      <c r="BE97" s="8">
        <v>2</v>
      </c>
      <c r="BF97" s="8">
        <v>2</v>
      </c>
      <c r="BG97" s="8">
        <v>2</v>
      </c>
      <c r="BH97" s="8">
        <v>2</v>
      </c>
      <c r="BI97" s="8">
        <v>2</v>
      </c>
      <c r="BJ97" s="8">
        <v>2</v>
      </c>
      <c r="BK97" s="8">
        <v>2</v>
      </c>
      <c r="BL97" s="8">
        <v>2</v>
      </c>
      <c r="BM97" s="8">
        <v>2</v>
      </c>
      <c r="BN97" s="8">
        <v>2</v>
      </c>
      <c r="BO97" s="8">
        <v>2</v>
      </c>
      <c r="BP97" s="8">
        <v>2</v>
      </c>
      <c r="BQ97" s="8">
        <v>2</v>
      </c>
      <c r="BR97" s="8">
        <v>2</v>
      </c>
      <c r="BS97" s="8">
        <v>2</v>
      </c>
      <c r="BT97" s="8">
        <v>2</v>
      </c>
      <c r="BU97" s="8">
        <v>2</v>
      </c>
      <c r="BV97" s="8">
        <v>2</v>
      </c>
      <c r="BW97" s="8">
        <v>2</v>
      </c>
      <c r="BX97" s="8">
        <v>2</v>
      </c>
      <c r="BY97" s="8">
        <v>2</v>
      </c>
      <c r="BZ97" s="8">
        <v>2</v>
      </c>
      <c r="CA97" s="8">
        <v>2</v>
      </c>
      <c r="CB97" s="8">
        <v>2</v>
      </c>
      <c r="CC97" s="8">
        <v>2</v>
      </c>
      <c r="CD97" s="8">
        <v>2</v>
      </c>
      <c r="CE97" s="8">
        <v>2</v>
      </c>
      <c r="CF97" s="8">
        <v>2</v>
      </c>
      <c r="CG97" s="8">
        <v>2</v>
      </c>
      <c r="CH97" s="8">
        <v>2</v>
      </c>
      <c r="CI97" s="8">
        <v>2</v>
      </c>
      <c r="CJ97" s="8">
        <v>2</v>
      </c>
      <c r="CK97" s="8">
        <v>2</v>
      </c>
      <c r="CL97" s="8">
        <v>2</v>
      </c>
      <c r="CM97" s="8">
        <v>2</v>
      </c>
      <c r="CN97" s="8">
        <v>2</v>
      </c>
      <c r="CO97" s="8">
        <v>2</v>
      </c>
      <c r="CP97" s="8">
        <v>2</v>
      </c>
      <c r="CQ97" s="8">
        <v>2</v>
      </c>
      <c r="CR97" s="8">
        <v>2</v>
      </c>
      <c r="CS97" s="8">
        <v>2</v>
      </c>
      <c r="CT97" s="8">
        <v>2</v>
      </c>
      <c r="CU97" s="8">
        <v>2</v>
      </c>
      <c r="CV97" s="8">
        <v>2</v>
      </c>
      <c r="CW97" s="8">
        <v>2</v>
      </c>
      <c r="CX97" s="8">
        <v>2</v>
      </c>
      <c r="CY97" s="8">
        <v>2</v>
      </c>
      <c r="CZ97" s="8">
        <v>2</v>
      </c>
      <c r="DA97" s="8">
        <v>2</v>
      </c>
      <c r="DB97" s="8">
        <v>2</v>
      </c>
      <c r="DC97" s="8">
        <v>2</v>
      </c>
      <c r="DD97" s="8">
        <v>2</v>
      </c>
      <c r="DE97" s="8">
        <v>2</v>
      </c>
      <c r="DF97" s="8">
        <v>2</v>
      </c>
      <c r="DG97" s="8">
        <v>2</v>
      </c>
      <c r="DH97" s="8">
        <v>2</v>
      </c>
      <c r="DI97" s="8">
        <v>2</v>
      </c>
      <c r="DJ97" s="8">
        <v>2</v>
      </c>
      <c r="DK97" s="8">
        <v>2</v>
      </c>
      <c r="DL97" s="8">
        <v>2</v>
      </c>
      <c r="DM97" s="8">
        <v>2</v>
      </c>
      <c r="DN97" s="8">
        <v>2</v>
      </c>
      <c r="DO97" s="8">
        <v>2</v>
      </c>
      <c r="DP97" s="8">
        <v>2</v>
      </c>
      <c r="DQ97" s="8">
        <v>2</v>
      </c>
      <c r="DR97" s="8">
        <v>2</v>
      </c>
      <c r="DS97" s="8">
        <v>2</v>
      </c>
      <c r="DT97" s="8">
        <v>2</v>
      </c>
      <c r="DU97" s="8">
        <v>2</v>
      </c>
      <c r="DV97" s="8">
        <v>2</v>
      </c>
      <c r="DW97" s="8">
        <v>2</v>
      </c>
      <c r="DX97" s="8">
        <v>2</v>
      </c>
      <c r="DY97" s="8">
        <v>2</v>
      </c>
      <c r="DZ97" s="8">
        <v>2</v>
      </c>
      <c r="EA97" s="8">
        <v>2</v>
      </c>
      <c r="EB97" s="8">
        <v>2</v>
      </c>
      <c r="EC97" s="8">
        <v>2</v>
      </c>
      <c r="ED97" s="8">
        <v>2</v>
      </c>
      <c r="EE97" s="8">
        <v>2</v>
      </c>
      <c r="EF97" s="8">
        <v>2</v>
      </c>
      <c r="EG97" s="8">
        <v>2</v>
      </c>
      <c r="EH97" s="8">
        <v>2</v>
      </c>
      <c r="EI97" s="8">
        <v>2</v>
      </c>
      <c r="EJ97" s="8">
        <v>2</v>
      </c>
      <c r="EK97" s="8">
        <v>2</v>
      </c>
      <c r="EL97" s="8">
        <v>2</v>
      </c>
      <c r="EM97" s="8">
        <v>2</v>
      </c>
      <c r="EN97" s="8">
        <v>2</v>
      </c>
      <c r="EO97" s="8">
        <v>2</v>
      </c>
      <c r="EP97" s="8">
        <v>2</v>
      </c>
      <c r="EQ97" s="8">
        <v>2</v>
      </c>
      <c r="ER97" s="8">
        <v>2</v>
      </c>
      <c r="ES97" s="8">
        <v>2</v>
      </c>
      <c r="ET97" s="315">
        <v>1</v>
      </c>
      <c r="EU97" s="315">
        <v>1</v>
      </c>
      <c r="EV97" s="315">
        <v>1</v>
      </c>
      <c r="EW97" s="315">
        <v>1</v>
      </c>
      <c r="EX97" s="315">
        <v>1</v>
      </c>
      <c r="EY97" s="315">
        <v>1</v>
      </c>
      <c r="EZ97" s="315">
        <v>1</v>
      </c>
      <c r="FB97" s="50">
        <f>HLOOKUP(M16,$AU$3:$EZ$104,95,TRUE)</f>
        <v>2</v>
      </c>
      <c r="FD97" s="50">
        <f>HLOOKUP(AL42,$AU$3:$EZ$104,95,TRUE)</f>
        <v>2</v>
      </c>
    </row>
    <row r="98" spans="45:160" ht="17.100000000000001" customHeight="1">
      <c r="AS98" s="69"/>
      <c r="AT98" s="104">
        <v>66.069000000000003</v>
      </c>
      <c r="AU98" s="8">
        <v>2</v>
      </c>
      <c r="AV98" s="8">
        <v>2</v>
      </c>
      <c r="AW98" s="8">
        <v>2</v>
      </c>
      <c r="AX98" s="8">
        <v>2</v>
      </c>
      <c r="AY98" s="8">
        <v>2</v>
      </c>
      <c r="AZ98" s="8">
        <v>2</v>
      </c>
      <c r="BA98" s="316">
        <v>2</v>
      </c>
      <c r="BB98" s="8">
        <v>2</v>
      </c>
      <c r="BC98" s="8">
        <v>2</v>
      </c>
      <c r="BD98" s="8">
        <v>2</v>
      </c>
      <c r="BE98" s="8">
        <v>2</v>
      </c>
      <c r="BF98" s="8">
        <v>2</v>
      </c>
      <c r="BG98" s="8">
        <v>2</v>
      </c>
      <c r="BH98" s="8">
        <v>2</v>
      </c>
      <c r="BI98" s="8">
        <v>2</v>
      </c>
      <c r="BJ98" s="8">
        <v>2</v>
      </c>
      <c r="BK98" s="8">
        <v>2</v>
      </c>
      <c r="BL98" s="8">
        <v>2</v>
      </c>
      <c r="BM98" s="8">
        <v>2</v>
      </c>
      <c r="BN98" s="8">
        <v>2</v>
      </c>
      <c r="BO98" s="8">
        <v>2</v>
      </c>
      <c r="BP98" s="8">
        <v>2</v>
      </c>
      <c r="BQ98" s="8">
        <v>2</v>
      </c>
      <c r="BR98" s="8">
        <v>2</v>
      </c>
      <c r="BS98" s="8">
        <v>2</v>
      </c>
      <c r="BT98" s="8">
        <v>2</v>
      </c>
      <c r="BU98" s="8">
        <v>2</v>
      </c>
      <c r="BV98" s="8">
        <v>2</v>
      </c>
      <c r="BW98" s="8">
        <v>2</v>
      </c>
      <c r="BX98" s="8">
        <v>2</v>
      </c>
      <c r="BY98" s="8">
        <v>2</v>
      </c>
      <c r="BZ98" s="8">
        <v>2</v>
      </c>
      <c r="CA98" s="8">
        <v>2</v>
      </c>
      <c r="CB98" s="8">
        <v>2</v>
      </c>
      <c r="CC98" s="8">
        <v>2</v>
      </c>
      <c r="CD98" s="8">
        <v>2</v>
      </c>
      <c r="CE98" s="8">
        <v>2</v>
      </c>
      <c r="CF98" s="8">
        <v>2</v>
      </c>
      <c r="CG98" s="8">
        <v>2</v>
      </c>
      <c r="CH98" s="8">
        <v>2</v>
      </c>
      <c r="CI98" s="8">
        <v>2</v>
      </c>
      <c r="CJ98" s="8">
        <v>2</v>
      </c>
      <c r="CK98" s="8">
        <v>2</v>
      </c>
      <c r="CL98" s="8">
        <v>2</v>
      </c>
      <c r="CM98" s="8">
        <v>2</v>
      </c>
      <c r="CN98" s="8">
        <v>2</v>
      </c>
      <c r="CO98" s="8">
        <v>2</v>
      </c>
      <c r="CP98" s="8">
        <v>2</v>
      </c>
      <c r="CQ98" s="8">
        <v>2</v>
      </c>
      <c r="CR98" s="8">
        <v>2</v>
      </c>
      <c r="CS98" s="8">
        <v>2</v>
      </c>
      <c r="CT98" s="8">
        <v>2</v>
      </c>
      <c r="CU98" s="8">
        <v>2</v>
      </c>
      <c r="CV98" s="8">
        <v>2</v>
      </c>
      <c r="CW98" s="8">
        <v>2</v>
      </c>
      <c r="CX98" s="8">
        <v>2</v>
      </c>
      <c r="CY98" s="8">
        <v>2</v>
      </c>
      <c r="CZ98" s="8">
        <v>2</v>
      </c>
      <c r="DA98" s="8">
        <v>2</v>
      </c>
      <c r="DB98" s="8">
        <v>2</v>
      </c>
      <c r="DC98" s="8">
        <v>2</v>
      </c>
      <c r="DD98" s="8">
        <v>2</v>
      </c>
      <c r="DE98" s="8">
        <v>2</v>
      </c>
      <c r="DF98" s="8">
        <v>2</v>
      </c>
      <c r="DG98" s="8">
        <v>2</v>
      </c>
      <c r="DH98" s="8">
        <v>2</v>
      </c>
      <c r="DI98" s="8">
        <v>2</v>
      </c>
      <c r="DJ98" s="8">
        <v>2</v>
      </c>
      <c r="DK98" s="8">
        <v>2</v>
      </c>
      <c r="DL98" s="8">
        <v>2</v>
      </c>
      <c r="DM98" s="8">
        <v>2</v>
      </c>
      <c r="DN98" s="8">
        <v>2</v>
      </c>
      <c r="DO98" s="8">
        <v>2</v>
      </c>
      <c r="DP98" s="8">
        <v>2</v>
      </c>
      <c r="DQ98" s="8">
        <v>2</v>
      </c>
      <c r="DR98" s="8">
        <v>2</v>
      </c>
      <c r="DS98" s="8">
        <v>2</v>
      </c>
      <c r="DT98" s="8">
        <v>2</v>
      </c>
      <c r="DU98" s="8">
        <v>2</v>
      </c>
      <c r="DV98" s="8">
        <v>2</v>
      </c>
      <c r="DW98" s="8">
        <v>2</v>
      </c>
      <c r="DX98" s="8">
        <v>2</v>
      </c>
      <c r="DY98" s="8">
        <v>2</v>
      </c>
      <c r="DZ98" s="8">
        <v>2</v>
      </c>
      <c r="EA98" s="8">
        <v>2</v>
      </c>
      <c r="EB98" s="8">
        <v>2</v>
      </c>
      <c r="EC98" s="8">
        <v>2</v>
      </c>
      <c r="ED98" s="8">
        <v>2</v>
      </c>
      <c r="EE98" s="8">
        <v>2</v>
      </c>
      <c r="EF98" s="8">
        <v>2</v>
      </c>
      <c r="EG98" s="8">
        <v>2</v>
      </c>
      <c r="EH98" s="8">
        <v>2</v>
      </c>
      <c r="EI98" s="8">
        <v>2</v>
      </c>
      <c r="EJ98" s="8">
        <v>2</v>
      </c>
      <c r="EK98" s="8">
        <v>2</v>
      </c>
      <c r="EL98" s="8">
        <v>2</v>
      </c>
      <c r="EM98" s="8">
        <v>2</v>
      </c>
      <c r="EN98" s="8">
        <v>2</v>
      </c>
      <c r="EO98" s="8">
        <v>2</v>
      </c>
      <c r="EP98" s="8">
        <v>2</v>
      </c>
      <c r="EQ98" s="8">
        <v>2</v>
      </c>
      <c r="ER98" s="8">
        <v>2</v>
      </c>
      <c r="ES98" s="8">
        <v>2</v>
      </c>
      <c r="ET98" s="8">
        <v>2</v>
      </c>
      <c r="EU98" s="8">
        <v>2</v>
      </c>
      <c r="EV98" s="315">
        <v>1</v>
      </c>
      <c r="EW98" s="315">
        <v>1</v>
      </c>
      <c r="EX98" s="315">
        <v>1</v>
      </c>
      <c r="EY98" s="315">
        <v>1</v>
      </c>
      <c r="EZ98" s="315">
        <v>1</v>
      </c>
      <c r="FB98" s="50">
        <f>HLOOKUP(M16,$AU$3:$EZ$104,96,TRUE)</f>
        <v>2</v>
      </c>
      <c r="FD98" s="50">
        <f>HLOOKUP(AL42,$AU$3:$EZ$104,96,TRUE)</f>
        <v>2</v>
      </c>
    </row>
    <row r="99" spans="45:160" ht="17.100000000000001" customHeight="1">
      <c r="AS99" s="69"/>
      <c r="AT99" s="104">
        <v>70.795000000000002</v>
      </c>
      <c r="AU99" s="8">
        <v>2</v>
      </c>
      <c r="AV99" s="8">
        <v>2</v>
      </c>
      <c r="AW99" s="8">
        <v>2</v>
      </c>
      <c r="AX99" s="8">
        <v>2</v>
      </c>
      <c r="AY99" s="8">
        <v>2</v>
      </c>
      <c r="AZ99" s="8">
        <v>2</v>
      </c>
      <c r="BA99" s="316">
        <v>2</v>
      </c>
      <c r="BB99" s="8">
        <v>2</v>
      </c>
      <c r="BC99" s="8">
        <v>2</v>
      </c>
      <c r="BD99" s="8">
        <v>2</v>
      </c>
      <c r="BE99" s="8">
        <v>2</v>
      </c>
      <c r="BF99" s="8">
        <v>2</v>
      </c>
      <c r="BG99" s="8">
        <v>2</v>
      </c>
      <c r="BH99" s="8">
        <v>2</v>
      </c>
      <c r="BI99" s="8">
        <v>2</v>
      </c>
      <c r="BJ99" s="8">
        <v>2</v>
      </c>
      <c r="BK99" s="8">
        <v>2</v>
      </c>
      <c r="BL99" s="8">
        <v>2</v>
      </c>
      <c r="BM99" s="8">
        <v>2</v>
      </c>
      <c r="BN99" s="8">
        <v>2</v>
      </c>
      <c r="BO99" s="8">
        <v>2</v>
      </c>
      <c r="BP99" s="8">
        <v>2</v>
      </c>
      <c r="BQ99" s="8">
        <v>2</v>
      </c>
      <c r="BR99" s="8">
        <v>2</v>
      </c>
      <c r="BS99" s="8">
        <v>2</v>
      </c>
      <c r="BT99" s="8">
        <v>2</v>
      </c>
      <c r="BU99" s="8">
        <v>2</v>
      </c>
      <c r="BV99" s="8">
        <v>2</v>
      </c>
      <c r="BW99" s="8">
        <v>2</v>
      </c>
      <c r="BX99" s="8">
        <v>2</v>
      </c>
      <c r="BY99" s="8">
        <v>2</v>
      </c>
      <c r="BZ99" s="8">
        <v>2</v>
      </c>
      <c r="CA99" s="8">
        <v>2</v>
      </c>
      <c r="CB99" s="8">
        <v>2</v>
      </c>
      <c r="CC99" s="8">
        <v>2</v>
      </c>
      <c r="CD99" s="8">
        <v>2</v>
      </c>
      <c r="CE99" s="8">
        <v>2</v>
      </c>
      <c r="CF99" s="8">
        <v>2</v>
      </c>
      <c r="CG99" s="8">
        <v>2</v>
      </c>
      <c r="CH99" s="8">
        <v>2</v>
      </c>
      <c r="CI99" s="8">
        <v>2</v>
      </c>
      <c r="CJ99" s="8">
        <v>2</v>
      </c>
      <c r="CK99" s="8">
        <v>2</v>
      </c>
      <c r="CL99" s="8">
        <v>2</v>
      </c>
      <c r="CM99" s="8">
        <v>2</v>
      </c>
      <c r="CN99" s="8">
        <v>2</v>
      </c>
      <c r="CO99" s="8">
        <v>2</v>
      </c>
      <c r="CP99" s="8">
        <v>2</v>
      </c>
      <c r="CQ99" s="8">
        <v>2</v>
      </c>
      <c r="CR99" s="8">
        <v>2</v>
      </c>
      <c r="CS99" s="8">
        <v>2</v>
      </c>
      <c r="CT99" s="8">
        <v>2</v>
      </c>
      <c r="CU99" s="8">
        <v>2</v>
      </c>
      <c r="CV99" s="8">
        <v>2</v>
      </c>
      <c r="CW99" s="8">
        <v>2</v>
      </c>
      <c r="CX99" s="8">
        <v>2</v>
      </c>
      <c r="CY99" s="8">
        <v>2</v>
      </c>
      <c r="CZ99" s="8">
        <v>2</v>
      </c>
      <c r="DA99" s="8">
        <v>2</v>
      </c>
      <c r="DB99" s="8">
        <v>2</v>
      </c>
      <c r="DC99" s="8">
        <v>2</v>
      </c>
      <c r="DD99" s="8">
        <v>2</v>
      </c>
      <c r="DE99" s="8">
        <v>2</v>
      </c>
      <c r="DF99" s="8">
        <v>2</v>
      </c>
      <c r="DG99" s="8">
        <v>2</v>
      </c>
      <c r="DH99" s="8">
        <v>2</v>
      </c>
      <c r="DI99" s="8">
        <v>2</v>
      </c>
      <c r="DJ99" s="8">
        <v>2</v>
      </c>
      <c r="DK99" s="8">
        <v>2</v>
      </c>
      <c r="DL99" s="8">
        <v>2</v>
      </c>
      <c r="DM99" s="8">
        <v>2</v>
      </c>
      <c r="DN99" s="8">
        <v>2</v>
      </c>
      <c r="DO99" s="8">
        <v>2</v>
      </c>
      <c r="DP99" s="8">
        <v>2</v>
      </c>
      <c r="DQ99" s="8">
        <v>2</v>
      </c>
      <c r="DR99" s="8">
        <v>2</v>
      </c>
      <c r="DS99" s="8">
        <v>2</v>
      </c>
      <c r="DT99" s="8">
        <v>2</v>
      </c>
      <c r="DU99" s="8">
        <v>2</v>
      </c>
      <c r="DV99" s="8">
        <v>2</v>
      </c>
      <c r="DW99" s="8">
        <v>2</v>
      </c>
      <c r="DX99" s="8">
        <v>2</v>
      </c>
      <c r="DY99" s="8">
        <v>2</v>
      </c>
      <c r="DZ99" s="8">
        <v>2</v>
      </c>
      <c r="EA99" s="8">
        <v>2</v>
      </c>
      <c r="EB99" s="8">
        <v>2</v>
      </c>
      <c r="EC99" s="8">
        <v>2</v>
      </c>
      <c r="ED99" s="8">
        <v>2</v>
      </c>
      <c r="EE99" s="8">
        <v>2</v>
      </c>
      <c r="EF99" s="8">
        <v>2</v>
      </c>
      <c r="EG99" s="8">
        <v>2</v>
      </c>
      <c r="EH99" s="8">
        <v>2</v>
      </c>
      <c r="EI99" s="8">
        <v>2</v>
      </c>
      <c r="EJ99" s="8">
        <v>2</v>
      </c>
      <c r="EK99" s="8">
        <v>2</v>
      </c>
      <c r="EL99" s="8">
        <v>2</v>
      </c>
      <c r="EM99" s="8">
        <v>2</v>
      </c>
      <c r="EN99" s="8">
        <v>2</v>
      </c>
      <c r="EO99" s="8">
        <v>2</v>
      </c>
      <c r="EP99" s="8">
        <v>2</v>
      </c>
      <c r="EQ99" s="8">
        <v>2</v>
      </c>
      <c r="ER99" s="8">
        <v>2</v>
      </c>
      <c r="ES99" s="8">
        <v>2</v>
      </c>
      <c r="ET99" s="8">
        <v>2</v>
      </c>
      <c r="EU99" s="8">
        <v>2</v>
      </c>
      <c r="EV99" s="8">
        <v>2</v>
      </c>
      <c r="EW99" s="8">
        <v>2</v>
      </c>
      <c r="EX99" s="315">
        <v>1</v>
      </c>
      <c r="EY99" s="315">
        <v>1</v>
      </c>
      <c r="EZ99" s="315">
        <v>1</v>
      </c>
      <c r="FB99" s="50">
        <f>HLOOKUP(M16,$AU$3:$EZ$104,97,TRUE)</f>
        <v>2</v>
      </c>
      <c r="FD99" s="50">
        <f>HLOOKUP(AL42,$AU$3:$EZ$104,97,TRUE)</f>
        <v>2</v>
      </c>
    </row>
    <row r="100" spans="45:160" ht="17.100000000000001" customHeight="1">
      <c r="AS100" s="69"/>
      <c r="AT100" s="104">
        <v>75.858000000000004</v>
      </c>
      <c r="AU100" s="8">
        <v>2</v>
      </c>
      <c r="AV100" s="8">
        <v>2</v>
      </c>
      <c r="AW100" s="8">
        <v>2</v>
      </c>
      <c r="AX100" s="8">
        <v>2</v>
      </c>
      <c r="AY100" s="8">
        <v>2</v>
      </c>
      <c r="AZ100" s="8">
        <v>2</v>
      </c>
      <c r="BA100" s="316">
        <v>2</v>
      </c>
      <c r="BB100" s="8">
        <v>2</v>
      </c>
      <c r="BC100" s="8">
        <v>2</v>
      </c>
      <c r="BD100" s="8">
        <v>2</v>
      </c>
      <c r="BE100" s="8">
        <v>2</v>
      </c>
      <c r="BF100" s="8">
        <v>2</v>
      </c>
      <c r="BG100" s="8">
        <v>2</v>
      </c>
      <c r="BH100" s="8">
        <v>2</v>
      </c>
      <c r="BI100" s="8">
        <v>2</v>
      </c>
      <c r="BJ100" s="8">
        <v>2</v>
      </c>
      <c r="BK100" s="8">
        <v>2</v>
      </c>
      <c r="BL100" s="8">
        <v>2</v>
      </c>
      <c r="BM100" s="8">
        <v>2</v>
      </c>
      <c r="BN100" s="8">
        <v>2</v>
      </c>
      <c r="BO100" s="8">
        <v>2</v>
      </c>
      <c r="BP100" s="8">
        <v>2</v>
      </c>
      <c r="BQ100" s="8">
        <v>2</v>
      </c>
      <c r="BR100" s="8">
        <v>2</v>
      </c>
      <c r="BS100" s="8">
        <v>2</v>
      </c>
      <c r="BT100" s="8">
        <v>2</v>
      </c>
      <c r="BU100" s="8">
        <v>2</v>
      </c>
      <c r="BV100" s="8">
        <v>2</v>
      </c>
      <c r="BW100" s="8">
        <v>2</v>
      </c>
      <c r="BX100" s="8">
        <v>2</v>
      </c>
      <c r="BY100" s="8">
        <v>2</v>
      </c>
      <c r="BZ100" s="8">
        <v>2</v>
      </c>
      <c r="CA100" s="8">
        <v>2</v>
      </c>
      <c r="CB100" s="8">
        <v>2</v>
      </c>
      <c r="CC100" s="8">
        <v>2</v>
      </c>
      <c r="CD100" s="8">
        <v>2</v>
      </c>
      <c r="CE100" s="8">
        <v>2</v>
      </c>
      <c r="CF100" s="8">
        <v>2</v>
      </c>
      <c r="CG100" s="8">
        <v>2</v>
      </c>
      <c r="CH100" s="8">
        <v>2</v>
      </c>
      <c r="CI100" s="8">
        <v>2</v>
      </c>
      <c r="CJ100" s="8">
        <v>2</v>
      </c>
      <c r="CK100" s="8">
        <v>2</v>
      </c>
      <c r="CL100" s="8">
        <v>2</v>
      </c>
      <c r="CM100" s="8">
        <v>2</v>
      </c>
      <c r="CN100" s="8">
        <v>2</v>
      </c>
      <c r="CO100" s="8">
        <v>2</v>
      </c>
      <c r="CP100" s="8">
        <v>2</v>
      </c>
      <c r="CQ100" s="8">
        <v>2</v>
      </c>
      <c r="CR100" s="8">
        <v>2</v>
      </c>
      <c r="CS100" s="8">
        <v>2</v>
      </c>
      <c r="CT100" s="8">
        <v>2</v>
      </c>
      <c r="CU100" s="8">
        <v>2</v>
      </c>
      <c r="CV100" s="8">
        <v>2</v>
      </c>
      <c r="CW100" s="8">
        <v>2</v>
      </c>
      <c r="CX100" s="8">
        <v>2</v>
      </c>
      <c r="CY100" s="8">
        <v>2</v>
      </c>
      <c r="CZ100" s="8">
        <v>2</v>
      </c>
      <c r="DA100" s="8">
        <v>2</v>
      </c>
      <c r="DB100" s="8">
        <v>2</v>
      </c>
      <c r="DC100" s="8">
        <v>2</v>
      </c>
      <c r="DD100" s="8">
        <v>2</v>
      </c>
      <c r="DE100" s="8">
        <v>2</v>
      </c>
      <c r="DF100" s="8">
        <v>2</v>
      </c>
      <c r="DG100" s="8">
        <v>2</v>
      </c>
      <c r="DH100" s="8">
        <v>2</v>
      </c>
      <c r="DI100" s="8">
        <v>2</v>
      </c>
      <c r="DJ100" s="8">
        <v>2</v>
      </c>
      <c r="DK100" s="8">
        <v>2</v>
      </c>
      <c r="DL100" s="8">
        <v>2</v>
      </c>
      <c r="DM100" s="8">
        <v>2</v>
      </c>
      <c r="DN100" s="8">
        <v>2</v>
      </c>
      <c r="DO100" s="8">
        <v>2</v>
      </c>
      <c r="DP100" s="8">
        <v>2</v>
      </c>
      <c r="DQ100" s="8">
        <v>2</v>
      </c>
      <c r="DR100" s="8">
        <v>2</v>
      </c>
      <c r="DS100" s="8">
        <v>2</v>
      </c>
      <c r="DT100" s="8">
        <v>2</v>
      </c>
      <c r="DU100" s="8">
        <v>2</v>
      </c>
      <c r="DV100" s="8">
        <v>2</v>
      </c>
      <c r="DW100" s="8">
        <v>2</v>
      </c>
      <c r="DX100" s="8">
        <v>2</v>
      </c>
      <c r="DY100" s="8">
        <v>2</v>
      </c>
      <c r="DZ100" s="8">
        <v>2</v>
      </c>
      <c r="EA100" s="8">
        <v>2</v>
      </c>
      <c r="EB100" s="8">
        <v>2</v>
      </c>
      <c r="EC100" s="8">
        <v>2</v>
      </c>
      <c r="ED100" s="8">
        <v>2</v>
      </c>
      <c r="EE100" s="8">
        <v>2</v>
      </c>
      <c r="EF100" s="8">
        <v>2</v>
      </c>
      <c r="EG100" s="8">
        <v>2</v>
      </c>
      <c r="EH100" s="8">
        <v>2</v>
      </c>
      <c r="EI100" s="8">
        <v>2</v>
      </c>
      <c r="EJ100" s="8">
        <v>2</v>
      </c>
      <c r="EK100" s="8">
        <v>2</v>
      </c>
      <c r="EL100" s="8">
        <v>2</v>
      </c>
      <c r="EM100" s="8">
        <v>2</v>
      </c>
      <c r="EN100" s="8">
        <v>2</v>
      </c>
      <c r="EO100" s="8">
        <v>2</v>
      </c>
      <c r="EP100" s="8">
        <v>2</v>
      </c>
      <c r="EQ100" s="8">
        <v>2</v>
      </c>
      <c r="ER100" s="8">
        <v>2</v>
      </c>
      <c r="ES100" s="8">
        <v>2</v>
      </c>
      <c r="ET100" s="8">
        <v>2</v>
      </c>
      <c r="EU100" s="8">
        <v>2</v>
      </c>
      <c r="EV100" s="8">
        <v>2</v>
      </c>
      <c r="EW100" s="8">
        <v>2</v>
      </c>
      <c r="EX100" s="8">
        <v>2</v>
      </c>
      <c r="EY100" s="8">
        <v>2</v>
      </c>
      <c r="EZ100" s="315">
        <v>1</v>
      </c>
      <c r="FB100" s="50">
        <f>HLOOKUP(M16,$AU$3:$EZ$104,98,TRUE)</f>
        <v>2</v>
      </c>
      <c r="FD100" s="50">
        <f>HLOOKUP(AL42,$AU$3:$EZ$104,98,TRUE)</f>
        <v>2</v>
      </c>
    </row>
    <row r="101" spans="45:160" ht="17.100000000000001" customHeight="1">
      <c r="AS101" s="69"/>
      <c r="AT101" s="104">
        <v>81.283000000000001</v>
      </c>
      <c r="AU101" s="8">
        <v>2</v>
      </c>
      <c r="AV101" s="8">
        <v>2</v>
      </c>
      <c r="AW101" s="8">
        <v>2</v>
      </c>
      <c r="AX101" s="8">
        <v>2</v>
      </c>
      <c r="AY101" s="8">
        <v>2</v>
      </c>
      <c r="AZ101" s="8">
        <v>2</v>
      </c>
      <c r="BA101" s="316">
        <v>2</v>
      </c>
      <c r="BB101" s="8">
        <v>2</v>
      </c>
      <c r="BC101" s="8">
        <v>2</v>
      </c>
      <c r="BD101" s="8">
        <v>2</v>
      </c>
      <c r="BE101" s="8">
        <v>2</v>
      </c>
      <c r="BF101" s="8">
        <v>2</v>
      </c>
      <c r="BG101" s="8">
        <v>2</v>
      </c>
      <c r="BH101" s="8">
        <v>2</v>
      </c>
      <c r="BI101" s="8">
        <v>2</v>
      </c>
      <c r="BJ101" s="8">
        <v>2</v>
      </c>
      <c r="BK101" s="8">
        <v>2</v>
      </c>
      <c r="BL101" s="8">
        <v>2</v>
      </c>
      <c r="BM101" s="8">
        <v>2</v>
      </c>
      <c r="BN101" s="8">
        <v>2</v>
      </c>
      <c r="BO101" s="8">
        <v>2</v>
      </c>
      <c r="BP101" s="8">
        <v>2</v>
      </c>
      <c r="BQ101" s="8">
        <v>2</v>
      </c>
      <c r="BR101" s="8">
        <v>2</v>
      </c>
      <c r="BS101" s="8">
        <v>2</v>
      </c>
      <c r="BT101" s="8">
        <v>2</v>
      </c>
      <c r="BU101" s="8">
        <v>2</v>
      </c>
      <c r="BV101" s="8">
        <v>2</v>
      </c>
      <c r="BW101" s="8">
        <v>2</v>
      </c>
      <c r="BX101" s="8">
        <v>2</v>
      </c>
      <c r="BY101" s="8">
        <v>2</v>
      </c>
      <c r="BZ101" s="8">
        <v>2</v>
      </c>
      <c r="CA101" s="8">
        <v>2</v>
      </c>
      <c r="CB101" s="8">
        <v>2</v>
      </c>
      <c r="CC101" s="8">
        <v>2</v>
      </c>
      <c r="CD101" s="8">
        <v>2</v>
      </c>
      <c r="CE101" s="8">
        <v>2</v>
      </c>
      <c r="CF101" s="8">
        <v>2</v>
      </c>
      <c r="CG101" s="8">
        <v>2</v>
      </c>
      <c r="CH101" s="8">
        <v>2</v>
      </c>
      <c r="CI101" s="8">
        <v>2</v>
      </c>
      <c r="CJ101" s="8">
        <v>2</v>
      </c>
      <c r="CK101" s="8">
        <v>2</v>
      </c>
      <c r="CL101" s="8">
        <v>2</v>
      </c>
      <c r="CM101" s="8">
        <v>2</v>
      </c>
      <c r="CN101" s="8">
        <v>2</v>
      </c>
      <c r="CO101" s="8">
        <v>2</v>
      </c>
      <c r="CP101" s="8">
        <v>2</v>
      </c>
      <c r="CQ101" s="8">
        <v>2</v>
      </c>
      <c r="CR101" s="8">
        <v>2</v>
      </c>
      <c r="CS101" s="8">
        <v>2</v>
      </c>
      <c r="CT101" s="8">
        <v>2</v>
      </c>
      <c r="CU101" s="8">
        <v>2</v>
      </c>
      <c r="CV101" s="8">
        <v>2</v>
      </c>
      <c r="CW101" s="8">
        <v>2</v>
      </c>
      <c r="CX101" s="8">
        <v>2</v>
      </c>
      <c r="CY101" s="8">
        <v>2</v>
      </c>
      <c r="CZ101" s="8">
        <v>2</v>
      </c>
      <c r="DA101" s="8">
        <v>2</v>
      </c>
      <c r="DB101" s="8">
        <v>2</v>
      </c>
      <c r="DC101" s="8">
        <v>2</v>
      </c>
      <c r="DD101" s="8">
        <v>2</v>
      </c>
      <c r="DE101" s="8">
        <v>2</v>
      </c>
      <c r="DF101" s="8">
        <v>2</v>
      </c>
      <c r="DG101" s="8">
        <v>2</v>
      </c>
      <c r="DH101" s="8">
        <v>2</v>
      </c>
      <c r="DI101" s="8">
        <v>2</v>
      </c>
      <c r="DJ101" s="8">
        <v>2</v>
      </c>
      <c r="DK101" s="8">
        <v>2</v>
      </c>
      <c r="DL101" s="8">
        <v>2</v>
      </c>
      <c r="DM101" s="8">
        <v>2</v>
      </c>
      <c r="DN101" s="8">
        <v>2</v>
      </c>
      <c r="DO101" s="8">
        <v>2</v>
      </c>
      <c r="DP101" s="8">
        <v>2</v>
      </c>
      <c r="DQ101" s="8">
        <v>2</v>
      </c>
      <c r="DR101" s="8">
        <v>2</v>
      </c>
      <c r="DS101" s="8">
        <v>2</v>
      </c>
      <c r="DT101" s="8">
        <v>2</v>
      </c>
      <c r="DU101" s="8">
        <v>2</v>
      </c>
      <c r="DV101" s="8">
        <v>2</v>
      </c>
      <c r="DW101" s="8">
        <v>2</v>
      </c>
      <c r="DX101" s="8">
        <v>2</v>
      </c>
      <c r="DY101" s="8">
        <v>2</v>
      </c>
      <c r="DZ101" s="8">
        <v>2</v>
      </c>
      <c r="EA101" s="8">
        <v>2</v>
      </c>
      <c r="EB101" s="8">
        <v>2</v>
      </c>
      <c r="EC101" s="8">
        <v>2</v>
      </c>
      <c r="ED101" s="8">
        <v>2</v>
      </c>
      <c r="EE101" s="8">
        <v>2</v>
      </c>
      <c r="EF101" s="8">
        <v>2</v>
      </c>
      <c r="EG101" s="8">
        <v>2</v>
      </c>
      <c r="EH101" s="8">
        <v>2</v>
      </c>
      <c r="EI101" s="8">
        <v>2</v>
      </c>
      <c r="EJ101" s="8">
        <v>2</v>
      </c>
      <c r="EK101" s="8">
        <v>2</v>
      </c>
      <c r="EL101" s="8">
        <v>2</v>
      </c>
      <c r="EM101" s="8">
        <v>2</v>
      </c>
      <c r="EN101" s="8">
        <v>2</v>
      </c>
      <c r="EO101" s="8">
        <v>2</v>
      </c>
      <c r="EP101" s="8">
        <v>2</v>
      </c>
      <c r="EQ101" s="8">
        <v>2</v>
      </c>
      <c r="ER101" s="8">
        <v>2</v>
      </c>
      <c r="ES101" s="8">
        <v>2</v>
      </c>
      <c r="ET101" s="8">
        <v>2</v>
      </c>
      <c r="EU101" s="8">
        <v>2</v>
      </c>
      <c r="EV101" s="8">
        <v>2</v>
      </c>
      <c r="EW101" s="8">
        <v>2</v>
      </c>
      <c r="EX101" s="8">
        <v>2</v>
      </c>
      <c r="EY101" s="8">
        <v>2</v>
      </c>
      <c r="EZ101" s="8">
        <v>2</v>
      </c>
      <c r="FB101" s="50">
        <f>HLOOKUP(M16,$AU$3:$EZ$104,99,TRUE)</f>
        <v>2</v>
      </c>
      <c r="FD101" s="50">
        <f>HLOOKUP(AL42,$AU$3:$EZ$104,99,TRUE)</f>
        <v>2</v>
      </c>
    </row>
    <row r="102" spans="45:160" ht="17.100000000000001" customHeight="1">
      <c r="AS102" s="69"/>
      <c r="AT102" s="104">
        <v>87.096000000000004</v>
      </c>
      <c r="AU102" s="8">
        <v>2</v>
      </c>
      <c r="AV102" s="8">
        <v>2</v>
      </c>
      <c r="AW102" s="8">
        <v>2</v>
      </c>
      <c r="AX102" s="8">
        <v>2</v>
      </c>
      <c r="AY102" s="8">
        <v>2</v>
      </c>
      <c r="AZ102" s="8">
        <v>2</v>
      </c>
      <c r="BA102" s="316">
        <v>2</v>
      </c>
      <c r="BB102" s="8">
        <v>2</v>
      </c>
      <c r="BC102" s="8">
        <v>2</v>
      </c>
      <c r="BD102" s="8">
        <v>2</v>
      </c>
      <c r="BE102" s="8">
        <v>2</v>
      </c>
      <c r="BF102" s="8">
        <v>2</v>
      </c>
      <c r="BG102" s="8">
        <v>2</v>
      </c>
      <c r="BH102" s="8">
        <v>2</v>
      </c>
      <c r="BI102" s="8">
        <v>2</v>
      </c>
      <c r="BJ102" s="8">
        <v>2</v>
      </c>
      <c r="BK102" s="8">
        <v>2</v>
      </c>
      <c r="BL102" s="8">
        <v>2</v>
      </c>
      <c r="BM102" s="8">
        <v>2</v>
      </c>
      <c r="BN102" s="8">
        <v>2</v>
      </c>
      <c r="BO102" s="8">
        <v>2</v>
      </c>
      <c r="BP102" s="8">
        <v>2</v>
      </c>
      <c r="BQ102" s="8">
        <v>2</v>
      </c>
      <c r="BR102" s="8">
        <v>2</v>
      </c>
      <c r="BS102" s="8">
        <v>2</v>
      </c>
      <c r="BT102" s="8">
        <v>2</v>
      </c>
      <c r="BU102" s="8">
        <v>2</v>
      </c>
      <c r="BV102" s="8">
        <v>2</v>
      </c>
      <c r="BW102" s="8">
        <v>2</v>
      </c>
      <c r="BX102" s="8">
        <v>2</v>
      </c>
      <c r="BY102" s="8">
        <v>2</v>
      </c>
      <c r="BZ102" s="8">
        <v>2</v>
      </c>
      <c r="CA102" s="8">
        <v>2</v>
      </c>
      <c r="CB102" s="8">
        <v>2</v>
      </c>
      <c r="CC102" s="8">
        <v>2</v>
      </c>
      <c r="CD102" s="8">
        <v>2</v>
      </c>
      <c r="CE102" s="8">
        <v>2</v>
      </c>
      <c r="CF102" s="8">
        <v>2</v>
      </c>
      <c r="CG102" s="8">
        <v>2</v>
      </c>
      <c r="CH102" s="8">
        <v>2</v>
      </c>
      <c r="CI102" s="8">
        <v>2</v>
      </c>
      <c r="CJ102" s="8">
        <v>2</v>
      </c>
      <c r="CK102" s="8">
        <v>2</v>
      </c>
      <c r="CL102" s="8">
        <v>2</v>
      </c>
      <c r="CM102" s="8">
        <v>2</v>
      </c>
      <c r="CN102" s="8">
        <v>2</v>
      </c>
      <c r="CO102" s="8">
        <v>2</v>
      </c>
      <c r="CP102" s="8">
        <v>2</v>
      </c>
      <c r="CQ102" s="8">
        <v>2</v>
      </c>
      <c r="CR102" s="8">
        <v>2</v>
      </c>
      <c r="CS102" s="8">
        <v>2</v>
      </c>
      <c r="CT102" s="8">
        <v>2</v>
      </c>
      <c r="CU102" s="8">
        <v>2</v>
      </c>
      <c r="CV102" s="8">
        <v>2</v>
      </c>
      <c r="CW102" s="8">
        <v>2</v>
      </c>
      <c r="CX102" s="8">
        <v>2</v>
      </c>
      <c r="CY102" s="8">
        <v>2</v>
      </c>
      <c r="CZ102" s="8">
        <v>2</v>
      </c>
      <c r="DA102" s="8">
        <v>2</v>
      </c>
      <c r="DB102" s="8">
        <v>2</v>
      </c>
      <c r="DC102" s="8">
        <v>2</v>
      </c>
      <c r="DD102" s="8">
        <v>2</v>
      </c>
      <c r="DE102" s="8">
        <v>2</v>
      </c>
      <c r="DF102" s="8">
        <v>2</v>
      </c>
      <c r="DG102" s="8">
        <v>2</v>
      </c>
      <c r="DH102" s="8">
        <v>2</v>
      </c>
      <c r="DI102" s="8">
        <v>2</v>
      </c>
      <c r="DJ102" s="8">
        <v>2</v>
      </c>
      <c r="DK102" s="8">
        <v>2</v>
      </c>
      <c r="DL102" s="8">
        <v>2</v>
      </c>
      <c r="DM102" s="8">
        <v>2</v>
      </c>
      <c r="DN102" s="8">
        <v>2</v>
      </c>
      <c r="DO102" s="8">
        <v>2</v>
      </c>
      <c r="DP102" s="8">
        <v>2</v>
      </c>
      <c r="DQ102" s="8">
        <v>2</v>
      </c>
      <c r="DR102" s="8">
        <v>2</v>
      </c>
      <c r="DS102" s="8">
        <v>2</v>
      </c>
      <c r="DT102" s="8">
        <v>2</v>
      </c>
      <c r="DU102" s="8">
        <v>2</v>
      </c>
      <c r="DV102" s="8">
        <v>2</v>
      </c>
      <c r="DW102" s="8">
        <v>2</v>
      </c>
      <c r="DX102" s="8">
        <v>2</v>
      </c>
      <c r="DY102" s="8">
        <v>2</v>
      </c>
      <c r="DZ102" s="8">
        <v>2</v>
      </c>
      <c r="EA102" s="8">
        <v>2</v>
      </c>
      <c r="EB102" s="8">
        <v>2</v>
      </c>
      <c r="EC102" s="8">
        <v>2</v>
      </c>
      <c r="ED102" s="8">
        <v>2</v>
      </c>
      <c r="EE102" s="8">
        <v>2</v>
      </c>
      <c r="EF102" s="8">
        <v>2</v>
      </c>
      <c r="EG102" s="8">
        <v>2</v>
      </c>
      <c r="EH102" s="8">
        <v>2</v>
      </c>
      <c r="EI102" s="8">
        <v>2</v>
      </c>
      <c r="EJ102" s="8">
        <v>2</v>
      </c>
      <c r="EK102" s="8">
        <v>2</v>
      </c>
      <c r="EL102" s="8">
        <v>2</v>
      </c>
      <c r="EM102" s="8">
        <v>2</v>
      </c>
      <c r="EN102" s="8">
        <v>2</v>
      </c>
      <c r="EO102" s="8">
        <v>2</v>
      </c>
      <c r="EP102" s="8">
        <v>2</v>
      </c>
      <c r="EQ102" s="8">
        <v>2</v>
      </c>
      <c r="ER102" s="8">
        <v>2</v>
      </c>
      <c r="ES102" s="8">
        <v>2</v>
      </c>
      <c r="ET102" s="8">
        <v>2</v>
      </c>
      <c r="EU102" s="8">
        <v>2</v>
      </c>
      <c r="EV102" s="8">
        <v>2</v>
      </c>
      <c r="EW102" s="8">
        <v>2</v>
      </c>
      <c r="EX102" s="8">
        <v>2</v>
      </c>
      <c r="EY102" s="8">
        <v>2</v>
      </c>
      <c r="EZ102" s="8">
        <v>2</v>
      </c>
      <c r="FB102" s="50">
        <f>HLOOKUP(M16,$AU$3:$EZ$104,100,TRUE)</f>
        <v>2</v>
      </c>
      <c r="FD102" s="50">
        <f>HLOOKUP(AL42,$AU$3:$EZ$104,100,TRUE)</f>
        <v>2</v>
      </c>
    </row>
    <row r="103" spans="45:160" ht="17.100000000000001" customHeight="1">
      <c r="AS103" s="69"/>
      <c r="AT103" s="104">
        <v>93.325000000000003</v>
      </c>
      <c r="AU103" s="8">
        <v>2</v>
      </c>
      <c r="AV103" s="8">
        <v>2</v>
      </c>
      <c r="AW103" s="8">
        <v>2</v>
      </c>
      <c r="AX103" s="8">
        <v>2</v>
      </c>
      <c r="AY103" s="8">
        <v>2</v>
      </c>
      <c r="AZ103" s="8">
        <v>2</v>
      </c>
      <c r="BA103" s="316">
        <v>2</v>
      </c>
      <c r="BB103" s="8">
        <v>2</v>
      </c>
      <c r="BC103" s="8">
        <v>2</v>
      </c>
      <c r="BD103" s="8">
        <v>2</v>
      </c>
      <c r="BE103" s="8">
        <v>2</v>
      </c>
      <c r="BF103" s="8">
        <v>2</v>
      </c>
      <c r="BG103" s="8">
        <v>2</v>
      </c>
      <c r="BH103" s="8">
        <v>2</v>
      </c>
      <c r="BI103" s="8">
        <v>2</v>
      </c>
      <c r="BJ103" s="8">
        <v>2</v>
      </c>
      <c r="BK103" s="8">
        <v>2</v>
      </c>
      <c r="BL103" s="8">
        <v>2</v>
      </c>
      <c r="BM103" s="8">
        <v>2</v>
      </c>
      <c r="BN103" s="8">
        <v>2</v>
      </c>
      <c r="BO103" s="8">
        <v>2</v>
      </c>
      <c r="BP103" s="8">
        <v>2</v>
      </c>
      <c r="BQ103" s="8">
        <v>2</v>
      </c>
      <c r="BR103" s="8">
        <v>2</v>
      </c>
      <c r="BS103" s="8">
        <v>2</v>
      </c>
      <c r="BT103" s="8">
        <v>2</v>
      </c>
      <c r="BU103" s="8">
        <v>2</v>
      </c>
      <c r="BV103" s="8">
        <v>2</v>
      </c>
      <c r="BW103" s="8">
        <v>2</v>
      </c>
      <c r="BX103" s="8">
        <v>2</v>
      </c>
      <c r="BY103" s="8">
        <v>2</v>
      </c>
      <c r="BZ103" s="8">
        <v>2</v>
      </c>
      <c r="CA103" s="8">
        <v>2</v>
      </c>
      <c r="CB103" s="8">
        <v>2</v>
      </c>
      <c r="CC103" s="8">
        <v>2</v>
      </c>
      <c r="CD103" s="8">
        <v>2</v>
      </c>
      <c r="CE103" s="8">
        <v>2</v>
      </c>
      <c r="CF103" s="8">
        <v>2</v>
      </c>
      <c r="CG103" s="8">
        <v>2</v>
      </c>
      <c r="CH103" s="8">
        <v>2</v>
      </c>
      <c r="CI103" s="8">
        <v>2</v>
      </c>
      <c r="CJ103" s="8">
        <v>2</v>
      </c>
      <c r="CK103" s="8">
        <v>2</v>
      </c>
      <c r="CL103" s="8">
        <v>2</v>
      </c>
      <c r="CM103" s="8">
        <v>2</v>
      </c>
      <c r="CN103" s="8">
        <v>2</v>
      </c>
      <c r="CO103" s="8">
        <v>2</v>
      </c>
      <c r="CP103" s="8">
        <v>2</v>
      </c>
      <c r="CQ103" s="8">
        <v>2</v>
      </c>
      <c r="CR103" s="8">
        <v>2</v>
      </c>
      <c r="CS103" s="8">
        <v>2</v>
      </c>
      <c r="CT103" s="8">
        <v>2</v>
      </c>
      <c r="CU103" s="8">
        <v>2</v>
      </c>
      <c r="CV103" s="8">
        <v>2</v>
      </c>
      <c r="CW103" s="8">
        <v>2</v>
      </c>
      <c r="CX103" s="8">
        <v>2</v>
      </c>
      <c r="CY103" s="8">
        <v>2</v>
      </c>
      <c r="CZ103" s="8">
        <v>2</v>
      </c>
      <c r="DA103" s="8">
        <v>2</v>
      </c>
      <c r="DB103" s="8">
        <v>2</v>
      </c>
      <c r="DC103" s="8">
        <v>2</v>
      </c>
      <c r="DD103" s="8">
        <v>2</v>
      </c>
      <c r="DE103" s="8">
        <v>2</v>
      </c>
      <c r="DF103" s="8">
        <v>2</v>
      </c>
      <c r="DG103" s="8">
        <v>2</v>
      </c>
      <c r="DH103" s="8">
        <v>2</v>
      </c>
      <c r="DI103" s="8">
        <v>2</v>
      </c>
      <c r="DJ103" s="8">
        <v>2</v>
      </c>
      <c r="DK103" s="8">
        <v>2</v>
      </c>
      <c r="DL103" s="8">
        <v>2</v>
      </c>
      <c r="DM103" s="8">
        <v>2</v>
      </c>
      <c r="DN103" s="8">
        <v>2</v>
      </c>
      <c r="DO103" s="8">
        <v>2</v>
      </c>
      <c r="DP103" s="8">
        <v>2</v>
      </c>
      <c r="DQ103" s="8">
        <v>2</v>
      </c>
      <c r="DR103" s="8">
        <v>2</v>
      </c>
      <c r="DS103" s="8">
        <v>2</v>
      </c>
      <c r="DT103" s="8">
        <v>2</v>
      </c>
      <c r="DU103" s="8">
        <v>2</v>
      </c>
      <c r="DV103" s="8">
        <v>2</v>
      </c>
      <c r="DW103" s="8">
        <v>2</v>
      </c>
      <c r="DX103" s="8">
        <v>2</v>
      </c>
      <c r="DY103" s="8">
        <v>2</v>
      </c>
      <c r="DZ103" s="8">
        <v>2</v>
      </c>
      <c r="EA103" s="8">
        <v>2</v>
      </c>
      <c r="EB103" s="8">
        <v>2</v>
      </c>
      <c r="EC103" s="8">
        <v>2</v>
      </c>
      <c r="ED103" s="8">
        <v>2</v>
      </c>
      <c r="EE103" s="8">
        <v>2</v>
      </c>
      <c r="EF103" s="8">
        <v>2</v>
      </c>
      <c r="EG103" s="8">
        <v>2</v>
      </c>
      <c r="EH103" s="8">
        <v>2</v>
      </c>
      <c r="EI103" s="8">
        <v>2</v>
      </c>
      <c r="EJ103" s="8">
        <v>2</v>
      </c>
      <c r="EK103" s="8">
        <v>2</v>
      </c>
      <c r="EL103" s="8">
        <v>2</v>
      </c>
      <c r="EM103" s="8">
        <v>2</v>
      </c>
      <c r="EN103" s="8">
        <v>2</v>
      </c>
      <c r="EO103" s="8">
        <v>2</v>
      </c>
      <c r="EP103" s="8">
        <v>2</v>
      </c>
      <c r="EQ103" s="8">
        <v>2</v>
      </c>
      <c r="ER103" s="8">
        <v>2</v>
      </c>
      <c r="ES103" s="8">
        <v>2</v>
      </c>
      <c r="ET103" s="8">
        <v>2</v>
      </c>
      <c r="EU103" s="8">
        <v>2</v>
      </c>
      <c r="EV103" s="8">
        <v>2</v>
      </c>
      <c r="EW103" s="8">
        <v>2</v>
      </c>
      <c r="EX103" s="8">
        <v>2</v>
      </c>
      <c r="EY103" s="8">
        <v>2</v>
      </c>
      <c r="EZ103" s="8">
        <v>2</v>
      </c>
      <c r="FB103" s="50">
        <f>HLOOKUP(M16,$AU$3:$EZ$104,101,TRUE)</f>
        <v>2</v>
      </c>
      <c r="FD103" s="50">
        <f>HLOOKUP(AL42,$AU$3:$EZ$104,101,TRUE)</f>
        <v>2</v>
      </c>
    </row>
    <row r="104" spans="45:160" ht="17.100000000000001" customHeight="1" thickBot="1">
      <c r="AS104" s="74"/>
      <c r="AT104" s="107">
        <v>100</v>
      </c>
      <c r="AU104" s="8">
        <v>2</v>
      </c>
      <c r="AV104" s="8">
        <v>2</v>
      </c>
      <c r="AW104" s="8">
        <v>2</v>
      </c>
      <c r="AX104" s="8">
        <v>2</v>
      </c>
      <c r="AY104" s="8">
        <v>2</v>
      </c>
      <c r="AZ104" s="8">
        <v>2</v>
      </c>
      <c r="BA104" s="316">
        <v>2</v>
      </c>
      <c r="BB104" s="8">
        <v>2</v>
      </c>
      <c r="BC104" s="8">
        <v>2</v>
      </c>
      <c r="BD104" s="8">
        <v>2</v>
      </c>
      <c r="BE104" s="8">
        <v>2</v>
      </c>
      <c r="BF104" s="8">
        <v>2</v>
      </c>
      <c r="BG104" s="8">
        <v>2</v>
      </c>
      <c r="BH104" s="8">
        <v>2</v>
      </c>
      <c r="BI104" s="8">
        <v>2</v>
      </c>
      <c r="BJ104" s="8">
        <v>2</v>
      </c>
      <c r="BK104" s="8">
        <v>2</v>
      </c>
      <c r="BL104" s="8">
        <v>2</v>
      </c>
      <c r="BM104" s="8">
        <v>2</v>
      </c>
      <c r="BN104" s="8">
        <v>2</v>
      </c>
      <c r="BO104" s="8">
        <v>2</v>
      </c>
      <c r="BP104" s="8">
        <v>2</v>
      </c>
      <c r="BQ104" s="8">
        <v>2</v>
      </c>
      <c r="BR104" s="8">
        <v>2</v>
      </c>
      <c r="BS104" s="8">
        <v>2</v>
      </c>
      <c r="BT104" s="8">
        <v>2</v>
      </c>
      <c r="BU104" s="8">
        <v>2</v>
      </c>
      <c r="BV104" s="8">
        <v>2</v>
      </c>
      <c r="BW104" s="8">
        <v>2</v>
      </c>
      <c r="BX104" s="8">
        <v>2</v>
      </c>
      <c r="BY104" s="8">
        <v>2</v>
      </c>
      <c r="BZ104" s="8">
        <v>2</v>
      </c>
      <c r="CA104" s="8">
        <v>2</v>
      </c>
      <c r="CB104" s="8">
        <v>2</v>
      </c>
      <c r="CC104" s="8">
        <v>2</v>
      </c>
      <c r="CD104" s="8">
        <v>2</v>
      </c>
      <c r="CE104" s="8">
        <v>2</v>
      </c>
      <c r="CF104" s="8">
        <v>2</v>
      </c>
      <c r="CG104" s="8">
        <v>2</v>
      </c>
      <c r="CH104" s="8">
        <v>2</v>
      </c>
      <c r="CI104" s="8">
        <v>2</v>
      </c>
      <c r="CJ104" s="8">
        <v>2</v>
      </c>
      <c r="CK104" s="8">
        <v>2</v>
      </c>
      <c r="CL104" s="8">
        <v>2</v>
      </c>
      <c r="CM104" s="8">
        <v>2</v>
      </c>
      <c r="CN104" s="8">
        <v>2</v>
      </c>
      <c r="CO104" s="8">
        <v>2</v>
      </c>
      <c r="CP104" s="8">
        <v>2</v>
      </c>
      <c r="CQ104" s="8">
        <v>2</v>
      </c>
      <c r="CR104" s="8">
        <v>2</v>
      </c>
      <c r="CS104" s="8">
        <v>2</v>
      </c>
      <c r="CT104" s="8">
        <v>2</v>
      </c>
      <c r="CU104" s="8">
        <v>2</v>
      </c>
      <c r="CV104" s="8">
        <v>2</v>
      </c>
      <c r="CW104" s="8">
        <v>2</v>
      </c>
      <c r="CX104" s="8">
        <v>2</v>
      </c>
      <c r="CY104" s="8">
        <v>2</v>
      </c>
      <c r="CZ104" s="8">
        <v>2</v>
      </c>
      <c r="DA104" s="8">
        <v>2</v>
      </c>
      <c r="DB104" s="8">
        <v>2</v>
      </c>
      <c r="DC104" s="8">
        <v>2</v>
      </c>
      <c r="DD104" s="8">
        <v>2</v>
      </c>
      <c r="DE104" s="8">
        <v>2</v>
      </c>
      <c r="DF104" s="8">
        <v>2</v>
      </c>
      <c r="DG104" s="8">
        <v>2</v>
      </c>
      <c r="DH104" s="8">
        <v>2</v>
      </c>
      <c r="DI104" s="8">
        <v>2</v>
      </c>
      <c r="DJ104" s="8">
        <v>2</v>
      </c>
      <c r="DK104" s="8">
        <v>2</v>
      </c>
      <c r="DL104" s="8">
        <v>2</v>
      </c>
      <c r="DM104" s="8">
        <v>2</v>
      </c>
      <c r="DN104" s="8">
        <v>2</v>
      </c>
      <c r="DO104" s="8">
        <v>2</v>
      </c>
      <c r="DP104" s="8">
        <v>2</v>
      </c>
      <c r="DQ104" s="8">
        <v>2</v>
      </c>
      <c r="DR104" s="8">
        <v>2</v>
      </c>
      <c r="DS104" s="8">
        <v>2</v>
      </c>
      <c r="DT104" s="8">
        <v>2</v>
      </c>
      <c r="DU104" s="8">
        <v>2</v>
      </c>
      <c r="DV104" s="8">
        <v>2</v>
      </c>
      <c r="DW104" s="8">
        <v>2</v>
      </c>
      <c r="DX104" s="8">
        <v>2</v>
      </c>
      <c r="DY104" s="8">
        <v>2</v>
      </c>
      <c r="DZ104" s="8">
        <v>2</v>
      </c>
      <c r="EA104" s="8">
        <v>2</v>
      </c>
      <c r="EB104" s="8">
        <v>2</v>
      </c>
      <c r="EC104" s="8">
        <v>2</v>
      </c>
      <c r="ED104" s="8">
        <v>2</v>
      </c>
      <c r="EE104" s="8">
        <v>2</v>
      </c>
      <c r="EF104" s="8">
        <v>2</v>
      </c>
      <c r="EG104" s="8">
        <v>2</v>
      </c>
      <c r="EH104" s="8">
        <v>2</v>
      </c>
      <c r="EI104" s="8">
        <v>2</v>
      </c>
      <c r="EJ104" s="8">
        <v>2</v>
      </c>
      <c r="EK104" s="8">
        <v>2</v>
      </c>
      <c r="EL104" s="8">
        <v>2</v>
      </c>
      <c r="EM104" s="8">
        <v>2</v>
      </c>
      <c r="EN104" s="8">
        <v>2</v>
      </c>
      <c r="EO104" s="8">
        <v>2</v>
      </c>
      <c r="EP104" s="8">
        <v>2</v>
      </c>
      <c r="EQ104" s="8">
        <v>2</v>
      </c>
      <c r="ER104" s="8">
        <v>2</v>
      </c>
      <c r="ES104" s="8">
        <v>2</v>
      </c>
      <c r="ET104" s="8">
        <v>2</v>
      </c>
      <c r="EU104" s="8">
        <v>2</v>
      </c>
      <c r="EV104" s="8">
        <v>2</v>
      </c>
      <c r="EW104" s="8">
        <v>2</v>
      </c>
      <c r="EX104" s="8">
        <v>2</v>
      </c>
      <c r="EY104" s="8">
        <v>2</v>
      </c>
      <c r="EZ104" s="8">
        <v>2</v>
      </c>
      <c r="FB104" s="50">
        <f>HLOOKUP(M16,$AU$3:$EZ$104,102,TRUE)</f>
        <v>2</v>
      </c>
      <c r="FD104" s="50">
        <f>HLOOKUP(AL42,$AU$3:$EZ$104,102,TRUE)</f>
        <v>2</v>
      </c>
    </row>
    <row r="105" spans="45:160" ht="17.100000000000001" customHeight="1">
      <c r="EB105" s="8"/>
      <c r="EC105" s="8"/>
      <c r="ED105" s="8"/>
      <c r="EE105" s="8"/>
      <c r="EF105" s="8"/>
      <c r="EG105" s="8"/>
      <c r="EH105" s="8"/>
      <c r="EN105" s="8"/>
      <c r="EO105" s="8"/>
      <c r="EP105" s="8"/>
      <c r="EQ105" s="8"/>
      <c r="ER105" s="8"/>
      <c r="ES105" s="8"/>
      <c r="ET105" s="8"/>
      <c r="EU105" s="8"/>
      <c r="EV105" s="8"/>
      <c r="EW105" s="8"/>
      <c r="EX105" s="8"/>
      <c r="EY105" s="8"/>
      <c r="FD105" s="43"/>
    </row>
    <row r="106" spans="45:160" ht="17.100000000000001" customHeight="1">
      <c r="EC106" s="8"/>
      <c r="ED106" s="8"/>
      <c r="EE106" s="8"/>
      <c r="EF106" s="8"/>
      <c r="EG106" s="8"/>
      <c r="EH106" s="8"/>
      <c r="EO106" s="8"/>
      <c r="EP106" s="8"/>
      <c r="EQ106" s="8"/>
      <c r="ER106" s="8"/>
      <c r="ES106" s="8"/>
      <c r="ET106" s="8"/>
      <c r="EU106" s="8"/>
      <c r="EV106" s="8"/>
      <c r="EW106" s="8"/>
      <c r="EX106" s="8"/>
      <c r="EY106" s="8"/>
      <c r="FD106" s="43"/>
    </row>
    <row r="107" spans="45:160" ht="17.100000000000001" customHeight="1">
      <c r="ED107" s="8"/>
      <c r="EE107" s="8"/>
      <c r="EF107" s="8"/>
      <c r="EG107" s="8"/>
      <c r="EH107" s="8"/>
      <c r="EP107" s="8"/>
      <c r="EQ107" s="8"/>
      <c r="ER107" s="8"/>
      <c r="ES107" s="8"/>
      <c r="ET107" s="8"/>
      <c r="EU107" s="8"/>
      <c r="EV107" s="8"/>
      <c r="EW107" s="8"/>
      <c r="EX107" s="8"/>
      <c r="EY107" s="8"/>
      <c r="FD107" s="43"/>
    </row>
    <row r="108" spans="45:160" ht="17.100000000000001" customHeight="1">
      <c r="EE108" s="8"/>
      <c r="EF108" s="8"/>
      <c r="EG108" s="8"/>
      <c r="EH108" s="8"/>
      <c r="EQ108" s="8"/>
      <c r="ER108" s="8"/>
      <c r="ES108" s="8"/>
      <c r="ET108" s="8"/>
      <c r="EU108" s="8"/>
      <c r="EV108" s="8"/>
      <c r="EW108" s="8"/>
      <c r="EX108" s="8"/>
      <c r="EY108" s="8"/>
      <c r="FD108" s="43"/>
    </row>
    <row r="109" spans="45:160" ht="17.100000000000001" customHeight="1">
      <c r="AT109" s="44" t="s">
        <v>214</v>
      </c>
      <c r="EF109" s="8"/>
      <c r="EG109" s="8"/>
      <c r="EH109" s="8"/>
      <c r="ES109" s="8"/>
      <c r="ET109" s="8"/>
      <c r="EU109" s="8"/>
      <c r="EV109" s="8"/>
      <c r="EW109" s="8"/>
      <c r="EX109" s="8"/>
      <c r="EY109" s="8"/>
      <c r="FD109" s="43"/>
    </row>
    <row r="110" spans="45:160" ht="17.100000000000001" customHeight="1">
      <c r="EF110" s="8"/>
      <c r="EG110" s="8"/>
      <c r="EH110" s="8"/>
      <c r="ET110" s="8"/>
      <c r="EU110" s="8"/>
      <c r="EV110" s="8"/>
      <c r="EW110" s="8"/>
      <c r="EX110" s="8"/>
      <c r="EY110" s="8"/>
      <c r="FD110" s="43"/>
    </row>
    <row r="111" spans="45:160" ht="17.100000000000001" customHeight="1">
      <c r="AT111" s="113" t="s">
        <v>195</v>
      </c>
      <c r="FD111" s="43"/>
    </row>
    <row r="112" spans="45:160" ht="17.100000000000001" customHeight="1">
      <c r="AT112" s="112"/>
      <c r="AU112" s="112">
        <v>2</v>
      </c>
      <c r="AV112" s="112">
        <v>2.0939999999999999</v>
      </c>
      <c r="AW112" s="112">
        <v>2.1930000000000001</v>
      </c>
      <c r="AX112" s="112">
        <v>2.2959999999999998</v>
      </c>
      <c r="AY112" s="112">
        <v>2.4049999999999998</v>
      </c>
      <c r="AZ112" s="112">
        <v>2.5179999999999998</v>
      </c>
      <c r="BA112" s="334">
        <v>2.637</v>
      </c>
      <c r="BB112" s="112">
        <v>2.7610000000000001</v>
      </c>
      <c r="BC112" s="112">
        <v>2.891</v>
      </c>
      <c r="BD112" s="112">
        <v>3.0270000000000001</v>
      </c>
      <c r="BE112" s="112">
        <v>3.17</v>
      </c>
      <c r="BF112" s="112">
        <v>3.319</v>
      </c>
      <c r="BG112" s="112">
        <v>3.476</v>
      </c>
      <c r="BH112" s="112">
        <v>3.6389999999999998</v>
      </c>
      <c r="BI112" s="112">
        <v>3.8109999999999999</v>
      </c>
      <c r="BJ112" s="112">
        <v>3.9910000000000001</v>
      </c>
      <c r="BK112" s="112">
        <v>4.1790000000000003</v>
      </c>
      <c r="BL112" s="112">
        <v>4.3760000000000003</v>
      </c>
      <c r="BM112" s="112">
        <v>4.5819999999999999</v>
      </c>
      <c r="BN112" s="112">
        <v>4.798</v>
      </c>
      <c r="BO112" s="112">
        <v>5.024</v>
      </c>
      <c r="BP112" s="112">
        <v>5.2610000000000001</v>
      </c>
      <c r="BQ112" s="112">
        <v>5.508</v>
      </c>
      <c r="BR112" s="112">
        <v>5.7679999999999998</v>
      </c>
      <c r="BS112" s="112">
        <v>6.04</v>
      </c>
      <c r="BT112" s="112">
        <v>6.3250000000000002</v>
      </c>
      <c r="BU112" s="112">
        <v>6.6230000000000002</v>
      </c>
      <c r="BV112" s="112">
        <v>6.9349999999999996</v>
      </c>
      <c r="BW112" s="112">
        <v>7.2619999999999996</v>
      </c>
      <c r="BX112" s="112">
        <v>7.6040000000000001</v>
      </c>
      <c r="BY112" s="112">
        <v>7.9619999999999997</v>
      </c>
      <c r="BZ112" s="112">
        <v>8.3369999999999997</v>
      </c>
      <c r="CA112" s="112">
        <v>8.73</v>
      </c>
      <c r="CB112" s="112">
        <v>9.1419999999999995</v>
      </c>
      <c r="CC112" s="112">
        <v>9.5730000000000004</v>
      </c>
      <c r="CD112" s="112">
        <v>10.023999999999999</v>
      </c>
      <c r="CE112" s="112">
        <v>10.496</v>
      </c>
      <c r="CF112" s="112">
        <v>10.991</v>
      </c>
      <c r="CG112" s="112">
        <v>11.509</v>
      </c>
      <c r="CH112" s="112">
        <v>12.051</v>
      </c>
      <c r="CI112" s="112">
        <v>12.619</v>
      </c>
      <c r="CJ112" s="112">
        <v>13.214</v>
      </c>
      <c r="CK112" s="112">
        <v>13.837</v>
      </c>
      <c r="CL112" s="112">
        <v>14.489000000000001</v>
      </c>
      <c r="CM112" s="112">
        <v>15.172000000000001</v>
      </c>
      <c r="CN112" s="112">
        <v>15.887</v>
      </c>
      <c r="CO112" s="112">
        <v>16.635000000000002</v>
      </c>
      <c r="CP112" s="112">
        <v>17.419</v>
      </c>
      <c r="CQ112" s="112">
        <v>18.239999999999998</v>
      </c>
      <c r="CR112" s="112">
        <v>19.100000000000001</v>
      </c>
      <c r="CS112" s="112">
        <v>20</v>
      </c>
      <c r="CT112" s="112">
        <v>20.943000000000001</v>
      </c>
      <c r="CU112" s="112">
        <v>21.93</v>
      </c>
      <c r="CV112" s="112">
        <v>22.963000000000001</v>
      </c>
      <c r="CW112" s="112">
        <v>24.045000000000002</v>
      </c>
      <c r="CX112" s="112">
        <v>25.178999999999998</v>
      </c>
      <c r="CY112" s="112">
        <v>26.364999999999998</v>
      </c>
      <c r="CZ112" s="112">
        <v>27.608000000000001</v>
      </c>
      <c r="DA112" s="112">
        <v>28.908999999999999</v>
      </c>
      <c r="DB112" s="112">
        <v>30.271000000000001</v>
      </c>
      <c r="DC112" s="112">
        <v>31.698</v>
      </c>
      <c r="DD112" s="112">
        <v>33.192</v>
      </c>
      <c r="DE112" s="112">
        <v>34.756</v>
      </c>
      <c r="DF112" s="112">
        <v>36.393999999999998</v>
      </c>
      <c r="DG112" s="112">
        <v>38.109000000000002</v>
      </c>
      <c r="DH112" s="112">
        <v>39.905000000000001</v>
      </c>
      <c r="DI112" s="112">
        <v>41.786000000000001</v>
      </c>
      <c r="DJ112" s="112">
        <v>43.755000000000003</v>
      </c>
      <c r="DK112" s="112">
        <v>45.817</v>
      </c>
      <c r="DL112" s="112">
        <v>47.976999999999997</v>
      </c>
      <c r="DM112" s="112">
        <v>50.238</v>
      </c>
      <c r="DN112" s="112">
        <v>52.604999999999997</v>
      </c>
      <c r="DO112" s="112">
        <v>55.085000000000001</v>
      </c>
      <c r="DP112" s="112">
        <v>57.680999999999997</v>
      </c>
      <c r="DQ112" s="112">
        <v>60.399000000000001</v>
      </c>
      <c r="DR112" s="112">
        <v>63.246000000000002</v>
      </c>
      <c r="DS112" s="112">
        <v>66.225999999999999</v>
      </c>
      <c r="DT112" s="112">
        <v>69.346999999999994</v>
      </c>
      <c r="DU112" s="112">
        <v>72.616</v>
      </c>
      <c r="DV112" s="112">
        <v>76.037999999999997</v>
      </c>
      <c r="DW112" s="112">
        <v>79.620999999999995</v>
      </c>
      <c r="DX112" s="112">
        <v>83.373999999999995</v>
      </c>
      <c r="DY112" s="112">
        <v>87.302999999999997</v>
      </c>
      <c r="DZ112" s="112">
        <v>91.418000000000006</v>
      </c>
      <c r="EA112" s="112">
        <v>95.725999999999999</v>
      </c>
      <c r="EB112" s="112">
        <v>100.23699999999999</v>
      </c>
      <c r="EC112" s="112">
        <v>104.961</v>
      </c>
      <c r="ED112" s="112">
        <v>109.908</v>
      </c>
      <c r="EE112" s="112">
        <v>115.08799999999999</v>
      </c>
      <c r="EF112" s="112">
        <v>120.512</v>
      </c>
      <c r="EG112" s="112">
        <v>126.191</v>
      </c>
      <c r="EH112" s="112">
        <v>132.13900000000001</v>
      </c>
      <c r="EI112" s="112">
        <v>138.36600000000001</v>
      </c>
      <c r="EJ112" s="112">
        <v>144.887</v>
      </c>
      <c r="EK112" s="112">
        <v>151.71600000000001</v>
      </c>
      <c r="EL112" s="112">
        <v>158.86600000000001</v>
      </c>
      <c r="EM112" s="112">
        <v>166.35300000000001</v>
      </c>
      <c r="EN112" s="112">
        <v>174.19300000000001</v>
      </c>
      <c r="EO112" s="112">
        <v>182.40199999999999</v>
      </c>
      <c r="EP112" s="112">
        <v>190.999</v>
      </c>
      <c r="EQ112" s="112">
        <v>200</v>
      </c>
      <c r="ER112" s="112">
        <v>209.42599999999999</v>
      </c>
      <c r="ES112" s="112">
        <v>219.29599999999999</v>
      </c>
      <c r="ET112" s="112">
        <v>229.631</v>
      </c>
      <c r="EU112" s="112">
        <v>240.453</v>
      </c>
      <c r="EV112" s="112">
        <v>251.785</v>
      </c>
      <c r="EW112" s="112">
        <v>263.65100000000001</v>
      </c>
      <c r="EX112" s="112">
        <v>276.077</v>
      </c>
      <c r="EY112" s="112">
        <v>289.08800000000002</v>
      </c>
      <c r="EZ112" s="112">
        <v>302.71199999999999</v>
      </c>
      <c r="FD112" s="43"/>
    </row>
    <row r="113" spans="45:160" ht="17.100000000000001" customHeight="1">
      <c r="AS113" s="599" t="s">
        <v>196</v>
      </c>
      <c r="AT113" s="112">
        <v>0.1</v>
      </c>
      <c r="AU113" s="7">
        <v>2</v>
      </c>
      <c r="AV113" s="7">
        <v>2</v>
      </c>
      <c r="AW113" s="7">
        <v>2</v>
      </c>
      <c r="AX113" s="7">
        <v>2</v>
      </c>
      <c r="AY113" s="7">
        <v>2</v>
      </c>
      <c r="AZ113" s="7">
        <v>2</v>
      </c>
      <c r="BA113" s="331">
        <v>2</v>
      </c>
      <c r="BB113" s="7">
        <v>2</v>
      </c>
      <c r="BC113" s="7">
        <v>2</v>
      </c>
      <c r="BD113" s="7">
        <v>2</v>
      </c>
      <c r="BE113" s="7">
        <v>2</v>
      </c>
      <c r="BF113" s="7">
        <v>2</v>
      </c>
      <c r="BG113" s="7">
        <v>2</v>
      </c>
      <c r="BH113" s="7">
        <v>2</v>
      </c>
      <c r="BI113" s="7">
        <v>1</v>
      </c>
      <c r="BJ113" s="7">
        <v>1</v>
      </c>
      <c r="BK113" s="7">
        <v>1</v>
      </c>
      <c r="BL113" s="7">
        <v>1</v>
      </c>
      <c r="BM113" s="7">
        <v>1</v>
      </c>
      <c r="BN113" s="7">
        <v>1</v>
      </c>
      <c r="BO113" s="7">
        <v>1</v>
      </c>
      <c r="BP113" s="7">
        <v>1</v>
      </c>
      <c r="BQ113" s="7">
        <v>1</v>
      </c>
      <c r="BR113" s="7">
        <v>1</v>
      </c>
      <c r="BS113" s="7">
        <v>1</v>
      </c>
      <c r="BT113" s="7">
        <v>1</v>
      </c>
      <c r="BU113" s="7">
        <v>1</v>
      </c>
      <c r="BV113" s="7">
        <v>1</v>
      </c>
      <c r="BW113" s="7">
        <v>1</v>
      </c>
      <c r="BX113" s="7">
        <v>1</v>
      </c>
      <c r="BY113" s="7">
        <v>1</v>
      </c>
      <c r="BZ113" s="7">
        <v>1</v>
      </c>
      <c r="CA113" s="7">
        <v>1</v>
      </c>
      <c r="CB113" s="7">
        <v>1</v>
      </c>
      <c r="CC113" s="7">
        <v>1</v>
      </c>
      <c r="CD113" s="7">
        <v>1</v>
      </c>
      <c r="CE113" s="7">
        <v>1</v>
      </c>
      <c r="CF113" s="7">
        <v>1</v>
      </c>
      <c r="CG113" s="7">
        <v>1</v>
      </c>
      <c r="CH113" s="7">
        <v>1</v>
      </c>
      <c r="CI113" s="7">
        <v>1</v>
      </c>
      <c r="CJ113" s="7">
        <v>1</v>
      </c>
      <c r="CK113" s="7">
        <v>1</v>
      </c>
      <c r="CL113" s="7">
        <v>1</v>
      </c>
      <c r="CM113" s="7">
        <v>1</v>
      </c>
      <c r="CN113" s="7">
        <v>1</v>
      </c>
      <c r="CO113" s="7">
        <v>1</v>
      </c>
      <c r="CP113" s="7">
        <v>1</v>
      </c>
      <c r="CQ113" s="7">
        <v>1</v>
      </c>
      <c r="CR113" s="7">
        <v>1</v>
      </c>
      <c r="CS113" s="7">
        <v>1</v>
      </c>
      <c r="CT113" s="7">
        <v>1</v>
      </c>
      <c r="CU113" s="7">
        <v>1</v>
      </c>
      <c r="CV113" s="7">
        <v>1</v>
      </c>
      <c r="CW113" s="7">
        <v>1</v>
      </c>
      <c r="CX113" s="7">
        <v>1</v>
      </c>
      <c r="CY113" s="7">
        <v>1</v>
      </c>
      <c r="CZ113" s="7">
        <v>1</v>
      </c>
      <c r="DA113" s="7">
        <v>1</v>
      </c>
      <c r="DB113" s="7">
        <v>1</v>
      </c>
      <c r="DC113" s="7">
        <v>1</v>
      </c>
      <c r="DD113" s="7">
        <v>1</v>
      </c>
      <c r="DE113" s="7">
        <v>1</v>
      </c>
      <c r="DF113" s="7">
        <v>1</v>
      </c>
      <c r="DG113" s="7">
        <v>1</v>
      </c>
      <c r="DH113" s="7">
        <v>1</v>
      </c>
      <c r="DI113" s="7">
        <v>1</v>
      </c>
      <c r="DJ113" s="7">
        <v>1</v>
      </c>
      <c r="DK113" s="7">
        <v>1</v>
      </c>
      <c r="DL113" s="7">
        <v>1</v>
      </c>
      <c r="DM113" s="7">
        <v>1</v>
      </c>
      <c r="DN113" s="7">
        <v>1</v>
      </c>
      <c r="DO113" s="7">
        <v>1</v>
      </c>
      <c r="DP113" s="7">
        <v>1</v>
      </c>
      <c r="DQ113" s="7">
        <v>1</v>
      </c>
      <c r="DR113" s="7">
        <v>1</v>
      </c>
      <c r="DS113" s="7">
        <v>1</v>
      </c>
      <c r="DT113" s="7">
        <v>1</v>
      </c>
      <c r="DU113" s="7">
        <v>1</v>
      </c>
      <c r="DV113" s="7">
        <v>1</v>
      </c>
      <c r="DW113" s="7">
        <v>1</v>
      </c>
      <c r="DX113" s="7">
        <v>1</v>
      </c>
      <c r="DY113" s="7">
        <v>1</v>
      </c>
      <c r="DZ113" s="7">
        <v>1</v>
      </c>
      <c r="EA113" s="7">
        <v>1</v>
      </c>
      <c r="EB113" s="7">
        <v>1</v>
      </c>
      <c r="EC113" s="7">
        <v>1</v>
      </c>
      <c r="ED113" s="7">
        <v>1</v>
      </c>
      <c r="EE113" s="7">
        <v>1</v>
      </c>
      <c r="EF113" s="7">
        <v>1</v>
      </c>
      <c r="EG113" s="7">
        <v>1</v>
      </c>
      <c r="EH113" s="7">
        <v>1</v>
      </c>
      <c r="EI113" s="7">
        <v>1</v>
      </c>
      <c r="EJ113" s="7">
        <v>1</v>
      </c>
      <c r="EK113" s="7">
        <v>1</v>
      </c>
      <c r="EL113" s="7">
        <v>1</v>
      </c>
      <c r="EM113" s="7">
        <v>1</v>
      </c>
      <c r="EN113" s="7">
        <v>1</v>
      </c>
      <c r="EO113" s="7">
        <v>1</v>
      </c>
      <c r="EP113" s="7">
        <v>1</v>
      </c>
      <c r="EQ113" s="7">
        <v>1</v>
      </c>
      <c r="ER113" s="7">
        <v>1</v>
      </c>
      <c r="ES113" s="7">
        <v>1</v>
      </c>
      <c r="ET113" s="7">
        <v>1</v>
      </c>
      <c r="EU113" s="7">
        <v>1</v>
      </c>
      <c r="EV113" s="7">
        <v>1</v>
      </c>
      <c r="EW113" s="7">
        <v>1</v>
      </c>
      <c r="EX113" s="7">
        <v>1</v>
      </c>
      <c r="EY113" s="7">
        <v>1</v>
      </c>
      <c r="EZ113" s="7">
        <v>1</v>
      </c>
      <c r="FB113" s="50">
        <f>HLOOKUP(M16,$AU$112:$EZ$213,2,TRUE)</f>
        <v>1</v>
      </c>
      <c r="FD113" s="50">
        <f>HLOOKUP(AL42,$AU$112:$EZ$213,2,TRUE)</f>
        <v>1</v>
      </c>
    </row>
    <row r="114" spans="45:160" ht="17.100000000000001" customHeight="1">
      <c r="AS114" s="599"/>
      <c r="AT114" s="112">
        <v>0.107</v>
      </c>
      <c r="AU114" s="7">
        <v>2</v>
      </c>
      <c r="AV114" s="7">
        <v>2</v>
      </c>
      <c r="AW114" s="7">
        <v>2</v>
      </c>
      <c r="AX114" s="7">
        <v>2</v>
      </c>
      <c r="AY114" s="7">
        <v>2</v>
      </c>
      <c r="AZ114" s="7">
        <v>2</v>
      </c>
      <c r="BA114" s="331">
        <v>2</v>
      </c>
      <c r="BB114" s="7">
        <v>2</v>
      </c>
      <c r="BC114" s="7">
        <v>2</v>
      </c>
      <c r="BD114" s="7">
        <v>2</v>
      </c>
      <c r="BE114" s="7">
        <v>2</v>
      </c>
      <c r="BF114" s="7">
        <v>2</v>
      </c>
      <c r="BG114" s="7">
        <v>2</v>
      </c>
      <c r="BH114" s="7">
        <v>2</v>
      </c>
      <c r="BI114" s="7">
        <v>2</v>
      </c>
      <c r="BJ114" s="7">
        <v>1</v>
      </c>
      <c r="BK114" s="7">
        <v>1</v>
      </c>
      <c r="BL114" s="7">
        <v>1</v>
      </c>
      <c r="BM114" s="7">
        <v>1</v>
      </c>
      <c r="BN114" s="7">
        <v>1</v>
      </c>
      <c r="BO114" s="7">
        <v>1</v>
      </c>
      <c r="BP114" s="7">
        <v>1</v>
      </c>
      <c r="BQ114" s="7">
        <v>1</v>
      </c>
      <c r="BR114" s="7">
        <v>1</v>
      </c>
      <c r="BS114" s="7">
        <v>1</v>
      </c>
      <c r="BT114" s="7">
        <v>1</v>
      </c>
      <c r="BU114" s="7">
        <v>1</v>
      </c>
      <c r="BV114" s="7">
        <v>1</v>
      </c>
      <c r="BW114" s="7">
        <v>1</v>
      </c>
      <c r="BX114" s="7">
        <v>1</v>
      </c>
      <c r="BY114" s="7">
        <v>1</v>
      </c>
      <c r="BZ114" s="7">
        <v>1</v>
      </c>
      <c r="CA114" s="7">
        <v>1</v>
      </c>
      <c r="CB114" s="7">
        <v>1</v>
      </c>
      <c r="CC114" s="7">
        <v>1</v>
      </c>
      <c r="CD114" s="7">
        <v>1</v>
      </c>
      <c r="CE114" s="7">
        <v>1</v>
      </c>
      <c r="CF114" s="7">
        <v>1</v>
      </c>
      <c r="CG114" s="7">
        <v>1</v>
      </c>
      <c r="CH114" s="7">
        <v>1</v>
      </c>
      <c r="CI114" s="7">
        <v>1</v>
      </c>
      <c r="CJ114" s="7">
        <v>1</v>
      </c>
      <c r="CK114" s="7">
        <v>1</v>
      </c>
      <c r="CL114" s="7">
        <v>1</v>
      </c>
      <c r="CM114" s="7">
        <v>1</v>
      </c>
      <c r="CN114" s="7">
        <v>1</v>
      </c>
      <c r="CO114" s="7">
        <v>1</v>
      </c>
      <c r="CP114" s="7">
        <v>1</v>
      </c>
      <c r="CQ114" s="7">
        <v>1</v>
      </c>
      <c r="CR114" s="7">
        <v>1</v>
      </c>
      <c r="CS114" s="7">
        <v>1</v>
      </c>
      <c r="CT114" s="7">
        <v>1</v>
      </c>
      <c r="CU114" s="7">
        <v>1</v>
      </c>
      <c r="CV114" s="7">
        <v>1</v>
      </c>
      <c r="CW114" s="7">
        <v>1</v>
      </c>
      <c r="CX114" s="7">
        <v>1</v>
      </c>
      <c r="CY114" s="7">
        <v>1</v>
      </c>
      <c r="CZ114" s="7">
        <v>1</v>
      </c>
      <c r="DA114" s="7">
        <v>1</v>
      </c>
      <c r="DB114" s="7">
        <v>1</v>
      </c>
      <c r="DC114" s="7">
        <v>1</v>
      </c>
      <c r="DD114" s="7">
        <v>1</v>
      </c>
      <c r="DE114" s="7">
        <v>1</v>
      </c>
      <c r="DF114" s="7">
        <v>1</v>
      </c>
      <c r="DG114" s="7">
        <v>1</v>
      </c>
      <c r="DH114" s="7">
        <v>1</v>
      </c>
      <c r="DI114" s="7">
        <v>1</v>
      </c>
      <c r="DJ114" s="7">
        <v>1</v>
      </c>
      <c r="DK114" s="7">
        <v>1</v>
      </c>
      <c r="DL114" s="7">
        <v>1</v>
      </c>
      <c r="DM114" s="7">
        <v>1</v>
      </c>
      <c r="DN114" s="7">
        <v>1</v>
      </c>
      <c r="DO114" s="7">
        <v>1</v>
      </c>
      <c r="DP114" s="7">
        <v>1</v>
      </c>
      <c r="DQ114" s="7">
        <v>1</v>
      </c>
      <c r="DR114" s="7">
        <v>1</v>
      </c>
      <c r="DS114" s="7">
        <v>1</v>
      </c>
      <c r="DT114" s="7">
        <v>1</v>
      </c>
      <c r="DU114" s="7">
        <v>1</v>
      </c>
      <c r="DV114" s="7">
        <v>1</v>
      </c>
      <c r="DW114" s="7">
        <v>1</v>
      </c>
      <c r="DX114" s="7">
        <v>1</v>
      </c>
      <c r="DY114" s="7">
        <v>1</v>
      </c>
      <c r="DZ114" s="7">
        <v>1</v>
      </c>
      <c r="EA114" s="7">
        <v>1</v>
      </c>
      <c r="EB114" s="7">
        <v>1</v>
      </c>
      <c r="EC114" s="7">
        <v>1</v>
      </c>
      <c r="ED114" s="7">
        <v>1</v>
      </c>
      <c r="EE114" s="7">
        <v>1</v>
      </c>
      <c r="EF114" s="7">
        <v>1</v>
      </c>
      <c r="EG114" s="7">
        <v>1</v>
      </c>
      <c r="EH114" s="7">
        <v>1</v>
      </c>
      <c r="EI114" s="7">
        <v>1</v>
      </c>
      <c r="EJ114" s="7">
        <v>1</v>
      </c>
      <c r="EK114" s="7">
        <v>1</v>
      </c>
      <c r="EL114" s="7">
        <v>1</v>
      </c>
      <c r="EM114" s="7">
        <v>1</v>
      </c>
      <c r="EN114" s="7">
        <v>1</v>
      </c>
      <c r="EO114" s="7">
        <v>1</v>
      </c>
      <c r="EP114" s="7">
        <v>1</v>
      </c>
      <c r="EQ114" s="7">
        <v>1</v>
      </c>
      <c r="ER114" s="7">
        <v>1</v>
      </c>
      <c r="ES114" s="7">
        <v>1</v>
      </c>
      <c r="ET114" s="7">
        <v>1</v>
      </c>
      <c r="EU114" s="7">
        <v>1</v>
      </c>
      <c r="EV114" s="7">
        <v>1</v>
      </c>
      <c r="EW114" s="7">
        <v>1</v>
      </c>
      <c r="EX114" s="7">
        <v>1</v>
      </c>
      <c r="EY114" s="7">
        <v>1</v>
      </c>
      <c r="EZ114" s="7">
        <v>1</v>
      </c>
      <c r="FB114" s="50">
        <f>HLOOKUP(M16,$AU$112:$EZ$213,3,TRUE)</f>
        <v>1</v>
      </c>
      <c r="FD114" s="50">
        <f>HLOOKUP(AL42,$AU$112:$EZ$213,3,TRUE)</f>
        <v>1</v>
      </c>
    </row>
    <row r="115" spans="45:160" ht="17.100000000000001" customHeight="1">
      <c r="AS115" s="599"/>
      <c r="AT115" s="112">
        <v>0.115</v>
      </c>
      <c r="AU115" s="7">
        <v>2</v>
      </c>
      <c r="AV115" s="7">
        <v>2</v>
      </c>
      <c r="AW115" s="7">
        <v>2</v>
      </c>
      <c r="AX115" s="7">
        <v>2</v>
      </c>
      <c r="AY115" s="7">
        <v>2</v>
      </c>
      <c r="AZ115" s="7">
        <v>2</v>
      </c>
      <c r="BA115" s="331">
        <v>2</v>
      </c>
      <c r="BB115" s="7">
        <v>2</v>
      </c>
      <c r="BC115" s="7">
        <v>2</v>
      </c>
      <c r="BD115" s="7">
        <v>2</v>
      </c>
      <c r="BE115" s="7">
        <v>2</v>
      </c>
      <c r="BF115" s="7">
        <v>2</v>
      </c>
      <c r="BG115" s="7">
        <v>2</v>
      </c>
      <c r="BH115" s="7">
        <v>2</v>
      </c>
      <c r="BI115" s="7">
        <v>2</v>
      </c>
      <c r="BJ115" s="7">
        <v>2</v>
      </c>
      <c r="BK115" s="7">
        <v>1</v>
      </c>
      <c r="BL115" s="7">
        <v>1</v>
      </c>
      <c r="BM115" s="7">
        <v>1</v>
      </c>
      <c r="BN115" s="7">
        <v>1</v>
      </c>
      <c r="BO115" s="7">
        <v>1</v>
      </c>
      <c r="BP115" s="7">
        <v>1</v>
      </c>
      <c r="BQ115" s="7">
        <v>1</v>
      </c>
      <c r="BR115" s="7">
        <v>1</v>
      </c>
      <c r="BS115" s="7">
        <v>1</v>
      </c>
      <c r="BT115" s="7">
        <v>1</v>
      </c>
      <c r="BU115" s="7">
        <v>1</v>
      </c>
      <c r="BV115" s="7">
        <v>1</v>
      </c>
      <c r="BW115" s="7">
        <v>1</v>
      </c>
      <c r="BX115" s="7">
        <v>1</v>
      </c>
      <c r="BY115" s="7">
        <v>1</v>
      </c>
      <c r="BZ115" s="7">
        <v>1</v>
      </c>
      <c r="CA115" s="7">
        <v>1</v>
      </c>
      <c r="CB115" s="7">
        <v>1</v>
      </c>
      <c r="CC115" s="7">
        <v>1</v>
      </c>
      <c r="CD115" s="7">
        <v>1</v>
      </c>
      <c r="CE115" s="7">
        <v>1</v>
      </c>
      <c r="CF115" s="7">
        <v>1</v>
      </c>
      <c r="CG115" s="7">
        <v>1</v>
      </c>
      <c r="CH115" s="7">
        <v>1</v>
      </c>
      <c r="CI115" s="7">
        <v>1</v>
      </c>
      <c r="CJ115" s="7">
        <v>1</v>
      </c>
      <c r="CK115" s="7">
        <v>1</v>
      </c>
      <c r="CL115" s="7">
        <v>1</v>
      </c>
      <c r="CM115" s="7">
        <v>1</v>
      </c>
      <c r="CN115" s="7">
        <v>1</v>
      </c>
      <c r="CO115" s="7">
        <v>1</v>
      </c>
      <c r="CP115" s="7">
        <v>1</v>
      </c>
      <c r="CQ115" s="7">
        <v>1</v>
      </c>
      <c r="CR115" s="7">
        <v>1</v>
      </c>
      <c r="CS115" s="7">
        <v>1</v>
      </c>
      <c r="CT115" s="7">
        <v>1</v>
      </c>
      <c r="CU115" s="7">
        <v>1</v>
      </c>
      <c r="CV115" s="7">
        <v>1</v>
      </c>
      <c r="CW115" s="7">
        <v>1</v>
      </c>
      <c r="CX115" s="7">
        <v>1</v>
      </c>
      <c r="CY115" s="7">
        <v>1</v>
      </c>
      <c r="CZ115" s="7">
        <v>1</v>
      </c>
      <c r="DA115" s="7">
        <v>1</v>
      </c>
      <c r="DB115" s="7">
        <v>1</v>
      </c>
      <c r="DC115" s="7">
        <v>1</v>
      </c>
      <c r="DD115" s="7">
        <v>1</v>
      </c>
      <c r="DE115" s="7">
        <v>1</v>
      </c>
      <c r="DF115" s="7">
        <v>1</v>
      </c>
      <c r="DG115" s="7">
        <v>1</v>
      </c>
      <c r="DH115" s="7">
        <v>1</v>
      </c>
      <c r="DI115" s="7">
        <v>1</v>
      </c>
      <c r="DJ115" s="7">
        <v>1</v>
      </c>
      <c r="DK115" s="7">
        <v>1</v>
      </c>
      <c r="DL115" s="7">
        <v>1</v>
      </c>
      <c r="DM115" s="7">
        <v>1</v>
      </c>
      <c r="DN115" s="7">
        <v>1</v>
      </c>
      <c r="DO115" s="7">
        <v>1</v>
      </c>
      <c r="DP115" s="7">
        <v>1</v>
      </c>
      <c r="DQ115" s="7">
        <v>1</v>
      </c>
      <c r="DR115" s="7">
        <v>1</v>
      </c>
      <c r="DS115" s="7">
        <v>1</v>
      </c>
      <c r="DT115" s="7">
        <v>1</v>
      </c>
      <c r="DU115" s="7">
        <v>1</v>
      </c>
      <c r="DV115" s="7">
        <v>1</v>
      </c>
      <c r="DW115" s="7">
        <v>1</v>
      </c>
      <c r="DX115" s="7">
        <v>1</v>
      </c>
      <c r="DY115" s="7">
        <v>1</v>
      </c>
      <c r="DZ115" s="7">
        <v>1</v>
      </c>
      <c r="EA115" s="7">
        <v>1</v>
      </c>
      <c r="EB115" s="7">
        <v>1</v>
      </c>
      <c r="EC115" s="7">
        <v>1</v>
      </c>
      <c r="ED115" s="7">
        <v>1</v>
      </c>
      <c r="EE115" s="7">
        <v>1</v>
      </c>
      <c r="EF115" s="7">
        <v>1</v>
      </c>
      <c r="EG115" s="7">
        <v>1</v>
      </c>
      <c r="EH115" s="7">
        <v>1</v>
      </c>
      <c r="EI115" s="7">
        <v>1</v>
      </c>
      <c r="EJ115" s="7">
        <v>1</v>
      </c>
      <c r="EK115" s="7">
        <v>1</v>
      </c>
      <c r="EL115" s="7">
        <v>1</v>
      </c>
      <c r="EM115" s="7">
        <v>1</v>
      </c>
      <c r="EN115" s="7">
        <v>1</v>
      </c>
      <c r="EO115" s="7">
        <v>1</v>
      </c>
      <c r="EP115" s="7">
        <v>1</v>
      </c>
      <c r="EQ115" s="7">
        <v>1</v>
      </c>
      <c r="ER115" s="7">
        <v>1</v>
      </c>
      <c r="ES115" s="7">
        <v>1</v>
      </c>
      <c r="ET115" s="7">
        <v>1</v>
      </c>
      <c r="EU115" s="7">
        <v>1</v>
      </c>
      <c r="EV115" s="7">
        <v>1</v>
      </c>
      <c r="EW115" s="7">
        <v>1</v>
      </c>
      <c r="EX115" s="7">
        <v>1</v>
      </c>
      <c r="EY115" s="7">
        <v>1</v>
      </c>
      <c r="EZ115" s="7">
        <v>1</v>
      </c>
      <c r="FB115" s="50">
        <f>HLOOKUP(M16,$AU$112:$EZ$213,4,TRUE)</f>
        <v>1</v>
      </c>
      <c r="FD115" s="50">
        <f>HLOOKUP(AL42,$AU$112:$EZ$213,4,TRUE)</f>
        <v>1</v>
      </c>
    </row>
    <row r="116" spans="45:160" ht="17.100000000000001" customHeight="1">
      <c r="AS116" s="599"/>
      <c r="AT116" s="112">
        <v>0.123</v>
      </c>
      <c r="AU116" s="7">
        <v>2</v>
      </c>
      <c r="AV116" s="7">
        <v>2</v>
      </c>
      <c r="AW116" s="7">
        <v>2</v>
      </c>
      <c r="AX116" s="7">
        <v>2</v>
      </c>
      <c r="AY116" s="7">
        <v>2</v>
      </c>
      <c r="AZ116" s="7">
        <v>2</v>
      </c>
      <c r="BA116" s="331">
        <v>2</v>
      </c>
      <c r="BB116" s="7">
        <v>2</v>
      </c>
      <c r="BC116" s="7">
        <v>2</v>
      </c>
      <c r="BD116" s="7">
        <v>2</v>
      </c>
      <c r="BE116" s="7">
        <v>2</v>
      </c>
      <c r="BF116" s="7">
        <v>2</v>
      </c>
      <c r="BG116" s="7">
        <v>2</v>
      </c>
      <c r="BH116" s="7">
        <v>2</v>
      </c>
      <c r="BI116" s="7">
        <v>2</v>
      </c>
      <c r="BJ116" s="7">
        <v>2</v>
      </c>
      <c r="BK116" s="7">
        <v>2</v>
      </c>
      <c r="BL116" s="7">
        <v>1</v>
      </c>
      <c r="BM116" s="7">
        <v>1</v>
      </c>
      <c r="BN116" s="7">
        <v>1</v>
      </c>
      <c r="BO116" s="7">
        <v>1</v>
      </c>
      <c r="BP116" s="7">
        <v>1</v>
      </c>
      <c r="BQ116" s="7">
        <v>1</v>
      </c>
      <c r="BR116" s="7">
        <v>1</v>
      </c>
      <c r="BS116" s="7">
        <v>1</v>
      </c>
      <c r="BT116" s="7">
        <v>1</v>
      </c>
      <c r="BU116" s="7">
        <v>1</v>
      </c>
      <c r="BV116" s="7">
        <v>1</v>
      </c>
      <c r="BW116" s="7">
        <v>1</v>
      </c>
      <c r="BX116" s="7">
        <v>1</v>
      </c>
      <c r="BY116" s="7">
        <v>1</v>
      </c>
      <c r="BZ116" s="7">
        <v>1</v>
      </c>
      <c r="CA116" s="7">
        <v>1</v>
      </c>
      <c r="CB116" s="7">
        <v>1</v>
      </c>
      <c r="CC116" s="7">
        <v>1</v>
      </c>
      <c r="CD116" s="7">
        <v>1</v>
      </c>
      <c r="CE116" s="7">
        <v>1</v>
      </c>
      <c r="CF116" s="7">
        <v>1</v>
      </c>
      <c r="CG116" s="7">
        <v>1</v>
      </c>
      <c r="CH116" s="7">
        <v>1</v>
      </c>
      <c r="CI116" s="7">
        <v>1</v>
      </c>
      <c r="CJ116" s="7">
        <v>1</v>
      </c>
      <c r="CK116" s="7">
        <v>1</v>
      </c>
      <c r="CL116" s="7">
        <v>1</v>
      </c>
      <c r="CM116" s="7">
        <v>1</v>
      </c>
      <c r="CN116" s="7">
        <v>1</v>
      </c>
      <c r="CO116" s="7">
        <v>1</v>
      </c>
      <c r="CP116" s="7">
        <v>1</v>
      </c>
      <c r="CQ116" s="7">
        <v>1</v>
      </c>
      <c r="CR116" s="7">
        <v>1</v>
      </c>
      <c r="CS116" s="7">
        <v>1</v>
      </c>
      <c r="CT116" s="7">
        <v>1</v>
      </c>
      <c r="CU116" s="7">
        <v>1</v>
      </c>
      <c r="CV116" s="7">
        <v>1</v>
      </c>
      <c r="CW116" s="7">
        <v>1</v>
      </c>
      <c r="CX116" s="7">
        <v>1</v>
      </c>
      <c r="CY116" s="7">
        <v>1</v>
      </c>
      <c r="CZ116" s="7">
        <v>1</v>
      </c>
      <c r="DA116" s="7">
        <v>1</v>
      </c>
      <c r="DB116" s="7">
        <v>1</v>
      </c>
      <c r="DC116" s="7">
        <v>1</v>
      </c>
      <c r="DD116" s="7">
        <v>1</v>
      </c>
      <c r="DE116" s="7">
        <v>1</v>
      </c>
      <c r="DF116" s="7">
        <v>1</v>
      </c>
      <c r="DG116" s="7">
        <v>1</v>
      </c>
      <c r="DH116" s="7">
        <v>1</v>
      </c>
      <c r="DI116" s="7">
        <v>1</v>
      </c>
      <c r="DJ116" s="7">
        <v>1</v>
      </c>
      <c r="DK116" s="7">
        <v>1</v>
      </c>
      <c r="DL116" s="7">
        <v>1</v>
      </c>
      <c r="DM116" s="7">
        <v>1</v>
      </c>
      <c r="DN116" s="7">
        <v>1</v>
      </c>
      <c r="DO116" s="7">
        <v>1</v>
      </c>
      <c r="DP116" s="7">
        <v>1</v>
      </c>
      <c r="DQ116" s="7">
        <v>1</v>
      </c>
      <c r="DR116" s="7">
        <v>1</v>
      </c>
      <c r="DS116" s="7">
        <v>1</v>
      </c>
      <c r="DT116" s="7">
        <v>1</v>
      </c>
      <c r="DU116" s="7">
        <v>1</v>
      </c>
      <c r="DV116" s="7">
        <v>1</v>
      </c>
      <c r="DW116" s="7">
        <v>1</v>
      </c>
      <c r="DX116" s="7">
        <v>1</v>
      </c>
      <c r="DY116" s="7">
        <v>1</v>
      </c>
      <c r="DZ116" s="7">
        <v>1</v>
      </c>
      <c r="EA116" s="7">
        <v>1</v>
      </c>
      <c r="EB116" s="7">
        <v>1</v>
      </c>
      <c r="EC116" s="7">
        <v>1</v>
      </c>
      <c r="ED116" s="7">
        <v>1</v>
      </c>
      <c r="EE116" s="7">
        <v>1</v>
      </c>
      <c r="EF116" s="7">
        <v>1</v>
      </c>
      <c r="EG116" s="7">
        <v>1</v>
      </c>
      <c r="EH116" s="7">
        <v>1</v>
      </c>
      <c r="EI116" s="7">
        <v>1</v>
      </c>
      <c r="EJ116" s="7">
        <v>1</v>
      </c>
      <c r="EK116" s="7">
        <v>1</v>
      </c>
      <c r="EL116" s="7">
        <v>1</v>
      </c>
      <c r="EM116" s="7">
        <v>1</v>
      </c>
      <c r="EN116" s="7">
        <v>1</v>
      </c>
      <c r="EO116" s="7">
        <v>1</v>
      </c>
      <c r="EP116" s="7">
        <v>1</v>
      </c>
      <c r="EQ116" s="7">
        <v>1</v>
      </c>
      <c r="ER116" s="7">
        <v>1</v>
      </c>
      <c r="ES116" s="7">
        <v>1</v>
      </c>
      <c r="ET116" s="7">
        <v>1</v>
      </c>
      <c r="EU116" s="7">
        <v>1</v>
      </c>
      <c r="EV116" s="7">
        <v>1</v>
      </c>
      <c r="EW116" s="7">
        <v>1</v>
      </c>
      <c r="EX116" s="7">
        <v>1</v>
      </c>
      <c r="EY116" s="7">
        <v>1</v>
      </c>
      <c r="EZ116" s="7">
        <v>1</v>
      </c>
      <c r="FB116" s="50">
        <f>HLOOKUP(M16,$AU$112:$EZ$213,5,TRUE)</f>
        <v>1</v>
      </c>
      <c r="FD116" s="50">
        <f>HLOOKUP(AL42,$AU$112:$EZ$213,5,TRUE)</f>
        <v>1</v>
      </c>
    </row>
    <row r="117" spans="45:160" ht="17.100000000000001" customHeight="1">
      <c r="AS117" s="599"/>
      <c r="AT117" s="112">
        <v>0.13200000000000001</v>
      </c>
      <c r="AU117" s="7">
        <v>2</v>
      </c>
      <c r="AV117" s="7">
        <v>2</v>
      </c>
      <c r="AW117" s="7">
        <v>2</v>
      </c>
      <c r="AX117" s="7">
        <v>2</v>
      </c>
      <c r="AY117" s="7">
        <v>2</v>
      </c>
      <c r="AZ117" s="7">
        <v>2</v>
      </c>
      <c r="BA117" s="331">
        <v>2</v>
      </c>
      <c r="BB117" s="7">
        <v>2</v>
      </c>
      <c r="BC117" s="7">
        <v>2</v>
      </c>
      <c r="BD117" s="7">
        <v>2</v>
      </c>
      <c r="BE117" s="7">
        <v>2</v>
      </c>
      <c r="BF117" s="7">
        <v>2</v>
      </c>
      <c r="BG117" s="7">
        <v>2</v>
      </c>
      <c r="BH117" s="7">
        <v>2</v>
      </c>
      <c r="BI117" s="7">
        <v>2</v>
      </c>
      <c r="BJ117" s="7">
        <v>2</v>
      </c>
      <c r="BK117" s="7">
        <v>2</v>
      </c>
      <c r="BL117" s="7">
        <v>2</v>
      </c>
      <c r="BM117" s="7">
        <v>1</v>
      </c>
      <c r="BN117" s="7">
        <v>1</v>
      </c>
      <c r="BO117" s="7">
        <v>1</v>
      </c>
      <c r="BP117" s="7">
        <v>1</v>
      </c>
      <c r="BQ117" s="7">
        <v>1</v>
      </c>
      <c r="BR117" s="7">
        <v>1</v>
      </c>
      <c r="BS117" s="7">
        <v>1</v>
      </c>
      <c r="BT117" s="7">
        <v>1</v>
      </c>
      <c r="BU117" s="7">
        <v>1</v>
      </c>
      <c r="BV117" s="7">
        <v>1</v>
      </c>
      <c r="BW117" s="7">
        <v>1</v>
      </c>
      <c r="BX117" s="7">
        <v>1</v>
      </c>
      <c r="BY117" s="7">
        <v>1</v>
      </c>
      <c r="BZ117" s="7">
        <v>1</v>
      </c>
      <c r="CA117" s="7">
        <v>1</v>
      </c>
      <c r="CB117" s="7">
        <v>1</v>
      </c>
      <c r="CC117" s="7">
        <v>1</v>
      </c>
      <c r="CD117" s="7">
        <v>1</v>
      </c>
      <c r="CE117" s="7">
        <v>1</v>
      </c>
      <c r="CF117" s="7">
        <v>1</v>
      </c>
      <c r="CG117" s="7">
        <v>1</v>
      </c>
      <c r="CH117" s="7">
        <v>1</v>
      </c>
      <c r="CI117" s="7">
        <v>1</v>
      </c>
      <c r="CJ117" s="7">
        <v>1</v>
      </c>
      <c r="CK117" s="7">
        <v>1</v>
      </c>
      <c r="CL117" s="7">
        <v>1</v>
      </c>
      <c r="CM117" s="7">
        <v>1</v>
      </c>
      <c r="CN117" s="7">
        <v>1</v>
      </c>
      <c r="CO117" s="7">
        <v>1</v>
      </c>
      <c r="CP117" s="7">
        <v>1</v>
      </c>
      <c r="CQ117" s="7">
        <v>1</v>
      </c>
      <c r="CR117" s="7">
        <v>1</v>
      </c>
      <c r="CS117" s="7">
        <v>1</v>
      </c>
      <c r="CT117" s="7">
        <v>1</v>
      </c>
      <c r="CU117" s="7">
        <v>1</v>
      </c>
      <c r="CV117" s="7">
        <v>1</v>
      </c>
      <c r="CW117" s="7">
        <v>1</v>
      </c>
      <c r="CX117" s="7">
        <v>1</v>
      </c>
      <c r="CY117" s="7">
        <v>1</v>
      </c>
      <c r="CZ117" s="7">
        <v>1</v>
      </c>
      <c r="DA117" s="7">
        <v>1</v>
      </c>
      <c r="DB117" s="7">
        <v>1</v>
      </c>
      <c r="DC117" s="7">
        <v>1</v>
      </c>
      <c r="DD117" s="7">
        <v>1</v>
      </c>
      <c r="DE117" s="7">
        <v>1</v>
      </c>
      <c r="DF117" s="7">
        <v>1</v>
      </c>
      <c r="DG117" s="7">
        <v>1</v>
      </c>
      <c r="DH117" s="7">
        <v>1</v>
      </c>
      <c r="DI117" s="7">
        <v>1</v>
      </c>
      <c r="DJ117" s="7">
        <v>1</v>
      </c>
      <c r="DK117" s="7">
        <v>1</v>
      </c>
      <c r="DL117" s="7">
        <v>1</v>
      </c>
      <c r="DM117" s="7">
        <v>1</v>
      </c>
      <c r="DN117" s="7">
        <v>1</v>
      </c>
      <c r="DO117" s="7">
        <v>1</v>
      </c>
      <c r="DP117" s="7">
        <v>1</v>
      </c>
      <c r="DQ117" s="7">
        <v>1</v>
      </c>
      <c r="DR117" s="7">
        <v>1</v>
      </c>
      <c r="DS117" s="7">
        <v>1</v>
      </c>
      <c r="DT117" s="7">
        <v>1</v>
      </c>
      <c r="DU117" s="7">
        <v>1</v>
      </c>
      <c r="DV117" s="7">
        <v>1</v>
      </c>
      <c r="DW117" s="7">
        <v>1</v>
      </c>
      <c r="DX117" s="7">
        <v>1</v>
      </c>
      <c r="DY117" s="7">
        <v>1</v>
      </c>
      <c r="DZ117" s="7">
        <v>1</v>
      </c>
      <c r="EA117" s="7">
        <v>1</v>
      </c>
      <c r="EB117" s="7">
        <v>1</v>
      </c>
      <c r="EC117" s="7">
        <v>1</v>
      </c>
      <c r="ED117" s="7">
        <v>1</v>
      </c>
      <c r="EE117" s="7">
        <v>1</v>
      </c>
      <c r="EF117" s="7">
        <v>1</v>
      </c>
      <c r="EG117" s="7">
        <v>1</v>
      </c>
      <c r="EH117" s="7">
        <v>1</v>
      </c>
      <c r="EI117" s="7">
        <v>1</v>
      </c>
      <c r="EJ117" s="7">
        <v>1</v>
      </c>
      <c r="EK117" s="7">
        <v>1</v>
      </c>
      <c r="EL117" s="7">
        <v>1</v>
      </c>
      <c r="EM117" s="7">
        <v>1</v>
      </c>
      <c r="EN117" s="7">
        <v>1</v>
      </c>
      <c r="EO117" s="7">
        <v>1</v>
      </c>
      <c r="EP117" s="7">
        <v>1</v>
      </c>
      <c r="EQ117" s="7">
        <v>1</v>
      </c>
      <c r="ER117" s="7">
        <v>1</v>
      </c>
      <c r="ES117" s="7">
        <v>1</v>
      </c>
      <c r="ET117" s="7">
        <v>1</v>
      </c>
      <c r="EU117" s="7">
        <v>1</v>
      </c>
      <c r="EV117" s="7">
        <v>1</v>
      </c>
      <c r="EW117" s="7">
        <v>1</v>
      </c>
      <c r="EX117" s="7">
        <v>1</v>
      </c>
      <c r="EY117" s="7">
        <v>1</v>
      </c>
      <c r="EZ117" s="7">
        <v>1</v>
      </c>
      <c r="FB117" s="50">
        <f>HLOOKUP(M16,$AU$112:$EZ$213,6,TRUE)</f>
        <v>1</v>
      </c>
      <c r="FD117" s="50">
        <f>HLOOKUP(AL42,$AU$112:$EZ$213,6,TRUE)</f>
        <v>1</v>
      </c>
    </row>
    <row r="118" spans="45:160" ht="17.100000000000001" customHeight="1">
      <c r="AS118" s="599"/>
      <c r="AT118" s="112">
        <v>0.14099999999999999</v>
      </c>
      <c r="AU118" s="7">
        <v>2</v>
      </c>
      <c r="AV118" s="7">
        <v>2</v>
      </c>
      <c r="AW118" s="7">
        <v>2</v>
      </c>
      <c r="AX118" s="7">
        <v>2</v>
      </c>
      <c r="AY118" s="7">
        <v>2</v>
      </c>
      <c r="AZ118" s="7">
        <v>2</v>
      </c>
      <c r="BA118" s="331">
        <v>2</v>
      </c>
      <c r="BB118" s="7">
        <v>2</v>
      </c>
      <c r="BC118" s="7">
        <v>2</v>
      </c>
      <c r="BD118" s="7">
        <v>2</v>
      </c>
      <c r="BE118" s="7">
        <v>2</v>
      </c>
      <c r="BF118" s="7">
        <v>2</v>
      </c>
      <c r="BG118" s="7">
        <v>2</v>
      </c>
      <c r="BH118" s="7">
        <v>2</v>
      </c>
      <c r="BI118" s="7">
        <v>2</v>
      </c>
      <c r="BJ118" s="7">
        <v>2</v>
      </c>
      <c r="BK118" s="7">
        <v>2</v>
      </c>
      <c r="BL118" s="7">
        <v>2</v>
      </c>
      <c r="BM118" s="7">
        <v>2</v>
      </c>
      <c r="BN118" s="7">
        <v>1</v>
      </c>
      <c r="BO118" s="7">
        <v>1</v>
      </c>
      <c r="BP118" s="7">
        <v>1</v>
      </c>
      <c r="BQ118" s="7">
        <v>1</v>
      </c>
      <c r="BR118" s="7">
        <v>1</v>
      </c>
      <c r="BS118" s="7">
        <v>1</v>
      </c>
      <c r="BT118" s="7">
        <v>1</v>
      </c>
      <c r="BU118" s="7">
        <v>1</v>
      </c>
      <c r="BV118" s="7">
        <v>1</v>
      </c>
      <c r="BW118" s="7">
        <v>1</v>
      </c>
      <c r="BX118" s="7">
        <v>1</v>
      </c>
      <c r="BY118" s="7">
        <v>1</v>
      </c>
      <c r="BZ118" s="7">
        <v>1</v>
      </c>
      <c r="CA118" s="7">
        <v>1</v>
      </c>
      <c r="CB118" s="7">
        <v>1</v>
      </c>
      <c r="CC118" s="7">
        <v>1</v>
      </c>
      <c r="CD118" s="7">
        <v>1</v>
      </c>
      <c r="CE118" s="7">
        <v>1</v>
      </c>
      <c r="CF118" s="7">
        <v>1</v>
      </c>
      <c r="CG118" s="7">
        <v>1</v>
      </c>
      <c r="CH118" s="7">
        <v>1</v>
      </c>
      <c r="CI118" s="7">
        <v>1</v>
      </c>
      <c r="CJ118" s="7">
        <v>1</v>
      </c>
      <c r="CK118" s="7">
        <v>1</v>
      </c>
      <c r="CL118" s="7">
        <v>1</v>
      </c>
      <c r="CM118" s="7">
        <v>1</v>
      </c>
      <c r="CN118" s="7">
        <v>1</v>
      </c>
      <c r="CO118" s="7">
        <v>1</v>
      </c>
      <c r="CP118" s="7">
        <v>1</v>
      </c>
      <c r="CQ118" s="7">
        <v>1</v>
      </c>
      <c r="CR118" s="7">
        <v>1</v>
      </c>
      <c r="CS118" s="7">
        <v>1</v>
      </c>
      <c r="CT118" s="7">
        <v>1</v>
      </c>
      <c r="CU118" s="7">
        <v>1</v>
      </c>
      <c r="CV118" s="7">
        <v>1</v>
      </c>
      <c r="CW118" s="7">
        <v>1</v>
      </c>
      <c r="CX118" s="7">
        <v>1</v>
      </c>
      <c r="CY118" s="7">
        <v>1</v>
      </c>
      <c r="CZ118" s="7">
        <v>1</v>
      </c>
      <c r="DA118" s="7">
        <v>1</v>
      </c>
      <c r="DB118" s="7">
        <v>1</v>
      </c>
      <c r="DC118" s="7">
        <v>1</v>
      </c>
      <c r="DD118" s="7">
        <v>1</v>
      </c>
      <c r="DE118" s="7">
        <v>1</v>
      </c>
      <c r="DF118" s="7">
        <v>1</v>
      </c>
      <c r="DG118" s="7">
        <v>1</v>
      </c>
      <c r="DH118" s="7">
        <v>1</v>
      </c>
      <c r="DI118" s="7">
        <v>1</v>
      </c>
      <c r="DJ118" s="7">
        <v>1</v>
      </c>
      <c r="DK118" s="7">
        <v>1</v>
      </c>
      <c r="DL118" s="7">
        <v>1</v>
      </c>
      <c r="DM118" s="7">
        <v>1</v>
      </c>
      <c r="DN118" s="7">
        <v>1</v>
      </c>
      <c r="DO118" s="7">
        <v>1</v>
      </c>
      <c r="DP118" s="7">
        <v>1</v>
      </c>
      <c r="DQ118" s="7">
        <v>1</v>
      </c>
      <c r="DR118" s="7">
        <v>1</v>
      </c>
      <c r="DS118" s="7">
        <v>1</v>
      </c>
      <c r="DT118" s="7">
        <v>1</v>
      </c>
      <c r="DU118" s="7">
        <v>1</v>
      </c>
      <c r="DV118" s="7">
        <v>1</v>
      </c>
      <c r="DW118" s="7">
        <v>1</v>
      </c>
      <c r="DX118" s="7">
        <v>1</v>
      </c>
      <c r="DY118" s="7">
        <v>1</v>
      </c>
      <c r="DZ118" s="7">
        <v>1</v>
      </c>
      <c r="EA118" s="7">
        <v>1</v>
      </c>
      <c r="EB118" s="7">
        <v>1</v>
      </c>
      <c r="EC118" s="7">
        <v>1</v>
      </c>
      <c r="ED118" s="7">
        <v>1</v>
      </c>
      <c r="EE118" s="7">
        <v>1</v>
      </c>
      <c r="EF118" s="7">
        <v>1</v>
      </c>
      <c r="EG118" s="7">
        <v>1</v>
      </c>
      <c r="EH118" s="7">
        <v>1</v>
      </c>
      <c r="EI118" s="7">
        <v>1</v>
      </c>
      <c r="EJ118" s="7">
        <v>1</v>
      </c>
      <c r="EK118" s="7">
        <v>1</v>
      </c>
      <c r="EL118" s="7">
        <v>1</v>
      </c>
      <c r="EM118" s="7">
        <v>1</v>
      </c>
      <c r="EN118" s="7">
        <v>1</v>
      </c>
      <c r="EO118" s="7">
        <v>1</v>
      </c>
      <c r="EP118" s="7">
        <v>1</v>
      </c>
      <c r="EQ118" s="7">
        <v>1</v>
      </c>
      <c r="ER118" s="7">
        <v>1</v>
      </c>
      <c r="ES118" s="7">
        <v>1</v>
      </c>
      <c r="ET118" s="7">
        <v>1</v>
      </c>
      <c r="EU118" s="7">
        <v>1</v>
      </c>
      <c r="EV118" s="7">
        <v>1</v>
      </c>
      <c r="EW118" s="7">
        <v>1</v>
      </c>
      <c r="EX118" s="7">
        <v>1</v>
      </c>
      <c r="EY118" s="7">
        <v>1</v>
      </c>
      <c r="EZ118" s="7">
        <v>1</v>
      </c>
      <c r="FB118" s="50">
        <f>HLOOKUP(M16,$AU$112:$EZ$213,7,TRUE)</f>
        <v>1</v>
      </c>
      <c r="FD118" s="50">
        <f>HLOOKUP(AL42,$AU$112:$EZ$213,7,TRUE)</f>
        <v>1</v>
      </c>
    </row>
    <row r="119" spans="45:160" ht="17.100000000000001" customHeight="1">
      <c r="AS119" s="599"/>
      <c r="AT119" s="112">
        <v>0.151</v>
      </c>
      <c r="AU119" s="7">
        <v>2</v>
      </c>
      <c r="AV119" s="7">
        <v>2</v>
      </c>
      <c r="AW119" s="7">
        <v>2</v>
      </c>
      <c r="AX119" s="7">
        <v>2</v>
      </c>
      <c r="AY119" s="7">
        <v>2</v>
      </c>
      <c r="AZ119" s="7">
        <v>2</v>
      </c>
      <c r="BA119" s="331">
        <v>2</v>
      </c>
      <c r="BB119" s="7">
        <v>2</v>
      </c>
      <c r="BC119" s="7">
        <v>2</v>
      </c>
      <c r="BD119" s="7">
        <v>2</v>
      </c>
      <c r="BE119" s="7">
        <v>2</v>
      </c>
      <c r="BF119" s="7">
        <v>2</v>
      </c>
      <c r="BG119" s="7">
        <v>2</v>
      </c>
      <c r="BH119" s="7">
        <v>2</v>
      </c>
      <c r="BI119" s="7">
        <v>2</v>
      </c>
      <c r="BJ119" s="7">
        <v>2</v>
      </c>
      <c r="BK119" s="7">
        <v>2</v>
      </c>
      <c r="BL119" s="7">
        <v>2</v>
      </c>
      <c r="BM119" s="7">
        <v>2</v>
      </c>
      <c r="BN119" s="7">
        <v>2</v>
      </c>
      <c r="BO119" s="7">
        <v>2</v>
      </c>
      <c r="BP119" s="7">
        <v>1</v>
      </c>
      <c r="BQ119" s="7">
        <v>1</v>
      </c>
      <c r="BR119" s="7">
        <v>1</v>
      </c>
      <c r="BS119" s="7">
        <v>1</v>
      </c>
      <c r="BT119" s="7">
        <v>1</v>
      </c>
      <c r="BU119" s="7">
        <v>1</v>
      </c>
      <c r="BV119" s="7">
        <v>1</v>
      </c>
      <c r="BW119" s="7">
        <v>1</v>
      </c>
      <c r="BX119" s="7">
        <v>1</v>
      </c>
      <c r="BY119" s="7">
        <v>1</v>
      </c>
      <c r="BZ119" s="7">
        <v>1</v>
      </c>
      <c r="CA119" s="7">
        <v>1</v>
      </c>
      <c r="CB119" s="7">
        <v>1</v>
      </c>
      <c r="CC119" s="7">
        <v>1</v>
      </c>
      <c r="CD119" s="7">
        <v>1</v>
      </c>
      <c r="CE119" s="7">
        <v>1</v>
      </c>
      <c r="CF119" s="7">
        <v>1</v>
      </c>
      <c r="CG119" s="7">
        <v>1</v>
      </c>
      <c r="CH119" s="7">
        <v>1</v>
      </c>
      <c r="CI119" s="7">
        <v>1</v>
      </c>
      <c r="CJ119" s="7">
        <v>1</v>
      </c>
      <c r="CK119" s="7">
        <v>1</v>
      </c>
      <c r="CL119" s="7">
        <v>1</v>
      </c>
      <c r="CM119" s="7">
        <v>1</v>
      </c>
      <c r="CN119" s="7">
        <v>1</v>
      </c>
      <c r="CO119" s="7">
        <v>1</v>
      </c>
      <c r="CP119" s="7">
        <v>1</v>
      </c>
      <c r="CQ119" s="7">
        <v>1</v>
      </c>
      <c r="CR119" s="7">
        <v>1</v>
      </c>
      <c r="CS119" s="7">
        <v>1</v>
      </c>
      <c r="CT119" s="7">
        <v>1</v>
      </c>
      <c r="CU119" s="7">
        <v>1</v>
      </c>
      <c r="CV119" s="7">
        <v>1</v>
      </c>
      <c r="CW119" s="7">
        <v>1</v>
      </c>
      <c r="CX119" s="7">
        <v>1</v>
      </c>
      <c r="CY119" s="7">
        <v>1</v>
      </c>
      <c r="CZ119" s="7">
        <v>1</v>
      </c>
      <c r="DA119" s="7">
        <v>1</v>
      </c>
      <c r="DB119" s="7">
        <v>1</v>
      </c>
      <c r="DC119" s="7">
        <v>1</v>
      </c>
      <c r="DD119" s="7">
        <v>1</v>
      </c>
      <c r="DE119" s="7">
        <v>1</v>
      </c>
      <c r="DF119" s="7">
        <v>1</v>
      </c>
      <c r="DG119" s="7">
        <v>1</v>
      </c>
      <c r="DH119" s="7">
        <v>1</v>
      </c>
      <c r="DI119" s="7">
        <v>1</v>
      </c>
      <c r="DJ119" s="7">
        <v>1</v>
      </c>
      <c r="DK119" s="7">
        <v>1</v>
      </c>
      <c r="DL119" s="7">
        <v>1</v>
      </c>
      <c r="DM119" s="7">
        <v>1</v>
      </c>
      <c r="DN119" s="7">
        <v>1</v>
      </c>
      <c r="DO119" s="7">
        <v>1</v>
      </c>
      <c r="DP119" s="7">
        <v>1</v>
      </c>
      <c r="DQ119" s="7">
        <v>1</v>
      </c>
      <c r="DR119" s="7">
        <v>1</v>
      </c>
      <c r="DS119" s="7">
        <v>1</v>
      </c>
      <c r="DT119" s="7">
        <v>1</v>
      </c>
      <c r="DU119" s="7">
        <v>1</v>
      </c>
      <c r="DV119" s="7">
        <v>1</v>
      </c>
      <c r="DW119" s="7">
        <v>1</v>
      </c>
      <c r="DX119" s="7">
        <v>1</v>
      </c>
      <c r="DY119" s="7">
        <v>1</v>
      </c>
      <c r="DZ119" s="7">
        <v>1</v>
      </c>
      <c r="EA119" s="7">
        <v>1</v>
      </c>
      <c r="EB119" s="7">
        <v>1</v>
      </c>
      <c r="EC119" s="7">
        <v>1</v>
      </c>
      <c r="ED119" s="7">
        <v>1</v>
      </c>
      <c r="EE119" s="7">
        <v>1</v>
      </c>
      <c r="EF119" s="7">
        <v>1</v>
      </c>
      <c r="EG119" s="7">
        <v>1</v>
      </c>
      <c r="EH119" s="7">
        <v>1</v>
      </c>
      <c r="EI119" s="7">
        <v>1</v>
      </c>
      <c r="EJ119" s="7">
        <v>1</v>
      </c>
      <c r="EK119" s="7">
        <v>1</v>
      </c>
      <c r="EL119" s="7">
        <v>1</v>
      </c>
      <c r="EM119" s="7">
        <v>1</v>
      </c>
      <c r="EN119" s="7">
        <v>1</v>
      </c>
      <c r="EO119" s="7">
        <v>1</v>
      </c>
      <c r="EP119" s="7">
        <v>1</v>
      </c>
      <c r="EQ119" s="7">
        <v>1</v>
      </c>
      <c r="ER119" s="7">
        <v>1</v>
      </c>
      <c r="ES119" s="7">
        <v>1</v>
      </c>
      <c r="ET119" s="7">
        <v>1</v>
      </c>
      <c r="EU119" s="7">
        <v>1</v>
      </c>
      <c r="EV119" s="7">
        <v>1</v>
      </c>
      <c r="EW119" s="7">
        <v>1</v>
      </c>
      <c r="EX119" s="7">
        <v>1</v>
      </c>
      <c r="EY119" s="7">
        <v>1</v>
      </c>
      <c r="EZ119" s="7">
        <v>1</v>
      </c>
      <c r="FB119" s="50">
        <f>HLOOKUP(M16,$AU$112:$EZ$213,8,TRUE)</f>
        <v>1</v>
      </c>
      <c r="FD119" s="50">
        <f>HLOOKUP(AL42,$AU$112:$EZ$213,8,TRUE)</f>
        <v>1</v>
      </c>
    </row>
    <row r="120" spans="45:160" ht="17.100000000000001" customHeight="1">
      <c r="AS120" s="599"/>
      <c r="AT120" s="112">
        <v>0.16200000000000001</v>
      </c>
      <c r="AU120" s="7">
        <v>2</v>
      </c>
      <c r="AV120" s="7">
        <v>2</v>
      </c>
      <c r="AW120" s="7">
        <v>2</v>
      </c>
      <c r="AX120" s="7">
        <v>2</v>
      </c>
      <c r="AY120" s="7">
        <v>2</v>
      </c>
      <c r="AZ120" s="7">
        <v>2</v>
      </c>
      <c r="BA120" s="331">
        <v>2</v>
      </c>
      <c r="BB120" s="7">
        <v>2</v>
      </c>
      <c r="BC120" s="7">
        <v>2</v>
      </c>
      <c r="BD120" s="7">
        <v>2</v>
      </c>
      <c r="BE120" s="7">
        <v>2</v>
      </c>
      <c r="BF120" s="7">
        <v>2</v>
      </c>
      <c r="BG120" s="7">
        <v>2</v>
      </c>
      <c r="BH120" s="7">
        <v>2</v>
      </c>
      <c r="BI120" s="7">
        <v>2</v>
      </c>
      <c r="BJ120" s="7">
        <v>2</v>
      </c>
      <c r="BK120" s="7">
        <v>2</v>
      </c>
      <c r="BL120" s="7">
        <v>2</v>
      </c>
      <c r="BM120" s="7">
        <v>2</v>
      </c>
      <c r="BN120" s="7">
        <v>2</v>
      </c>
      <c r="BO120" s="7">
        <v>2</v>
      </c>
      <c r="BP120" s="7">
        <v>2</v>
      </c>
      <c r="BQ120" s="7">
        <v>1</v>
      </c>
      <c r="BR120" s="7">
        <v>1</v>
      </c>
      <c r="BS120" s="7">
        <v>1</v>
      </c>
      <c r="BT120" s="7">
        <v>1</v>
      </c>
      <c r="BU120" s="7">
        <v>1</v>
      </c>
      <c r="BV120" s="7">
        <v>1</v>
      </c>
      <c r="BW120" s="7">
        <v>1</v>
      </c>
      <c r="BX120" s="7">
        <v>1</v>
      </c>
      <c r="BY120" s="7">
        <v>1</v>
      </c>
      <c r="BZ120" s="7">
        <v>1</v>
      </c>
      <c r="CA120" s="7">
        <v>1</v>
      </c>
      <c r="CB120" s="7">
        <v>1</v>
      </c>
      <c r="CC120" s="7">
        <v>1</v>
      </c>
      <c r="CD120" s="7">
        <v>1</v>
      </c>
      <c r="CE120" s="7">
        <v>1</v>
      </c>
      <c r="CF120" s="7">
        <v>1</v>
      </c>
      <c r="CG120" s="7">
        <v>1</v>
      </c>
      <c r="CH120" s="7">
        <v>1</v>
      </c>
      <c r="CI120" s="7">
        <v>1</v>
      </c>
      <c r="CJ120" s="7">
        <v>1</v>
      </c>
      <c r="CK120" s="7">
        <v>1</v>
      </c>
      <c r="CL120" s="7">
        <v>1</v>
      </c>
      <c r="CM120" s="7">
        <v>1</v>
      </c>
      <c r="CN120" s="7">
        <v>1</v>
      </c>
      <c r="CO120" s="7">
        <v>1</v>
      </c>
      <c r="CP120" s="7">
        <v>1</v>
      </c>
      <c r="CQ120" s="7">
        <v>1</v>
      </c>
      <c r="CR120" s="7">
        <v>1</v>
      </c>
      <c r="CS120" s="7">
        <v>1</v>
      </c>
      <c r="CT120" s="7">
        <v>1</v>
      </c>
      <c r="CU120" s="7">
        <v>1</v>
      </c>
      <c r="CV120" s="7">
        <v>1</v>
      </c>
      <c r="CW120" s="7">
        <v>1</v>
      </c>
      <c r="CX120" s="7">
        <v>1</v>
      </c>
      <c r="CY120" s="7">
        <v>1</v>
      </c>
      <c r="CZ120" s="7">
        <v>1</v>
      </c>
      <c r="DA120" s="7">
        <v>1</v>
      </c>
      <c r="DB120" s="7">
        <v>1</v>
      </c>
      <c r="DC120" s="7">
        <v>1</v>
      </c>
      <c r="DD120" s="7">
        <v>1</v>
      </c>
      <c r="DE120" s="7">
        <v>1</v>
      </c>
      <c r="DF120" s="7">
        <v>1</v>
      </c>
      <c r="DG120" s="7">
        <v>1</v>
      </c>
      <c r="DH120" s="7">
        <v>1</v>
      </c>
      <c r="DI120" s="7">
        <v>1</v>
      </c>
      <c r="DJ120" s="7">
        <v>1</v>
      </c>
      <c r="DK120" s="7">
        <v>1</v>
      </c>
      <c r="DL120" s="7">
        <v>1</v>
      </c>
      <c r="DM120" s="7">
        <v>1</v>
      </c>
      <c r="DN120" s="7">
        <v>1</v>
      </c>
      <c r="DO120" s="7">
        <v>1</v>
      </c>
      <c r="DP120" s="7">
        <v>1</v>
      </c>
      <c r="DQ120" s="7">
        <v>1</v>
      </c>
      <c r="DR120" s="7">
        <v>1</v>
      </c>
      <c r="DS120" s="7">
        <v>1</v>
      </c>
      <c r="DT120" s="7">
        <v>1</v>
      </c>
      <c r="DU120" s="7">
        <v>1</v>
      </c>
      <c r="DV120" s="7">
        <v>1</v>
      </c>
      <c r="DW120" s="7">
        <v>1</v>
      </c>
      <c r="DX120" s="7">
        <v>1</v>
      </c>
      <c r="DY120" s="7">
        <v>1</v>
      </c>
      <c r="DZ120" s="7">
        <v>1</v>
      </c>
      <c r="EA120" s="7">
        <v>1</v>
      </c>
      <c r="EB120" s="7">
        <v>1</v>
      </c>
      <c r="EC120" s="7">
        <v>1</v>
      </c>
      <c r="ED120" s="7">
        <v>1</v>
      </c>
      <c r="EE120" s="7">
        <v>1</v>
      </c>
      <c r="EF120" s="7">
        <v>1</v>
      </c>
      <c r="EG120" s="7">
        <v>1</v>
      </c>
      <c r="EH120" s="7">
        <v>1</v>
      </c>
      <c r="EI120" s="7">
        <v>1</v>
      </c>
      <c r="EJ120" s="7">
        <v>1</v>
      </c>
      <c r="EK120" s="7">
        <v>1</v>
      </c>
      <c r="EL120" s="7">
        <v>1</v>
      </c>
      <c r="EM120" s="7">
        <v>1</v>
      </c>
      <c r="EN120" s="7">
        <v>1</v>
      </c>
      <c r="EO120" s="7">
        <v>1</v>
      </c>
      <c r="EP120" s="7">
        <v>1</v>
      </c>
      <c r="EQ120" s="7">
        <v>1</v>
      </c>
      <c r="ER120" s="7">
        <v>1</v>
      </c>
      <c r="ES120" s="7">
        <v>1</v>
      </c>
      <c r="ET120" s="7">
        <v>1</v>
      </c>
      <c r="EU120" s="7">
        <v>1</v>
      </c>
      <c r="EV120" s="7">
        <v>1</v>
      </c>
      <c r="EW120" s="7">
        <v>1</v>
      </c>
      <c r="EX120" s="7">
        <v>1</v>
      </c>
      <c r="EY120" s="7">
        <v>1</v>
      </c>
      <c r="EZ120" s="7">
        <v>1</v>
      </c>
      <c r="FB120" s="50">
        <f>HLOOKUP(M16,$AU$112:$EZ$213,9,TRUE)</f>
        <v>1</v>
      </c>
      <c r="FD120" s="50">
        <f>HLOOKUP(AL42,$AU$112:$EZ$213,9,TRUE)</f>
        <v>1</v>
      </c>
    </row>
    <row r="121" spans="45:160">
      <c r="AS121" s="599"/>
      <c r="AT121" s="112">
        <v>0.17399999999999999</v>
      </c>
      <c r="AU121" s="7">
        <v>2</v>
      </c>
      <c r="AV121" s="7">
        <v>2</v>
      </c>
      <c r="AW121" s="7">
        <v>2</v>
      </c>
      <c r="AX121" s="7">
        <v>2</v>
      </c>
      <c r="AY121" s="7">
        <v>2</v>
      </c>
      <c r="AZ121" s="7">
        <v>2</v>
      </c>
      <c r="BA121" s="331">
        <v>2</v>
      </c>
      <c r="BB121" s="7">
        <v>2</v>
      </c>
      <c r="BC121" s="7">
        <v>2</v>
      </c>
      <c r="BD121" s="7">
        <v>2</v>
      </c>
      <c r="BE121" s="7">
        <v>2</v>
      </c>
      <c r="BF121" s="7">
        <v>2</v>
      </c>
      <c r="BG121" s="7">
        <v>2</v>
      </c>
      <c r="BH121" s="7">
        <v>2</v>
      </c>
      <c r="BI121" s="7">
        <v>2</v>
      </c>
      <c r="BJ121" s="7">
        <v>2</v>
      </c>
      <c r="BK121" s="7">
        <v>2</v>
      </c>
      <c r="BL121" s="7">
        <v>2</v>
      </c>
      <c r="BM121" s="7">
        <v>2</v>
      </c>
      <c r="BN121" s="7">
        <v>2</v>
      </c>
      <c r="BO121" s="7">
        <v>2</v>
      </c>
      <c r="BP121" s="7">
        <v>2</v>
      </c>
      <c r="BQ121" s="7">
        <v>2</v>
      </c>
      <c r="BR121" s="7">
        <v>1</v>
      </c>
      <c r="BS121" s="7">
        <v>1</v>
      </c>
      <c r="BT121" s="7">
        <v>1</v>
      </c>
      <c r="BU121" s="7">
        <v>1</v>
      </c>
      <c r="BV121" s="7">
        <v>1</v>
      </c>
      <c r="BW121" s="7">
        <v>1</v>
      </c>
      <c r="BX121" s="7">
        <v>1</v>
      </c>
      <c r="BY121" s="7">
        <v>1</v>
      </c>
      <c r="BZ121" s="7">
        <v>1</v>
      </c>
      <c r="CA121" s="7">
        <v>1</v>
      </c>
      <c r="CB121" s="7">
        <v>1</v>
      </c>
      <c r="CC121" s="7">
        <v>1</v>
      </c>
      <c r="CD121" s="7">
        <v>1</v>
      </c>
      <c r="CE121" s="7">
        <v>1</v>
      </c>
      <c r="CF121" s="7">
        <v>1</v>
      </c>
      <c r="CG121" s="7">
        <v>1</v>
      </c>
      <c r="CH121" s="7">
        <v>1</v>
      </c>
      <c r="CI121" s="7">
        <v>1</v>
      </c>
      <c r="CJ121" s="7">
        <v>1</v>
      </c>
      <c r="CK121" s="7">
        <v>1</v>
      </c>
      <c r="CL121" s="7">
        <v>1</v>
      </c>
      <c r="CM121" s="7">
        <v>1</v>
      </c>
      <c r="CN121" s="7">
        <v>1</v>
      </c>
      <c r="CO121" s="7">
        <v>1</v>
      </c>
      <c r="CP121" s="7">
        <v>1</v>
      </c>
      <c r="CQ121" s="7">
        <v>1</v>
      </c>
      <c r="CR121" s="7">
        <v>1</v>
      </c>
      <c r="CS121" s="7">
        <v>1</v>
      </c>
      <c r="CT121" s="7">
        <v>1</v>
      </c>
      <c r="CU121" s="7">
        <v>1</v>
      </c>
      <c r="CV121" s="7">
        <v>1</v>
      </c>
      <c r="CW121" s="7">
        <v>1</v>
      </c>
      <c r="CX121" s="7">
        <v>1</v>
      </c>
      <c r="CY121" s="7">
        <v>1</v>
      </c>
      <c r="CZ121" s="7">
        <v>1</v>
      </c>
      <c r="DA121" s="7">
        <v>1</v>
      </c>
      <c r="DB121" s="7">
        <v>1</v>
      </c>
      <c r="DC121" s="7">
        <v>1</v>
      </c>
      <c r="DD121" s="7">
        <v>1</v>
      </c>
      <c r="DE121" s="7">
        <v>1</v>
      </c>
      <c r="DF121" s="7">
        <v>1</v>
      </c>
      <c r="DG121" s="7">
        <v>1</v>
      </c>
      <c r="DH121" s="7">
        <v>1</v>
      </c>
      <c r="DI121" s="7">
        <v>1</v>
      </c>
      <c r="DJ121" s="7">
        <v>1</v>
      </c>
      <c r="DK121" s="7">
        <v>1</v>
      </c>
      <c r="DL121" s="7">
        <v>1</v>
      </c>
      <c r="DM121" s="7">
        <v>1</v>
      </c>
      <c r="DN121" s="7">
        <v>1</v>
      </c>
      <c r="DO121" s="7">
        <v>1</v>
      </c>
      <c r="DP121" s="7">
        <v>1</v>
      </c>
      <c r="DQ121" s="7">
        <v>1</v>
      </c>
      <c r="DR121" s="7">
        <v>1</v>
      </c>
      <c r="DS121" s="7">
        <v>1</v>
      </c>
      <c r="DT121" s="7">
        <v>1</v>
      </c>
      <c r="DU121" s="7">
        <v>1</v>
      </c>
      <c r="DV121" s="7">
        <v>1</v>
      </c>
      <c r="DW121" s="7">
        <v>1</v>
      </c>
      <c r="DX121" s="7">
        <v>1</v>
      </c>
      <c r="DY121" s="7">
        <v>1</v>
      </c>
      <c r="DZ121" s="7">
        <v>1</v>
      </c>
      <c r="EA121" s="7">
        <v>1</v>
      </c>
      <c r="EB121" s="7">
        <v>1</v>
      </c>
      <c r="EC121" s="7">
        <v>1</v>
      </c>
      <c r="ED121" s="7">
        <v>1</v>
      </c>
      <c r="EE121" s="7">
        <v>1</v>
      </c>
      <c r="EF121" s="7">
        <v>1</v>
      </c>
      <c r="EG121" s="7">
        <v>1</v>
      </c>
      <c r="EH121" s="7">
        <v>1</v>
      </c>
      <c r="EI121" s="7">
        <v>1</v>
      </c>
      <c r="EJ121" s="7">
        <v>1</v>
      </c>
      <c r="EK121" s="7">
        <v>1</v>
      </c>
      <c r="EL121" s="7">
        <v>1</v>
      </c>
      <c r="EM121" s="7">
        <v>1</v>
      </c>
      <c r="EN121" s="7">
        <v>1</v>
      </c>
      <c r="EO121" s="7">
        <v>1</v>
      </c>
      <c r="EP121" s="7">
        <v>1</v>
      </c>
      <c r="EQ121" s="7">
        <v>1</v>
      </c>
      <c r="ER121" s="7">
        <v>1</v>
      </c>
      <c r="ES121" s="7">
        <v>1</v>
      </c>
      <c r="ET121" s="7">
        <v>1</v>
      </c>
      <c r="EU121" s="7">
        <v>1</v>
      </c>
      <c r="EV121" s="7">
        <v>1</v>
      </c>
      <c r="EW121" s="7">
        <v>1</v>
      </c>
      <c r="EX121" s="7">
        <v>1</v>
      </c>
      <c r="EY121" s="7">
        <v>1</v>
      </c>
      <c r="EZ121" s="7">
        <v>1</v>
      </c>
      <c r="FB121" s="50">
        <f>HLOOKUP(M16,$AU$112:$EZ$213,10,TRUE)</f>
        <v>1</v>
      </c>
      <c r="FD121" s="50">
        <f>HLOOKUP(AL42,$AU$112:$EZ$213,10,TRUE)</f>
        <v>1</v>
      </c>
    </row>
    <row r="122" spans="45:160">
      <c r="AT122" s="112">
        <v>0.186</v>
      </c>
      <c r="AU122" s="7">
        <v>2</v>
      </c>
      <c r="AV122" s="7">
        <v>2</v>
      </c>
      <c r="AW122" s="7">
        <v>2</v>
      </c>
      <c r="AX122" s="7">
        <v>2</v>
      </c>
      <c r="AY122" s="7">
        <v>2</v>
      </c>
      <c r="AZ122" s="7">
        <v>2</v>
      </c>
      <c r="BA122" s="331">
        <v>2</v>
      </c>
      <c r="BB122" s="7">
        <v>2</v>
      </c>
      <c r="BC122" s="7">
        <v>2</v>
      </c>
      <c r="BD122" s="7">
        <v>2</v>
      </c>
      <c r="BE122" s="7">
        <v>2</v>
      </c>
      <c r="BF122" s="7">
        <v>2</v>
      </c>
      <c r="BG122" s="7">
        <v>2</v>
      </c>
      <c r="BH122" s="7">
        <v>2</v>
      </c>
      <c r="BI122" s="7">
        <v>2</v>
      </c>
      <c r="BJ122" s="7">
        <v>2</v>
      </c>
      <c r="BK122" s="7">
        <v>2</v>
      </c>
      <c r="BL122" s="7">
        <v>2</v>
      </c>
      <c r="BM122" s="7">
        <v>2</v>
      </c>
      <c r="BN122" s="7">
        <v>2</v>
      </c>
      <c r="BO122" s="7">
        <v>2</v>
      </c>
      <c r="BP122" s="7">
        <v>2</v>
      </c>
      <c r="BQ122" s="7">
        <v>2</v>
      </c>
      <c r="BR122" s="7">
        <v>2</v>
      </c>
      <c r="BS122" s="7">
        <v>1</v>
      </c>
      <c r="BT122" s="7">
        <v>1</v>
      </c>
      <c r="BU122" s="7">
        <v>1</v>
      </c>
      <c r="BV122" s="7">
        <v>1</v>
      </c>
      <c r="BW122" s="7">
        <v>1</v>
      </c>
      <c r="BX122" s="7">
        <v>1</v>
      </c>
      <c r="BY122" s="7">
        <v>1</v>
      </c>
      <c r="BZ122" s="7">
        <v>1</v>
      </c>
      <c r="CA122" s="7">
        <v>1</v>
      </c>
      <c r="CB122" s="7">
        <v>1</v>
      </c>
      <c r="CC122" s="7">
        <v>1</v>
      </c>
      <c r="CD122" s="7">
        <v>1</v>
      </c>
      <c r="CE122" s="7">
        <v>1</v>
      </c>
      <c r="CF122" s="7">
        <v>1</v>
      </c>
      <c r="CG122" s="7">
        <v>1</v>
      </c>
      <c r="CH122" s="7">
        <v>1</v>
      </c>
      <c r="CI122" s="7">
        <v>1</v>
      </c>
      <c r="CJ122" s="7">
        <v>1</v>
      </c>
      <c r="CK122" s="7">
        <v>1</v>
      </c>
      <c r="CL122" s="7">
        <v>1</v>
      </c>
      <c r="CM122" s="7">
        <v>1</v>
      </c>
      <c r="CN122" s="7">
        <v>1</v>
      </c>
      <c r="CO122" s="7">
        <v>1</v>
      </c>
      <c r="CP122" s="7">
        <v>1</v>
      </c>
      <c r="CQ122" s="7">
        <v>1</v>
      </c>
      <c r="CR122" s="7">
        <v>1</v>
      </c>
      <c r="CS122" s="7">
        <v>1</v>
      </c>
      <c r="CT122" s="7">
        <v>1</v>
      </c>
      <c r="CU122" s="7">
        <v>1</v>
      </c>
      <c r="CV122" s="7">
        <v>1</v>
      </c>
      <c r="CW122" s="7">
        <v>1</v>
      </c>
      <c r="CX122" s="7">
        <v>1</v>
      </c>
      <c r="CY122" s="7">
        <v>1</v>
      </c>
      <c r="CZ122" s="7">
        <v>1</v>
      </c>
      <c r="DA122" s="7">
        <v>1</v>
      </c>
      <c r="DB122" s="7">
        <v>1</v>
      </c>
      <c r="DC122" s="7">
        <v>1</v>
      </c>
      <c r="DD122" s="7">
        <v>1</v>
      </c>
      <c r="DE122" s="7">
        <v>1</v>
      </c>
      <c r="DF122" s="7">
        <v>1</v>
      </c>
      <c r="DG122" s="7">
        <v>1</v>
      </c>
      <c r="DH122" s="7">
        <v>1</v>
      </c>
      <c r="DI122" s="7">
        <v>1</v>
      </c>
      <c r="DJ122" s="7">
        <v>1</v>
      </c>
      <c r="DK122" s="7">
        <v>1</v>
      </c>
      <c r="DL122" s="7">
        <v>1</v>
      </c>
      <c r="DM122" s="7">
        <v>1</v>
      </c>
      <c r="DN122" s="7">
        <v>1</v>
      </c>
      <c r="DO122" s="7">
        <v>1</v>
      </c>
      <c r="DP122" s="7">
        <v>1</v>
      </c>
      <c r="DQ122" s="7">
        <v>1</v>
      </c>
      <c r="DR122" s="7">
        <v>1</v>
      </c>
      <c r="DS122" s="7">
        <v>1</v>
      </c>
      <c r="DT122" s="7">
        <v>1</v>
      </c>
      <c r="DU122" s="7">
        <v>1</v>
      </c>
      <c r="DV122" s="7">
        <v>1</v>
      </c>
      <c r="DW122" s="7">
        <v>1</v>
      </c>
      <c r="DX122" s="7">
        <v>1</v>
      </c>
      <c r="DY122" s="7">
        <v>1</v>
      </c>
      <c r="DZ122" s="7">
        <v>1</v>
      </c>
      <c r="EA122" s="7">
        <v>1</v>
      </c>
      <c r="EB122" s="7">
        <v>1</v>
      </c>
      <c r="EC122" s="7">
        <v>1</v>
      </c>
      <c r="ED122" s="7">
        <v>1</v>
      </c>
      <c r="EE122" s="7">
        <v>1</v>
      </c>
      <c r="EF122" s="7">
        <v>1</v>
      </c>
      <c r="EG122" s="7">
        <v>1</v>
      </c>
      <c r="EH122" s="7">
        <v>1</v>
      </c>
      <c r="EI122" s="7">
        <v>1</v>
      </c>
      <c r="EJ122" s="7">
        <v>1</v>
      </c>
      <c r="EK122" s="7">
        <v>1</v>
      </c>
      <c r="EL122" s="7">
        <v>1</v>
      </c>
      <c r="EM122" s="7">
        <v>1</v>
      </c>
      <c r="EN122" s="7">
        <v>1</v>
      </c>
      <c r="EO122" s="7">
        <v>1</v>
      </c>
      <c r="EP122" s="7">
        <v>1</v>
      </c>
      <c r="EQ122" s="7">
        <v>1</v>
      </c>
      <c r="ER122" s="7">
        <v>1</v>
      </c>
      <c r="ES122" s="7">
        <v>1</v>
      </c>
      <c r="ET122" s="7">
        <v>1</v>
      </c>
      <c r="EU122" s="7">
        <v>1</v>
      </c>
      <c r="EV122" s="7">
        <v>1</v>
      </c>
      <c r="EW122" s="7">
        <v>1</v>
      </c>
      <c r="EX122" s="7">
        <v>1</v>
      </c>
      <c r="EY122" s="7">
        <v>1</v>
      </c>
      <c r="EZ122" s="7">
        <v>1</v>
      </c>
      <c r="FB122" s="50">
        <f>HLOOKUP(M16,$AU$112:$EZ$213,11,TRUE)</f>
        <v>1</v>
      </c>
      <c r="FD122" s="50">
        <f>HLOOKUP(AL42,$AU$112:$EZ$213,11,TRUE)</f>
        <v>1</v>
      </c>
    </row>
    <row r="123" spans="45:160">
      <c r="AT123" s="112">
        <v>0.2</v>
      </c>
      <c r="AU123" s="7">
        <v>2</v>
      </c>
      <c r="AV123" s="7">
        <v>2</v>
      </c>
      <c r="AW123" s="7">
        <v>2</v>
      </c>
      <c r="AX123" s="7">
        <v>2</v>
      </c>
      <c r="AY123" s="7">
        <v>2</v>
      </c>
      <c r="AZ123" s="7">
        <v>2</v>
      </c>
      <c r="BA123" s="331">
        <v>2</v>
      </c>
      <c r="BB123" s="7">
        <v>2</v>
      </c>
      <c r="BC123" s="7">
        <v>2</v>
      </c>
      <c r="BD123" s="7">
        <v>2</v>
      </c>
      <c r="BE123" s="7">
        <v>2</v>
      </c>
      <c r="BF123" s="7">
        <v>2</v>
      </c>
      <c r="BG123" s="7">
        <v>2</v>
      </c>
      <c r="BH123" s="7">
        <v>2</v>
      </c>
      <c r="BI123" s="7">
        <v>2</v>
      </c>
      <c r="BJ123" s="7">
        <v>2</v>
      </c>
      <c r="BK123" s="7">
        <v>2</v>
      </c>
      <c r="BL123" s="7">
        <v>2</v>
      </c>
      <c r="BM123" s="7">
        <v>2</v>
      </c>
      <c r="BN123" s="7">
        <v>2</v>
      </c>
      <c r="BO123" s="7">
        <v>2</v>
      </c>
      <c r="BP123" s="7">
        <v>2</v>
      </c>
      <c r="BQ123" s="7">
        <v>2</v>
      </c>
      <c r="BR123" s="7">
        <v>2</v>
      </c>
      <c r="BS123" s="7">
        <v>2</v>
      </c>
      <c r="BT123" s="7">
        <v>1</v>
      </c>
      <c r="BU123" s="7">
        <v>1</v>
      </c>
      <c r="BV123" s="7">
        <v>1</v>
      </c>
      <c r="BW123" s="7">
        <v>1</v>
      </c>
      <c r="BX123" s="7">
        <v>1</v>
      </c>
      <c r="BY123" s="7">
        <v>1</v>
      </c>
      <c r="BZ123" s="7">
        <v>1</v>
      </c>
      <c r="CA123" s="7">
        <v>1</v>
      </c>
      <c r="CB123" s="7">
        <v>1</v>
      </c>
      <c r="CC123" s="7">
        <v>1</v>
      </c>
      <c r="CD123" s="7">
        <v>1</v>
      </c>
      <c r="CE123" s="7">
        <v>1</v>
      </c>
      <c r="CF123" s="7">
        <v>1</v>
      </c>
      <c r="CG123" s="7">
        <v>1</v>
      </c>
      <c r="CH123" s="7">
        <v>1</v>
      </c>
      <c r="CI123" s="7">
        <v>1</v>
      </c>
      <c r="CJ123" s="7">
        <v>1</v>
      </c>
      <c r="CK123" s="7">
        <v>1</v>
      </c>
      <c r="CL123" s="7">
        <v>1</v>
      </c>
      <c r="CM123" s="7">
        <v>1</v>
      </c>
      <c r="CN123" s="7">
        <v>1</v>
      </c>
      <c r="CO123" s="7">
        <v>1</v>
      </c>
      <c r="CP123" s="7">
        <v>1</v>
      </c>
      <c r="CQ123" s="7">
        <v>1</v>
      </c>
      <c r="CR123" s="7">
        <v>1</v>
      </c>
      <c r="CS123" s="7">
        <v>1</v>
      </c>
      <c r="CT123" s="7">
        <v>1</v>
      </c>
      <c r="CU123" s="7">
        <v>1</v>
      </c>
      <c r="CV123" s="7">
        <v>1</v>
      </c>
      <c r="CW123" s="7">
        <v>1</v>
      </c>
      <c r="CX123" s="7">
        <v>1</v>
      </c>
      <c r="CY123" s="7">
        <v>1</v>
      </c>
      <c r="CZ123" s="7">
        <v>1</v>
      </c>
      <c r="DA123" s="7">
        <v>1</v>
      </c>
      <c r="DB123" s="7">
        <v>1</v>
      </c>
      <c r="DC123" s="7">
        <v>1</v>
      </c>
      <c r="DD123" s="7">
        <v>1</v>
      </c>
      <c r="DE123" s="7">
        <v>1</v>
      </c>
      <c r="DF123" s="7">
        <v>1</v>
      </c>
      <c r="DG123" s="7">
        <v>1</v>
      </c>
      <c r="DH123" s="7">
        <v>1</v>
      </c>
      <c r="DI123" s="7">
        <v>1</v>
      </c>
      <c r="DJ123" s="7">
        <v>1</v>
      </c>
      <c r="DK123" s="7">
        <v>1</v>
      </c>
      <c r="DL123" s="7">
        <v>1</v>
      </c>
      <c r="DM123" s="7">
        <v>1</v>
      </c>
      <c r="DN123" s="7">
        <v>1</v>
      </c>
      <c r="DO123" s="7">
        <v>1</v>
      </c>
      <c r="DP123" s="7">
        <v>1</v>
      </c>
      <c r="DQ123" s="7">
        <v>1</v>
      </c>
      <c r="DR123" s="7">
        <v>1</v>
      </c>
      <c r="DS123" s="7">
        <v>1</v>
      </c>
      <c r="DT123" s="7">
        <v>1</v>
      </c>
      <c r="DU123" s="7">
        <v>1</v>
      </c>
      <c r="DV123" s="7">
        <v>1</v>
      </c>
      <c r="DW123" s="7">
        <v>1</v>
      </c>
      <c r="DX123" s="7">
        <v>1</v>
      </c>
      <c r="DY123" s="7">
        <v>1</v>
      </c>
      <c r="DZ123" s="7">
        <v>1</v>
      </c>
      <c r="EA123" s="7">
        <v>1</v>
      </c>
      <c r="EB123" s="7">
        <v>1</v>
      </c>
      <c r="EC123" s="7">
        <v>1</v>
      </c>
      <c r="ED123" s="7">
        <v>1</v>
      </c>
      <c r="EE123" s="7">
        <v>1</v>
      </c>
      <c r="EF123" s="7">
        <v>1</v>
      </c>
      <c r="EG123" s="7">
        <v>1</v>
      </c>
      <c r="EH123" s="7">
        <v>1</v>
      </c>
      <c r="EI123" s="7">
        <v>1</v>
      </c>
      <c r="EJ123" s="7">
        <v>1</v>
      </c>
      <c r="EK123" s="7">
        <v>1</v>
      </c>
      <c r="EL123" s="7">
        <v>1</v>
      </c>
      <c r="EM123" s="7">
        <v>1</v>
      </c>
      <c r="EN123" s="7">
        <v>1</v>
      </c>
      <c r="EO123" s="7">
        <v>1</v>
      </c>
      <c r="EP123" s="7">
        <v>1</v>
      </c>
      <c r="EQ123" s="7">
        <v>1</v>
      </c>
      <c r="ER123" s="7">
        <v>1</v>
      </c>
      <c r="ES123" s="7">
        <v>1</v>
      </c>
      <c r="ET123" s="7">
        <v>1</v>
      </c>
      <c r="EU123" s="7">
        <v>1</v>
      </c>
      <c r="EV123" s="7">
        <v>1</v>
      </c>
      <c r="EW123" s="7">
        <v>1</v>
      </c>
      <c r="EX123" s="7">
        <v>1</v>
      </c>
      <c r="EY123" s="7">
        <v>1</v>
      </c>
      <c r="EZ123" s="7">
        <v>1</v>
      </c>
      <c r="FB123" s="50">
        <f>HLOOKUP(M16,$AU$112:$EZ$213,12,TRUE)</f>
        <v>1</v>
      </c>
      <c r="FD123" s="50">
        <f>HLOOKUP(AL42,$AU$112:$EZ$213,12,TRUE)</f>
        <v>1</v>
      </c>
    </row>
    <row r="124" spans="45:160">
      <c r="AT124" s="112">
        <v>0.214</v>
      </c>
      <c r="AU124" s="7">
        <v>2</v>
      </c>
      <c r="AV124" s="7">
        <v>2</v>
      </c>
      <c r="AW124" s="7">
        <v>2</v>
      </c>
      <c r="AX124" s="7">
        <v>2</v>
      </c>
      <c r="AY124" s="7">
        <v>2</v>
      </c>
      <c r="AZ124" s="7">
        <v>2</v>
      </c>
      <c r="BA124" s="331">
        <v>2</v>
      </c>
      <c r="BB124" s="7">
        <v>2</v>
      </c>
      <c r="BC124" s="7">
        <v>2</v>
      </c>
      <c r="BD124" s="7">
        <v>2</v>
      </c>
      <c r="BE124" s="7">
        <v>2</v>
      </c>
      <c r="BF124" s="7">
        <v>2</v>
      </c>
      <c r="BG124" s="7">
        <v>2</v>
      </c>
      <c r="BH124" s="7">
        <v>2</v>
      </c>
      <c r="BI124" s="7">
        <v>2</v>
      </c>
      <c r="BJ124" s="7">
        <v>2</v>
      </c>
      <c r="BK124" s="7">
        <v>2</v>
      </c>
      <c r="BL124" s="7">
        <v>2</v>
      </c>
      <c r="BM124" s="7">
        <v>2</v>
      </c>
      <c r="BN124" s="7">
        <v>2</v>
      </c>
      <c r="BO124" s="7">
        <v>2</v>
      </c>
      <c r="BP124" s="7">
        <v>2</v>
      </c>
      <c r="BQ124" s="7">
        <v>2</v>
      </c>
      <c r="BR124" s="7">
        <v>2</v>
      </c>
      <c r="BS124" s="7">
        <v>2</v>
      </c>
      <c r="BT124" s="7">
        <v>2</v>
      </c>
      <c r="BU124" s="7">
        <v>1</v>
      </c>
      <c r="BV124" s="7">
        <v>1</v>
      </c>
      <c r="BW124" s="7">
        <v>1</v>
      </c>
      <c r="BX124" s="7">
        <v>1</v>
      </c>
      <c r="BY124" s="7">
        <v>1</v>
      </c>
      <c r="BZ124" s="7">
        <v>1</v>
      </c>
      <c r="CA124" s="7">
        <v>1</v>
      </c>
      <c r="CB124" s="7">
        <v>1</v>
      </c>
      <c r="CC124" s="7">
        <v>1</v>
      </c>
      <c r="CD124" s="7">
        <v>1</v>
      </c>
      <c r="CE124" s="7">
        <v>1</v>
      </c>
      <c r="CF124" s="7">
        <v>1</v>
      </c>
      <c r="CG124" s="7">
        <v>1</v>
      </c>
      <c r="CH124" s="7">
        <v>1</v>
      </c>
      <c r="CI124" s="7">
        <v>1</v>
      </c>
      <c r="CJ124" s="7">
        <v>1</v>
      </c>
      <c r="CK124" s="7">
        <v>1</v>
      </c>
      <c r="CL124" s="7">
        <v>1</v>
      </c>
      <c r="CM124" s="7">
        <v>1</v>
      </c>
      <c r="CN124" s="7">
        <v>1</v>
      </c>
      <c r="CO124" s="7">
        <v>1</v>
      </c>
      <c r="CP124" s="7">
        <v>1</v>
      </c>
      <c r="CQ124" s="7">
        <v>1</v>
      </c>
      <c r="CR124" s="7">
        <v>1</v>
      </c>
      <c r="CS124" s="7">
        <v>1</v>
      </c>
      <c r="CT124" s="7">
        <v>1</v>
      </c>
      <c r="CU124" s="7">
        <v>1</v>
      </c>
      <c r="CV124" s="7">
        <v>1</v>
      </c>
      <c r="CW124" s="7">
        <v>1</v>
      </c>
      <c r="CX124" s="7">
        <v>1</v>
      </c>
      <c r="CY124" s="7">
        <v>1</v>
      </c>
      <c r="CZ124" s="7">
        <v>1</v>
      </c>
      <c r="DA124" s="7">
        <v>1</v>
      </c>
      <c r="DB124" s="7">
        <v>1</v>
      </c>
      <c r="DC124" s="7">
        <v>1</v>
      </c>
      <c r="DD124" s="7">
        <v>1</v>
      </c>
      <c r="DE124" s="7">
        <v>1</v>
      </c>
      <c r="DF124" s="7">
        <v>1</v>
      </c>
      <c r="DG124" s="7">
        <v>1</v>
      </c>
      <c r="DH124" s="7">
        <v>1</v>
      </c>
      <c r="DI124" s="7">
        <v>1</v>
      </c>
      <c r="DJ124" s="7">
        <v>1</v>
      </c>
      <c r="DK124" s="7">
        <v>1</v>
      </c>
      <c r="DL124" s="7">
        <v>1</v>
      </c>
      <c r="DM124" s="7">
        <v>1</v>
      </c>
      <c r="DN124" s="7">
        <v>1</v>
      </c>
      <c r="DO124" s="7">
        <v>1</v>
      </c>
      <c r="DP124" s="7">
        <v>1</v>
      </c>
      <c r="DQ124" s="7">
        <v>1</v>
      </c>
      <c r="DR124" s="7">
        <v>1</v>
      </c>
      <c r="DS124" s="7">
        <v>1</v>
      </c>
      <c r="DT124" s="7">
        <v>1</v>
      </c>
      <c r="DU124" s="7">
        <v>1</v>
      </c>
      <c r="DV124" s="7">
        <v>1</v>
      </c>
      <c r="DW124" s="7">
        <v>1</v>
      </c>
      <c r="DX124" s="7">
        <v>1</v>
      </c>
      <c r="DY124" s="7">
        <v>1</v>
      </c>
      <c r="DZ124" s="7">
        <v>1</v>
      </c>
      <c r="EA124" s="7">
        <v>1</v>
      </c>
      <c r="EB124" s="7">
        <v>1</v>
      </c>
      <c r="EC124" s="7">
        <v>1</v>
      </c>
      <c r="ED124" s="7">
        <v>1</v>
      </c>
      <c r="EE124" s="7">
        <v>1</v>
      </c>
      <c r="EF124" s="7">
        <v>1</v>
      </c>
      <c r="EG124" s="7">
        <v>1</v>
      </c>
      <c r="EH124" s="7">
        <v>1</v>
      </c>
      <c r="EI124" s="7">
        <v>1</v>
      </c>
      <c r="EJ124" s="7">
        <v>1</v>
      </c>
      <c r="EK124" s="7">
        <v>1</v>
      </c>
      <c r="EL124" s="7">
        <v>1</v>
      </c>
      <c r="EM124" s="7">
        <v>1</v>
      </c>
      <c r="EN124" s="7">
        <v>1</v>
      </c>
      <c r="EO124" s="7">
        <v>1</v>
      </c>
      <c r="EP124" s="7">
        <v>1</v>
      </c>
      <c r="EQ124" s="7">
        <v>1</v>
      </c>
      <c r="ER124" s="7">
        <v>1</v>
      </c>
      <c r="ES124" s="7">
        <v>1</v>
      </c>
      <c r="ET124" s="7">
        <v>1</v>
      </c>
      <c r="EU124" s="7">
        <v>1</v>
      </c>
      <c r="EV124" s="7">
        <v>1</v>
      </c>
      <c r="EW124" s="7">
        <v>1</v>
      </c>
      <c r="EX124" s="7">
        <v>1</v>
      </c>
      <c r="EY124" s="7">
        <v>1</v>
      </c>
      <c r="EZ124" s="7">
        <v>1</v>
      </c>
      <c r="FB124" s="50">
        <f>HLOOKUP(M16,$AU$112:$EZ$213,13,TRUE)</f>
        <v>1</v>
      </c>
      <c r="FD124" s="50">
        <f>HLOOKUP(AL42,$AU$112:$EZ$213,13,TRUE)</f>
        <v>1</v>
      </c>
    </row>
    <row r="125" spans="45:160">
      <c r="AT125" s="112">
        <v>0.22900000000000001</v>
      </c>
      <c r="AU125" s="7">
        <v>2</v>
      </c>
      <c r="AV125" s="7">
        <v>2</v>
      </c>
      <c r="AW125" s="7">
        <v>2</v>
      </c>
      <c r="AX125" s="7">
        <v>2</v>
      </c>
      <c r="AY125" s="7">
        <v>2</v>
      </c>
      <c r="AZ125" s="7">
        <v>2</v>
      </c>
      <c r="BA125" s="331">
        <v>2</v>
      </c>
      <c r="BB125" s="7">
        <v>2</v>
      </c>
      <c r="BC125" s="7">
        <v>2</v>
      </c>
      <c r="BD125" s="7">
        <v>2</v>
      </c>
      <c r="BE125" s="7">
        <v>2</v>
      </c>
      <c r="BF125" s="7">
        <v>2</v>
      </c>
      <c r="BG125" s="7">
        <v>2</v>
      </c>
      <c r="BH125" s="7">
        <v>2</v>
      </c>
      <c r="BI125" s="7">
        <v>2</v>
      </c>
      <c r="BJ125" s="7">
        <v>2</v>
      </c>
      <c r="BK125" s="7">
        <v>2</v>
      </c>
      <c r="BL125" s="7">
        <v>2</v>
      </c>
      <c r="BM125" s="7">
        <v>2</v>
      </c>
      <c r="BN125" s="7">
        <v>2</v>
      </c>
      <c r="BO125" s="7">
        <v>2</v>
      </c>
      <c r="BP125" s="7">
        <v>2</v>
      </c>
      <c r="BQ125" s="7">
        <v>2</v>
      </c>
      <c r="BR125" s="7">
        <v>2</v>
      </c>
      <c r="BS125" s="7">
        <v>2</v>
      </c>
      <c r="BT125" s="7">
        <v>2</v>
      </c>
      <c r="BU125" s="7">
        <v>2</v>
      </c>
      <c r="BV125" s="7">
        <v>1</v>
      </c>
      <c r="BW125" s="7">
        <v>1</v>
      </c>
      <c r="BX125" s="7">
        <v>1</v>
      </c>
      <c r="BY125" s="7">
        <v>1</v>
      </c>
      <c r="BZ125" s="7">
        <v>1</v>
      </c>
      <c r="CA125" s="7">
        <v>1</v>
      </c>
      <c r="CB125" s="7">
        <v>1</v>
      </c>
      <c r="CC125" s="7">
        <v>1</v>
      </c>
      <c r="CD125" s="7">
        <v>1</v>
      </c>
      <c r="CE125" s="7">
        <v>1</v>
      </c>
      <c r="CF125" s="7">
        <v>1</v>
      </c>
      <c r="CG125" s="7">
        <v>1</v>
      </c>
      <c r="CH125" s="7">
        <v>1</v>
      </c>
      <c r="CI125" s="7">
        <v>1</v>
      </c>
      <c r="CJ125" s="7">
        <v>1</v>
      </c>
      <c r="CK125" s="7">
        <v>1</v>
      </c>
      <c r="CL125" s="7">
        <v>1</v>
      </c>
      <c r="CM125" s="7">
        <v>1</v>
      </c>
      <c r="CN125" s="7">
        <v>1</v>
      </c>
      <c r="CO125" s="7">
        <v>1</v>
      </c>
      <c r="CP125" s="7">
        <v>1</v>
      </c>
      <c r="CQ125" s="7">
        <v>1</v>
      </c>
      <c r="CR125" s="7">
        <v>1</v>
      </c>
      <c r="CS125" s="7">
        <v>1</v>
      </c>
      <c r="CT125" s="7">
        <v>1</v>
      </c>
      <c r="CU125" s="7">
        <v>1</v>
      </c>
      <c r="CV125" s="7">
        <v>1</v>
      </c>
      <c r="CW125" s="7">
        <v>1</v>
      </c>
      <c r="CX125" s="7">
        <v>1</v>
      </c>
      <c r="CY125" s="7">
        <v>1</v>
      </c>
      <c r="CZ125" s="7">
        <v>1</v>
      </c>
      <c r="DA125" s="7">
        <v>1</v>
      </c>
      <c r="DB125" s="7">
        <v>1</v>
      </c>
      <c r="DC125" s="7">
        <v>1</v>
      </c>
      <c r="DD125" s="7">
        <v>1</v>
      </c>
      <c r="DE125" s="7">
        <v>1</v>
      </c>
      <c r="DF125" s="7">
        <v>1</v>
      </c>
      <c r="DG125" s="7">
        <v>1</v>
      </c>
      <c r="DH125" s="7">
        <v>1</v>
      </c>
      <c r="DI125" s="7">
        <v>1</v>
      </c>
      <c r="DJ125" s="7">
        <v>1</v>
      </c>
      <c r="DK125" s="7">
        <v>1</v>
      </c>
      <c r="DL125" s="7">
        <v>1</v>
      </c>
      <c r="DM125" s="7">
        <v>1</v>
      </c>
      <c r="DN125" s="7">
        <v>1</v>
      </c>
      <c r="DO125" s="7">
        <v>1</v>
      </c>
      <c r="DP125" s="7">
        <v>1</v>
      </c>
      <c r="DQ125" s="7">
        <v>1</v>
      </c>
      <c r="DR125" s="7">
        <v>1</v>
      </c>
      <c r="DS125" s="7">
        <v>1</v>
      </c>
      <c r="DT125" s="7">
        <v>1</v>
      </c>
      <c r="DU125" s="7">
        <v>1</v>
      </c>
      <c r="DV125" s="7">
        <v>1</v>
      </c>
      <c r="DW125" s="7">
        <v>1</v>
      </c>
      <c r="DX125" s="7">
        <v>1</v>
      </c>
      <c r="DY125" s="7">
        <v>1</v>
      </c>
      <c r="DZ125" s="7">
        <v>1</v>
      </c>
      <c r="EA125" s="7">
        <v>1</v>
      </c>
      <c r="EB125" s="7">
        <v>1</v>
      </c>
      <c r="EC125" s="7">
        <v>1</v>
      </c>
      <c r="ED125" s="7">
        <v>1</v>
      </c>
      <c r="EE125" s="7">
        <v>1</v>
      </c>
      <c r="EF125" s="7">
        <v>1</v>
      </c>
      <c r="EG125" s="7">
        <v>1</v>
      </c>
      <c r="EH125" s="7">
        <v>1</v>
      </c>
      <c r="EI125" s="7">
        <v>1</v>
      </c>
      <c r="EJ125" s="7">
        <v>1</v>
      </c>
      <c r="EK125" s="7">
        <v>1</v>
      </c>
      <c r="EL125" s="7">
        <v>1</v>
      </c>
      <c r="EM125" s="7">
        <v>1</v>
      </c>
      <c r="EN125" s="7">
        <v>1</v>
      </c>
      <c r="EO125" s="7">
        <v>1</v>
      </c>
      <c r="EP125" s="7">
        <v>1</v>
      </c>
      <c r="EQ125" s="7">
        <v>1</v>
      </c>
      <c r="ER125" s="7">
        <v>1</v>
      </c>
      <c r="ES125" s="7">
        <v>1</v>
      </c>
      <c r="ET125" s="7">
        <v>1</v>
      </c>
      <c r="EU125" s="7">
        <v>1</v>
      </c>
      <c r="EV125" s="7">
        <v>1</v>
      </c>
      <c r="EW125" s="7">
        <v>1</v>
      </c>
      <c r="EX125" s="7">
        <v>1</v>
      </c>
      <c r="EY125" s="7">
        <v>1</v>
      </c>
      <c r="EZ125" s="7">
        <v>1</v>
      </c>
      <c r="FB125" s="50">
        <f>HLOOKUP(M16,$AU$112:$EZ$213,14,TRUE)</f>
        <v>1</v>
      </c>
      <c r="FD125" s="50">
        <f>HLOOKUP(AL42,$AU$112:$EZ$213,14,TRUE)</f>
        <v>1</v>
      </c>
    </row>
    <row r="126" spans="45:160">
      <c r="AT126" s="112">
        <v>0.245</v>
      </c>
      <c r="AU126" s="7">
        <v>2</v>
      </c>
      <c r="AV126" s="7">
        <v>2</v>
      </c>
      <c r="AW126" s="7">
        <v>2</v>
      </c>
      <c r="AX126" s="7">
        <v>2</v>
      </c>
      <c r="AY126" s="7">
        <v>2</v>
      </c>
      <c r="AZ126" s="7">
        <v>2</v>
      </c>
      <c r="BA126" s="331">
        <v>2</v>
      </c>
      <c r="BB126" s="7">
        <v>2</v>
      </c>
      <c r="BC126" s="7">
        <v>2</v>
      </c>
      <c r="BD126" s="7">
        <v>2</v>
      </c>
      <c r="BE126" s="7">
        <v>2</v>
      </c>
      <c r="BF126" s="7">
        <v>2</v>
      </c>
      <c r="BG126" s="7">
        <v>2</v>
      </c>
      <c r="BH126" s="7">
        <v>2</v>
      </c>
      <c r="BI126" s="7">
        <v>2</v>
      </c>
      <c r="BJ126" s="7">
        <v>2</v>
      </c>
      <c r="BK126" s="7">
        <v>2</v>
      </c>
      <c r="BL126" s="7">
        <v>2</v>
      </c>
      <c r="BM126" s="7">
        <v>2</v>
      </c>
      <c r="BN126" s="7">
        <v>2</v>
      </c>
      <c r="BO126" s="7">
        <v>2</v>
      </c>
      <c r="BP126" s="7">
        <v>2</v>
      </c>
      <c r="BQ126" s="7">
        <v>2</v>
      </c>
      <c r="BR126" s="7">
        <v>2</v>
      </c>
      <c r="BS126" s="7">
        <v>2</v>
      </c>
      <c r="BT126" s="7">
        <v>2</v>
      </c>
      <c r="BU126" s="7">
        <v>2</v>
      </c>
      <c r="BV126" s="7">
        <v>2</v>
      </c>
      <c r="BW126" s="7">
        <v>1</v>
      </c>
      <c r="BX126" s="7">
        <v>1</v>
      </c>
      <c r="BY126" s="7">
        <v>1</v>
      </c>
      <c r="BZ126" s="7">
        <v>1</v>
      </c>
      <c r="CA126" s="7">
        <v>1</v>
      </c>
      <c r="CB126" s="7">
        <v>1</v>
      </c>
      <c r="CC126" s="7">
        <v>1</v>
      </c>
      <c r="CD126" s="7">
        <v>1</v>
      </c>
      <c r="CE126" s="7">
        <v>1</v>
      </c>
      <c r="CF126" s="7">
        <v>1</v>
      </c>
      <c r="CG126" s="7">
        <v>1</v>
      </c>
      <c r="CH126" s="7">
        <v>1</v>
      </c>
      <c r="CI126" s="7">
        <v>1</v>
      </c>
      <c r="CJ126" s="7">
        <v>1</v>
      </c>
      <c r="CK126" s="7">
        <v>1</v>
      </c>
      <c r="CL126" s="7">
        <v>1</v>
      </c>
      <c r="CM126" s="7">
        <v>1</v>
      </c>
      <c r="CN126" s="7">
        <v>1</v>
      </c>
      <c r="CO126" s="7">
        <v>1</v>
      </c>
      <c r="CP126" s="7">
        <v>1</v>
      </c>
      <c r="CQ126" s="7">
        <v>1</v>
      </c>
      <c r="CR126" s="7">
        <v>1</v>
      </c>
      <c r="CS126" s="7">
        <v>1</v>
      </c>
      <c r="CT126" s="7">
        <v>1</v>
      </c>
      <c r="CU126" s="7">
        <v>1</v>
      </c>
      <c r="CV126" s="7">
        <v>1</v>
      </c>
      <c r="CW126" s="7">
        <v>1</v>
      </c>
      <c r="CX126" s="7">
        <v>1</v>
      </c>
      <c r="CY126" s="7">
        <v>1</v>
      </c>
      <c r="CZ126" s="7">
        <v>1</v>
      </c>
      <c r="DA126" s="7">
        <v>1</v>
      </c>
      <c r="DB126" s="7">
        <v>1</v>
      </c>
      <c r="DC126" s="7">
        <v>1</v>
      </c>
      <c r="DD126" s="7">
        <v>1</v>
      </c>
      <c r="DE126" s="7">
        <v>1</v>
      </c>
      <c r="DF126" s="7">
        <v>1</v>
      </c>
      <c r="DG126" s="7">
        <v>1</v>
      </c>
      <c r="DH126" s="7">
        <v>1</v>
      </c>
      <c r="DI126" s="7">
        <v>1</v>
      </c>
      <c r="DJ126" s="7">
        <v>1</v>
      </c>
      <c r="DK126" s="7">
        <v>1</v>
      </c>
      <c r="DL126" s="7">
        <v>1</v>
      </c>
      <c r="DM126" s="7">
        <v>1</v>
      </c>
      <c r="DN126" s="7">
        <v>1</v>
      </c>
      <c r="DO126" s="7">
        <v>1</v>
      </c>
      <c r="DP126" s="7">
        <v>1</v>
      </c>
      <c r="DQ126" s="7">
        <v>1</v>
      </c>
      <c r="DR126" s="7">
        <v>1</v>
      </c>
      <c r="DS126" s="7">
        <v>1</v>
      </c>
      <c r="DT126" s="7">
        <v>1</v>
      </c>
      <c r="DU126" s="7">
        <v>1</v>
      </c>
      <c r="DV126" s="7">
        <v>1</v>
      </c>
      <c r="DW126" s="7">
        <v>1</v>
      </c>
      <c r="DX126" s="7">
        <v>1</v>
      </c>
      <c r="DY126" s="7">
        <v>1</v>
      </c>
      <c r="DZ126" s="7">
        <v>1</v>
      </c>
      <c r="EA126" s="7">
        <v>1</v>
      </c>
      <c r="EB126" s="7">
        <v>1</v>
      </c>
      <c r="EC126" s="7">
        <v>1</v>
      </c>
      <c r="ED126" s="7">
        <v>1</v>
      </c>
      <c r="EE126" s="7">
        <v>1</v>
      </c>
      <c r="EF126" s="7">
        <v>1</v>
      </c>
      <c r="EG126" s="7">
        <v>1</v>
      </c>
      <c r="EH126" s="7">
        <v>1</v>
      </c>
      <c r="EI126" s="7">
        <v>1</v>
      </c>
      <c r="EJ126" s="7">
        <v>1</v>
      </c>
      <c r="EK126" s="7">
        <v>1</v>
      </c>
      <c r="EL126" s="7">
        <v>1</v>
      </c>
      <c r="EM126" s="7">
        <v>1</v>
      </c>
      <c r="EN126" s="7">
        <v>1</v>
      </c>
      <c r="EO126" s="7">
        <v>1</v>
      </c>
      <c r="EP126" s="7">
        <v>1</v>
      </c>
      <c r="EQ126" s="7">
        <v>1</v>
      </c>
      <c r="ER126" s="7">
        <v>1</v>
      </c>
      <c r="ES126" s="7">
        <v>1</v>
      </c>
      <c r="ET126" s="7">
        <v>1</v>
      </c>
      <c r="EU126" s="7">
        <v>1</v>
      </c>
      <c r="EV126" s="7">
        <v>1</v>
      </c>
      <c r="EW126" s="7">
        <v>1</v>
      </c>
      <c r="EX126" s="7">
        <v>1</v>
      </c>
      <c r="EY126" s="7">
        <v>1</v>
      </c>
      <c r="EZ126" s="7">
        <v>1</v>
      </c>
      <c r="FB126" s="50">
        <f>HLOOKUP(M16,$AU$112:$EZ$213,15,TRUE)</f>
        <v>1</v>
      </c>
      <c r="FD126" s="50">
        <f>HLOOKUP(AL42,$AU$112:$EZ$213,15,TRUE)</f>
        <v>1</v>
      </c>
    </row>
    <row r="127" spans="45:160">
      <c r="AT127" s="112">
        <v>0.26300000000000001</v>
      </c>
      <c r="AU127" s="7">
        <v>2</v>
      </c>
      <c r="AV127" s="7">
        <v>2</v>
      </c>
      <c r="AW127" s="7">
        <v>2</v>
      </c>
      <c r="AX127" s="7">
        <v>2</v>
      </c>
      <c r="AY127" s="7">
        <v>2</v>
      </c>
      <c r="AZ127" s="7">
        <v>2</v>
      </c>
      <c r="BA127" s="331">
        <v>2</v>
      </c>
      <c r="BB127" s="7">
        <v>2</v>
      </c>
      <c r="BC127" s="7">
        <v>2</v>
      </c>
      <c r="BD127" s="7">
        <v>2</v>
      </c>
      <c r="BE127" s="7">
        <v>2</v>
      </c>
      <c r="BF127" s="7">
        <v>2</v>
      </c>
      <c r="BG127" s="7">
        <v>2</v>
      </c>
      <c r="BH127" s="7">
        <v>2</v>
      </c>
      <c r="BI127" s="7">
        <v>2</v>
      </c>
      <c r="BJ127" s="7">
        <v>2</v>
      </c>
      <c r="BK127" s="7">
        <v>2</v>
      </c>
      <c r="BL127" s="7">
        <v>2</v>
      </c>
      <c r="BM127" s="7">
        <v>2</v>
      </c>
      <c r="BN127" s="7">
        <v>2</v>
      </c>
      <c r="BO127" s="7">
        <v>2</v>
      </c>
      <c r="BP127" s="7">
        <v>2</v>
      </c>
      <c r="BQ127" s="7">
        <v>2</v>
      </c>
      <c r="BR127" s="7">
        <v>2</v>
      </c>
      <c r="BS127" s="7">
        <v>2</v>
      </c>
      <c r="BT127" s="7">
        <v>2</v>
      </c>
      <c r="BU127" s="7">
        <v>2</v>
      </c>
      <c r="BV127" s="7">
        <v>2</v>
      </c>
      <c r="BW127" s="7">
        <v>2</v>
      </c>
      <c r="BX127" s="7">
        <v>1</v>
      </c>
      <c r="BY127" s="7">
        <v>1</v>
      </c>
      <c r="BZ127" s="7">
        <v>1</v>
      </c>
      <c r="CA127" s="7">
        <v>1</v>
      </c>
      <c r="CB127" s="7">
        <v>1</v>
      </c>
      <c r="CC127" s="7">
        <v>1</v>
      </c>
      <c r="CD127" s="7">
        <v>1</v>
      </c>
      <c r="CE127" s="7">
        <v>1</v>
      </c>
      <c r="CF127" s="7">
        <v>1</v>
      </c>
      <c r="CG127" s="7">
        <v>1</v>
      </c>
      <c r="CH127" s="7">
        <v>1</v>
      </c>
      <c r="CI127" s="7">
        <v>1</v>
      </c>
      <c r="CJ127" s="7">
        <v>1</v>
      </c>
      <c r="CK127" s="7">
        <v>1</v>
      </c>
      <c r="CL127" s="7">
        <v>1</v>
      </c>
      <c r="CM127" s="7">
        <v>1</v>
      </c>
      <c r="CN127" s="7">
        <v>1</v>
      </c>
      <c r="CO127" s="7">
        <v>1</v>
      </c>
      <c r="CP127" s="7">
        <v>1</v>
      </c>
      <c r="CQ127" s="7">
        <v>1</v>
      </c>
      <c r="CR127" s="7">
        <v>1</v>
      </c>
      <c r="CS127" s="7">
        <v>1</v>
      </c>
      <c r="CT127" s="7">
        <v>1</v>
      </c>
      <c r="CU127" s="7">
        <v>1</v>
      </c>
      <c r="CV127" s="7">
        <v>1</v>
      </c>
      <c r="CW127" s="7">
        <v>1</v>
      </c>
      <c r="CX127" s="7">
        <v>1</v>
      </c>
      <c r="CY127" s="7">
        <v>1</v>
      </c>
      <c r="CZ127" s="7">
        <v>1</v>
      </c>
      <c r="DA127" s="7">
        <v>1</v>
      </c>
      <c r="DB127" s="7">
        <v>1</v>
      </c>
      <c r="DC127" s="7">
        <v>1</v>
      </c>
      <c r="DD127" s="7">
        <v>1</v>
      </c>
      <c r="DE127" s="7">
        <v>1</v>
      </c>
      <c r="DF127" s="7">
        <v>1</v>
      </c>
      <c r="DG127" s="7">
        <v>1</v>
      </c>
      <c r="DH127" s="7">
        <v>1</v>
      </c>
      <c r="DI127" s="7">
        <v>1</v>
      </c>
      <c r="DJ127" s="7">
        <v>1</v>
      </c>
      <c r="DK127" s="7">
        <v>1</v>
      </c>
      <c r="DL127" s="7">
        <v>1</v>
      </c>
      <c r="DM127" s="7">
        <v>1</v>
      </c>
      <c r="DN127" s="7">
        <v>1</v>
      </c>
      <c r="DO127" s="7">
        <v>1</v>
      </c>
      <c r="DP127" s="7">
        <v>1</v>
      </c>
      <c r="DQ127" s="7">
        <v>1</v>
      </c>
      <c r="DR127" s="7">
        <v>1</v>
      </c>
      <c r="DS127" s="7">
        <v>1</v>
      </c>
      <c r="DT127" s="7">
        <v>1</v>
      </c>
      <c r="DU127" s="7">
        <v>1</v>
      </c>
      <c r="DV127" s="7">
        <v>1</v>
      </c>
      <c r="DW127" s="7">
        <v>1</v>
      </c>
      <c r="DX127" s="7">
        <v>1</v>
      </c>
      <c r="DY127" s="7">
        <v>1</v>
      </c>
      <c r="DZ127" s="7">
        <v>1</v>
      </c>
      <c r="EA127" s="7">
        <v>1</v>
      </c>
      <c r="EB127" s="7">
        <v>1</v>
      </c>
      <c r="EC127" s="7">
        <v>1</v>
      </c>
      <c r="ED127" s="7">
        <v>1</v>
      </c>
      <c r="EE127" s="7">
        <v>1</v>
      </c>
      <c r="EF127" s="7">
        <v>1</v>
      </c>
      <c r="EG127" s="7">
        <v>1</v>
      </c>
      <c r="EH127" s="7">
        <v>1</v>
      </c>
      <c r="EI127" s="7">
        <v>1</v>
      </c>
      <c r="EJ127" s="7">
        <v>1</v>
      </c>
      <c r="EK127" s="7">
        <v>1</v>
      </c>
      <c r="EL127" s="7">
        <v>1</v>
      </c>
      <c r="EM127" s="7">
        <v>1</v>
      </c>
      <c r="EN127" s="7">
        <v>1</v>
      </c>
      <c r="EO127" s="7">
        <v>1</v>
      </c>
      <c r="EP127" s="7">
        <v>1</v>
      </c>
      <c r="EQ127" s="7">
        <v>1</v>
      </c>
      <c r="ER127" s="7">
        <v>1</v>
      </c>
      <c r="ES127" s="7">
        <v>1</v>
      </c>
      <c r="ET127" s="7">
        <v>1</v>
      </c>
      <c r="EU127" s="7">
        <v>1</v>
      </c>
      <c r="EV127" s="7">
        <v>1</v>
      </c>
      <c r="EW127" s="7">
        <v>1</v>
      </c>
      <c r="EX127" s="7">
        <v>1</v>
      </c>
      <c r="EY127" s="7">
        <v>1</v>
      </c>
      <c r="EZ127" s="7">
        <v>1</v>
      </c>
      <c r="FB127" s="50">
        <f>HLOOKUP(M16,$AU$112:$EZ$213,16,TRUE)</f>
        <v>1</v>
      </c>
      <c r="FD127" s="50">
        <f>HLOOKUP(AL42,$AU$112:$EZ$213,16,TRUE)</f>
        <v>1</v>
      </c>
    </row>
    <row r="128" spans="45:160">
      <c r="AT128" s="112">
        <v>0.28199999999999997</v>
      </c>
      <c r="AU128" s="7">
        <v>2</v>
      </c>
      <c r="AV128" s="7">
        <v>2</v>
      </c>
      <c r="AW128" s="7">
        <v>2</v>
      </c>
      <c r="AX128" s="7">
        <v>2</v>
      </c>
      <c r="AY128" s="7">
        <v>2</v>
      </c>
      <c r="AZ128" s="7">
        <v>2</v>
      </c>
      <c r="BA128" s="331">
        <v>2</v>
      </c>
      <c r="BB128" s="7">
        <v>2</v>
      </c>
      <c r="BC128" s="7">
        <v>2</v>
      </c>
      <c r="BD128" s="7">
        <v>2</v>
      </c>
      <c r="BE128" s="7">
        <v>2</v>
      </c>
      <c r="BF128" s="7">
        <v>2</v>
      </c>
      <c r="BG128" s="7">
        <v>2</v>
      </c>
      <c r="BH128" s="7">
        <v>2</v>
      </c>
      <c r="BI128" s="7">
        <v>2</v>
      </c>
      <c r="BJ128" s="7">
        <v>2</v>
      </c>
      <c r="BK128" s="7">
        <v>2</v>
      </c>
      <c r="BL128" s="7">
        <v>2</v>
      </c>
      <c r="BM128" s="7">
        <v>2</v>
      </c>
      <c r="BN128" s="7">
        <v>2</v>
      </c>
      <c r="BO128" s="7">
        <v>2</v>
      </c>
      <c r="BP128" s="7">
        <v>2</v>
      </c>
      <c r="BQ128" s="7">
        <v>2</v>
      </c>
      <c r="BR128" s="7">
        <v>2</v>
      </c>
      <c r="BS128" s="7">
        <v>2</v>
      </c>
      <c r="BT128" s="7">
        <v>2</v>
      </c>
      <c r="BU128" s="7">
        <v>2</v>
      </c>
      <c r="BV128" s="7">
        <v>2</v>
      </c>
      <c r="BW128" s="7">
        <v>2</v>
      </c>
      <c r="BX128" s="7">
        <v>2</v>
      </c>
      <c r="BY128" s="7">
        <v>2</v>
      </c>
      <c r="BZ128" s="7">
        <v>1</v>
      </c>
      <c r="CA128" s="7">
        <v>1</v>
      </c>
      <c r="CB128" s="7">
        <v>1</v>
      </c>
      <c r="CC128" s="7">
        <v>1</v>
      </c>
      <c r="CD128" s="7">
        <v>1</v>
      </c>
      <c r="CE128" s="7">
        <v>1</v>
      </c>
      <c r="CF128" s="7">
        <v>1</v>
      </c>
      <c r="CG128" s="7">
        <v>1</v>
      </c>
      <c r="CH128" s="7">
        <v>1</v>
      </c>
      <c r="CI128" s="7">
        <v>1</v>
      </c>
      <c r="CJ128" s="7">
        <v>1</v>
      </c>
      <c r="CK128" s="7">
        <v>1</v>
      </c>
      <c r="CL128" s="7">
        <v>1</v>
      </c>
      <c r="CM128" s="7">
        <v>1</v>
      </c>
      <c r="CN128" s="7">
        <v>1</v>
      </c>
      <c r="CO128" s="7">
        <v>1</v>
      </c>
      <c r="CP128" s="7">
        <v>1</v>
      </c>
      <c r="CQ128" s="7">
        <v>1</v>
      </c>
      <c r="CR128" s="7">
        <v>1</v>
      </c>
      <c r="CS128" s="7">
        <v>1</v>
      </c>
      <c r="CT128" s="7">
        <v>1</v>
      </c>
      <c r="CU128" s="7">
        <v>1</v>
      </c>
      <c r="CV128" s="7">
        <v>1</v>
      </c>
      <c r="CW128" s="7">
        <v>1</v>
      </c>
      <c r="CX128" s="7">
        <v>1</v>
      </c>
      <c r="CY128" s="7">
        <v>1</v>
      </c>
      <c r="CZ128" s="7">
        <v>1</v>
      </c>
      <c r="DA128" s="7">
        <v>1</v>
      </c>
      <c r="DB128" s="7">
        <v>1</v>
      </c>
      <c r="DC128" s="7">
        <v>1</v>
      </c>
      <c r="DD128" s="7">
        <v>1</v>
      </c>
      <c r="DE128" s="7">
        <v>1</v>
      </c>
      <c r="DF128" s="7">
        <v>1</v>
      </c>
      <c r="DG128" s="7">
        <v>1</v>
      </c>
      <c r="DH128" s="7">
        <v>1</v>
      </c>
      <c r="DI128" s="7">
        <v>1</v>
      </c>
      <c r="DJ128" s="7">
        <v>1</v>
      </c>
      <c r="DK128" s="7">
        <v>1</v>
      </c>
      <c r="DL128" s="7">
        <v>1</v>
      </c>
      <c r="DM128" s="7">
        <v>1</v>
      </c>
      <c r="DN128" s="7">
        <v>1</v>
      </c>
      <c r="DO128" s="7">
        <v>1</v>
      </c>
      <c r="DP128" s="7">
        <v>1</v>
      </c>
      <c r="DQ128" s="7">
        <v>1</v>
      </c>
      <c r="DR128" s="7">
        <v>1</v>
      </c>
      <c r="DS128" s="7">
        <v>1</v>
      </c>
      <c r="DT128" s="7">
        <v>1</v>
      </c>
      <c r="DU128" s="7">
        <v>1</v>
      </c>
      <c r="DV128" s="7">
        <v>1</v>
      </c>
      <c r="DW128" s="7">
        <v>1</v>
      </c>
      <c r="DX128" s="7">
        <v>1</v>
      </c>
      <c r="DY128" s="7">
        <v>1</v>
      </c>
      <c r="DZ128" s="7">
        <v>1</v>
      </c>
      <c r="EA128" s="7">
        <v>1</v>
      </c>
      <c r="EB128" s="7">
        <v>1</v>
      </c>
      <c r="EC128" s="7">
        <v>1</v>
      </c>
      <c r="ED128" s="7">
        <v>1</v>
      </c>
      <c r="EE128" s="7">
        <v>1</v>
      </c>
      <c r="EF128" s="7">
        <v>1</v>
      </c>
      <c r="EG128" s="7">
        <v>1</v>
      </c>
      <c r="EH128" s="7">
        <v>1</v>
      </c>
      <c r="EI128" s="7">
        <v>1</v>
      </c>
      <c r="EJ128" s="7">
        <v>1</v>
      </c>
      <c r="EK128" s="7">
        <v>1</v>
      </c>
      <c r="EL128" s="7">
        <v>1</v>
      </c>
      <c r="EM128" s="7">
        <v>1</v>
      </c>
      <c r="EN128" s="7">
        <v>1</v>
      </c>
      <c r="EO128" s="7">
        <v>1</v>
      </c>
      <c r="EP128" s="7">
        <v>1</v>
      </c>
      <c r="EQ128" s="7">
        <v>1</v>
      </c>
      <c r="ER128" s="7">
        <v>1</v>
      </c>
      <c r="ES128" s="7">
        <v>1</v>
      </c>
      <c r="ET128" s="7">
        <v>1</v>
      </c>
      <c r="EU128" s="7">
        <v>1</v>
      </c>
      <c r="EV128" s="7">
        <v>1</v>
      </c>
      <c r="EW128" s="7">
        <v>1</v>
      </c>
      <c r="EX128" s="7">
        <v>1</v>
      </c>
      <c r="EY128" s="7">
        <v>1</v>
      </c>
      <c r="EZ128" s="7">
        <v>1</v>
      </c>
      <c r="FB128" s="50">
        <f>HLOOKUP(M16,$AU$112:$EZ$213,17,TRUE)</f>
        <v>1</v>
      </c>
      <c r="FD128" s="50">
        <f>HLOOKUP(AL42,$AU$112:$EZ$213,17,TRUE)</f>
        <v>1</v>
      </c>
    </row>
    <row r="129" spans="46:160">
      <c r="AT129" s="112">
        <v>0.30199999999999999</v>
      </c>
      <c r="AU129" s="7">
        <v>2</v>
      </c>
      <c r="AV129" s="7">
        <v>2</v>
      </c>
      <c r="AW129" s="7">
        <v>2</v>
      </c>
      <c r="AX129" s="7">
        <v>2</v>
      </c>
      <c r="AY129" s="7">
        <v>2</v>
      </c>
      <c r="AZ129" s="7">
        <v>2</v>
      </c>
      <c r="BA129" s="331">
        <v>2</v>
      </c>
      <c r="BB129" s="7">
        <v>2</v>
      </c>
      <c r="BC129" s="7">
        <v>2</v>
      </c>
      <c r="BD129" s="7">
        <v>2</v>
      </c>
      <c r="BE129" s="7">
        <v>2</v>
      </c>
      <c r="BF129" s="7">
        <v>2</v>
      </c>
      <c r="BG129" s="7">
        <v>2</v>
      </c>
      <c r="BH129" s="7">
        <v>2</v>
      </c>
      <c r="BI129" s="7">
        <v>2</v>
      </c>
      <c r="BJ129" s="7">
        <v>2</v>
      </c>
      <c r="BK129" s="7">
        <v>2</v>
      </c>
      <c r="BL129" s="7">
        <v>2</v>
      </c>
      <c r="BM129" s="7">
        <v>2</v>
      </c>
      <c r="BN129" s="7">
        <v>2</v>
      </c>
      <c r="BO129" s="7">
        <v>2</v>
      </c>
      <c r="BP129" s="7">
        <v>2</v>
      </c>
      <c r="BQ129" s="7">
        <v>2</v>
      </c>
      <c r="BR129" s="7">
        <v>2</v>
      </c>
      <c r="BS129" s="7">
        <v>2</v>
      </c>
      <c r="BT129" s="7">
        <v>2</v>
      </c>
      <c r="BU129" s="7">
        <v>2</v>
      </c>
      <c r="BV129" s="7">
        <v>2</v>
      </c>
      <c r="BW129" s="7">
        <v>2</v>
      </c>
      <c r="BX129" s="7">
        <v>2</v>
      </c>
      <c r="BY129" s="7">
        <v>2</v>
      </c>
      <c r="BZ129" s="7">
        <v>2</v>
      </c>
      <c r="CA129" s="7">
        <v>1</v>
      </c>
      <c r="CB129" s="7">
        <v>1</v>
      </c>
      <c r="CC129" s="7">
        <v>1</v>
      </c>
      <c r="CD129" s="7">
        <v>1</v>
      </c>
      <c r="CE129" s="7">
        <v>1</v>
      </c>
      <c r="CF129" s="7">
        <v>1</v>
      </c>
      <c r="CG129" s="7">
        <v>1</v>
      </c>
      <c r="CH129" s="7">
        <v>1</v>
      </c>
      <c r="CI129" s="7">
        <v>1</v>
      </c>
      <c r="CJ129" s="7">
        <v>1</v>
      </c>
      <c r="CK129" s="7">
        <v>1</v>
      </c>
      <c r="CL129" s="7">
        <v>1</v>
      </c>
      <c r="CM129" s="7">
        <v>1</v>
      </c>
      <c r="CN129" s="7">
        <v>1</v>
      </c>
      <c r="CO129" s="7">
        <v>1</v>
      </c>
      <c r="CP129" s="7">
        <v>1</v>
      </c>
      <c r="CQ129" s="7">
        <v>1</v>
      </c>
      <c r="CR129" s="7">
        <v>1</v>
      </c>
      <c r="CS129" s="7">
        <v>1</v>
      </c>
      <c r="CT129" s="7">
        <v>1</v>
      </c>
      <c r="CU129" s="7">
        <v>1</v>
      </c>
      <c r="CV129" s="7">
        <v>1</v>
      </c>
      <c r="CW129" s="7">
        <v>1</v>
      </c>
      <c r="CX129" s="7">
        <v>1</v>
      </c>
      <c r="CY129" s="7">
        <v>1</v>
      </c>
      <c r="CZ129" s="7">
        <v>1</v>
      </c>
      <c r="DA129" s="7">
        <v>1</v>
      </c>
      <c r="DB129" s="7">
        <v>1</v>
      </c>
      <c r="DC129" s="7">
        <v>1</v>
      </c>
      <c r="DD129" s="7">
        <v>1</v>
      </c>
      <c r="DE129" s="7">
        <v>1</v>
      </c>
      <c r="DF129" s="7">
        <v>1</v>
      </c>
      <c r="DG129" s="7">
        <v>1</v>
      </c>
      <c r="DH129" s="7">
        <v>1</v>
      </c>
      <c r="DI129" s="7">
        <v>1</v>
      </c>
      <c r="DJ129" s="7">
        <v>1</v>
      </c>
      <c r="DK129" s="7">
        <v>1</v>
      </c>
      <c r="DL129" s="7">
        <v>1</v>
      </c>
      <c r="DM129" s="7">
        <v>1</v>
      </c>
      <c r="DN129" s="7">
        <v>1</v>
      </c>
      <c r="DO129" s="7">
        <v>1</v>
      </c>
      <c r="DP129" s="7">
        <v>1</v>
      </c>
      <c r="DQ129" s="7">
        <v>1</v>
      </c>
      <c r="DR129" s="7">
        <v>1</v>
      </c>
      <c r="DS129" s="7">
        <v>1</v>
      </c>
      <c r="DT129" s="7">
        <v>1</v>
      </c>
      <c r="DU129" s="7">
        <v>1</v>
      </c>
      <c r="DV129" s="7">
        <v>1</v>
      </c>
      <c r="DW129" s="7">
        <v>1</v>
      </c>
      <c r="DX129" s="7">
        <v>1</v>
      </c>
      <c r="DY129" s="7">
        <v>1</v>
      </c>
      <c r="DZ129" s="7">
        <v>1</v>
      </c>
      <c r="EA129" s="7">
        <v>1</v>
      </c>
      <c r="EB129" s="7">
        <v>1</v>
      </c>
      <c r="EC129" s="7">
        <v>1</v>
      </c>
      <c r="ED129" s="7">
        <v>1</v>
      </c>
      <c r="EE129" s="7">
        <v>1</v>
      </c>
      <c r="EF129" s="7">
        <v>1</v>
      </c>
      <c r="EG129" s="7">
        <v>1</v>
      </c>
      <c r="EH129" s="7">
        <v>1</v>
      </c>
      <c r="EI129" s="7">
        <v>1</v>
      </c>
      <c r="EJ129" s="7">
        <v>1</v>
      </c>
      <c r="EK129" s="7">
        <v>1</v>
      </c>
      <c r="EL129" s="7">
        <v>1</v>
      </c>
      <c r="EM129" s="7">
        <v>1</v>
      </c>
      <c r="EN129" s="7">
        <v>1</v>
      </c>
      <c r="EO129" s="7">
        <v>1</v>
      </c>
      <c r="EP129" s="7">
        <v>1</v>
      </c>
      <c r="EQ129" s="7">
        <v>1</v>
      </c>
      <c r="ER129" s="7">
        <v>1</v>
      </c>
      <c r="ES129" s="7">
        <v>1</v>
      </c>
      <c r="ET129" s="7">
        <v>1</v>
      </c>
      <c r="EU129" s="7">
        <v>1</v>
      </c>
      <c r="EV129" s="7">
        <v>1</v>
      </c>
      <c r="EW129" s="7">
        <v>1</v>
      </c>
      <c r="EX129" s="7">
        <v>1</v>
      </c>
      <c r="EY129" s="7">
        <v>1</v>
      </c>
      <c r="EZ129" s="7">
        <v>1</v>
      </c>
      <c r="FB129" s="50">
        <f>HLOOKUP(M16,$AU$112:$EZ$213,18,TRUE)</f>
        <v>1</v>
      </c>
      <c r="FD129" s="50">
        <f>HLOOKUP(AL42,$AU$112:$EZ$213,18,TRUE)</f>
        <v>1</v>
      </c>
    </row>
    <row r="130" spans="46:160">
      <c r="AT130" s="112">
        <v>0.32400000000000001</v>
      </c>
      <c r="AU130" s="7">
        <v>2</v>
      </c>
      <c r="AV130" s="7">
        <v>2</v>
      </c>
      <c r="AW130" s="7">
        <v>2</v>
      </c>
      <c r="AX130" s="7">
        <v>2</v>
      </c>
      <c r="AY130" s="7">
        <v>2</v>
      </c>
      <c r="AZ130" s="7">
        <v>2</v>
      </c>
      <c r="BA130" s="331">
        <v>2</v>
      </c>
      <c r="BB130" s="7">
        <v>2</v>
      </c>
      <c r="BC130" s="7">
        <v>2</v>
      </c>
      <c r="BD130" s="7">
        <v>2</v>
      </c>
      <c r="BE130" s="7">
        <v>2</v>
      </c>
      <c r="BF130" s="7">
        <v>2</v>
      </c>
      <c r="BG130" s="7">
        <v>2</v>
      </c>
      <c r="BH130" s="7">
        <v>2</v>
      </c>
      <c r="BI130" s="7">
        <v>2</v>
      </c>
      <c r="BJ130" s="7">
        <v>2</v>
      </c>
      <c r="BK130" s="7">
        <v>2</v>
      </c>
      <c r="BL130" s="7">
        <v>2</v>
      </c>
      <c r="BM130" s="7">
        <v>2</v>
      </c>
      <c r="BN130" s="7">
        <v>2</v>
      </c>
      <c r="BO130" s="7">
        <v>2</v>
      </c>
      <c r="BP130" s="7">
        <v>2</v>
      </c>
      <c r="BQ130" s="7">
        <v>2</v>
      </c>
      <c r="BR130" s="7">
        <v>2</v>
      </c>
      <c r="BS130" s="7">
        <v>2</v>
      </c>
      <c r="BT130" s="7">
        <v>2</v>
      </c>
      <c r="BU130" s="7">
        <v>2</v>
      </c>
      <c r="BV130" s="7">
        <v>2</v>
      </c>
      <c r="BW130" s="7">
        <v>2</v>
      </c>
      <c r="BX130" s="7">
        <v>2</v>
      </c>
      <c r="BY130" s="7">
        <v>2</v>
      </c>
      <c r="BZ130" s="7">
        <v>2</v>
      </c>
      <c r="CA130" s="7">
        <v>2</v>
      </c>
      <c r="CB130" s="7">
        <v>1</v>
      </c>
      <c r="CC130" s="7">
        <v>1</v>
      </c>
      <c r="CD130" s="7">
        <v>1</v>
      </c>
      <c r="CE130" s="7">
        <v>1</v>
      </c>
      <c r="CF130" s="7">
        <v>1</v>
      </c>
      <c r="CG130" s="7">
        <v>1</v>
      </c>
      <c r="CH130" s="7">
        <v>1</v>
      </c>
      <c r="CI130" s="7">
        <v>1</v>
      </c>
      <c r="CJ130" s="7">
        <v>1</v>
      </c>
      <c r="CK130" s="7">
        <v>1</v>
      </c>
      <c r="CL130" s="7">
        <v>1</v>
      </c>
      <c r="CM130" s="7">
        <v>1</v>
      </c>
      <c r="CN130" s="7">
        <v>1</v>
      </c>
      <c r="CO130" s="7">
        <v>1</v>
      </c>
      <c r="CP130" s="7">
        <v>1</v>
      </c>
      <c r="CQ130" s="7">
        <v>1</v>
      </c>
      <c r="CR130" s="7">
        <v>1</v>
      </c>
      <c r="CS130" s="7">
        <v>1</v>
      </c>
      <c r="CT130" s="7">
        <v>1</v>
      </c>
      <c r="CU130" s="7">
        <v>1</v>
      </c>
      <c r="CV130" s="7">
        <v>1</v>
      </c>
      <c r="CW130" s="7">
        <v>1</v>
      </c>
      <c r="CX130" s="7">
        <v>1</v>
      </c>
      <c r="CY130" s="7">
        <v>1</v>
      </c>
      <c r="CZ130" s="7">
        <v>1</v>
      </c>
      <c r="DA130" s="7">
        <v>1</v>
      </c>
      <c r="DB130" s="7">
        <v>1</v>
      </c>
      <c r="DC130" s="7">
        <v>1</v>
      </c>
      <c r="DD130" s="7">
        <v>1</v>
      </c>
      <c r="DE130" s="7">
        <v>1</v>
      </c>
      <c r="DF130" s="7">
        <v>1</v>
      </c>
      <c r="DG130" s="7">
        <v>1</v>
      </c>
      <c r="DH130" s="7">
        <v>1</v>
      </c>
      <c r="DI130" s="7">
        <v>1</v>
      </c>
      <c r="DJ130" s="7">
        <v>1</v>
      </c>
      <c r="DK130" s="7">
        <v>1</v>
      </c>
      <c r="DL130" s="7">
        <v>1</v>
      </c>
      <c r="DM130" s="7">
        <v>1</v>
      </c>
      <c r="DN130" s="7">
        <v>1</v>
      </c>
      <c r="DO130" s="7">
        <v>1</v>
      </c>
      <c r="DP130" s="7">
        <v>1</v>
      </c>
      <c r="DQ130" s="7">
        <v>1</v>
      </c>
      <c r="DR130" s="7">
        <v>1</v>
      </c>
      <c r="DS130" s="7">
        <v>1</v>
      </c>
      <c r="DT130" s="7">
        <v>1</v>
      </c>
      <c r="DU130" s="7">
        <v>1</v>
      </c>
      <c r="DV130" s="7">
        <v>1</v>
      </c>
      <c r="DW130" s="7">
        <v>1</v>
      </c>
      <c r="DX130" s="7">
        <v>1</v>
      </c>
      <c r="DY130" s="7">
        <v>1</v>
      </c>
      <c r="DZ130" s="7">
        <v>1</v>
      </c>
      <c r="EA130" s="7">
        <v>1</v>
      </c>
      <c r="EB130" s="7">
        <v>1</v>
      </c>
      <c r="EC130" s="7">
        <v>1</v>
      </c>
      <c r="ED130" s="7">
        <v>1</v>
      </c>
      <c r="EE130" s="7">
        <v>1</v>
      </c>
      <c r="EF130" s="7">
        <v>1</v>
      </c>
      <c r="EG130" s="7">
        <v>1</v>
      </c>
      <c r="EH130" s="7">
        <v>1</v>
      </c>
      <c r="EI130" s="7">
        <v>1</v>
      </c>
      <c r="EJ130" s="7">
        <v>1</v>
      </c>
      <c r="EK130" s="7">
        <v>1</v>
      </c>
      <c r="EL130" s="7">
        <v>1</v>
      </c>
      <c r="EM130" s="7">
        <v>1</v>
      </c>
      <c r="EN130" s="7">
        <v>1</v>
      </c>
      <c r="EO130" s="7">
        <v>1</v>
      </c>
      <c r="EP130" s="7">
        <v>1</v>
      </c>
      <c r="EQ130" s="7">
        <v>1</v>
      </c>
      <c r="ER130" s="7">
        <v>1</v>
      </c>
      <c r="ES130" s="7">
        <v>1</v>
      </c>
      <c r="ET130" s="7">
        <v>1</v>
      </c>
      <c r="EU130" s="7">
        <v>1</v>
      </c>
      <c r="EV130" s="7">
        <v>1</v>
      </c>
      <c r="EW130" s="7">
        <v>1</v>
      </c>
      <c r="EX130" s="7">
        <v>1</v>
      </c>
      <c r="EY130" s="7">
        <v>1</v>
      </c>
      <c r="EZ130" s="7">
        <v>1</v>
      </c>
      <c r="FB130" s="50">
        <f>HLOOKUP(M16,$AU$112:$EZ$213,19,TRUE)</f>
        <v>1</v>
      </c>
      <c r="FD130" s="50">
        <f>HLOOKUP(AL42,$AU$112:$EZ$213,19,TRUE)</f>
        <v>1</v>
      </c>
    </row>
    <row r="131" spans="46:160">
      <c r="AT131" s="112">
        <v>0.34699999999999998</v>
      </c>
      <c r="AU131" s="7">
        <v>2</v>
      </c>
      <c r="AV131" s="7">
        <v>2</v>
      </c>
      <c r="AW131" s="7">
        <v>2</v>
      </c>
      <c r="AX131" s="7">
        <v>2</v>
      </c>
      <c r="AY131" s="7">
        <v>2</v>
      </c>
      <c r="AZ131" s="7">
        <v>2</v>
      </c>
      <c r="BA131" s="331">
        <v>2</v>
      </c>
      <c r="BB131" s="7">
        <v>2</v>
      </c>
      <c r="BC131" s="7">
        <v>2</v>
      </c>
      <c r="BD131" s="7">
        <v>2</v>
      </c>
      <c r="BE131" s="7">
        <v>2</v>
      </c>
      <c r="BF131" s="7">
        <v>2</v>
      </c>
      <c r="BG131" s="7">
        <v>2</v>
      </c>
      <c r="BH131" s="7">
        <v>2</v>
      </c>
      <c r="BI131" s="7">
        <v>2</v>
      </c>
      <c r="BJ131" s="7">
        <v>2</v>
      </c>
      <c r="BK131" s="7">
        <v>2</v>
      </c>
      <c r="BL131" s="7">
        <v>2</v>
      </c>
      <c r="BM131" s="7">
        <v>2</v>
      </c>
      <c r="BN131" s="7">
        <v>2</v>
      </c>
      <c r="BO131" s="7">
        <v>2</v>
      </c>
      <c r="BP131" s="7">
        <v>2</v>
      </c>
      <c r="BQ131" s="7">
        <v>2</v>
      </c>
      <c r="BR131" s="7">
        <v>2</v>
      </c>
      <c r="BS131" s="7">
        <v>2</v>
      </c>
      <c r="BT131" s="7">
        <v>2</v>
      </c>
      <c r="BU131" s="7">
        <v>2</v>
      </c>
      <c r="BV131" s="7">
        <v>2</v>
      </c>
      <c r="BW131" s="7">
        <v>2</v>
      </c>
      <c r="BX131" s="7">
        <v>2</v>
      </c>
      <c r="BY131" s="7">
        <v>2</v>
      </c>
      <c r="BZ131" s="7">
        <v>2</v>
      </c>
      <c r="CA131" s="7">
        <v>2</v>
      </c>
      <c r="CB131" s="7">
        <v>2</v>
      </c>
      <c r="CC131" s="7">
        <v>1</v>
      </c>
      <c r="CD131" s="7">
        <v>1</v>
      </c>
      <c r="CE131" s="7">
        <v>1</v>
      </c>
      <c r="CF131" s="7">
        <v>1</v>
      </c>
      <c r="CG131" s="7">
        <v>1</v>
      </c>
      <c r="CH131" s="7">
        <v>1</v>
      </c>
      <c r="CI131" s="7">
        <v>1</v>
      </c>
      <c r="CJ131" s="7">
        <v>1</v>
      </c>
      <c r="CK131" s="7">
        <v>1</v>
      </c>
      <c r="CL131" s="7">
        <v>1</v>
      </c>
      <c r="CM131" s="7">
        <v>1</v>
      </c>
      <c r="CN131" s="7">
        <v>1</v>
      </c>
      <c r="CO131" s="7">
        <v>1</v>
      </c>
      <c r="CP131" s="7">
        <v>1</v>
      </c>
      <c r="CQ131" s="7">
        <v>1</v>
      </c>
      <c r="CR131" s="7">
        <v>1</v>
      </c>
      <c r="CS131" s="7">
        <v>1</v>
      </c>
      <c r="CT131" s="7">
        <v>1</v>
      </c>
      <c r="CU131" s="7">
        <v>1</v>
      </c>
      <c r="CV131" s="7">
        <v>1</v>
      </c>
      <c r="CW131" s="7">
        <v>1</v>
      </c>
      <c r="CX131" s="7">
        <v>1</v>
      </c>
      <c r="CY131" s="7">
        <v>1</v>
      </c>
      <c r="CZ131" s="7">
        <v>1</v>
      </c>
      <c r="DA131" s="7">
        <v>1</v>
      </c>
      <c r="DB131" s="7">
        <v>1</v>
      </c>
      <c r="DC131" s="7">
        <v>1</v>
      </c>
      <c r="DD131" s="7">
        <v>1</v>
      </c>
      <c r="DE131" s="7">
        <v>1</v>
      </c>
      <c r="DF131" s="7">
        <v>1</v>
      </c>
      <c r="DG131" s="7">
        <v>1</v>
      </c>
      <c r="DH131" s="7">
        <v>1</v>
      </c>
      <c r="DI131" s="7">
        <v>1</v>
      </c>
      <c r="DJ131" s="7">
        <v>1</v>
      </c>
      <c r="DK131" s="7">
        <v>1</v>
      </c>
      <c r="DL131" s="7">
        <v>1</v>
      </c>
      <c r="DM131" s="7">
        <v>1</v>
      </c>
      <c r="DN131" s="7">
        <v>1</v>
      </c>
      <c r="DO131" s="7">
        <v>1</v>
      </c>
      <c r="DP131" s="7">
        <v>1</v>
      </c>
      <c r="DQ131" s="7">
        <v>1</v>
      </c>
      <c r="DR131" s="7">
        <v>1</v>
      </c>
      <c r="DS131" s="7">
        <v>1</v>
      </c>
      <c r="DT131" s="7">
        <v>1</v>
      </c>
      <c r="DU131" s="7">
        <v>1</v>
      </c>
      <c r="DV131" s="7">
        <v>1</v>
      </c>
      <c r="DW131" s="7">
        <v>1</v>
      </c>
      <c r="DX131" s="7">
        <v>1</v>
      </c>
      <c r="DY131" s="7">
        <v>1</v>
      </c>
      <c r="DZ131" s="7">
        <v>1</v>
      </c>
      <c r="EA131" s="7">
        <v>1</v>
      </c>
      <c r="EB131" s="7">
        <v>1</v>
      </c>
      <c r="EC131" s="7">
        <v>1</v>
      </c>
      <c r="ED131" s="7">
        <v>1</v>
      </c>
      <c r="EE131" s="7">
        <v>1</v>
      </c>
      <c r="EF131" s="7">
        <v>1</v>
      </c>
      <c r="EG131" s="7">
        <v>1</v>
      </c>
      <c r="EH131" s="7">
        <v>1</v>
      </c>
      <c r="EI131" s="7">
        <v>1</v>
      </c>
      <c r="EJ131" s="7">
        <v>1</v>
      </c>
      <c r="EK131" s="7">
        <v>1</v>
      </c>
      <c r="EL131" s="7">
        <v>1</v>
      </c>
      <c r="EM131" s="7">
        <v>1</v>
      </c>
      <c r="EN131" s="7">
        <v>1</v>
      </c>
      <c r="EO131" s="7">
        <v>1</v>
      </c>
      <c r="EP131" s="7">
        <v>1</v>
      </c>
      <c r="EQ131" s="7">
        <v>1</v>
      </c>
      <c r="ER131" s="7">
        <v>1</v>
      </c>
      <c r="ES131" s="7">
        <v>1</v>
      </c>
      <c r="ET131" s="7">
        <v>1</v>
      </c>
      <c r="EU131" s="7">
        <v>1</v>
      </c>
      <c r="EV131" s="7">
        <v>1</v>
      </c>
      <c r="EW131" s="7">
        <v>1</v>
      </c>
      <c r="EX131" s="7">
        <v>1</v>
      </c>
      <c r="EY131" s="7">
        <v>1</v>
      </c>
      <c r="EZ131" s="7">
        <v>1</v>
      </c>
      <c r="FB131" s="50">
        <f>HLOOKUP(M16,$AU$112:$EZ$213,20,TRUE)</f>
        <v>1</v>
      </c>
      <c r="FD131" s="50">
        <f>HLOOKUP(AL42,$AU$112:$EZ$213,20,TRUE)</f>
        <v>1</v>
      </c>
    </row>
    <row r="132" spans="46:160">
      <c r="AT132" s="112">
        <v>0.372</v>
      </c>
      <c r="AU132" s="7">
        <v>2</v>
      </c>
      <c r="AV132" s="7">
        <v>2</v>
      </c>
      <c r="AW132" s="7">
        <v>2</v>
      </c>
      <c r="AX132" s="7">
        <v>2</v>
      </c>
      <c r="AY132" s="7">
        <v>2</v>
      </c>
      <c r="AZ132" s="7">
        <v>2</v>
      </c>
      <c r="BA132" s="331">
        <v>2</v>
      </c>
      <c r="BB132" s="7">
        <v>2</v>
      </c>
      <c r="BC132" s="7">
        <v>2</v>
      </c>
      <c r="BD132" s="7">
        <v>2</v>
      </c>
      <c r="BE132" s="7">
        <v>2</v>
      </c>
      <c r="BF132" s="7">
        <v>2</v>
      </c>
      <c r="BG132" s="7">
        <v>2</v>
      </c>
      <c r="BH132" s="7">
        <v>2</v>
      </c>
      <c r="BI132" s="7">
        <v>2</v>
      </c>
      <c r="BJ132" s="7">
        <v>2</v>
      </c>
      <c r="BK132" s="7">
        <v>2</v>
      </c>
      <c r="BL132" s="7">
        <v>2</v>
      </c>
      <c r="BM132" s="7">
        <v>2</v>
      </c>
      <c r="BN132" s="7">
        <v>2</v>
      </c>
      <c r="BO132" s="7">
        <v>2</v>
      </c>
      <c r="BP132" s="7">
        <v>2</v>
      </c>
      <c r="BQ132" s="7">
        <v>2</v>
      </c>
      <c r="BR132" s="7">
        <v>2</v>
      </c>
      <c r="BS132" s="7">
        <v>2</v>
      </c>
      <c r="BT132" s="7">
        <v>2</v>
      </c>
      <c r="BU132" s="7">
        <v>2</v>
      </c>
      <c r="BV132" s="7">
        <v>2</v>
      </c>
      <c r="BW132" s="7">
        <v>2</v>
      </c>
      <c r="BX132" s="7">
        <v>2</v>
      </c>
      <c r="BY132" s="7">
        <v>2</v>
      </c>
      <c r="BZ132" s="7">
        <v>2</v>
      </c>
      <c r="CA132" s="7">
        <v>2</v>
      </c>
      <c r="CB132" s="7">
        <v>2</v>
      </c>
      <c r="CC132" s="7">
        <v>2</v>
      </c>
      <c r="CD132" s="7">
        <v>1</v>
      </c>
      <c r="CE132" s="7">
        <v>1</v>
      </c>
      <c r="CF132" s="7">
        <v>1</v>
      </c>
      <c r="CG132" s="7">
        <v>1</v>
      </c>
      <c r="CH132" s="7">
        <v>1</v>
      </c>
      <c r="CI132" s="7">
        <v>1</v>
      </c>
      <c r="CJ132" s="7">
        <v>1</v>
      </c>
      <c r="CK132" s="7">
        <v>1</v>
      </c>
      <c r="CL132" s="7">
        <v>1</v>
      </c>
      <c r="CM132" s="7">
        <v>1</v>
      </c>
      <c r="CN132" s="7">
        <v>1</v>
      </c>
      <c r="CO132" s="7">
        <v>1</v>
      </c>
      <c r="CP132" s="7">
        <v>1</v>
      </c>
      <c r="CQ132" s="7">
        <v>1</v>
      </c>
      <c r="CR132" s="7">
        <v>1</v>
      </c>
      <c r="CS132" s="7">
        <v>1</v>
      </c>
      <c r="CT132" s="7">
        <v>1</v>
      </c>
      <c r="CU132" s="7">
        <v>1</v>
      </c>
      <c r="CV132" s="7">
        <v>1</v>
      </c>
      <c r="CW132" s="7">
        <v>1</v>
      </c>
      <c r="CX132" s="7">
        <v>1</v>
      </c>
      <c r="CY132" s="7">
        <v>1</v>
      </c>
      <c r="CZ132" s="7">
        <v>1</v>
      </c>
      <c r="DA132" s="7">
        <v>1</v>
      </c>
      <c r="DB132" s="7">
        <v>1</v>
      </c>
      <c r="DC132" s="7">
        <v>1</v>
      </c>
      <c r="DD132" s="7">
        <v>1</v>
      </c>
      <c r="DE132" s="7">
        <v>1</v>
      </c>
      <c r="DF132" s="7">
        <v>1</v>
      </c>
      <c r="DG132" s="7">
        <v>1</v>
      </c>
      <c r="DH132" s="7">
        <v>1</v>
      </c>
      <c r="DI132" s="7">
        <v>1</v>
      </c>
      <c r="DJ132" s="7">
        <v>1</v>
      </c>
      <c r="DK132" s="7">
        <v>1</v>
      </c>
      <c r="DL132" s="7">
        <v>1</v>
      </c>
      <c r="DM132" s="7">
        <v>1</v>
      </c>
      <c r="DN132" s="7">
        <v>1</v>
      </c>
      <c r="DO132" s="7">
        <v>1</v>
      </c>
      <c r="DP132" s="7">
        <v>1</v>
      </c>
      <c r="DQ132" s="7">
        <v>1</v>
      </c>
      <c r="DR132" s="7">
        <v>1</v>
      </c>
      <c r="DS132" s="7">
        <v>1</v>
      </c>
      <c r="DT132" s="7">
        <v>1</v>
      </c>
      <c r="DU132" s="7">
        <v>1</v>
      </c>
      <c r="DV132" s="7">
        <v>1</v>
      </c>
      <c r="DW132" s="7">
        <v>1</v>
      </c>
      <c r="DX132" s="7">
        <v>1</v>
      </c>
      <c r="DY132" s="7">
        <v>1</v>
      </c>
      <c r="DZ132" s="7">
        <v>1</v>
      </c>
      <c r="EA132" s="7">
        <v>1</v>
      </c>
      <c r="EB132" s="7">
        <v>1</v>
      </c>
      <c r="EC132" s="7">
        <v>1</v>
      </c>
      <c r="ED132" s="7">
        <v>1</v>
      </c>
      <c r="EE132" s="7">
        <v>1</v>
      </c>
      <c r="EF132" s="7">
        <v>1</v>
      </c>
      <c r="EG132" s="7">
        <v>1</v>
      </c>
      <c r="EH132" s="7">
        <v>1</v>
      </c>
      <c r="EI132" s="7">
        <v>1</v>
      </c>
      <c r="EJ132" s="7">
        <v>1</v>
      </c>
      <c r="EK132" s="7">
        <v>1</v>
      </c>
      <c r="EL132" s="7">
        <v>1</v>
      </c>
      <c r="EM132" s="7">
        <v>1</v>
      </c>
      <c r="EN132" s="7">
        <v>1</v>
      </c>
      <c r="EO132" s="7">
        <v>1</v>
      </c>
      <c r="EP132" s="7">
        <v>1</v>
      </c>
      <c r="EQ132" s="7">
        <v>1</v>
      </c>
      <c r="ER132" s="7">
        <v>1</v>
      </c>
      <c r="ES132" s="7">
        <v>1</v>
      </c>
      <c r="ET132" s="7">
        <v>1</v>
      </c>
      <c r="EU132" s="7">
        <v>1</v>
      </c>
      <c r="EV132" s="7">
        <v>1</v>
      </c>
      <c r="EW132" s="7">
        <v>1</v>
      </c>
      <c r="EX132" s="7">
        <v>1</v>
      </c>
      <c r="EY132" s="7">
        <v>1</v>
      </c>
      <c r="EZ132" s="7">
        <v>1</v>
      </c>
      <c r="FB132" s="50">
        <f>HLOOKUP(M16,$AU$112:$EZ$213,21,TRUE)</f>
        <v>1</v>
      </c>
      <c r="FD132" s="50">
        <f>HLOOKUP(AL42,$AU$112:$EZ$213,21,TRUE)</f>
        <v>1</v>
      </c>
    </row>
    <row r="133" spans="46:160">
      <c r="AT133" s="112">
        <v>0.39800000000000002</v>
      </c>
      <c r="AU133" s="7">
        <v>2</v>
      </c>
      <c r="AV133" s="7">
        <v>2</v>
      </c>
      <c r="AW133" s="7">
        <v>2</v>
      </c>
      <c r="AX133" s="7">
        <v>2</v>
      </c>
      <c r="AY133" s="7">
        <v>2</v>
      </c>
      <c r="AZ133" s="7">
        <v>2</v>
      </c>
      <c r="BA133" s="331">
        <v>2</v>
      </c>
      <c r="BB133" s="7">
        <v>2</v>
      </c>
      <c r="BC133" s="7">
        <v>2</v>
      </c>
      <c r="BD133" s="7">
        <v>2</v>
      </c>
      <c r="BE133" s="7">
        <v>2</v>
      </c>
      <c r="BF133" s="7">
        <v>2</v>
      </c>
      <c r="BG133" s="7">
        <v>2</v>
      </c>
      <c r="BH133" s="7">
        <v>2</v>
      </c>
      <c r="BI133" s="7">
        <v>2</v>
      </c>
      <c r="BJ133" s="7">
        <v>2</v>
      </c>
      <c r="BK133" s="7">
        <v>2</v>
      </c>
      <c r="BL133" s="7">
        <v>2</v>
      </c>
      <c r="BM133" s="7">
        <v>2</v>
      </c>
      <c r="BN133" s="7">
        <v>2</v>
      </c>
      <c r="BO133" s="7">
        <v>2</v>
      </c>
      <c r="BP133" s="7">
        <v>2</v>
      </c>
      <c r="BQ133" s="7">
        <v>2</v>
      </c>
      <c r="BR133" s="7">
        <v>2</v>
      </c>
      <c r="BS133" s="7">
        <v>2</v>
      </c>
      <c r="BT133" s="7">
        <v>2</v>
      </c>
      <c r="BU133" s="7">
        <v>2</v>
      </c>
      <c r="BV133" s="7">
        <v>2</v>
      </c>
      <c r="BW133" s="7">
        <v>2</v>
      </c>
      <c r="BX133" s="7">
        <v>2</v>
      </c>
      <c r="BY133" s="7">
        <v>2</v>
      </c>
      <c r="BZ133" s="7">
        <v>2</v>
      </c>
      <c r="CA133" s="7">
        <v>2</v>
      </c>
      <c r="CB133" s="7">
        <v>2</v>
      </c>
      <c r="CC133" s="7">
        <v>2</v>
      </c>
      <c r="CD133" s="7">
        <v>2</v>
      </c>
      <c r="CE133" s="7">
        <v>1</v>
      </c>
      <c r="CF133" s="7">
        <v>1</v>
      </c>
      <c r="CG133" s="7">
        <v>1</v>
      </c>
      <c r="CH133" s="7">
        <v>1</v>
      </c>
      <c r="CI133" s="7">
        <v>1</v>
      </c>
      <c r="CJ133" s="7">
        <v>1</v>
      </c>
      <c r="CK133" s="7">
        <v>1</v>
      </c>
      <c r="CL133" s="7">
        <v>1</v>
      </c>
      <c r="CM133" s="7">
        <v>1</v>
      </c>
      <c r="CN133" s="7">
        <v>1</v>
      </c>
      <c r="CO133" s="7">
        <v>1</v>
      </c>
      <c r="CP133" s="7">
        <v>1</v>
      </c>
      <c r="CQ133" s="7">
        <v>1</v>
      </c>
      <c r="CR133" s="7">
        <v>1</v>
      </c>
      <c r="CS133" s="7">
        <v>1</v>
      </c>
      <c r="CT133" s="7">
        <v>1</v>
      </c>
      <c r="CU133" s="7">
        <v>1</v>
      </c>
      <c r="CV133" s="7">
        <v>1</v>
      </c>
      <c r="CW133" s="7">
        <v>1</v>
      </c>
      <c r="CX133" s="7">
        <v>1</v>
      </c>
      <c r="CY133" s="7">
        <v>1</v>
      </c>
      <c r="CZ133" s="7">
        <v>1</v>
      </c>
      <c r="DA133" s="7">
        <v>1</v>
      </c>
      <c r="DB133" s="7">
        <v>1</v>
      </c>
      <c r="DC133" s="7">
        <v>1</v>
      </c>
      <c r="DD133" s="7">
        <v>1</v>
      </c>
      <c r="DE133" s="7">
        <v>1</v>
      </c>
      <c r="DF133" s="7">
        <v>1</v>
      </c>
      <c r="DG133" s="7">
        <v>1</v>
      </c>
      <c r="DH133" s="7">
        <v>1</v>
      </c>
      <c r="DI133" s="7">
        <v>1</v>
      </c>
      <c r="DJ133" s="7">
        <v>1</v>
      </c>
      <c r="DK133" s="7">
        <v>1</v>
      </c>
      <c r="DL133" s="7">
        <v>1</v>
      </c>
      <c r="DM133" s="7">
        <v>1</v>
      </c>
      <c r="DN133" s="7">
        <v>1</v>
      </c>
      <c r="DO133" s="7">
        <v>1</v>
      </c>
      <c r="DP133" s="7">
        <v>1</v>
      </c>
      <c r="DQ133" s="7">
        <v>1</v>
      </c>
      <c r="DR133" s="7">
        <v>1</v>
      </c>
      <c r="DS133" s="7">
        <v>1</v>
      </c>
      <c r="DT133" s="7">
        <v>1</v>
      </c>
      <c r="DU133" s="7">
        <v>1</v>
      </c>
      <c r="DV133" s="7">
        <v>1</v>
      </c>
      <c r="DW133" s="7">
        <v>1</v>
      </c>
      <c r="DX133" s="7">
        <v>1</v>
      </c>
      <c r="DY133" s="7">
        <v>1</v>
      </c>
      <c r="DZ133" s="7">
        <v>1</v>
      </c>
      <c r="EA133" s="7">
        <v>1</v>
      </c>
      <c r="EB133" s="7">
        <v>1</v>
      </c>
      <c r="EC133" s="7">
        <v>1</v>
      </c>
      <c r="ED133" s="7">
        <v>1</v>
      </c>
      <c r="EE133" s="7">
        <v>1</v>
      </c>
      <c r="EF133" s="7">
        <v>1</v>
      </c>
      <c r="EG133" s="7">
        <v>1</v>
      </c>
      <c r="EH133" s="7">
        <v>1</v>
      </c>
      <c r="EI133" s="7">
        <v>1</v>
      </c>
      <c r="EJ133" s="7">
        <v>1</v>
      </c>
      <c r="EK133" s="7">
        <v>1</v>
      </c>
      <c r="EL133" s="7">
        <v>1</v>
      </c>
      <c r="EM133" s="7">
        <v>1</v>
      </c>
      <c r="EN133" s="7">
        <v>1</v>
      </c>
      <c r="EO133" s="7">
        <v>1</v>
      </c>
      <c r="EP133" s="7">
        <v>1</v>
      </c>
      <c r="EQ133" s="7">
        <v>1</v>
      </c>
      <c r="ER133" s="7">
        <v>1</v>
      </c>
      <c r="ES133" s="7">
        <v>1</v>
      </c>
      <c r="ET133" s="7">
        <v>1</v>
      </c>
      <c r="EU133" s="7">
        <v>1</v>
      </c>
      <c r="EV133" s="7">
        <v>1</v>
      </c>
      <c r="EW133" s="7">
        <v>1</v>
      </c>
      <c r="EX133" s="7">
        <v>1</v>
      </c>
      <c r="EY133" s="7">
        <v>1</v>
      </c>
      <c r="EZ133" s="7">
        <v>1</v>
      </c>
      <c r="FB133" s="50">
        <f>HLOOKUP(M16,$AU$112:$EZ$213,22,TRUE)</f>
        <v>1</v>
      </c>
      <c r="FD133" s="50">
        <f>HLOOKUP(AL42,$AU$112:$EZ$213,22,TRUE)</f>
        <v>1</v>
      </c>
    </row>
    <row r="134" spans="46:160">
      <c r="AT134" s="112">
        <v>0.42699999999999999</v>
      </c>
      <c r="AU134" s="7">
        <v>2</v>
      </c>
      <c r="AV134" s="7">
        <v>2</v>
      </c>
      <c r="AW134" s="7">
        <v>2</v>
      </c>
      <c r="AX134" s="7">
        <v>2</v>
      </c>
      <c r="AY134" s="7">
        <v>2</v>
      </c>
      <c r="AZ134" s="7">
        <v>2</v>
      </c>
      <c r="BA134" s="331">
        <v>2</v>
      </c>
      <c r="BB134" s="7">
        <v>2</v>
      </c>
      <c r="BC134" s="7">
        <v>2</v>
      </c>
      <c r="BD134" s="7">
        <v>2</v>
      </c>
      <c r="BE134" s="7">
        <v>2</v>
      </c>
      <c r="BF134" s="7">
        <v>2</v>
      </c>
      <c r="BG134" s="7">
        <v>2</v>
      </c>
      <c r="BH134" s="7">
        <v>2</v>
      </c>
      <c r="BI134" s="7">
        <v>2</v>
      </c>
      <c r="BJ134" s="7">
        <v>2</v>
      </c>
      <c r="BK134" s="7">
        <v>2</v>
      </c>
      <c r="BL134" s="7">
        <v>2</v>
      </c>
      <c r="BM134" s="7">
        <v>2</v>
      </c>
      <c r="BN134" s="7">
        <v>2</v>
      </c>
      <c r="BO134" s="7">
        <v>2</v>
      </c>
      <c r="BP134" s="7">
        <v>2</v>
      </c>
      <c r="BQ134" s="7">
        <v>2</v>
      </c>
      <c r="BR134" s="7">
        <v>2</v>
      </c>
      <c r="BS134" s="7">
        <v>2</v>
      </c>
      <c r="BT134" s="7">
        <v>2</v>
      </c>
      <c r="BU134" s="7">
        <v>2</v>
      </c>
      <c r="BV134" s="7">
        <v>2</v>
      </c>
      <c r="BW134" s="7">
        <v>2</v>
      </c>
      <c r="BX134" s="7">
        <v>2</v>
      </c>
      <c r="BY134" s="7">
        <v>2</v>
      </c>
      <c r="BZ134" s="7">
        <v>2</v>
      </c>
      <c r="CA134" s="7">
        <v>2</v>
      </c>
      <c r="CB134" s="7">
        <v>2</v>
      </c>
      <c r="CC134" s="7">
        <v>2</v>
      </c>
      <c r="CD134" s="7">
        <v>2</v>
      </c>
      <c r="CE134" s="7">
        <v>2</v>
      </c>
      <c r="CF134" s="7">
        <v>1</v>
      </c>
      <c r="CG134" s="7">
        <v>1</v>
      </c>
      <c r="CH134" s="7">
        <v>1</v>
      </c>
      <c r="CI134" s="7">
        <v>1</v>
      </c>
      <c r="CJ134" s="7">
        <v>1</v>
      </c>
      <c r="CK134" s="7">
        <v>1</v>
      </c>
      <c r="CL134" s="7">
        <v>1</v>
      </c>
      <c r="CM134" s="7">
        <v>1</v>
      </c>
      <c r="CN134" s="7">
        <v>1</v>
      </c>
      <c r="CO134" s="7">
        <v>1</v>
      </c>
      <c r="CP134" s="7">
        <v>1</v>
      </c>
      <c r="CQ134" s="7">
        <v>1</v>
      </c>
      <c r="CR134" s="7">
        <v>1</v>
      </c>
      <c r="CS134" s="7">
        <v>1</v>
      </c>
      <c r="CT134" s="7">
        <v>1</v>
      </c>
      <c r="CU134" s="7">
        <v>1</v>
      </c>
      <c r="CV134" s="7">
        <v>1</v>
      </c>
      <c r="CW134" s="7">
        <v>1</v>
      </c>
      <c r="CX134" s="7">
        <v>1</v>
      </c>
      <c r="CY134" s="7">
        <v>1</v>
      </c>
      <c r="CZ134" s="7">
        <v>1</v>
      </c>
      <c r="DA134" s="7">
        <v>1</v>
      </c>
      <c r="DB134" s="7">
        <v>1</v>
      </c>
      <c r="DC134" s="7">
        <v>1</v>
      </c>
      <c r="DD134" s="7">
        <v>1</v>
      </c>
      <c r="DE134" s="7">
        <v>1</v>
      </c>
      <c r="DF134" s="7">
        <v>1</v>
      </c>
      <c r="DG134" s="7">
        <v>1</v>
      </c>
      <c r="DH134" s="7">
        <v>1</v>
      </c>
      <c r="DI134" s="7">
        <v>1</v>
      </c>
      <c r="DJ134" s="7">
        <v>1</v>
      </c>
      <c r="DK134" s="7">
        <v>1</v>
      </c>
      <c r="DL134" s="7">
        <v>1</v>
      </c>
      <c r="DM134" s="7">
        <v>1</v>
      </c>
      <c r="DN134" s="7">
        <v>1</v>
      </c>
      <c r="DO134" s="7">
        <v>1</v>
      </c>
      <c r="DP134" s="7">
        <v>1</v>
      </c>
      <c r="DQ134" s="7">
        <v>1</v>
      </c>
      <c r="DR134" s="7">
        <v>1</v>
      </c>
      <c r="DS134" s="7">
        <v>1</v>
      </c>
      <c r="DT134" s="7">
        <v>1</v>
      </c>
      <c r="DU134" s="7">
        <v>1</v>
      </c>
      <c r="DV134" s="7">
        <v>1</v>
      </c>
      <c r="DW134" s="7">
        <v>1</v>
      </c>
      <c r="DX134" s="7">
        <v>1</v>
      </c>
      <c r="DY134" s="7">
        <v>1</v>
      </c>
      <c r="DZ134" s="7">
        <v>1</v>
      </c>
      <c r="EA134" s="7">
        <v>1</v>
      </c>
      <c r="EB134" s="7">
        <v>1</v>
      </c>
      <c r="EC134" s="7">
        <v>1</v>
      </c>
      <c r="ED134" s="7">
        <v>1</v>
      </c>
      <c r="EE134" s="7">
        <v>1</v>
      </c>
      <c r="EF134" s="7">
        <v>1</v>
      </c>
      <c r="EG134" s="7">
        <v>1</v>
      </c>
      <c r="EH134" s="7">
        <v>1</v>
      </c>
      <c r="EI134" s="7">
        <v>1</v>
      </c>
      <c r="EJ134" s="7">
        <v>1</v>
      </c>
      <c r="EK134" s="7">
        <v>1</v>
      </c>
      <c r="EL134" s="7">
        <v>1</v>
      </c>
      <c r="EM134" s="7">
        <v>1</v>
      </c>
      <c r="EN134" s="7">
        <v>1</v>
      </c>
      <c r="EO134" s="7">
        <v>1</v>
      </c>
      <c r="EP134" s="7">
        <v>1</v>
      </c>
      <c r="EQ134" s="7">
        <v>1</v>
      </c>
      <c r="ER134" s="7">
        <v>1</v>
      </c>
      <c r="ES134" s="7">
        <v>1</v>
      </c>
      <c r="ET134" s="7">
        <v>1</v>
      </c>
      <c r="EU134" s="7">
        <v>1</v>
      </c>
      <c r="EV134" s="7">
        <v>1</v>
      </c>
      <c r="EW134" s="7">
        <v>1</v>
      </c>
      <c r="EX134" s="7">
        <v>1</v>
      </c>
      <c r="EY134" s="7">
        <v>1</v>
      </c>
      <c r="EZ134" s="7">
        <v>1</v>
      </c>
      <c r="FB134" s="50">
        <f>HLOOKUP(M16,$AU$112:$EZ$213,23,TRUE)</f>
        <v>1</v>
      </c>
      <c r="FD134" s="50">
        <f>HLOOKUP(AL42,$AU$112:$EZ$213,23,TRUE)</f>
        <v>1</v>
      </c>
    </row>
    <row r="135" spans="46:160">
      <c r="AT135" s="112">
        <v>0.45700000000000002</v>
      </c>
      <c r="AU135" s="7">
        <v>2</v>
      </c>
      <c r="AV135" s="7">
        <v>2</v>
      </c>
      <c r="AW135" s="7">
        <v>2</v>
      </c>
      <c r="AX135" s="7">
        <v>2</v>
      </c>
      <c r="AY135" s="7">
        <v>2</v>
      </c>
      <c r="AZ135" s="7">
        <v>2</v>
      </c>
      <c r="BA135" s="331">
        <v>2</v>
      </c>
      <c r="BB135" s="7">
        <v>2</v>
      </c>
      <c r="BC135" s="7">
        <v>2</v>
      </c>
      <c r="BD135" s="7">
        <v>2</v>
      </c>
      <c r="BE135" s="7">
        <v>2</v>
      </c>
      <c r="BF135" s="7">
        <v>2</v>
      </c>
      <c r="BG135" s="7">
        <v>2</v>
      </c>
      <c r="BH135" s="7">
        <v>2</v>
      </c>
      <c r="BI135" s="7">
        <v>2</v>
      </c>
      <c r="BJ135" s="7">
        <v>2</v>
      </c>
      <c r="BK135" s="7">
        <v>2</v>
      </c>
      <c r="BL135" s="7">
        <v>2</v>
      </c>
      <c r="BM135" s="7">
        <v>2</v>
      </c>
      <c r="BN135" s="7">
        <v>2</v>
      </c>
      <c r="BO135" s="7">
        <v>2</v>
      </c>
      <c r="BP135" s="7">
        <v>2</v>
      </c>
      <c r="BQ135" s="7">
        <v>2</v>
      </c>
      <c r="BR135" s="7">
        <v>2</v>
      </c>
      <c r="BS135" s="7">
        <v>2</v>
      </c>
      <c r="BT135" s="7">
        <v>2</v>
      </c>
      <c r="BU135" s="7">
        <v>2</v>
      </c>
      <c r="BV135" s="7">
        <v>2</v>
      </c>
      <c r="BW135" s="7">
        <v>2</v>
      </c>
      <c r="BX135" s="7">
        <v>2</v>
      </c>
      <c r="BY135" s="7">
        <v>2</v>
      </c>
      <c r="BZ135" s="7">
        <v>2</v>
      </c>
      <c r="CA135" s="7">
        <v>2</v>
      </c>
      <c r="CB135" s="7">
        <v>2</v>
      </c>
      <c r="CC135" s="7">
        <v>2</v>
      </c>
      <c r="CD135" s="7">
        <v>2</v>
      </c>
      <c r="CE135" s="7">
        <v>2</v>
      </c>
      <c r="CF135" s="7">
        <v>2</v>
      </c>
      <c r="CG135" s="7">
        <v>1</v>
      </c>
      <c r="CH135" s="7">
        <v>1</v>
      </c>
      <c r="CI135" s="7">
        <v>1</v>
      </c>
      <c r="CJ135" s="7">
        <v>1</v>
      </c>
      <c r="CK135" s="7">
        <v>1</v>
      </c>
      <c r="CL135" s="7">
        <v>1</v>
      </c>
      <c r="CM135" s="7">
        <v>1</v>
      </c>
      <c r="CN135" s="7">
        <v>1</v>
      </c>
      <c r="CO135" s="7">
        <v>1</v>
      </c>
      <c r="CP135" s="7">
        <v>1</v>
      </c>
      <c r="CQ135" s="7">
        <v>1</v>
      </c>
      <c r="CR135" s="7">
        <v>1</v>
      </c>
      <c r="CS135" s="7">
        <v>1</v>
      </c>
      <c r="CT135" s="7">
        <v>1</v>
      </c>
      <c r="CU135" s="7">
        <v>1</v>
      </c>
      <c r="CV135" s="7">
        <v>1</v>
      </c>
      <c r="CW135" s="7">
        <v>1</v>
      </c>
      <c r="CX135" s="7">
        <v>1</v>
      </c>
      <c r="CY135" s="7">
        <v>1</v>
      </c>
      <c r="CZ135" s="7">
        <v>1</v>
      </c>
      <c r="DA135" s="7">
        <v>1</v>
      </c>
      <c r="DB135" s="7">
        <v>1</v>
      </c>
      <c r="DC135" s="7">
        <v>1</v>
      </c>
      <c r="DD135" s="7">
        <v>1</v>
      </c>
      <c r="DE135" s="7">
        <v>1</v>
      </c>
      <c r="DF135" s="7">
        <v>1</v>
      </c>
      <c r="DG135" s="7">
        <v>1</v>
      </c>
      <c r="DH135" s="7">
        <v>1</v>
      </c>
      <c r="DI135" s="7">
        <v>1</v>
      </c>
      <c r="DJ135" s="7">
        <v>1</v>
      </c>
      <c r="DK135" s="7">
        <v>1</v>
      </c>
      <c r="DL135" s="7">
        <v>1</v>
      </c>
      <c r="DM135" s="7">
        <v>1</v>
      </c>
      <c r="DN135" s="7">
        <v>1</v>
      </c>
      <c r="DO135" s="7">
        <v>1</v>
      </c>
      <c r="DP135" s="7">
        <v>1</v>
      </c>
      <c r="DQ135" s="7">
        <v>1</v>
      </c>
      <c r="DR135" s="7">
        <v>1</v>
      </c>
      <c r="DS135" s="7">
        <v>1</v>
      </c>
      <c r="DT135" s="7">
        <v>1</v>
      </c>
      <c r="DU135" s="7">
        <v>1</v>
      </c>
      <c r="DV135" s="7">
        <v>1</v>
      </c>
      <c r="DW135" s="7">
        <v>1</v>
      </c>
      <c r="DX135" s="7">
        <v>1</v>
      </c>
      <c r="DY135" s="7">
        <v>1</v>
      </c>
      <c r="DZ135" s="7">
        <v>1</v>
      </c>
      <c r="EA135" s="7">
        <v>1</v>
      </c>
      <c r="EB135" s="7">
        <v>1</v>
      </c>
      <c r="EC135" s="7">
        <v>1</v>
      </c>
      <c r="ED135" s="7">
        <v>1</v>
      </c>
      <c r="EE135" s="7">
        <v>1</v>
      </c>
      <c r="EF135" s="7">
        <v>1</v>
      </c>
      <c r="EG135" s="7">
        <v>1</v>
      </c>
      <c r="EH135" s="7">
        <v>1</v>
      </c>
      <c r="EI135" s="7">
        <v>1</v>
      </c>
      <c r="EJ135" s="7">
        <v>1</v>
      </c>
      <c r="EK135" s="7">
        <v>1</v>
      </c>
      <c r="EL135" s="7">
        <v>1</v>
      </c>
      <c r="EM135" s="7">
        <v>1</v>
      </c>
      <c r="EN135" s="7">
        <v>1</v>
      </c>
      <c r="EO135" s="7">
        <v>1</v>
      </c>
      <c r="EP135" s="7">
        <v>1</v>
      </c>
      <c r="EQ135" s="7">
        <v>1</v>
      </c>
      <c r="ER135" s="7">
        <v>1</v>
      </c>
      <c r="ES135" s="7">
        <v>1</v>
      </c>
      <c r="ET135" s="7">
        <v>1</v>
      </c>
      <c r="EU135" s="7">
        <v>1</v>
      </c>
      <c r="EV135" s="7">
        <v>1</v>
      </c>
      <c r="EW135" s="7">
        <v>1</v>
      </c>
      <c r="EX135" s="7">
        <v>1</v>
      </c>
      <c r="EY135" s="7">
        <v>1</v>
      </c>
      <c r="EZ135" s="7">
        <v>1</v>
      </c>
      <c r="FB135" s="50">
        <f>HLOOKUP(M16,$AU$112:$EZ$213,24,TRUE)</f>
        <v>1</v>
      </c>
      <c r="FD135" s="50">
        <f>HLOOKUP(AL42,$AU$112:$EZ$213,24,TRUE)</f>
        <v>1</v>
      </c>
    </row>
    <row r="136" spans="46:160">
      <c r="AT136" s="112">
        <v>0.49</v>
      </c>
      <c r="AU136" s="7">
        <v>2</v>
      </c>
      <c r="AV136" s="7">
        <v>2</v>
      </c>
      <c r="AW136" s="7">
        <v>2</v>
      </c>
      <c r="AX136" s="7">
        <v>2</v>
      </c>
      <c r="AY136" s="7">
        <v>2</v>
      </c>
      <c r="AZ136" s="7">
        <v>2</v>
      </c>
      <c r="BA136" s="331">
        <v>2</v>
      </c>
      <c r="BB136" s="7">
        <v>2</v>
      </c>
      <c r="BC136" s="7">
        <v>2</v>
      </c>
      <c r="BD136" s="7">
        <v>2</v>
      </c>
      <c r="BE136" s="7">
        <v>2</v>
      </c>
      <c r="BF136" s="7">
        <v>2</v>
      </c>
      <c r="BG136" s="7">
        <v>2</v>
      </c>
      <c r="BH136" s="7">
        <v>2</v>
      </c>
      <c r="BI136" s="7">
        <v>2</v>
      </c>
      <c r="BJ136" s="7">
        <v>2</v>
      </c>
      <c r="BK136" s="7">
        <v>2</v>
      </c>
      <c r="BL136" s="7">
        <v>2</v>
      </c>
      <c r="BM136" s="7">
        <v>2</v>
      </c>
      <c r="BN136" s="7">
        <v>2</v>
      </c>
      <c r="BO136" s="7">
        <v>2</v>
      </c>
      <c r="BP136" s="7">
        <v>2</v>
      </c>
      <c r="BQ136" s="7">
        <v>2</v>
      </c>
      <c r="BR136" s="7">
        <v>2</v>
      </c>
      <c r="BS136" s="7">
        <v>2</v>
      </c>
      <c r="BT136" s="7">
        <v>2</v>
      </c>
      <c r="BU136" s="7">
        <v>2</v>
      </c>
      <c r="BV136" s="7">
        <v>2</v>
      </c>
      <c r="BW136" s="7">
        <v>2</v>
      </c>
      <c r="BX136" s="7">
        <v>2</v>
      </c>
      <c r="BY136" s="7">
        <v>2</v>
      </c>
      <c r="BZ136" s="7">
        <v>2</v>
      </c>
      <c r="CA136" s="7">
        <v>2</v>
      </c>
      <c r="CB136" s="7">
        <v>2</v>
      </c>
      <c r="CC136" s="7">
        <v>2</v>
      </c>
      <c r="CD136" s="7">
        <v>2</v>
      </c>
      <c r="CE136" s="7">
        <v>2</v>
      </c>
      <c r="CF136" s="7">
        <v>2</v>
      </c>
      <c r="CG136" s="7">
        <v>2</v>
      </c>
      <c r="CH136" s="7">
        <v>2</v>
      </c>
      <c r="CI136" s="7">
        <v>1</v>
      </c>
      <c r="CJ136" s="7">
        <v>1</v>
      </c>
      <c r="CK136" s="7">
        <v>1</v>
      </c>
      <c r="CL136" s="7">
        <v>1</v>
      </c>
      <c r="CM136" s="7">
        <v>1</v>
      </c>
      <c r="CN136" s="7">
        <v>1</v>
      </c>
      <c r="CO136" s="7">
        <v>1</v>
      </c>
      <c r="CP136" s="7">
        <v>1</v>
      </c>
      <c r="CQ136" s="7">
        <v>1</v>
      </c>
      <c r="CR136" s="7">
        <v>1</v>
      </c>
      <c r="CS136" s="7">
        <v>1</v>
      </c>
      <c r="CT136" s="7">
        <v>1</v>
      </c>
      <c r="CU136" s="7">
        <v>1</v>
      </c>
      <c r="CV136" s="7">
        <v>1</v>
      </c>
      <c r="CW136" s="7">
        <v>1</v>
      </c>
      <c r="CX136" s="7">
        <v>1</v>
      </c>
      <c r="CY136" s="7">
        <v>1</v>
      </c>
      <c r="CZ136" s="7">
        <v>1</v>
      </c>
      <c r="DA136" s="7">
        <v>1</v>
      </c>
      <c r="DB136" s="7">
        <v>1</v>
      </c>
      <c r="DC136" s="7">
        <v>1</v>
      </c>
      <c r="DD136" s="7">
        <v>1</v>
      </c>
      <c r="DE136" s="7">
        <v>1</v>
      </c>
      <c r="DF136" s="7">
        <v>1</v>
      </c>
      <c r="DG136" s="7">
        <v>1</v>
      </c>
      <c r="DH136" s="7">
        <v>1</v>
      </c>
      <c r="DI136" s="7">
        <v>1</v>
      </c>
      <c r="DJ136" s="7">
        <v>1</v>
      </c>
      <c r="DK136" s="7">
        <v>1</v>
      </c>
      <c r="DL136" s="7">
        <v>1</v>
      </c>
      <c r="DM136" s="7">
        <v>1</v>
      </c>
      <c r="DN136" s="7">
        <v>1</v>
      </c>
      <c r="DO136" s="7">
        <v>1</v>
      </c>
      <c r="DP136" s="7">
        <v>1</v>
      </c>
      <c r="DQ136" s="7">
        <v>1</v>
      </c>
      <c r="DR136" s="7">
        <v>1</v>
      </c>
      <c r="DS136" s="7">
        <v>1</v>
      </c>
      <c r="DT136" s="7">
        <v>1</v>
      </c>
      <c r="DU136" s="7">
        <v>1</v>
      </c>
      <c r="DV136" s="7">
        <v>1</v>
      </c>
      <c r="DW136" s="7">
        <v>1</v>
      </c>
      <c r="DX136" s="7">
        <v>1</v>
      </c>
      <c r="DY136" s="7">
        <v>1</v>
      </c>
      <c r="DZ136" s="7">
        <v>1</v>
      </c>
      <c r="EA136" s="7">
        <v>1</v>
      </c>
      <c r="EB136" s="7">
        <v>1</v>
      </c>
      <c r="EC136" s="7">
        <v>1</v>
      </c>
      <c r="ED136" s="7">
        <v>1</v>
      </c>
      <c r="EE136" s="7">
        <v>1</v>
      </c>
      <c r="EF136" s="7">
        <v>1</v>
      </c>
      <c r="EG136" s="7">
        <v>1</v>
      </c>
      <c r="EH136" s="7">
        <v>1</v>
      </c>
      <c r="EI136" s="7">
        <v>1</v>
      </c>
      <c r="EJ136" s="7">
        <v>1</v>
      </c>
      <c r="EK136" s="7">
        <v>1</v>
      </c>
      <c r="EL136" s="7">
        <v>1</v>
      </c>
      <c r="EM136" s="7">
        <v>1</v>
      </c>
      <c r="EN136" s="7">
        <v>1</v>
      </c>
      <c r="EO136" s="7">
        <v>1</v>
      </c>
      <c r="EP136" s="7">
        <v>1</v>
      </c>
      <c r="EQ136" s="7">
        <v>1</v>
      </c>
      <c r="ER136" s="7">
        <v>1</v>
      </c>
      <c r="ES136" s="7">
        <v>1</v>
      </c>
      <c r="ET136" s="7">
        <v>1</v>
      </c>
      <c r="EU136" s="7">
        <v>1</v>
      </c>
      <c r="EV136" s="7">
        <v>1</v>
      </c>
      <c r="EW136" s="7">
        <v>1</v>
      </c>
      <c r="EX136" s="7">
        <v>1</v>
      </c>
      <c r="EY136" s="7">
        <v>1</v>
      </c>
      <c r="EZ136" s="7">
        <v>1</v>
      </c>
      <c r="FB136" s="50">
        <f>HLOOKUP(M16,$AU$112:$EZ$213,25,TRUE)</f>
        <v>1</v>
      </c>
      <c r="FD136" s="50">
        <f>HLOOKUP(AL42,$AU$112:$EZ$213,25,TRUE)</f>
        <v>1</v>
      </c>
    </row>
    <row r="137" spans="46:160">
      <c r="AT137" s="112">
        <v>0.52500000000000002</v>
      </c>
      <c r="AU137" s="7">
        <v>2</v>
      </c>
      <c r="AV137" s="7">
        <v>2</v>
      </c>
      <c r="AW137" s="7">
        <v>2</v>
      </c>
      <c r="AX137" s="7">
        <v>2</v>
      </c>
      <c r="AY137" s="7">
        <v>2</v>
      </c>
      <c r="AZ137" s="7">
        <v>2</v>
      </c>
      <c r="BA137" s="331">
        <v>2</v>
      </c>
      <c r="BB137" s="7">
        <v>2</v>
      </c>
      <c r="BC137" s="7">
        <v>2</v>
      </c>
      <c r="BD137" s="7">
        <v>2</v>
      </c>
      <c r="BE137" s="7">
        <v>2</v>
      </c>
      <c r="BF137" s="7">
        <v>2</v>
      </c>
      <c r="BG137" s="7">
        <v>2</v>
      </c>
      <c r="BH137" s="7">
        <v>2</v>
      </c>
      <c r="BI137" s="7">
        <v>2</v>
      </c>
      <c r="BJ137" s="7">
        <v>2</v>
      </c>
      <c r="BK137" s="7">
        <v>2</v>
      </c>
      <c r="BL137" s="7">
        <v>2</v>
      </c>
      <c r="BM137" s="7">
        <v>2</v>
      </c>
      <c r="BN137" s="7">
        <v>2</v>
      </c>
      <c r="BO137" s="7">
        <v>2</v>
      </c>
      <c r="BP137" s="7">
        <v>2</v>
      </c>
      <c r="BQ137" s="7">
        <v>2</v>
      </c>
      <c r="BR137" s="7">
        <v>2</v>
      </c>
      <c r="BS137" s="7">
        <v>2</v>
      </c>
      <c r="BT137" s="7">
        <v>2</v>
      </c>
      <c r="BU137" s="7">
        <v>2</v>
      </c>
      <c r="BV137" s="7">
        <v>2</v>
      </c>
      <c r="BW137" s="7">
        <v>2</v>
      </c>
      <c r="BX137" s="7">
        <v>2</v>
      </c>
      <c r="BY137" s="7">
        <v>2</v>
      </c>
      <c r="BZ137" s="7">
        <v>2</v>
      </c>
      <c r="CA137" s="7">
        <v>2</v>
      </c>
      <c r="CB137" s="7">
        <v>2</v>
      </c>
      <c r="CC137" s="7">
        <v>2</v>
      </c>
      <c r="CD137" s="7">
        <v>2</v>
      </c>
      <c r="CE137" s="7">
        <v>2</v>
      </c>
      <c r="CF137" s="7">
        <v>2</v>
      </c>
      <c r="CG137" s="7">
        <v>2</v>
      </c>
      <c r="CH137" s="7">
        <v>2</v>
      </c>
      <c r="CI137" s="7">
        <v>2</v>
      </c>
      <c r="CJ137" s="7">
        <v>1</v>
      </c>
      <c r="CK137" s="7">
        <v>1</v>
      </c>
      <c r="CL137" s="7">
        <v>1</v>
      </c>
      <c r="CM137" s="7">
        <v>1</v>
      </c>
      <c r="CN137" s="7">
        <v>1</v>
      </c>
      <c r="CO137" s="7">
        <v>1</v>
      </c>
      <c r="CP137" s="7">
        <v>1</v>
      </c>
      <c r="CQ137" s="7">
        <v>1</v>
      </c>
      <c r="CR137" s="7">
        <v>1</v>
      </c>
      <c r="CS137" s="7">
        <v>1</v>
      </c>
      <c r="CT137" s="7">
        <v>1</v>
      </c>
      <c r="CU137" s="7">
        <v>1</v>
      </c>
      <c r="CV137" s="7">
        <v>1</v>
      </c>
      <c r="CW137" s="7">
        <v>1</v>
      </c>
      <c r="CX137" s="7">
        <v>1</v>
      </c>
      <c r="CY137" s="7">
        <v>1</v>
      </c>
      <c r="CZ137" s="7">
        <v>1</v>
      </c>
      <c r="DA137" s="7">
        <v>1</v>
      </c>
      <c r="DB137" s="7">
        <v>1</v>
      </c>
      <c r="DC137" s="7">
        <v>1</v>
      </c>
      <c r="DD137" s="7">
        <v>1</v>
      </c>
      <c r="DE137" s="7">
        <v>1</v>
      </c>
      <c r="DF137" s="7">
        <v>1</v>
      </c>
      <c r="DG137" s="7">
        <v>1</v>
      </c>
      <c r="DH137" s="7">
        <v>1</v>
      </c>
      <c r="DI137" s="7">
        <v>1</v>
      </c>
      <c r="DJ137" s="7">
        <v>1</v>
      </c>
      <c r="DK137" s="7">
        <v>1</v>
      </c>
      <c r="DL137" s="7">
        <v>1</v>
      </c>
      <c r="DM137" s="7">
        <v>1</v>
      </c>
      <c r="DN137" s="7">
        <v>1</v>
      </c>
      <c r="DO137" s="7">
        <v>1</v>
      </c>
      <c r="DP137" s="7">
        <v>1</v>
      </c>
      <c r="DQ137" s="7">
        <v>1</v>
      </c>
      <c r="DR137" s="7">
        <v>1</v>
      </c>
      <c r="DS137" s="7">
        <v>1</v>
      </c>
      <c r="DT137" s="7">
        <v>1</v>
      </c>
      <c r="DU137" s="7">
        <v>1</v>
      </c>
      <c r="DV137" s="7">
        <v>1</v>
      </c>
      <c r="DW137" s="7">
        <v>1</v>
      </c>
      <c r="DX137" s="7">
        <v>1</v>
      </c>
      <c r="DY137" s="7">
        <v>1</v>
      </c>
      <c r="DZ137" s="7">
        <v>1</v>
      </c>
      <c r="EA137" s="7">
        <v>1</v>
      </c>
      <c r="EB137" s="7">
        <v>1</v>
      </c>
      <c r="EC137" s="7">
        <v>1</v>
      </c>
      <c r="ED137" s="7">
        <v>1</v>
      </c>
      <c r="EE137" s="7">
        <v>1</v>
      </c>
      <c r="EF137" s="7">
        <v>1</v>
      </c>
      <c r="EG137" s="7">
        <v>1</v>
      </c>
      <c r="EH137" s="7">
        <v>1</v>
      </c>
      <c r="EI137" s="7">
        <v>1</v>
      </c>
      <c r="EJ137" s="7">
        <v>1</v>
      </c>
      <c r="EK137" s="7">
        <v>1</v>
      </c>
      <c r="EL137" s="7">
        <v>1</v>
      </c>
      <c r="EM137" s="7">
        <v>1</v>
      </c>
      <c r="EN137" s="7">
        <v>1</v>
      </c>
      <c r="EO137" s="7">
        <v>1</v>
      </c>
      <c r="EP137" s="7">
        <v>1</v>
      </c>
      <c r="EQ137" s="7">
        <v>1</v>
      </c>
      <c r="ER137" s="7">
        <v>1</v>
      </c>
      <c r="ES137" s="7">
        <v>1</v>
      </c>
      <c r="ET137" s="7">
        <v>1</v>
      </c>
      <c r="EU137" s="7">
        <v>1</v>
      </c>
      <c r="EV137" s="7">
        <v>1</v>
      </c>
      <c r="EW137" s="7">
        <v>1</v>
      </c>
      <c r="EX137" s="7">
        <v>1</v>
      </c>
      <c r="EY137" s="7">
        <v>1</v>
      </c>
      <c r="EZ137" s="7">
        <v>1</v>
      </c>
      <c r="FB137" s="50">
        <f>HLOOKUP(M16,$AU$112:$EZ$213,26,TRUE)</f>
        <v>1</v>
      </c>
      <c r="FD137" s="50">
        <f>HLOOKUP(AL42,$AU$112:$EZ$213,26,TRUE)</f>
        <v>1</v>
      </c>
    </row>
    <row r="138" spans="46:160">
      <c r="AT138" s="112">
        <v>0.56200000000000006</v>
      </c>
      <c r="AU138" s="7">
        <v>2</v>
      </c>
      <c r="AV138" s="7">
        <v>2</v>
      </c>
      <c r="AW138" s="7">
        <v>2</v>
      </c>
      <c r="AX138" s="7">
        <v>2</v>
      </c>
      <c r="AY138" s="7">
        <v>2</v>
      </c>
      <c r="AZ138" s="7">
        <v>2</v>
      </c>
      <c r="BA138" s="331">
        <v>2</v>
      </c>
      <c r="BB138" s="7">
        <v>2</v>
      </c>
      <c r="BC138" s="7">
        <v>2</v>
      </c>
      <c r="BD138" s="7">
        <v>2</v>
      </c>
      <c r="BE138" s="7">
        <v>2</v>
      </c>
      <c r="BF138" s="7">
        <v>2</v>
      </c>
      <c r="BG138" s="7">
        <v>2</v>
      </c>
      <c r="BH138" s="7">
        <v>2</v>
      </c>
      <c r="BI138" s="7">
        <v>2</v>
      </c>
      <c r="BJ138" s="7">
        <v>2</v>
      </c>
      <c r="BK138" s="7">
        <v>2</v>
      </c>
      <c r="BL138" s="7">
        <v>2</v>
      </c>
      <c r="BM138" s="7">
        <v>2</v>
      </c>
      <c r="BN138" s="7">
        <v>2</v>
      </c>
      <c r="BO138" s="7">
        <v>2</v>
      </c>
      <c r="BP138" s="7">
        <v>2</v>
      </c>
      <c r="BQ138" s="7">
        <v>2</v>
      </c>
      <c r="BR138" s="7">
        <v>2</v>
      </c>
      <c r="BS138" s="7">
        <v>2</v>
      </c>
      <c r="BT138" s="7">
        <v>2</v>
      </c>
      <c r="BU138" s="7">
        <v>2</v>
      </c>
      <c r="BV138" s="7">
        <v>2</v>
      </c>
      <c r="BW138" s="7">
        <v>2</v>
      </c>
      <c r="BX138" s="7">
        <v>2</v>
      </c>
      <c r="BY138" s="7">
        <v>2</v>
      </c>
      <c r="BZ138" s="7">
        <v>2</v>
      </c>
      <c r="CA138" s="7">
        <v>2</v>
      </c>
      <c r="CB138" s="7">
        <v>2</v>
      </c>
      <c r="CC138" s="7">
        <v>2</v>
      </c>
      <c r="CD138" s="7">
        <v>2</v>
      </c>
      <c r="CE138" s="7">
        <v>2</v>
      </c>
      <c r="CF138" s="7">
        <v>2</v>
      </c>
      <c r="CG138" s="7">
        <v>2</v>
      </c>
      <c r="CH138" s="7">
        <v>2</v>
      </c>
      <c r="CI138" s="7">
        <v>2</v>
      </c>
      <c r="CJ138" s="7">
        <v>2</v>
      </c>
      <c r="CK138" s="7">
        <v>1</v>
      </c>
      <c r="CL138" s="7">
        <v>1</v>
      </c>
      <c r="CM138" s="7">
        <v>1</v>
      </c>
      <c r="CN138" s="7">
        <v>1</v>
      </c>
      <c r="CO138" s="7">
        <v>1</v>
      </c>
      <c r="CP138" s="7">
        <v>1</v>
      </c>
      <c r="CQ138" s="7">
        <v>1</v>
      </c>
      <c r="CR138" s="7">
        <v>1</v>
      </c>
      <c r="CS138" s="7">
        <v>1</v>
      </c>
      <c r="CT138" s="7">
        <v>1</v>
      </c>
      <c r="CU138" s="7">
        <v>1</v>
      </c>
      <c r="CV138" s="7">
        <v>1</v>
      </c>
      <c r="CW138" s="7">
        <v>1</v>
      </c>
      <c r="CX138" s="7">
        <v>1</v>
      </c>
      <c r="CY138" s="7">
        <v>1</v>
      </c>
      <c r="CZ138" s="7">
        <v>1</v>
      </c>
      <c r="DA138" s="7">
        <v>1</v>
      </c>
      <c r="DB138" s="7">
        <v>1</v>
      </c>
      <c r="DC138" s="7">
        <v>1</v>
      </c>
      <c r="DD138" s="7">
        <v>1</v>
      </c>
      <c r="DE138" s="7">
        <v>1</v>
      </c>
      <c r="DF138" s="7">
        <v>1</v>
      </c>
      <c r="DG138" s="7">
        <v>1</v>
      </c>
      <c r="DH138" s="7">
        <v>1</v>
      </c>
      <c r="DI138" s="7">
        <v>1</v>
      </c>
      <c r="DJ138" s="7">
        <v>1</v>
      </c>
      <c r="DK138" s="7">
        <v>1</v>
      </c>
      <c r="DL138" s="7">
        <v>1</v>
      </c>
      <c r="DM138" s="7">
        <v>1</v>
      </c>
      <c r="DN138" s="7">
        <v>1</v>
      </c>
      <c r="DO138" s="7">
        <v>1</v>
      </c>
      <c r="DP138" s="7">
        <v>1</v>
      </c>
      <c r="DQ138" s="7">
        <v>1</v>
      </c>
      <c r="DR138" s="7">
        <v>1</v>
      </c>
      <c r="DS138" s="7">
        <v>1</v>
      </c>
      <c r="DT138" s="7">
        <v>1</v>
      </c>
      <c r="DU138" s="7">
        <v>1</v>
      </c>
      <c r="DV138" s="7">
        <v>1</v>
      </c>
      <c r="DW138" s="7">
        <v>1</v>
      </c>
      <c r="DX138" s="7">
        <v>1</v>
      </c>
      <c r="DY138" s="7">
        <v>1</v>
      </c>
      <c r="DZ138" s="7">
        <v>1</v>
      </c>
      <c r="EA138" s="7">
        <v>1</v>
      </c>
      <c r="EB138" s="7">
        <v>1</v>
      </c>
      <c r="EC138" s="7">
        <v>1</v>
      </c>
      <c r="ED138" s="7">
        <v>1</v>
      </c>
      <c r="EE138" s="7">
        <v>1</v>
      </c>
      <c r="EF138" s="7">
        <v>1</v>
      </c>
      <c r="EG138" s="7">
        <v>1</v>
      </c>
      <c r="EH138" s="7">
        <v>1</v>
      </c>
      <c r="EI138" s="7">
        <v>1</v>
      </c>
      <c r="EJ138" s="7">
        <v>1</v>
      </c>
      <c r="EK138" s="7">
        <v>1</v>
      </c>
      <c r="EL138" s="7">
        <v>1</v>
      </c>
      <c r="EM138" s="7">
        <v>1</v>
      </c>
      <c r="EN138" s="7">
        <v>1</v>
      </c>
      <c r="EO138" s="7">
        <v>1</v>
      </c>
      <c r="EP138" s="7">
        <v>1</v>
      </c>
      <c r="EQ138" s="7">
        <v>1</v>
      </c>
      <c r="ER138" s="7">
        <v>1</v>
      </c>
      <c r="ES138" s="7">
        <v>1</v>
      </c>
      <c r="ET138" s="7">
        <v>1</v>
      </c>
      <c r="EU138" s="7">
        <v>1</v>
      </c>
      <c r="EV138" s="7">
        <v>1</v>
      </c>
      <c r="EW138" s="7">
        <v>1</v>
      </c>
      <c r="EX138" s="7">
        <v>1</v>
      </c>
      <c r="EY138" s="7">
        <v>1</v>
      </c>
      <c r="EZ138" s="7">
        <v>1</v>
      </c>
      <c r="FB138" s="50">
        <f>HLOOKUP(M16,$AU$112:$EZ$213,27,TRUE)</f>
        <v>1</v>
      </c>
      <c r="FD138" s="50">
        <f>HLOOKUP(AL42,$AU$112:$EZ$213,27,TRUE)</f>
        <v>1</v>
      </c>
    </row>
    <row r="139" spans="46:160">
      <c r="AT139" s="112">
        <v>0.60299999999999998</v>
      </c>
      <c r="AU139" s="7">
        <v>2</v>
      </c>
      <c r="AV139" s="7">
        <v>2</v>
      </c>
      <c r="AW139" s="7">
        <v>2</v>
      </c>
      <c r="AX139" s="7">
        <v>2</v>
      </c>
      <c r="AY139" s="7">
        <v>2</v>
      </c>
      <c r="AZ139" s="7">
        <v>2</v>
      </c>
      <c r="BA139" s="331">
        <v>2</v>
      </c>
      <c r="BB139" s="7">
        <v>2</v>
      </c>
      <c r="BC139" s="7">
        <v>2</v>
      </c>
      <c r="BD139" s="7">
        <v>2</v>
      </c>
      <c r="BE139" s="7">
        <v>2</v>
      </c>
      <c r="BF139" s="7">
        <v>2</v>
      </c>
      <c r="BG139" s="7">
        <v>2</v>
      </c>
      <c r="BH139" s="7">
        <v>2</v>
      </c>
      <c r="BI139" s="7">
        <v>2</v>
      </c>
      <c r="BJ139" s="7">
        <v>2</v>
      </c>
      <c r="BK139" s="7">
        <v>2</v>
      </c>
      <c r="BL139" s="7">
        <v>2</v>
      </c>
      <c r="BM139" s="7">
        <v>2</v>
      </c>
      <c r="BN139" s="7">
        <v>2</v>
      </c>
      <c r="BO139" s="7">
        <v>2</v>
      </c>
      <c r="BP139" s="7">
        <v>2</v>
      </c>
      <c r="BQ139" s="7">
        <v>2</v>
      </c>
      <c r="BR139" s="7">
        <v>2</v>
      </c>
      <c r="BS139" s="7">
        <v>2</v>
      </c>
      <c r="BT139" s="7">
        <v>2</v>
      </c>
      <c r="BU139" s="7">
        <v>2</v>
      </c>
      <c r="BV139" s="7">
        <v>2</v>
      </c>
      <c r="BW139" s="7">
        <v>2</v>
      </c>
      <c r="BX139" s="7">
        <v>2</v>
      </c>
      <c r="BY139" s="7">
        <v>2</v>
      </c>
      <c r="BZ139" s="7">
        <v>2</v>
      </c>
      <c r="CA139" s="7">
        <v>2</v>
      </c>
      <c r="CB139" s="7">
        <v>2</v>
      </c>
      <c r="CC139" s="7">
        <v>2</v>
      </c>
      <c r="CD139" s="7">
        <v>2</v>
      </c>
      <c r="CE139" s="7">
        <v>2</v>
      </c>
      <c r="CF139" s="7">
        <v>2</v>
      </c>
      <c r="CG139" s="7">
        <v>2</v>
      </c>
      <c r="CH139" s="7">
        <v>2</v>
      </c>
      <c r="CI139" s="7">
        <v>2</v>
      </c>
      <c r="CJ139" s="7">
        <v>2</v>
      </c>
      <c r="CK139" s="7">
        <v>2</v>
      </c>
      <c r="CL139" s="7">
        <v>1</v>
      </c>
      <c r="CM139" s="7">
        <v>1</v>
      </c>
      <c r="CN139" s="7">
        <v>1</v>
      </c>
      <c r="CO139" s="7">
        <v>1</v>
      </c>
      <c r="CP139" s="7">
        <v>1</v>
      </c>
      <c r="CQ139" s="7">
        <v>1</v>
      </c>
      <c r="CR139" s="7">
        <v>1</v>
      </c>
      <c r="CS139" s="7">
        <v>1</v>
      </c>
      <c r="CT139" s="7">
        <v>1</v>
      </c>
      <c r="CU139" s="7">
        <v>1</v>
      </c>
      <c r="CV139" s="7">
        <v>1</v>
      </c>
      <c r="CW139" s="7">
        <v>1</v>
      </c>
      <c r="CX139" s="7">
        <v>1</v>
      </c>
      <c r="CY139" s="7">
        <v>1</v>
      </c>
      <c r="CZ139" s="7">
        <v>1</v>
      </c>
      <c r="DA139" s="7">
        <v>1</v>
      </c>
      <c r="DB139" s="7">
        <v>1</v>
      </c>
      <c r="DC139" s="7">
        <v>1</v>
      </c>
      <c r="DD139" s="7">
        <v>1</v>
      </c>
      <c r="DE139" s="7">
        <v>1</v>
      </c>
      <c r="DF139" s="7">
        <v>1</v>
      </c>
      <c r="DG139" s="7">
        <v>1</v>
      </c>
      <c r="DH139" s="7">
        <v>1</v>
      </c>
      <c r="DI139" s="7">
        <v>1</v>
      </c>
      <c r="DJ139" s="7">
        <v>1</v>
      </c>
      <c r="DK139" s="7">
        <v>1</v>
      </c>
      <c r="DL139" s="7">
        <v>1</v>
      </c>
      <c r="DM139" s="7">
        <v>1</v>
      </c>
      <c r="DN139" s="7">
        <v>1</v>
      </c>
      <c r="DO139" s="7">
        <v>1</v>
      </c>
      <c r="DP139" s="7">
        <v>1</v>
      </c>
      <c r="DQ139" s="7">
        <v>1</v>
      </c>
      <c r="DR139" s="7">
        <v>1</v>
      </c>
      <c r="DS139" s="7">
        <v>1</v>
      </c>
      <c r="DT139" s="7">
        <v>1</v>
      </c>
      <c r="DU139" s="7">
        <v>1</v>
      </c>
      <c r="DV139" s="7">
        <v>1</v>
      </c>
      <c r="DW139" s="7">
        <v>1</v>
      </c>
      <c r="DX139" s="7">
        <v>1</v>
      </c>
      <c r="DY139" s="7">
        <v>1</v>
      </c>
      <c r="DZ139" s="7">
        <v>1</v>
      </c>
      <c r="EA139" s="7">
        <v>1</v>
      </c>
      <c r="EB139" s="7">
        <v>1</v>
      </c>
      <c r="EC139" s="7">
        <v>1</v>
      </c>
      <c r="ED139" s="7">
        <v>1</v>
      </c>
      <c r="EE139" s="7">
        <v>1</v>
      </c>
      <c r="EF139" s="7">
        <v>1</v>
      </c>
      <c r="EG139" s="7">
        <v>1</v>
      </c>
      <c r="EH139" s="7">
        <v>1</v>
      </c>
      <c r="EI139" s="7">
        <v>1</v>
      </c>
      <c r="EJ139" s="7">
        <v>1</v>
      </c>
      <c r="EK139" s="7">
        <v>1</v>
      </c>
      <c r="EL139" s="7">
        <v>1</v>
      </c>
      <c r="EM139" s="7">
        <v>1</v>
      </c>
      <c r="EN139" s="7">
        <v>1</v>
      </c>
      <c r="EO139" s="7">
        <v>1</v>
      </c>
      <c r="EP139" s="7">
        <v>1</v>
      </c>
      <c r="EQ139" s="7">
        <v>1</v>
      </c>
      <c r="ER139" s="7">
        <v>1</v>
      </c>
      <c r="ES139" s="7">
        <v>1</v>
      </c>
      <c r="ET139" s="7">
        <v>1</v>
      </c>
      <c r="EU139" s="7">
        <v>1</v>
      </c>
      <c r="EV139" s="7">
        <v>1</v>
      </c>
      <c r="EW139" s="7">
        <v>1</v>
      </c>
      <c r="EX139" s="7">
        <v>1</v>
      </c>
      <c r="EY139" s="7">
        <v>1</v>
      </c>
      <c r="EZ139" s="7">
        <v>1</v>
      </c>
      <c r="FB139" s="50">
        <f>HLOOKUP(M16,$AU$112:$EZ$213,28,TRUE)</f>
        <v>1</v>
      </c>
      <c r="FD139" s="50">
        <f>HLOOKUP(AL42,$AU$112:$EZ$213,28,TRUE)</f>
        <v>1</v>
      </c>
    </row>
    <row r="140" spans="46:160">
      <c r="AT140" s="112">
        <v>0.64600000000000002</v>
      </c>
      <c r="AU140" s="7">
        <v>2</v>
      </c>
      <c r="AV140" s="7">
        <v>2</v>
      </c>
      <c r="AW140" s="7">
        <v>2</v>
      </c>
      <c r="AX140" s="7">
        <v>2</v>
      </c>
      <c r="AY140" s="7">
        <v>2</v>
      </c>
      <c r="AZ140" s="7">
        <v>2</v>
      </c>
      <c r="BA140" s="331">
        <v>2</v>
      </c>
      <c r="BB140" s="7">
        <v>2</v>
      </c>
      <c r="BC140" s="7">
        <v>2</v>
      </c>
      <c r="BD140" s="7">
        <v>2</v>
      </c>
      <c r="BE140" s="7">
        <v>2</v>
      </c>
      <c r="BF140" s="7">
        <v>2</v>
      </c>
      <c r="BG140" s="7">
        <v>2</v>
      </c>
      <c r="BH140" s="7">
        <v>2</v>
      </c>
      <c r="BI140" s="7">
        <v>2</v>
      </c>
      <c r="BJ140" s="7">
        <v>2</v>
      </c>
      <c r="BK140" s="7">
        <v>2</v>
      </c>
      <c r="BL140" s="7">
        <v>2</v>
      </c>
      <c r="BM140" s="7">
        <v>2</v>
      </c>
      <c r="BN140" s="7">
        <v>2</v>
      </c>
      <c r="BO140" s="7">
        <v>2</v>
      </c>
      <c r="BP140" s="7">
        <v>2</v>
      </c>
      <c r="BQ140" s="7">
        <v>2</v>
      </c>
      <c r="BR140" s="7">
        <v>2</v>
      </c>
      <c r="BS140" s="7">
        <v>2</v>
      </c>
      <c r="BT140" s="7">
        <v>2</v>
      </c>
      <c r="BU140" s="7">
        <v>2</v>
      </c>
      <c r="BV140" s="7">
        <v>2</v>
      </c>
      <c r="BW140" s="7">
        <v>2</v>
      </c>
      <c r="BX140" s="7">
        <v>2</v>
      </c>
      <c r="BY140" s="7">
        <v>2</v>
      </c>
      <c r="BZ140" s="7">
        <v>2</v>
      </c>
      <c r="CA140" s="7">
        <v>2</v>
      </c>
      <c r="CB140" s="7">
        <v>2</v>
      </c>
      <c r="CC140" s="7">
        <v>2</v>
      </c>
      <c r="CD140" s="7">
        <v>2</v>
      </c>
      <c r="CE140" s="7">
        <v>2</v>
      </c>
      <c r="CF140" s="7">
        <v>2</v>
      </c>
      <c r="CG140" s="7">
        <v>2</v>
      </c>
      <c r="CH140" s="7">
        <v>2</v>
      </c>
      <c r="CI140" s="7">
        <v>2</v>
      </c>
      <c r="CJ140" s="7">
        <v>2</v>
      </c>
      <c r="CK140" s="7">
        <v>2</v>
      </c>
      <c r="CL140" s="7">
        <v>2</v>
      </c>
      <c r="CM140" s="7">
        <v>1</v>
      </c>
      <c r="CN140" s="7">
        <v>1</v>
      </c>
      <c r="CO140" s="7">
        <v>1</v>
      </c>
      <c r="CP140" s="7">
        <v>1</v>
      </c>
      <c r="CQ140" s="7">
        <v>1</v>
      </c>
      <c r="CR140" s="7">
        <v>1</v>
      </c>
      <c r="CS140" s="7">
        <v>1</v>
      </c>
      <c r="CT140" s="7">
        <v>1</v>
      </c>
      <c r="CU140" s="7">
        <v>1</v>
      </c>
      <c r="CV140" s="7">
        <v>1</v>
      </c>
      <c r="CW140" s="7">
        <v>1</v>
      </c>
      <c r="CX140" s="7">
        <v>1</v>
      </c>
      <c r="CY140" s="7">
        <v>1</v>
      </c>
      <c r="CZ140" s="7">
        <v>1</v>
      </c>
      <c r="DA140" s="7">
        <v>1</v>
      </c>
      <c r="DB140" s="7">
        <v>1</v>
      </c>
      <c r="DC140" s="7">
        <v>1</v>
      </c>
      <c r="DD140" s="7">
        <v>1</v>
      </c>
      <c r="DE140" s="7">
        <v>1</v>
      </c>
      <c r="DF140" s="7">
        <v>1</v>
      </c>
      <c r="DG140" s="7">
        <v>1</v>
      </c>
      <c r="DH140" s="7">
        <v>1</v>
      </c>
      <c r="DI140" s="7">
        <v>1</v>
      </c>
      <c r="DJ140" s="7">
        <v>1</v>
      </c>
      <c r="DK140" s="7">
        <v>1</v>
      </c>
      <c r="DL140" s="7">
        <v>1</v>
      </c>
      <c r="DM140" s="7">
        <v>1</v>
      </c>
      <c r="DN140" s="7">
        <v>1</v>
      </c>
      <c r="DO140" s="7">
        <v>1</v>
      </c>
      <c r="DP140" s="7">
        <v>1</v>
      </c>
      <c r="DQ140" s="7">
        <v>1</v>
      </c>
      <c r="DR140" s="7">
        <v>1</v>
      </c>
      <c r="DS140" s="7">
        <v>1</v>
      </c>
      <c r="DT140" s="7">
        <v>1</v>
      </c>
      <c r="DU140" s="7">
        <v>1</v>
      </c>
      <c r="DV140" s="7">
        <v>1</v>
      </c>
      <c r="DW140" s="7">
        <v>1</v>
      </c>
      <c r="DX140" s="7">
        <v>1</v>
      </c>
      <c r="DY140" s="7">
        <v>1</v>
      </c>
      <c r="DZ140" s="7">
        <v>1</v>
      </c>
      <c r="EA140" s="7">
        <v>1</v>
      </c>
      <c r="EB140" s="7">
        <v>1</v>
      </c>
      <c r="EC140" s="7">
        <v>1</v>
      </c>
      <c r="ED140" s="7">
        <v>1</v>
      </c>
      <c r="EE140" s="7">
        <v>1</v>
      </c>
      <c r="EF140" s="7">
        <v>1</v>
      </c>
      <c r="EG140" s="7">
        <v>1</v>
      </c>
      <c r="EH140" s="7">
        <v>1</v>
      </c>
      <c r="EI140" s="7">
        <v>1</v>
      </c>
      <c r="EJ140" s="7">
        <v>1</v>
      </c>
      <c r="EK140" s="7">
        <v>1</v>
      </c>
      <c r="EL140" s="7">
        <v>1</v>
      </c>
      <c r="EM140" s="7">
        <v>1</v>
      </c>
      <c r="EN140" s="7">
        <v>1</v>
      </c>
      <c r="EO140" s="7">
        <v>1</v>
      </c>
      <c r="EP140" s="7">
        <v>1</v>
      </c>
      <c r="EQ140" s="7">
        <v>1</v>
      </c>
      <c r="ER140" s="7">
        <v>1</v>
      </c>
      <c r="ES140" s="7">
        <v>1</v>
      </c>
      <c r="ET140" s="7">
        <v>1</v>
      </c>
      <c r="EU140" s="7">
        <v>1</v>
      </c>
      <c r="EV140" s="7">
        <v>1</v>
      </c>
      <c r="EW140" s="7">
        <v>1</v>
      </c>
      <c r="EX140" s="7">
        <v>1</v>
      </c>
      <c r="EY140" s="7">
        <v>1</v>
      </c>
      <c r="EZ140" s="7">
        <v>1</v>
      </c>
      <c r="FB140" s="50">
        <f>HLOOKUP(M16,$AU$112:$EZ$213,29,TRUE)</f>
        <v>1</v>
      </c>
      <c r="FD140" s="50">
        <f>HLOOKUP(AL42,$AU$112:$EZ$213,29,TRUE)</f>
        <v>1</v>
      </c>
    </row>
    <row r="141" spans="46:160">
      <c r="AT141" s="112">
        <v>0.69199999999999995</v>
      </c>
      <c r="AU141" s="7">
        <v>2</v>
      </c>
      <c r="AV141" s="7">
        <v>2</v>
      </c>
      <c r="AW141" s="7">
        <v>2</v>
      </c>
      <c r="AX141" s="7">
        <v>2</v>
      </c>
      <c r="AY141" s="7">
        <v>2</v>
      </c>
      <c r="AZ141" s="7">
        <v>2</v>
      </c>
      <c r="BA141" s="331">
        <v>2</v>
      </c>
      <c r="BB141" s="7">
        <v>2</v>
      </c>
      <c r="BC141" s="7">
        <v>2</v>
      </c>
      <c r="BD141" s="7">
        <v>2</v>
      </c>
      <c r="BE141" s="7">
        <v>2</v>
      </c>
      <c r="BF141" s="7">
        <v>2</v>
      </c>
      <c r="BG141" s="7">
        <v>2</v>
      </c>
      <c r="BH141" s="7">
        <v>2</v>
      </c>
      <c r="BI141" s="7">
        <v>2</v>
      </c>
      <c r="BJ141" s="7">
        <v>2</v>
      </c>
      <c r="BK141" s="7">
        <v>2</v>
      </c>
      <c r="BL141" s="7">
        <v>2</v>
      </c>
      <c r="BM141" s="7">
        <v>2</v>
      </c>
      <c r="BN141" s="7">
        <v>2</v>
      </c>
      <c r="BO141" s="7">
        <v>2</v>
      </c>
      <c r="BP141" s="7">
        <v>2</v>
      </c>
      <c r="BQ141" s="7">
        <v>2</v>
      </c>
      <c r="BR141" s="7">
        <v>2</v>
      </c>
      <c r="BS141" s="7">
        <v>2</v>
      </c>
      <c r="BT141" s="7">
        <v>2</v>
      </c>
      <c r="BU141" s="7">
        <v>2</v>
      </c>
      <c r="BV141" s="7">
        <v>2</v>
      </c>
      <c r="BW141" s="7">
        <v>2</v>
      </c>
      <c r="BX141" s="7">
        <v>2</v>
      </c>
      <c r="BY141" s="7">
        <v>2</v>
      </c>
      <c r="BZ141" s="7">
        <v>2</v>
      </c>
      <c r="CA141" s="7">
        <v>2</v>
      </c>
      <c r="CB141" s="7">
        <v>2</v>
      </c>
      <c r="CC141" s="7">
        <v>2</v>
      </c>
      <c r="CD141" s="7">
        <v>2</v>
      </c>
      <c r="CE141" s="7">
        <v>2</v>
      </c>
      <c r="CF141" s="7">
        <v>2</v>
      </c>
      <c r="CG141" s="7">
        <v>2</v>
      </c>
      <c r="CH141" s="7">
        <v>2</v>
      </c>
      <c r="CI141" s="7">
        <v>2</v>
      </c>
      <c r="CJ141" s="7">
        <v>2</v>
      </c>
      <c r="CK141" s="7">
        <v>2</v>
      </c>
      <c r="CL141" s="7">
        <v>2</v>
      </c>
      <c r="CM141" s="7">
        <v>2</v>
      </c>
      <c r="CN141" s="7">
        <v>1</v>
      </c>
      <c r="CO141" s="7">
        <v>1</v>
      </c>
      <c r="CP141" s="7">
        <v>1</v>
      </c>
      <c r="CQ141" s="7">
        <v>1</v>
      </c>
      <c r="CR141" s="7">
        <v>1</v>
      </c>
      <c r="CS141" s="7">
        <v>1</v>
      </c>
      <c r="CT141" s="7">
        <v>1</v>
      </c>
      <c r="CU141" s="7">
        <v>1</v>
      </c>
      <c r="CV141" s="7">
        <v>1</v>
      </c>
      <c r="CW141" s="7">
        <v>1</v>
      </c>
      <c r="CX141" s="7">
        <v>1</v>
      </c>
      <c r="CY141" s="7">
        <v>1</v>
      </c>
      <c r="CZ141" s="7">
        <v>1</v>
      </c>
      <c r="DA141" s="7">
        <v>1</v>
      </c>
      <c r="DB141" s="7">
        <v>1</v>
      </c>
      <c r="DC141" s="7">
        <v>1</v>
      </c>
      <c r="DD141" s="7">
        <v>1</v>
      </c>
      <c r="DE141" s="7">
        <v>1</v>
      </c>
      <c r="DF141" s="7">
        <v>1</v>
      </c>
      <c r="DG141" s="7">
        <v>1</v>
      </c>
      <c r="DH141" s="7">
        <v>1</v>
      </c>
      <c r="DI141" s="7">
        <v>1</v>
      </c>
      <c r="DJ141" s="7">
        <v>1</v>
      </c>
      <c r="DK141" s="7">
        <v>1</v>
      </c>
      <c r="DL141" s="7">
        <v>1</v>
      </c>
      <c r="DM141" s="7">
        <v>1</v>
      </c>
      <c r="DN141" s="7">
        <v>1</v>
      </c>
      <c r="DO141" s="7">
        <v>1</v>
      </c>
      <c r="DP141" s="7">
        <v>1</v>
      </c>
      <c r="DQ141" s="7">
        <v>1</v>
      </c>
      <c r="DR141" s="7">
        <v>1</v>
      </c>
      <c r="DS141" s="7">
        <v>1</v>
      </c>
      <c r="DT141" s="7">
        <v>1</v>
      </c>
      <c r="DU141" s="7">
        <v>1</v>
      </c>
      <c r="DV141" s="7">
        <v>1</v>
      </c>
      <c r="DW141" s="7">
        <v>1</v>
      </c>
      <c r="DX141" s="7">
        <v>1</v>
      </c>
      <c r="DY141" s="7">
        <v>1</v>
      </c>
      <c r="DZ141" s="7">
        <v>1</v>
      </c>
      <c r="EA141" s="7">
        <v>1</v>
      </c>
      <c r="EB141" s="7">
        <v>1</v>
      </c>
      <c r="EC141" s="7">
        <v>1</v>
      </c>
      <c r="ED141" s="7">
        <v>1</v>
      </c>
      <c r="EE141" s="7">
        <v>1</v>
      </c>
      <c r="EF141" s="7">
        <v>1</v>
      </c>
      <c r="EG141" s="7">
        <v>1</v>
      </c>
      <c r="EH141" s="7">
        <v>1</v>
      </c>
      <c r="EI141" s="7">
        <v>1</v>
      </c>
      <c r="EJ141" s="7">
        <v>1</v>
      </c>
      <c r="EK141" s="7">
        <v>1</v>
      </c>
      <c r="EL141" s="7">
        <v>1</v>
      </c>
      <c r="EM141" s="7">
        <v>1</v>
      </c>
      <c r="EN141" s="7">
        <v>1</v>
      </c>
      <c r="EO141" s="7">
        <v>1</v>
      </c>
      <c r="EP141" s="7">
        <v>1</v>
      </c>
      <c r="EQ141" s="7">
        <v>1</v>
      </c>
      <c r="ER141" s="7">
        <v>1</v>
      </c>
      <c r="ES141" s="7">
        <v>1</v>
      </c>
      <c r="ET141" s="7">
        <v>1</v>
      </c>
      <c r="EU141" s="7">
        <v>1</v>
      </c>
      <c r="EV141" s="7">
        <v>1</v>
      </c>
      <c r="EW141" s="7">
        <v>1</v>
      </c>
      <c r="EX141" s="7">
        <v>1</v>
      </c>
      <c r="EY141" s="7">
        <v>1</v>
      </c>
      <c r="EZ141" s="7">
        <v>1</v>
      </c>
      <c r="FB141" s="50">
        <f>HLOOKUP(M16,$AU$112:$EZ$213,30,TRUE)</f>
        <v>1</v>
      </c>
      <c r="FD141" s="50">
        <f>HLOOKUP(AL42,$AU$112:$EZ$213,30,TRUE)</f>
        <v>1</v>
      </c>
    </row>
    <row r="142" spans="46:160">
      <c r="AT142" s="112">
        <v>0.74099999999999999</v>
      </c>
      <c r="AU142" s="7">
        <v>2</v>
      </c>
      <c r="AV142" s="7">
        <v>2</v>
      </c>
      <c r="AW142" s="7">
        <v>2</v>
      </c>
      <c r="AX142" s="7">
        <v>2</v>
      </c>
      <c r="AY142" s="7">
        <v>2</v>
      </c>
      <c r="AZ142" s="7">
        <v>2</v>
      </c>
      <c r="BA142" s="331">
        <v>2</v>
      </c>
      <c r="BB142" s="7">
        <v>2</v>
      </c>
      <c r="BC142" s="7">
        <v>2</v>
      </c>
      <c r="BD142" s="7">
        <v>2</v>
      </c>
      <c r="BE142" s="7">
        <v>2</v>
      </c>
      <c r="BF142" s="7">
        <v>2</v>
      </c>
      <c r="BG142" s="7">
        <v>2</v>
      </c>
      <c r="BH142" s="7">
        <v>2</v>
      </c>
      <c r="BI142" s="7">
        <v>2</v>
      </c>
      <c r="BJ142" s="7">
        <v>2</v>
      </c>
      <c r="BK142" s="7">
        <v>2</v>
      </c>
      <c r="BL142" s="7">
        <v>2</v>
      </c>
      <c r="BM142" s="7">
        <v>2</v>
      </c>
      <c r="BN142" s="7">
        <v>2</v>
      </c>
      <c r="BO142" s="7">
        <v>2</v>
      </c>
      <c r="BP142" s="7">
        <v>2</v>
      </c>
      <c r="BQ142" s="7">
        <v>2</v>
      </c>
      <c r="BR142" s="7">
        <v>2</v>
      </c>
      <c r="BS142" s="7">
        <v>2</v>
      </c>
      <c r="BT142" s="7">
        <v>2</v>
      </c>
      <c r="BU142" s="7">
        <v>2</v>
      </c>
      <c r="BV142" s="7">
        <v>2</v>
      </c>
      <c r="BW142" s="7">
        <v>2</v>
      </c>
      <c r="BX142" s="7">
        <v>2</v>
      </c>
      <c r="BY142" s="7">
        <v>2</v>
      </c>
      <c r="BZ142" s="7">
        <v>2</v>
      </c>
      <c r="CA142" s="7">
        <v>2</v>
      </c>
      <c r="CB142" s="7">
        <v>2</v>
      </c>
      <c r="CC142" s="7">
        <v>2</v>
      </c>
      <c r="CD142" s="7">
        <v>2</v>
      </c>
      <c r="CE142" s="7">
        <v>2</v>
      </c>
      <c r="CF142" s="7">
        <v>2</v>
      </c>
      <c r="CG142" s="7">
        <v>2</v>
      </c>
      <c r="CH142" s="7">
        <v>2</v>
      </c>
      <c r="CI142" s="7">
        <v>2</v>
      </c>
      <c r="CJ142" s="7">
        <v>2</v>
      </c>
      <c r="CK142" s="7">
        <v>2</v>
      </c>
      <c r="CL142" s="7">
        <v>2</v>
      </c>
      <c r="CM142" s="7">
        <v>2</v>
      </c>
      <c r="CN142" s="7">
        <v>2</v>
      </c>
      <c r="CO142" s="7">
        <v>1</v>
      </c>
      <c r="CP142" s="7">
        <v>1</v>
      </c>
      <c r="CQ142" s="7">
        <v>1</v>
      </c>
      <c r="CR142" s="7">
        <v>1</v>
      </c>
      <c r="CS142" s="7">
        <v>1</v>
      </c>
      <c r="CT142" s="7">
        <v>1</v>
      </c>
      <c r="CU142" s="7">
        <v>1</v>
      </c>
      <c r="CV142" s="7">
        <v>1</v>
      </c>
      <c r="CW142" s="7">
        <v>1</v>
      </c>
      <c r="CX142" s="7">
        <v>1</v>
      </c>
      <c r="CY142" s="7">
        <v>1</v>
      </c>
      <c r="CZ142" s="7">
        <v>1</v>
      </c>
      <c r="DA142" s="7">
        <v>1</v>
      </c>
      <c r="DB142" s="7">
        <v>1</v>
      </c>
      <c r="DC142" s="7">
        <v>1</v>
      </c>
      <c r="DD142" s="7">
        <v>1</v>
      </c>
      <c r="DE142" s="7">
        <v>1</v>
      </c>
      <c r="DF142" s="7">
        <v>1</v>
      </c>
      <c r="DG142" s="7">
        <v>1</v>
      </c>
      <c r="DH142" s="7">
        <v>1</v>
      </c>
      <c r="DI142" s="7">
        <v>1</v>
      </c>
      <c r="DJ142" s="7">
        <v>1</v>
      </c>
      <c r="DK142" s="7">
        <v>1</v>
      </c>
      <c r="DL142" s="7">
        <v>1</v>
      </c>
      <c r="DM142" s="7">
        <v>1</v>
      </c>
      <c r="DN142" s="7">
        <v>1</v>
      </c>
      <c r="DO142" s="7">
        <v>1</v>
      </c>
      <c r="DP142" s="7">
        <v>1</v>
      </c>
      <c r="DQ142" s="7">
        <v>1</v>
      </c>
      <c r="DR142" s="7">
        <v>1</v>
      </c>
      <c r="DS142" s="7">
        <v>1</v>
      </c>
      <c r="DT142" s="7">
        <v>1</v>
      </c>
      <c r="DU142" s="7">
        <v>1</v>
      </c>
      <c r="DV142" s="7">
        <v>1</v>
      </c>
      <c r="DW142" s="7">
        <v>1</v>
      </c>
      <c r="DX142" s="7">
        <v>1</v>
      </c>
      <c r="DY142" s="7">
        <v>1</v>
      </c>
      <c r="DZ142" s="7">
        <v>1</v>
      </c>
      <c r="EA142" s="7">
        <v>1</v>
      </c>
      <c r="EB142" s="7">
        <v>1</v>
      </c>
      <c r="EC142" s="7">
        <v>1</v>
      </c>
      <c r="ED142" s="7">
        <v>1</v>
      </c>
      <c r="EE142" s="7">
        <v>1</v>
      </c>
      <c r="EF142" s="7">
        <v>1</v>
      </c>
      <c r="EG142" s="7">
        <v>1</v>
      </c>
      <c r="EH142" s="7">
        <v>1</v>
      </c>
      <c r="EI142" s="7">
        <v>1</v>
      </c>
      <c r="EJ142" s="7">
        <v>1</v>
      </c>
      <c r="EK142" s="7">
        <v>1</v>
      </c>
      <c r="EL142" s="7">
        <v>1</v>
      </c>
      <c r="EM142" s="7">
        <v>1</v>
      </c>
      <c r="EN142" s="7">
        <v>1</v>
      </c>
      <c r="EO142" s="7">
        <v>1</v>
      </c>
      <c r="EP142" s="7">
        <v>1</v>
      </c>
      <c r="EQ142" s="7">
        <v>1</v>
      </c>
      <c r="ER142" s="7">
        <v>1</v>
      </c>
      <c r="ES142" s="7">
        <v>1</v>
      </c>
      <c r="ET142" s="7">
        <v>1</v>
      </c>
      <c r="EU142" s="7">
        <v>1</v>
      </c>
      <c r="EV142" s="7">
        <v>1</v>
      </c>
      <c r="EW142" s="7">
        <v>1</v>
      </c>
      <c r="EX142" s="7">
        <v>1</v>
      </c>
      <c r="EY142" s="7">
        <v>1</v>
      </c>
      <c r="EZ142" s="7">
        <v>1</v>
      </c>
      <c r="FB142" s="50">
        <f>HLOOKUP(M16,$AU$112:$EZ$213,31,TRUE)</f>
        <v>1</v>
      </c>
      <c r="FD142" s="50">
        <f>HLOOKUP(AL42,$AU$112:$EZ$213,31,TRUE)</f>
        <v>1</v>
      </c>
    </row>
    <row r="143" spans="46:160">
      <c r="AT143" s="112">
        <v>0.79400000000000004</v>
      </c>
      <c r="AU143" s="7">
        <v>2</v>
      </c>
      <c r="AV143" s="7">
        <v>2</v>
      </c>
      <c r="AW143" s="7">
        <v>2</v>
      </c>
      <c r="AX143" s="7">
        <v>2</v>
      </c>
      <c r="AY143" s="7">
        <v>2</v>
      </c>
      <c r="AZ143" s="7">
        <v>2</v>
      </c>
      <c r="BA143" s="331">
        <v>2</v>
      </c>
      <c r="BB143" s="7">
        <v>2</v>
      </c>
      <c r="BC143" s="7">
        <v>2</v>
      </c>
      <c r="BD143" s="7">
        <v>2</v>
      </c>
      <c r="BE143" s="7">
        <v>2</v>
      </c>
      <c r="BF143" s="7">
        <v>2</v>
      </c>
      <c r="BG143" s="7">
        <v>2</v>
      </c>
      <c r="BH143" s="7">
        <v>2</v>
      </c>
      <c r="BI143" s="7">
        <v>2</v>
      </c>
      <c r="BJ143" s="7">
        <v>2</v>
      </c>
      <c r="BK143" s="7">
        <v>2</v>
      </c>
      <c r="BL143" s="7">
        <v>2</v>
      </c>
      <c r="BM143" s="7">
        <v>2</v>
      </c>
      <c r="BN143" s="7">
        <v>2</v>
      </c>
      <c r="BO143" s="7">
        <v>2</v>
      </c>
      <c r="BP143" s="7">
        <v>2</v>
      </c>
      <c r="BQ143" s="7">
        <v>2</v>
      </c>
      <c r="BR143" s="7">
        <v>2</v>
      </c>
      <c r="BS143" s="7">
        <v>2</v>
      </c>
      <c r="BT143" s="7">
        <v>2</v>
      </c>
      <c r="BU143" s="7">
        <v>2</v>
      </c>
      <c r="BV143" s="7">
        <v>2</v>
      </c>
      <c r="BW143" s="7">
        <v>2</v>
      </c>
      <c r="BX143" s="7">
        <v>2</v>
      </c>
      <c r="BY143" s="7">
        <v>2</v>
      </c>
      <c r="BZ143" s="7">
        <v>2</v>
      </c>
      <c r="CA143" s="7">
        <v>2</v>
      </c>
      <c r="CB143" s="7">
        <v>2</v>
      </c>
      <c r="CC143" s="7">
        <v>2</v>
      </c>
      <c r="CD143" s="7">
        <v>2</v>
      </c>
      <c r="CE143" s="7">
        <v>2</v>
      </c>
      <c r="CF143" s="7">
        <v>2</v>
      </c>
      <c r="CG143" s="7">
        <v>2</v>
      </c>
      <c r="CH143" s="7">
        <v>2</v>
      </c>
      <c r="CI143" s="7">
        <v>2</v>
      </c>
      <c r="CJ143" s="7">
        <v>2</v>
      </c>
      <c r="CK143" s="7">
        <v>2</v>
      </c>
      <c r="CL143" s="7">
        <v>2</v>
      </c>
      <c r="CM143" s="7">
        <v>2</v>
      </c>
      <c r="CN143" s="7">
        <v>2</v>
      </c>
      <c r="CO143" s="7">
        <v>2</v>
      </c>
      <c r="CP143" s="7">
        <v>1</v>
      </c>
      <c r="CQ143" s="7">
        <v>1</v>
      </c>
      <c r="CR143" s="7">
        <v>1</v>
      </c>
      <c r="CS143" s="7">
        <v>1</v>
      </c>
      <c r="CT143" s="7">
        <v>1</v>
      </c>
      <c r="CU143" s="7">
        <v>1</v>
      </c>
      <c r="CV143" s="7">
        <v>1</v>
      </c>
      <c r="CW143" s="7">
        <v>1</v>
      </c>
      <c r="CX143" s="7">
        <v>1</v>
      </c>
      <c r="CY143" s="7">
        <v>1</v>
      </c>
      <c r="CZ143" s="7">
        <v>1</v>
      </c>
      <c r="DA143" s="7">
        <v>1</v>
      </c>
      <c r="DB143" s="7">
        <v>1</v>
      </c>
      <c r="DC143" s="7">
        <v>1</v>
      </c>
      <c r="DD143" s="7">
        <v>1</v>
      </c>
      <c r="DE143" s="7">
        <v>1</v>
      </c>
      <c r="DF143" s="7">
        <v>1</v>
      </c>
      <c r="DG143" s="7">
        <v>1</v>
      </c>
      <c r="DH143" s="7">
        <v>1</v>
      </c>
      <c r="DI143" s="7">
        <v>1</v>
      </c>
      <c r="DJ143" s="7">
        <v>1</v>
      </c>
      <c r="DK143" s="7">
        <v>1</v>
      </c>
      <c r="DL143" s="7">
        <v>1</v>
      </c>
      <c r="DM143" s="7">
        <v>1</v>
      </c>
      <c r="DN143" s="7">
        <v>1</v>
      </c>
      <c r="DO143" s="7">
        <v>1</v>
      </c>
      <c r="DP143" s="7">
        <v>1</v>
      </c>
      <c r="DQ143" s="7">
        <v>1</v>
      </c>
      <c r="DR143" s="7">
        <v>1</v>
      </c>
      <c r="DS143" s="7">
        <v>1</v>
      </c>
      <c r="DT143" s="7">
        <v>1</v>
      </c>
      <c r="DU143" s="7">
        <v>1</v>
      </c>
      <c r="DV143" s="7">
        <v>1</v>
      </c>
      <c r="DW143" s="7">
        <v>1</v>
      </c>
      <c r="DX143" s="7">
        <v>1</v>
      </c>
      <c r="DY143" s="7">
        <v>1</v>
      </c>
      <c r="DZ143" s="7">
        <v>1</v>
      </c>
      <c r="EA143" s="7">
        <v>1</v>
      </c>
      <c r="EB143" s="7">
        <v>1</v>
      </c>
      <c r="EC143" s="7">
        <v>1</v>
      </c>
      <c r="ED143" s="7">
        <v>1</v>
      </c>
      <c r="EE143" s="7">
        <v>1</v>
      </c>
      <c r="EF143" s="7">
        <v>1</v>
      </c>
      <c r="EG143" s="7">
        <v>1</v>
      </c>
      <c r="EH143" s="7">
        <v>1</v>
      </c>
      <c r="EI143" s="7">
        <v>1</v>
      </c>
      <c r="EJ143" s="7">
        <v>1</v>
      </c>
      <c r="EK143" s="7">
        <v>1</v>
      </c>
      <c r="EL143" s="7">
        <v>1</v>
      </c>
      <c r="EM143" s="7">
        <v>1</v>
      </c>
      <c r="EN143" s="7">
        <v>1</v>
      </c>
      <c r="EO143" s="7">
        <v>1</v>
      </c>
      <c r="EP143" s="7">
        <v>1</v>
      </c>
      <c r="EQ143" s="7">
        <v>1</v>
      </c>
      <c r="ER143" s="7">
        <v>1</v>
      </c>
      <c r="ES143" s="7">
        <v>1</v>
      </c>
      <c r="ET143" s="7">
        <v>1</v>
      </c>
      <c r="EU143" s="7">
        <v>1</v>
      </c>
      <c r="EV143" s="7">
        <v>1</v>
      </c>
      <c r="EW143" s="7">
        <v>1</v>
      </c>
      <c r="EX143" s="7">
        <v>1</v>
      </c>
      <c r="EY143" s="7">
        <v>1</v>
      </c>
      <c r="EZ143" s="7">
        <v>1</v>
      </c>
      <c r="FB143" s="50">
        <f>HLOOKUP(M16,$AU$112:$EZ$213,32,TRUE)</f>
        <v>1</v>
      </c>
      <c r="FD143" s="50">
        <f>HLOOKUP(AL42,$AU$112:$EZ$213,32,TRUE)</f>
        <v>1</v>
      </c>
    </row>
    <row r="144" spans="46:160">
      <c r="AT144" s="112">
        <v>0.85099999999999998</v>
      </c>
      <c r="AU144" s="7">
        <v>2</v>
      </c>
      <c r="AV144" s="7">
        <v>2</v>
      </c>
      <c r="AW144" s="7">
        <v>2</v>
      </c>
      <c r="AX144" s="7">
        <v>2</v>
      </c>
      <c r="AY144" s="7">
        <v>2</v>
      </c>
      <c r="AZ144" s="7">
        <v>2</v>
      </c>
      <c r="BA144" s="331">
        <v>2</v>
      </c>
      <c r="BB144" s="7">
        <v>2</v>
      </c>
      <c r="BC144" s="7">
        <v>2</v>
      </c>
      <c r="BD144" s="7">
        <v>2</v>
      </c>
      <c r="BE144" s="7">
        <v>2</v>
      </c>
      <c r="BF144" s="7">
        <v>2</v>
      </c>
      <c r="BG144" s="7">
        <v>2</v>
      </c>
      <c r="BH144" s="7">
        <v>2</v>
      </c>
      <c r="BI144" s="7">
        <v>2</v>
      </c>
      <c r="BJ144" s="7">
        <v>2</v>
      </c>
      <c r="BK144" s="7">
        <v>2</v>
      </c>
      <c r="BL144" s="7">
        <v>2</v>
      </c>
      <c r="BM144" s="7">
        <v>2</v>
      </c>
      <c r="BN144" s="7">
        <v>2</v>
      </c>
      <c r="BO144" s="7">
        <v>2</v>
      </c>
      <c r="BP144" s="7">
        <v>2</v>
      </c>
      <c r="BQ144" s="7">
        <v>2</v>
      </c>
      <c r="BR144" s="7">
        <v>2</v>
      </c>
      <c r="BS144" s="7">
        <v>2</v>
      </c>
      <c r="BT144" s="7">
        <v>2</v>
      </c>
      <c r="BU144" s="7">
        <v>2</v>
      </c>
      <c r="BV144" s="7">
        <v>2</v>
      </c>
      <c r="BW144" s="7">
        <v>2</v>
      </c>
      <c r="BX144" s="7">
        <v>2</v>
      </c>
      <c r="BY144" s="7">
        <v>2</v>
      </c>
      <c r="BZ144" s="7">
        <v>2</v>
      </c>
      <c r="CA144" s="7">
        <v>2</v>
      </c>
      <c r="CB144" s="7">
        <v>2</v>
      </c>
      <c r="CC144" s="7">
        <v>2</v>
      </c>
      <c r="CD144" s="7">
        <v>2</v>
      </c>
      <c r="CE144" s="7">
        <v>2</v>
      </c>
      <c r="CF144" s="7">
        <v>2</v>
      </c>
      <c r="CG144" s="7">
        <v>2</v>
      </c>
      <c r="CH144" s="7">
        <v>2</v>
      </c>
      <c r="CI144" s="7">
        <v>2</v>
      </c>
      <c r="CJ144" s="7">
        <v>2</v>
      </c>
      <c r="CK144" s="7">
        <v>2</v>
      </c>
      <c r="CL144" s="7">
        <v>2</v>
      </c>
      <c r="CM144" s="7">
        <v>2</v>
      </c>
      <c r="CN144" s="7">
        <v>2</v>
      </c>
      <c r="CO144" s="7">
        <v>2</v>
      </c>
      <c r="CP144" s="7">
        <v>2</v>
      </c>
      <c r="CQ144" s="7">
        <v>1</v>
      </c>
      <c r="CR144" s="7">
        <v>1</v>
      </c>
      <c r="CS144" s="7">
        <v>1</v>
      </c>
      <c r="CT144" s="7">
        <v>1</v>
      </c>
      <c r="CU144" s="7">
        <v>1</v>
      </c>
      <c r="CV144" s="7">
        <v>1</v>
      </c>
      <c r="CW144" s="7">
        <v>1</v>
      </c>
      <c r="CX144" s="7">
        <v>1</v>
      </c>
      <c r="CY144" s="7">
        <v>1</v>
      </c>
      <c r="CZ144" s="7">
        <v>1</v>
      </c>
      <c r="DA144" s="7">
        <v>1</v>
      </c>
      <c r="DB144" s="7">
        <v>1</v>
      </c>
      <c r="DC144" s="7">
        <v>1</v>
      </c>
      <c r="DD144" s="7">
        <v>1</v>
      </c>
      <c r="DE144" s="7">
        <v>1</v>
      </c>
      <c r="DF144" s="7">
        <v>1</v>
      </c>
      <c r="DG144" s="7">
        <v>1</v>
      </c>
      <c r="DH144" s="7">
        <v>1</v>
      </c>
      <c r="DI144" s="7">
        <v>1</v>
      </c>
      <c r="DJ144" s="7">
        <v>1</v>
      </c>
      <c r="DK144" s="7">
        <v>1</v>
      </c>
      <c r="DL144" s="7">
        <v>1</v>
      </c>
      <c r="DM144" s="7">
        <v>1</v>
      </c>
      <c r="DN144" s="7">
        <v>1</v>
      </c>
      <c r="DO144" s="7">
        <v>1</v>
      </c>
      <c r="DP144" s="7">
        <v>1</v>
      </c>
      <c r="DQ144" s="7">
        <v>1</v>
      </c>
      <c r="DR144" s="7">
        <v>1</v>
      </c>
      <c r="DS144" s="7">
        <v>1</v>
      </c>
      <c r="DT144" s="7">
        <v>1</v>
      </c>
      <c r="DU144" s="7">
        <v>1</v>
      </c>
      <c r="DV144" s="7">
        <v>1</v>
      </c>
      <c r="DW144" s="7">
        <v>1</v>
      </c>
      <c r="DX144" s="7">
        <v>1</v>
      </c>
      <c r="DY144" s="7">
        <v>1</v>
      </c>
      <c r="DZ144" s="7">
        <v>1</v>
      </c>
      <c r="EA144" s="7">
        <v>1</v>
      </c>
      <c r="EB144" s="7">
        <v>1</v>
      </c>
      <c r="EC144" s="7">
        <v>1</v>
      </c>
      <c r="ED144" s="7">
        <v>1</v>
      </c>
      <c r="EE144" s="7">
        <v>1</v>
      </c>
      <c r="EF144" s="7">
        <v>1</v>
      </c>
      <c r="EG144" s="7">
        <v>1</v>
      </c>
      <c r="EH144" s="7">
        <v>1</v>
      </c>
      <c r="EI144" s="7">
        <v>1</v>
      </c>
      <c r="EJ144" s="7">
        <v>1</v>
      </c>
      <c r="EK144" s="7">
        <v>1</v>
      </c>
      <c r="EL144" s="7">
        <v>1</v>
      </c>
      <c r="EM144" s="7">
        <v>1</v>
      </c>
      <c r="EN144" s="7">
        <v>1</v>
      </c>
      <c r="EO144" s="7">
        <v>1</v>
      </c>
      <c r="EP144" s="7">
        <v>1</v>
      </c>
      <c r="EQ144" s="7">
        <v>1</v>
      </c>
      <c r="ER144" s="7">
        <v>1</v>
      </c>
      <c r="ES144" s="7">
        <v>1</v>
      </c>
      <c r="ET144" s="7">
        <v>1</v>
      </c>
      <c r="EU144" s="7">
        <v>1</v>
      </c>
      <c r="EV144" s="7">
        <v>1</v>
      </c>
      <c r="EW144" s="7">
        <v>1</v>
      </c>
      <c r="EX144" s="7">
        <v>1</v>
      </c>
      <c r="EY144" s="7">
        <v>1</v>
      </c>
      <c r="EZ144" s="7">
        <v>1</v>
      </c>
      <c r="FB144" s="50">
        <f>HLOOKUP(M16,$AU$112:$EZ$213,33,TRUE)</f>
        <v>1</v>
      </c>
      <c r="FD144" s="50">
        <f>HLOOKUP(AL42,$AU$112:$EZ$213,33,TRUE)</f>
        <v>1</v>
      </c>
    </row>
    <row r="145" spans="46:160">
      <c r="AT145" s="112">
        <v>0.91200000000000003</v>
      </c>
      <c r="AU145" s="7">
        <v>2</v>
      </c>
      <c r="AV145" s="7">
        <v>2</v>
      </c>
      <c r="AW145" s="7">
        <v>2</v>
      </c>
      <c r="AX145" s="7">
        <v>2</v>
      </c>
      <c r="AY145" s="7">
        <v>2</v>
      </c>
      <c r="AZ145" s="7">
        <v>2</v>
      </c>
      <c r="BA145" s="331">
        <v>2</v>
      </c>
      <c r="BB145" s="7">
        <v>2</v>
      </c>
      <c r="BC145" s="7">
        <v>2</v>
      </c>
      <c r="BD145" s="7">
        <v>2</v>
      </c>
      <c r="BE145" s="7">
        <v>2</v>
      </c>
      <c r="BF145" s="7">
        <v>2</v>
      </c>
      <c r="BG145" s="7">
        <v>2</v>
      </c>
      <c r="BH145" s="7">
        <v>2</v>
      </c>
      <c r="BI145" s="7">
        <v>2</v>
      </c>
      <c r="BJ145" s="7">
        <v>2</v>
      </c>
      <c r="BK145" s="7">
        <v>2</v>
      </c>
      <c r="BL145" s="7">
        <v>2</v>
      </c>
      <c r="BM145" s="7">
        <v>2</v>
      </c>
      <c r="BN145" s="7">
        <v>2</v>
      </c>
      <c r="BO145" s="7">
        <v>2</v>
      </c>
      <c r="BP145" s="7">
        <v>2</v>
      </c>
      <c r="BQ145" s="7">
        <v>2</v>
      </c>
      <c r="BR145" s="7">
        <v>2</v>
      </c>
      <c r="BS145" s="7">
        <v>2</v>
      </c>
      <c r="BT145" s="7">
        <v>2</v>
      </c>
      <c r="BU145" s="7">
        <v>2</v>
      </c>
      <c r="BV145" s="7">
        <v>2</v>
      </c>
      <c r="BW145" s="7">
        <v>2</v>
      </c>
      <c r="BX145" s="7">
        <v>2</v>
      </c>
      <c r="BY145" s="7">
        <v>2</v>
      </c>
      <c r="BZ145" s="7">
        <v>2</v>
      </c>
      <c r="CA145" s="7">
        <v>2</v>
      </c>
      <c r="CB145" s="7">
        <v>2</v>
      </c>
      <c r="CC145" s="7">
        <v>2</v>
      </c>
      <c r="CD145" s="7">
        <v>2</v>
      </c>
      <c r="CE145" s="7">
        <v>2</v>
      </c>
      <c r="CF145" s="7">
        <v>2</v>
      </c>
      <c r="CG145" s="7">
        <v>2</v>
      </c>
      <c r="CH145" s="7">
        <v>2</v>
      </c>
      <c r="CI145" s="7">
        <v>2</v>
      </c>
      <c r="CJ145" s="7">
        <v>2</v>
      </c>
      <c r="CK145" s="7">
        <v>2</v>
      </c>
      <c r="CL145" s="7">
        <v>2</v>
      </c>
      <c r="CM145" s="7">
        <v>2</v>
      </c>
      <c r="CN145" s="7">
        <v>2</v>
      </c>
      <c r="CO145" s="7">
        <v>2</v>
      </c>
      <c r="CP145" s="7">
        <v>2</v>
      </c>
      <c r="CQ145" s="7">
        <v>2</v>
      </c>
      <c r="CR145" s="7">
        <v>1</v>
      </c>
      <c r="CS145" s="7">
        <v>1</v>
      </c>
      <c r="CT145" s="7">
        <v>1</v>
      </c>
      <c r="CU145" s="7">
        <v>1</v>
      </c>
      <c r="CV145" s="7">
        <v>1</v>
      </c>
      <c r="CW145" s="7">
        <v>1</v>
      </c>
      <c r="CX145" s="7">
        <v>1</v>
      </c>
      <c r="CY145" s="7">
        <v>1</v>
      </c>
      <c r="CZ145" s="7">
        <v>1</v>
      </c>
      <c r="DA145" s="7">
        <v>1</v>
      </c>
      <c r="DB145" s="7">
        <v>1</v>
      </c>
      <c r="DC145" s="7">
        <v>1</v>
      </c>
      <c r="DD145" s="7">
        <v>1</v>
      </c>
      <c r="DE145" s="7">
        <v>1</v>
      </c>
      <c r="DF145" s="7">
        <v>1</v>
      </c>
      <c r="DG145" s="7">
        <v>1</v>
      </c>
      <c r="DH145" s="7">
        <v>1</v>
      </c>
      <c r="DI145" s="7">
        <v>1</v>
      </c>
      <c r="DJ145" s="7">
        <v>1</v>
      </c>
      <c r="DK145" s="7">
        <v>1</v>
      </c>
      <c r="DL145" s="7">
        <v>1</v>
      </c>
      <c r="DM145" s="7">
        <v>1</v>
      </c>
      <c r="DN145" s="7">
        <v>1</v>
      </c>
      <c r="DO145" s="7">
        <v>1</v>
      </c>
      <c r="DP145" s="7">
        <v>1</v>
      </c>
      <c r="DQ145" s="7">
        <v>1</v>
      </c>
      <c r="DR145" s="7">
        <v>1</v>
      </c>
      <c r="DS145" s="7">
        <v>1</v>
      </c>
      <c r="DT145" s="7">
        <v>1</v>
      </c>
      <c r="DU145" s="7">
        <v>1</v>
      </c>
      <c r="DV145" s="7">
        <v>1</v>
      </c>
      <c r="DW145" s="7">
        <v>1</v>
      </c>
      <c r="DX145" s="7">
        <v>1</v>
      </c>
      <c r="DY145" s="7">
        <v>1</v>
      </c>
      <c r="DZ145" s="7">
        <v>1</v>
      </c>
      <c r="EA145" s="7">
        <v>1</v>
      </c>
      <c r="EB145" s="7">
        <v>1</v>
      </c>
      <c r="EC145" s="7">
        <v>1</v>
      </c>
      <c r="ED145" s="7">
        <v>1</v>
      </c>
      <c r="EE145" s="7">
        <v>1</v>
      </c>
      <c r="EF145" s="7">
        <v>1</v>
      </c>
      <c r="EG145" s="7">
        <v>1</v>
      </c>
      <c r="EH145" s="7">
        <v>1</v>
      </c>
      <c r="EI145" s="7">
        <v>1</v>
      </c>
      <c r="EJ145" s="7">
        <v>1</v>
      </c>
      <c r="EK145" s="7">
        <v>1</v>
      </c>
      <c r="EL145" s="7">
        <v>1</v>
      </c>
      <c r="EM145" s="7">
        <v>1</v>
      </c>
      <c r="EN145" s="7">
        <v>1</v>
      </c>
      <c r="EO145" s="7">
        <v>1</v>
      </c>
      <c r="EP145" s="7">
        <v>1</v>
      </c>
      <c r="EQ145" s="7">
        <v>1</v>
      </c>
      <c r="ER145" s="7">
        <v>1</v>
      </c>
      <c r="ES145" s="7">
        <v>1</v>
      </c>
      <c r="ET145" s="7">
        <v>1</v>
      </c>
      <c r="EU145" s="7">
        <v>1</v>
      </c>
      <c r="EV145" s="7">
        <v>1</v>
      </c>
      <c r="EW145" s="7">
        <v>1</v>
      </c>
      <c r="EX145" s="7">
        <v>1</v>
      </c>
      <c r="EY145" s="7">
        <v>1</v>
      </c>
      <c r="EZ145" s="7">
        <v>1</v>
      </c>
      <c r="FB145" s="50">
        <f>HLOOKUP(M16,$AU$112:$EZ$213,34,TRUE)</f>
        <v>1</v>
      </c>
      <c r="FD145" s="50">
        <f>HLOOKUP(AL42,$AU$112:$EZ$213,34,TRUE)</f>
        <v>1</v>
      </c>
    </row>
    <row r="146" spans="46:160">
      <c r="AT146" s="112">
        <v>0.97699999999999998</v>
      </c>
      <c r="AU146" s="7">
        <v>2</v>
      </c>
      <c r="AV146" s="7">
        <v>2</v>
      </c>
      <c r="AW146" s="7">
        <v>2</v>
      </c>
      <c r="AX146" s="7">
        <v>2</v>
      </c>
      <c r="AY146" s="7">
        <v>2</v>
      </c>
      <c r="AZ146" s="7">
        <v>2</v>
      </c>
      <c r="BA146" s="331">
        <v>2</v>
      </c>
      <c r="BB146" s="7">
        <v>2</v>
      </c>
      <c r="BC146" s="7">
        <v>2</v>
      </c>
      <c r="BD146" s="7">
        <v>2</v>
      </c>
      <c r="BE146" s="7">
        <v>2</v>
      </c>
      <c r="BF146" s="7">
        <v>2</v>
      </c>
      <c r="BG146" s="7">
        <v>2</v>
      </c>
      <c r="BH146" s="7">
        <v>2</v>
      </c>
      <c r="BI146" s="7">
        <v>2</v>
      </c>
      <c r="BJ146" s="7">
        <v>2</v>
      </c>
      <c r="BK146" s="7">
        <v>2</v>
      </c>
      <c r="BL146" s="7">
        <v>2</v>
      </c>
      <c r="BM146" s="7">
        <v>2</v>
      </c>
      <c r="BN146" s="7">
        <v>2</v>
      </c>
      <c r="BO146" s="7">
        <v>2</v>
      </c>
      <c r="BP146" s="7">
        <v>2</v>
      </c>
      <c r="BQ146" s="7">
        <v>2</v>
      </c>
      <c r="BR146" s="7">
        <v>2</v>
      </c>
      <c r="BS146" s="7">
        <v>2</v>
      </c>
      <c r="BT146" s="7">
        <v>2</v>
      </c>
      <c r="BU146" s="7">
        <v>2</v>
      </c>
      <c r="BV146" s="7">
        <v>2</v>
      </c>
      <c r="BW146" s="7">
        <v>2</v>
      </c>
      <c r="BX146" s="7">
        <v>2</v>
      </c>
      <c r="BY146" s="7">
        <v>2</v>
      </c>
      <c r="BZ146" s="7">
        <v>2</v>
      </c>
      <c r="CA146" s="7">
        <v>2</v>
      </c>
      <c r="CB146" s="7">
        <v>2</v>
      </c>
      <c r="CC146" s="7">
        <v>2</v>
      </c>
      <c r="CD146" s="7">
        <v>2</v>
      </c>
      <c r="CE146" s="7">
        <v>2</v>
      </c>
      <c r="CF146" s="7">
        <v>2</v>
      </c>
      <c r="CG146" s="7">
        <v>2</v>
      </c>
      <c r="CH146" s="7">
        <v>2</v>
      </c>
      <c r="CI146" s="7">
        <v>2</v>
      </c>
      <c r="CJ146" s="7">
        <v>2</v>
      </c>
      <c r="CK146" s="7">
        <v>2</v>
      </c>
      <c r="CL146" s="7">
        <v>2</v>
      </c>
      <c r="CM146" s="7">
        <v>2</v>
      </c>
      <c r="CN146" s="7">
        <v>2</v>
      </c>
      <c r="CO146" s="7">
        <v>2</v>
      </c>
      <c r="CP146" s="7">
        <v>2</v>
      </c>
      <c r="CQ146" s="7">
        <v>2</v>
      </c>
      <c r="CR146" s="7">
        <v>2</v>
      </c>
      <c r="CS146" s="7">
        <v>1</v>
      </c>
      <c r="CT146" s="7">
        <v>1</v>
      </c>
      <c r="CU146" s="7">
        <v>1</v>
      </c>
      <c r="CV146" s="7">
        <v>1</v>
      </c>
      <c r="CW146" s="7">
        <v>1</v>
      </c>
      <c r="CX146" s="7">
        <v>1</v>
      </c>
      <c r="CY146" s="7">
        <v>1</v>
      </c>
      <c r="CZ146" s="7">
        <v>1</v>
      </c>
      <c r="DA146" s="7">
        <v>1</v>
      </c>
      <c r="DB146" s="7">
        <v>1</v>
      </c>
      <c r="DC146" s="7">
        <v>1</v>
      </c>
      <c r="DD146" s="7">
        <v>1</v>
      </c>
      <c r="DE146" s="7">
        <v>1</v>
      </c>
      <c r="DF146" s="7">
        <v>1</v>
      </c>
      <c r="DG146" s="7">
        <v>1</v>
      </c>
      <c r="DH146" s="7">
        <v>1</v>
      </c>
      <c r="DI146" s="7">
        <v>1</v>
      </c>
      <c r="DJ146" s="7">
        <v>1</v>
      </c>
      <c r="DK146" s="7">
        <v>1</v>
      </c>
      <c r="DL146" s="7">
        <v>1</v>
      </c>
      <c r="DM146" s="7">
        <v>1</v>
      </c>
      <c r="DN146" s="7">
        <v>1</v>
      </c>
      <c r="DO146" s="7">
        <v>1</v>
      </c>
      <c r="DP146" s="7">
        <v>1</v>
      </c>
      <c r="DQ146" s="7">
        <v>1</v>
      </c>
      <c r="DR146" s="7">
        <v>1</v>
      </c>
      <c r="DS146" s="7">
        <v>1</v>
      </c>
      <c r="DT146" s="7">
        <v>1</v>
      </c>
      <c r="DU146" s="7">
        <v>1</v>
      </c>
      <c r="DV146" s="7">
        <v>1</v>
      </c>
      <c r="DW146" s="7">
        <v>1</v>
      </c>
      <c r="DX146" s="7">
        <v>1</v>
      </c>
      <c r="DY146" s="7">
        <v>1</v>
      </c>
      <c r="DZ146" s="7">
        <v>1</v>
      </c>
      <c r="EA146" s="7">
        <v>1</v>
      </c>
      <c r="EB146" s="7">
        <v>1</v>
      </c>
      <c r="EC146" s="7">
        <v>1</v>
      </c>
      <c r="ED146" s="7">
        <v>1</v>
      </c>
      <c r="EE146" s="7">
        <v>1</v>
      </c>
      <c r="EF146" s="7">
        <v>1</v>
      </c>
      <c r="EG146" s="7">
        <v>1</v>
      </c>
      <c r="EH146" s="7">
        <v>1</v>
      </c>
      <c r="EI146" s="7">
        <v>1</v>
      </c>
      <c r="EJ146" s="7">
        <v>1</v>
      </c>
      <c r="EK146" s="7">
        <v>1</v>
      </c>
      <c r="EL146" s="7">
        <v>1</v>
      </c>
      <c r="EM146" s="7">
        <v>1</v>
      </c>
      <c r="EN146" s="7">
        <v>1</v>
      </c>
      <c r="EO146" s="7">
        <v>1</v>
      </c>
      <c r="EP146" s="7">
        <v>1</v>
      </c>
      <c r="EQ146" s="7">
        <v>1</v>
      </c>
      <c r="ER146" s="7">
        <v>1</v>
      </c>
      <c r="ES146" s="7">
        <v>1</v>
      </c>
      <c r="ET146" s="7">
        <v>1</v>
      </c>
      <c r="EU146" s="7">
        <v>1</v>
      </c>
      <c r="EV146" s="7">
        <v>1</v>
      </c>
      <c r="EW146" s="7">
        <v>1</v>
      </c>
      <c r="EX146" s="7">
        <v>1</v>
      </c>
      <c r="EY146" s="7">
        <v>1</v>
      </c>
      <c r="EZ146" s="7">
        <v>1</v>
      </c>
      <c r="FB146" s="50">
        <f>HLOOKUP(M16,$AU$112:$EZ$213,35,TRUE)</f>
        <v>1</v>
      </c>
      <c r="FD146" s="50">
        <f>HLOOKUP(AL42,$AU$112:$EZ$213,35,TRUE)</f>
        <v>1</v>
      </c>
    </row>
    <row r="147" spans="46:160">
      <c r="AT147" s="112">
        <v>1.0469999999999999</v>
      </c>
      <c r="AU147" s="7">
        <v>2</v>
      </c>
      <c r="AV147" s="7">
        <v>2</v>
      </c>
      <c r="AW147" s="7">
        <v>2</v>
      </c>
      <c r="AX147" s="7">
        <v>2</v>
      </c>
      <c r="AY147" s="7">
        <v>2</v>
      </c>
      <c r="AZ147" s="7">
        <v>2</v>
      </c>
      <c r="BA147" s="331">
        <v>2</v>
      </c>
      <c r="BB147" s="7">
        <v>2</v>
      </c>
      <c r="BC147" s="7">
        <v>2</v>
      </c>
      <c r="BD147" s="7">
        <v>2</v>
      </c>
      <c r="BE147" s="7">
        <v>2</v>
      </c>
      <c r="BF147" s="7">
        <v>2</v>
      </c>
      <c r="BG147" s="7">
        <v>2</v>
      </c>
      <c r="BH147" s="7">
        <v>2</v>
      </c>
      <c r="BI147" s="7">
        <v>2</v>
      </c>
      <c r="BJ147" s="7">
        <v>2</v>
      </c>
      <c r="BK147" s="7">
        <v>2</v>
      </c>
      <c r="BL147" s="7">
        <v>2</v>
      </c>
      <c r="BM147" s="7">
        <v>2</v>
      </c>
      <c r="BN147" s="7">
        <v>2</v>
      </c>
      <c r="BO147" s="7">
        <v>2</v>
      </c>
      <c r="BP147" s="7">
        <v>2</v>
      </c>
      <c r="BQ147" s="7">
        <v>2</v>
      </c>
      <c r="BR147" s="7">
        <v>2</v>
      </c>
      <c r="BS147" s="7">
        <v>2</v>
      </c>
      <c r="BT147" s="7">
        <v>2</v>
      </c>
      <c r="BU147" s="7">
        <v>2</v>
      </c>
      <c r="BV147" s="7">
        <v>2</v>
      </c>
      <c r="BW147" s="7">
        <v>2</v>
      </c>
      <c r="BX147" s="7">
        <v>2</v>
      </c>
      <c r="BY147" s="7">
        <v>2</v>
      </c>
      <c r="BZ147" s="7">
        <v>2</v>
      </c>
      <c r="CA147" s="7">
        <v>2</v>
      </c>
      <c r="CB147" s="7">
        <v>2</v>
      </c>
      <c r="CC147" s="7">
        <v>2</v>
      </c>
      <c r="CD147" s="7">
        <v>2</v>
      </c>
      <c r="CE147" s="7">
        <v>2</v>
      </c>
      <c r="CF147" s="7">
        <v>2</v>
      </c>
      <c r="CG147" s="7">
        <v>2</v>
      </c>
      <c r="CH147" s="7">
        <v>2</v>
      </c>
      <c r="CI147" s="7">
        <v>2</v>
      </c>
      <c r="CJ147" s="7">
        <v>2</v>
      </c>
      <c r="CK147" s="7">
        <v>2</v>
      </c>
      <c r="CL147" s="7">
        <v>2</v>
      </c>
      <c r="CM147" s="7">
        <v>2</v>
      </c>
      <c r="CN147" s="7">
        <v>2</v>
      </c>
      <c r="CO147" s="7">
        <v>2</v>
      </c>
      <c r="CP147" s="7">
        <v>2</v>
      </c>
      <c r="CQ147" s="7">
        <v>2</v>
      </c>
      <c r="CR147" s="7">
        <v>2</v>
      </c>
      <c r="CS147" s="7">
        <v>2</v>
      </c>
      <c r="CT147" s="7">
        <v>1</v>
      </c>
      <c r="CU147" s="7">
        <v>1</v>
      </c>
      <c r="CV147" s="7">
        <v>1</v>
      </c>
      <c r="CW147" s="7">
        <v>1</v>
      </c>
      <c r="CX147" s="7">
        <v>1</v>
      </c>
      <c r="CY147" s="7">
        <v>1</v>
      </c>
      <c r="CZ147" s="7">
        <v>1</v>
      </c>
      <c r="DA147" s="7">
        <v>1</v>
      </c>
      <c r="DB147" s="7">
        <v>1</v>
      </c>
      <c r="DC147" s="7">
        <v>1</v>
      </c>
      <c r="DD147" s="7">
        <v>1</v>
      </c>
      <c r="DE147" s="7">
        <v>1</v>
      </c>
      <c r="DF147" s="7">
        <v>1</v>
      </c>
      <c r="DG147" s="7">
        <v>1</v>
      </c>
      <c r="DH147" s="7">
        <v>1</v>
      </c>
      <c r="DI147" s="7">
        <v>1</v>
      </c>
      <c r="DJ147" s="7">
        <v>1</v>
      </c>
      <c r="DK147" s="7">
        <v>1</v>
      </c>
      <c r="DL147" s="7">
        <v>1</v>
      </c>
      <c r="DM147" s="7">
        <v>1</v>
      </c>
      <c r="DN147" s="7">
        <v>1</v>
      </c>
      <c r="DO147" s="7">
        <v>1</v>
      </c>
      <c r="DP147" s="7">
        <v>1</v>
      </c>
      <c r="DQ147" s="7">
        <v>1</v>
      </c>
      <c r="DR147" s="7">
        <v>1</v>
      </c>
      <c r="DS147" s="7">
        <v>1</v>
      </c>
      <c r="DT147" s="7">
        <v>1</v>
      </c>
      <c r="DU147" s="7">
        <v>1</v>
      </c>
      <c r="DV147" s="7">
        <v>1</v>
      </c>
      <c r="DW147" s="7">
        <v>1</v>
      </c>
      <c r="DX147" s="7">
        <v>1</v>
      </c>
      <c r="DY147" s="7">
        <v>1</v>
      </c>
      <c r="DZ147" s="7">
        <v>1</v>
      </c>
      <c r="EA147" s="7">
        <v>1</v>
      </c>
      <c r="EB147" s="7">
        <v>1</v>
      </c>
      <c r="EC147" s="7">
        <v>1</v>
      </c>
      <c r="ED147" s="7">
        <v>1</v>
      </c>
      <c r="EE147" s="7">
        <v>1</v>
      </c>
      <c r="EF147" s="7">
        <v>1</v>
      </c>
      <c r="EG147" s="7">
        <v>1</v>
      </c>
      <c r="EH147" s="7">
        <v>1</v>
      </c>
      <c r="EI147" s="7">
        <v>1</v>
      </c>
      <c r="EJ147" s="7">
        <v>1</v>
      </c>
      <c r="EK147" s="7">
        <v>1</v>
      </c>
      <c r="EL147" s="7">
        <v>1</v>
      </c>
      <c r="EM147" s="7">
        <v>1</v>
      </c>
      <c r="EN147" s="7">
        <v>1</v>
      </c>
      <c r="EO147" s="7">
        <v>1</v>
      </c>
      <c r="EP147" s="7">
        <v>1</v>
      </c>
      <c r="EQ147" s="7">
        <v>1</v>
      </c>
      <c r="ER147" s="7">
        <v>1</v>
      </c>
      <c r="ES147" s="7">
        <v>1</v>
      </c>
      <c r="ET147" s="7">
        <v>1</v>
      </c>
      <c r="EU147" s="7">
        <v>1</v>
      </c>
      <c r="EV147" s="7">
        <v>1</v>
      </c>
      <c r="EW147" s="7">
        <v>1</v>
      </c>
      <c r="EX147" s="7">
        <v>1</v>
      </c>
      <c r="EY147" s="7">
        <v>1</v>
      </c>
      <c r="EZ147" s="7">
        <v>1</v>
      </c>
      <c r="FB147" s="50">
        <f>HLOOKUP(M16,$AU$112:$EZ$213,36,TRUE)</f>
        <v>1</v>
      </c>
      <c r="FD147" s="50">
        <f>HLOOKUP(AL42,$AU$112:$EZ$213,36,TRUE)</f>
        <v>1</v>
      </c>
    </row>
    <row r="148" spans="46:160">
      <c r="AT148" s="112">
        <v>1.1220000000000001</v>
      </c>
      <c r="AU148" s="7">
        <v>2</v>
      </c>
      <c r="AV148" s="7">
        <v>2</v>
      </c>
      <c r="AW148" s="7">
        <v>2</v>
      </c>
      <c r="AX148" s="7">
        <v>2</v>
      </c>
      <c r="AY148" s="7">
        <v>2</v>
      </c>
      <c r="AZ148" s="7">
        <v>2</v>
      </c>
      <c r="BA148" s="331">
        <v>2</v>
      </c>
      <c r="BB148" s="7">
        <v>2</v>
      </c>
      <c r="BC148" s="7">
        <v>2</v>
      </c>
      <c r="BD148" s="7">
        <v>2</v>
      </c>
      <c r="BE148" s="7">
        <v>2</v>
      </c>
      <c r="BF148" s="7">
        <v>2</v>
      </c>
      <c r="BG148" s="7">
        <v>2</v>
      </c>
      <c r="BH148" s="7">
        <v>2</v>
      </c>
      <c r="BI148" s="7">
        <v>2</v>
      </c>
      <c r="BJ148" s="7">
        <v>2</v>
      </c>
      <c r="BK148" s="7">
        <v>2</v>
      </c>
      <c r="BL148" s="7">
        <v>2</v>
      </c>
      <c r="BM148" s="7">
        <v>2</v>
      </c>
      <c r="BN148" s="7">
        <v>2</v>
      </c>
      <c r="BO148" s="7">
        <v>2</v>
      </c>
      <c r="BP148" s="7">
        <v>2</v>
      </c>
      <c r="BQ148" s="7">
        <v>2</v>
      </c>
      <c r="BR148" s="7">
        <v>2</v>
      </c>
      <c r="BS148" s="7">
        <v>2</v>
      </c>
      <c r="BT148" s="7">
        <v>2</v>
      </c>
      <c r="BU148" s="7">
        <v>2</v>
      </c>
      <c r="BV148" s="7">
        <v>2</v>
      </c>
      <c r="BW148" s="7">
        <v>2</v>
      </c>
      <c r="BX148" s="7">
        <v>2</v>
      </c>
      <c r="BY148" s="7">
        <v>2</v>
      </c>
      <c r="BZ148" s="7">
        <v>2</v>
      </c>
      <c r="CA148" s="7">
        <v>2</v>
      </c>
      <c r="CB148" s="7">
        <v>2</v>
      </c>
      <c r="CC148" s="7">
        <v>2</v>
      </c>
      <c r="CD148" s="7">
        <v>2</v>
      </c>
      <c r="CE148" s="7">
        <v>2</v>
      </c>
      <c r="CF148" s="7">
        <v>2</v>
      </c>
      <c r="CG148" s="7">
        <v>2</v>
      </c>
      <c r="CH148" s="7">
        <v>2</v>
      </c>
      <c r="CI148" s="7">
        <v>2</v>
      </c>
      <c r="CJ148" s="7">
        <v>2</v>
      </c>
      <c r="CK148" s="7">
        <v>2</v>
      </c>
      <c r="CL148" s="7">
        <v>2</v>
      </c>
      <c r="CM148" s="7">
        <v>2</v>
      </c>
      <c r="CN148" s="7">
        <v>2</v>
      </c>
      <c r="CO148" s="7">
        <v>2</v>
      </c>
      <c r="CP148" s="7">
        <v>2</v>
      </c>
      <c r="CQ148" s="7">
        <v>2</v>
      </c>
      <c r="CR148" s="7">
        <v>2</v>
      </c>
      <c r="CS148" s="7">
        <v>2</v>
      </c>
      <c r="CT148" s="7">
        <v>2</v>
      </c>
      <c r="CU148" s="7">
        <v>1</v>
      </c>
      <c r="CV148" s="7">
        <v>1</v>
      </c>
      <c r="CW148" s="7">
        <v>1</v>
      </c>
      <c r="CX148" s="7">
        <v>1</v>
      </c>
      <c r="CY148" s="7">
        <v>1</v>
      </c>
      <c r="CZ148" s="7">
        <v>1</v>
      </c>
      <c r="DA148" s="7">
        <v>1</v>
      </c>
      <c r="DB148" s="7">
        <v>1</v>
      </c>
      <c r="DC148" s="7">
        <v>1</v>
      </c>
      <c r="DD148" s="7">
        <v>1</v>
      </c>
      <c r="DE148" s="7">
        <v>1</v>
      </c>
      <c r="DF148" s="7">
        <v>1</v>
      </c>
      <c r="DG148" s="7">
        <v>1</v>
      </c>
      <c r="DH148" s="7">
        <v>1</v>
      </c>
      <c r="DI148" s="7">
        <v>1</v>
      </c>
      <c r="DJ148" s="7">
        <v>1</v>
      </c>
      <c r="DK148" s="7">
        <v>1</v>
      </c>
      <c r="DL148" s="7">
        <v>1</v>
      </c>
      <c r="DM148" s="7">
        <v>1</v>
      </c>
      <c r="DN148" s="7">
        <v>1</v>
      </c>
      <c r="DO148" s="7">
        <v>1</v>
      </c>
      <c r="DP148" s="7">
        <v>1</v>
      </c>
      <c r="DQ148" s="7">
        <v>1</v>
      </c>
      <c r="DR148" s="7">
        <v>1</v>
      </c>
      <c r="DS148" s="7">
        <v>1</v>
      </c>
      <c r="DT148" s="7">
        <v>1</v>
      </c>
      <c r="DU148" s="7">
        <v>1</v>
      </c>
      <c r="DV148" s="7">
        <v>1</v>
      </c>
      <c r="DW148" s="7">
        <v>1</v>
      </c>
      <c r="DX148" s="7">
        <v>1</v>
      </c>
      <c r="DY148" s="7">
        <v>1</v>
      </c>
      <c r="DZ148" s="7">
        <v>1</v>
      </c>
      <c r="EA148" s="7">
        <v>1</v>
      </c>
      <c r="EB148" s="7">
        <v>1</v>
      </c>
      <c r="EC148" s="7">
        <v>1</v>
      </c>
      <c r="ED148" s="7">
        <v>1</v>
      </c>
      <c r="EE148" s="7">
        <v>1</v>
      </c>
      <c r="EF148" s="7">
        <v>1</v>
      </c>
      <c r="EG148" s="7">
        <v>1</v>
      </c>
      <c r="EH148" s="7">
        <v>1</v>
      </c>
      <c r="EI148" s="7">
        <v>1</v>
      </c>
      <c r="EJ148" s="7">
        <v>1</v>
      </c>
      <c r="EK148" s="7">
        <v>1</v>
      </c>
      <c r="EL148" s="7">
        <v>1</v>
      </c>
      <c r="EM148" s="7">
        <v>1</v>
      </c>
      <c r="EN148" s="7">
        <v>1</v>
      </c>
      <c r="EO148" s="7">
        <v>1</v>
      </c>
      <c r="EP148" s="7">
        <v>1</v>
      </c>
      <c r="EQ148" s="7">
        <v>1</v>
      </c>
      <c r="ER148" s="7">
        <v>1</v>
      </c>
      <c r="ES148" s="7">
        <v>1</v>
      </c>
      <c r="ET148" s="7">
        <v>1</v>
      </c>
      <c r="EU148" s="7">
        <v>1</v>
      </c>
      <c r="EV148" s="7">
        <v>1</v>
      </c>
      <c r="EW148" s="7">
        <v>1</v>
      </c>
      <c r="EX148" s="7">
        <v>1</v>
      </c>
      <c r="EY148" s="7">
        <v>1</v>
      </c>
      <c r="EZ148" s="7">
        <v>1</v>
      </c>
      <c r="FB148" s="50">
        <f>HLOOKUP(M16,$AU$112:$EZ$213,37,TRUE)</f>
        <v>1</v>
      </c>
      <c r="FD148" s="50">
        <f>HLOOKUP(AL42,$AU$112:$EZ$213,37,TRUE)</f>
        <v>1</v>
      </c>
    </row>
    <row r="149" spans="46:160">
      <c r="AT149" s="112">
        <v>1.202</v>
      </c>
      <c r="AU149" s="7">
        <v>2</v>
      </c>
      <c r="AV149" s="7">
        <v>2</v>
      </c>
      <c r="AW149" s="7">
        <v>2</v>
      </c>
      <c r="AX149" s="7">
        <v>2</v>
      </c>
      <c r="AY149" s="7">
        <v>2</v>
      </c>
      <c r="AZ149" s="7">
        <v>2</v>
      </c>
      <c r="BA149" s="331">
        <v>2</v>
      </c>
      <c r="BB149" s="7">
        <v>2</v>
      </c>
      <c r="BC149" s="7">
        <v>2</v>
      </c>
      <c r="BD149" s="7">
        <v>2</v>
      </c>
      <c r="BE149" s="7">
        <v>2</v>
      </c>
      <c r="BF149" s="7">
        <v>2</v>
      </c>
      <c r="BG149" s="7">
        <v>2</v>
      </c>
      <c r="BH149" s="7">
        <v>2</v>
      </c>
      <c r="BI149" s="7">
        <v>2</v>
      </c>
      <c r="BJ149" s="7">
        <v>2</v>
      </c>
      <c r="BK149" s="7">
        <v>2</v>
      </c>
      <c r="BL149" s="7">
        <v>2</v>
      </c>
      <c r="BM149" s="7">
        <v>2</v>
      </c>
      <c r="BN149" s="7">
        <v>2</v>
      </c>
      <c r="BO149" s="7">
        <v>2</v>
      </c>
      <c r="BP149" s="7">
        <v>2</v>
      </c>
      <c r="BQ149" s="7">
        <v>2</v>
      </c>
      <c r="BR149" s="7">
        <v>2</v>
      </c>
      <c r="BS149" s="7">
        <v>2</v>
      </c>
      <c r="BT149" s="7">
        <v>2</v>
      </c>
      <c r="BU149" s="7">
        <v>2</v>
      </c>
      <c r="BV149" s="7">
        <v>2</v>
      </c>
      <c r="BW149" s="7">
        <v>2</v>
      </c>
      <c r="BX149" s="7">
        <v>2</v>
      </c>
      <c r="BY149" s="7">
        <v>2</v>
      </c>
      <c r="BZ149" s="7">
        <v>2</v>
      </c>
      <c r="CA149" s="7">
        <v>2</v>
      </c>
      <c r="CB149" s="7">
        <v>2</v>
      </c>
      <c r="CC149" s="7">
        <v>2</v>
      </c>
      <c r="CD149" s="7">
        <v>2</v>
      </c>
      <c r="CE149" s="7">
        <v>2</v>
      </c>
      <c r="CF149" s="7">
        <v>2</v>
      </c>
      <c r="CG149" s="7">
        <v>2</v>
      </c>
      <c r="CH149" s="7">
        <v>2</v>
      </c>
      <c r="CI149" s="7">
        <v>2</v>
      </c>
      <c r="CJ149" s="7">
        <v>2</v>
      </c>
      <c r="CK149" s="7">
        <v>2</v>
      </c>
      <c r="CL149" s="7">
        <v>2</v>
      </c>
      <c r="CM149" s="7">
        <v>2</v>
      </c>
      <c r="CN149" s="7">
        <v>2</v>
      </c>
      <c r="CO149" s="7">
        <v>2</v>
      </c>
      <c r="CP149" s="7">
        <v>2</v>
      </c>
      <c r="CQ149" s="7">
        <v>2</v>
      </c>
      <c r="CR149" s="7">
        <v>2</v>
      </c>
      <c r="CS149" s="7">
        <v>2</v>
      </c>
      <c r="CT149" s="7">
        <v>2</v>
      </c>
      <c r="CU149" s="7">
        <v>2</v>
      </c>
      <c r="CV149" s="7">
        <v>2</v>
      </c>
      <c r="CW149" s="7">
        <v>1</v>
      </c>
      <c r="CX149" s="7">
        <v>1</v>
      </c>
      <c r="CY149" s="7">
        <v>1</v>
      </c>
      <c r="CZ149" s="7">
        <v>1</v>
      </c>
      <c r="DA149" s="7">
        <v>1</v>
      </c>
      <c r="DB149" s="7">
        <v>1</v>
      </c>
      <c r="DC149" s="7">
        <v>1</v>
      </c>
      <c r="DD149" s="7">
        <v>1</v>
      </c>
      <c r="DE149" s="7">
        <v>1</v>
      </c>
      <c r="DF149" s="7">
        <v>1</v>
      </c>
      <c r="DG149" s="7">
        <v>1</v>
      </c>
      <c r="DH149" s="7">
        <v>1</v>
      </c>
      <c r="DI149" s="7">
        <v>1</v>
      </c>
      <c r="DJ149" s="7">
        <v>1</v>
      </c>
      <c r="DK149" s="7">
        <v>1</v>
      </c>
      <c r="DL149" s="7">
        <v>1</v>
      </c>
      <c r="DM149" s="7">
        <v>1</v>
      </c>
      <c r="DN149" s="7">
        <v>1</v>
      </c>
      <c r="DO149" s="7">
        <v>1</v>
      </c>
      <c r="DP149" s="7">
        <v>1</v>
      </c>
      <c r="DQ149" s="7">
        <v>1</v>
      </c>
      <c r="DR149" s="7">
        <v>1</v>
      </c>
      <c r="DS149" s="7">
        <v>1</v>
      </c>
      <c r="DT149" s="7">
        <v>1</v>
      </c>
      <c r="DU149" s="7">
        <v>1</v>
      </c>
      <c r="DV149" s="7">
        <v>1</v>
      </c>
      <c r="DW149" s="7">
        <v>1</v>
      </c>
      <c r="DX149" s="7">
        <v>1</v>
      </c>
      <c r="DY149" s="7">
        <v>1</v>
      </c>
      <c r="DZ149" s="7">
        <v>1</v>
      </c>
      <c r="EA149" s="7">
        <v>1</v>
      </c>
      <c r="EB149" s="7">
        <v>1</v>
      </c>
      <c r="EC149" s="7">
        <v>1</v>
      </c>
      <c r="ED149" s="7">
        <v>1</v>
      </c>
      <c r="EE149" s="7">
        <v>1</v>
      </c>
      <c r="EF149" s="7">
        <v>1</v>
      </c>
      <c r="EG149" s="7">
        <v>1</v>
      </c>
      <c r="EH149" s="7">
        <v>1</v>
      </c>
      <c r="EI149" s="7">
        <v>1</v>
      </c>
      <c r="EJ149" s="7">
        <v>1</v>
      </c>
      <c r="EK149" s="7">
        <v>1</v>
      </c>
      <c r="EL149" s="7">
        <v>1</v>
      </c>
      <c r="EM149" s="7">
        <v>1</v>
      </c>
      <c r="EN149" s="7">
        <v>1</v>
      </c>
      <c r="EO149" s="7">
        <v>1</v>
      </c>
      <c r="EP149" s="7">
        <v>1</v>
      </c>
      <c r="EQ149" s="7">
        <v>1</v>
      </c>
      <c r="ER149" s="7">
        <v>1</v>
      </c>
      <c r="ES149" s="7">
        <v>1</v>
      </c>
      <c r="ET149" s="7">
        <v>1</v>
      </c>
      <c r="EU149" s="7">
        <v>1</v>
      </c>
      <c r="EV149" s="7">
        <v>1</v>
      </c>
      <c r="EW149" s="7">
        <v>1</v>
      </c>
      <c r="EX149" s="7">
        <v>1</v>
      </c>
      <c r="EY149" s="7">
        <v>1</v>
      </c>
      <c r="EZ149" s="7">
        <v>1</v>
      </c>
      <c r="FB149" s="50">
        <f>HLOOKUP(M16,$AU$112:$EZ$213,38,TRUE)</f>
        <v>1</v>
      </c>
      <c r="FD149" s="50">
        <f>HLOOKUP(AL42,$AU$112:$EZ$213,38,TRUE)</f>
        <v>1</v>
      </c>
    </row>
    <row r="150" spans="46:160">
      <c r="AT150" s="112">
        <v>1.288</v>
      </c>
      <c r="AU150" s="7">
        <v>2</v>
      </c>
      <c r="AV150" s="7">
        <v>2</v>
      </c>
      <c r="AW150" s="7">
        <v>2</v>
      </c>
      <c r="AX150" s="7">
        <v>2</v>
      </c>
      <c r="AY150" s="7">
        <v>2</v>
      </c>
      <c r="AZ150" s="7">
        <v>2</v>
      </c>
      <c r="BA150" s="331">
        <v>2</v>
      </c>
      <c r="BB150" s="7">
        <v>2</v>
      </c>
      <c r="BC150" s="7">
        <v>2</v>
      </c>
      <c r="BD150" s="7">
        <v>2</v>
      </c>
      <c r="BE150" s="7">
        <v>2</v>
      </c>
      <c r="BF150" s="7">
        <v>2</v>
      </c>
      <c r="BG150" s="7">
        <v>2</v>
      </c>
      <c r="BH150" s="7">
        <v>2</v>
      </c>
      <c r="BI150" s="7">
        <v>2</v>
      </c>
      <c r="BJ150" s="7">
        <v>2</v>
      </c>
      <c r="BK150" s="7">
        <v>2</v>
      </c>
      <c r="BL150" s="7">
        <v>2</v>
      </c>
      <c r="BM150" s="7">
        <v>2</v>
      </c>
      <c r="BN150" s="7">
        <v>2</v>
      </c>
      <c r="BO150" s="7">
        <v>2</v>
      </c>
      <c r="BP150" s="7">
        <v>2</v>
      </c>
      <c r="BQ150" s="7">
        <v>2</v>
      </c>
      <c r="BR150" s="7">
        <v>2</v>
      </c>
      <c r="BS150" s="7">
        <v>2</v>
      </c>
      <c r="BT150" s="7">
        <v>2</v>
      </c>
      <c r="BU150" s="7">
        <v>2</v>
      </c>
      <c r="BV150" s="7">
        <v>2</v>
      </c>
      <c r="BW150" s="7">
        <v>2</v>
      </c>
      <c r="BX150" s="7">
        <v>2</v>
      </c>
      <c r="BY150" s="7">
        <v>2</v>
      </c>
      <c r="BZ150" s="7">
        <v>2</v>
      </c>
      <c r="CA150" s="7">
        <v>2</v>
      </c>
      <c r="CB150" s="7">
        <v>2</v>
      </c>
      <c r="CC150" s="7">
        <v>2</v>
      </c>
      <c r="CD150" s="7">
        <v>2</v>
      </c>
      <c r="CE150" s="7">
        <v>2</v>
      </c>
      <c r="CF150" s="7">
        <v>2</v>
      </c>
      <c r="CG150" s="7">
        <v>2</v>
      </c>
      <c r="CH150" s="7">
        <v>2</v>
      </c>
      <c r="CI150" s="7">
        <v>2</v>
      </c>
      <c r="CJ150" s="7">
        <v>2</v>
      </c>
      <c r="CK150" s="7">
        <v>2</v>
      </c>
      <c r="CL150" s="7">
        <v>2</v>
      </c>
      <c r="CM150" s="7">
        <v>2</v>
      </c>
      <c r="CN150" s="7">
        <v>2</v>
      </c>
      <c r="CO150" s="7">
        <v>2</v>
      </c>
      <c r="CP150" s="7">
        <v>2</v>
      </c>
      <c r="CQ150" s="7">
        <v>2</v>
      </c>
      <c r="CR150" s="7">
        <v>2</v>
      </c>
      <c r="CS150" s="7">
        <v>2</v>
      </c>
      <c r="CT150" s="7">
        <v>2</v>
      </c>
      <c r="CU150" s="7">
        <v>2</v>
      </c>
      <c r="CV150" s="7">
        <v>2</v>
      </c>
      <c r="CW150" s="7">
        <v>2</v>
      </c>
      <c r="CX150" s="7">
        <v>1</v>
      </c>
      <c r="CY150" s="7">
        <v>1</v>
      </c>
      <c r="CZ150" s="7">
        <v>1</v>
      </c>
      <c r="DA150" s="7">
        <v>1</v>
      </c>
      <c r="DB150" s="7">
        <v>1</v>
      </c>
      <c r="DC150" s="7">
        <v>1</v>
      </c>
      <c r="DD150" s="7">
        <v>1</v>
      </c>
      <c r="DE150" s="7">
        <v>1</v>
      </c>
      <c r="DF150" s="7">
        <v>1</v>
      </c>
      <c r="DG150" s="7">
        <v>1</v>
      </c>
      <c r="DH150" s="7">
        <v>1</v>
      </c>
      <c r="DI150" s="7">
        <v>1</v>
      </c>
      <c r="DJ150" s="7">
        <v>1</v>
      </c>
      <c r="DK150" s="7">
        <v>1</v>
      </c>
      <c r="DL150" s="7">
        <v>1</v>
      </c>
      <c r="DM150" s="7">
        <v>1</v>
      </c>
      <c r="DN150" s="7">
        <v>1</v>
      </c>
      <c r="DO150" s="7">
        <v>1</v>
      </c>
      <c r="DP150" s="7">
        <v>1</v>
      </c>
      <c r="DQ150" s="7">
        <v>1</v>
      </c>
      <c r="DR150" s="7">
        <v>1</v>
      </c>
      <c r="DS150" s="7">
        <v>1</v>
      </c>
      <c r="DT150" s="7">
        <v>1</v>
      </c>
      <c r="DU150" s="7">
        <v>1</v>
      </c>
      <c r="DV150" s="7">
        <v>1</v>
      </c>
      <c r="DW150" s="7">
        <v>1</v>
      </c>
      <c r="DX150" s="7">
        <v>1</v>
      </c>
      <c r="DY150" s="7">
        <v>1</v>
      </c>
      <c r="DZ150" s="7">
        <v>1</v>
      </c>
      <c r="EA150" s="7">
        <v>1</v>
      </c>
      <c r="EB150" s="7">
        <v>1</v>
      </c>
      <c r="EC150" s="7">
        <v>1</v>
      </c>
      <c r="ED150" s="7">
        <v>1</v>
      </c>
      <c r="EE150" s="7">
        <v>1</v>
      </c>
      <c r="EF150" s="7">
        <v>1</v>
      </c>
      <c r="EG150" s="7">
        <v>1</v>
      </c>
      <c r="EH150" s="7">
        <v>1</v>
      </c>
      <c r="EI150" s="7">
        <v>1</v>
      </c>
      <c r="EJ150" s="7">
        <v>1</v>
      </c>
      <c r="EK150" s="7">
        <v>1</v>
      </c>
      <c r="EL150" s="7">
        <v>1</v>
      </c>
      <c r="EM150" s="7">
        <v>1</v>
      </c>
      <c r="EN150" s="7">
        <v>1</v>
      </c>
      <c r="EO150" s="7">
        <v>1</v>
      </c>
      <c r="EP150" s="7">
        <v>1</v>
      </c>
      <c r="EQ150" s="7">
        <v>1</v>
      </c>
      <c r="ER150" s="7">
        <v>1</v>
      </c>
      <c r="ES150" s="7">
        <v>1</v>
      </c>
      <c r="ET150" s="7">
        <v>1</v>
      </c>
      <c r="EU150" s="7">
        <v>1</v>
      </c>
      <c r="EV150" s="7">
        <v>1</v>
      </c>
      <c r="EW150" s="7">
        <v>1</v>
      </c>
      <c r="EX150" s="7">
        <v>1</v>
      </c>
      <c r="EY150" s="7">
        <v>1</v>
      </c>
      <c r="EZ150" s="7">
        <v>1</v>
      </c>
      <c r="FB150" s="50">
        <f>HLOOKUP(M16,$AU$112:$EZ$213,39,TRUE)</f>
        <v>1</v>
      </c>
      <c r="FD150" s="50">
        <f>HLOOKUP(AL42,$AU$112:$EZ$213,39,TRUE)</f>
        <v>1</v>
      </c>
    </row>
    <row r="151" spans="46:160">
      <c r="AT151" s="112">
        <v>1.38</v>
      </c>
      <c r="AU151" s="7">
        <v>2</v>
      </c>
      <c r="AV151" s="7">
        <v>2</v>
      </c>
      <c r="AW151" s="7">
        <v>2</v>
      </c>
      <c r="AX151" s="7">
        <v>2</v>
      </c>
      <c r="AY151" s="7">
        <v>2</v>
      </c>
      <c r="AZ151" s="7">
        <v>2</v>
      </c>
      <c r="BA151" s="331">
        <v>2</v>
      </c>
      <c r="BB151" s="7">
        <v>2</v>
      </c>
      <c r="BC151" s="7">
        <v>2</v>
      </c>
      <c r="BD151" s="7">
        <v>2</v>
      </c>
      <c r="BE151" s="7">
        <v>2</v>
      </c>
      <c r="BF151" s="7">
        <v>2</v>
      </c>
      <c r="BG151" s="7">
        <v>2</v>
      </c>
      <c r="BH151" s="7">
        <v>2</v>
      </c>
      <c r="BI151" s="7">
        <v>2</v>
      </c>
      <c r="BJ151" s="7">
        <v>2</v>
      </c>
      <c r="BK151" s="7">
        <v>2</v>
      </c>
      <c r="BL151" s="7">
        <v>2</v>
      </c>
      <c r="BM151" s="7">
        <v>2</v>
      </c>
      <c r="BN151" s="7">
        <v>2</v>
      </c>
      <c r="BO151" s="7">
        <v>2</v>
      </c>
      <c r="BP151" s="7">
        <v>2</v>
      </c>
      <c r="BQ151" s="7">
        <v>2</v>
      </c>
      <c r="BR151" s="7">
        <v>2</v>
      </c>
      <c r="BS151" s="7">
        <v>2</v>
      </c>
      <c r="BT151" s="7">
        <v>2</v>
      </c>
      <c r="BU151" s="7">
        <v>2</v>
      </c>
      <c r="BV151" s="7">
        <v>2</v>
      </c>
      <c r="BW151" s="7">
        <v>2</v>
      </c>
      <c r="BX151" s="7">
        <v>2</v>
      </c>
      <c r="BY151" s="7">
        <v>2</v>
      </c>
      <c r="BZ151" s="7">
        <v>2</v>
      </c>
      <c r="CA151" s="7">
        <v>2</v>
      </c>
      <c r="CB151" s="7">
        <v>2</v>
      </c>
      <c r="CC151" s="7">
        <v>2</v>
      </c>
      <c r="CD151" s="7">
        <v>2</v>
      </c>
      <c r="CE151" s="7">
        <v>2</v>
      </c>
      <c r="CF151" s="7">
        <v>2</v>
      </c>
      <c r="CG151" s="7">
        <v>2</v>
      </c>
      <c r="CH151" s="7">
        <v>2</v>
      </c>
      <c r="CI151" s="7">
        <v>2</v>
      </c>
      <c r="CJ151" s="7">
        <v>2</v>
      </c>
      <c r="CK151" s="7">
        <v>2</v>
      </c>
      <c r="CL151" s="7">
        <v>2</v>
      </c>
      <c r="CM151" s="7">
        <v>2</v>
      </c>
      <c r="CN151" s="7">
        <v>2</v>
      </c>
      <c r="CO151" s="7">
        <v>2</v>
      </c>
      <c r="CP151" s="7">
        <v>2</v>
      </c>
      <c r="CQ151" s="7">
        <v>2</v>
      </c>
      <c r="CR151" s="7">
        <v>2</v>
      </c>
      <c r="CS151" s="7">
        <v>2</v>
      </c>
      <c r="CT151" s="7">
        <v>2</v>
      </c>
      <c r="CU151" s="7">
        <v>2</v>
      </c>
      <c r="CV151" s="7">
        <v>2</v>
      </c>
      <c r="CW151" s="7">
        <v>2</v>
      </c>
      <c r="CX151" s="7">
        <v>2</v>
      </c>
      <c r="CY151" s="7">
        <v>1</v>
      </c>
      <c r="CZ151" s="7">
        <v>1</v>
      </c>
      <c r="DA151" s="7">
        <v>1</v>
      </c>
      <c r="DB151" s="7">
        <v>1</v>
      </c>
      <c r="DC151" s="7">
        <v>1</v>
      </c>
      <c r="DD151" s="7">
        <v>1</v>
      </c>
      <c r="DE151" s="7">
        <v>1</v>
      </c>
      <c r="DF151" s="7">
        <v>1</v>
      </c>
      <c r="DG151" s="7">
        <v>1</v>
      </c>
      <c r="DH151" s="7">
        <v>1</v>
      </c>
      <c r="DI151" s="7">
        <v>1</v>
      </c>
      <c r="DJ151" s="7">
        <v>1</v>
      </c>
      <c r="DK151" s="7">
        <v>1</v>
      </c>
      <c r="DL151" s="7">
        <v>1</v>
      </c>
      <c r="DM151" s="7">
        <v>1</v>
      </c>
      <c r="DN151" s="7">
        <v>1</v>
      </c>
      <c r="DO151" s="7">
        <v>1</v>
      </c>
      <c r="DP151" s="7">
        <v>1</v>
      </c>
      <c r="DQ151" s="7">
        <v>1</v>
      </c>
      <c r="DR151" s="7">
        <v>1</v>
      </c>
      <c r="DS151" s="7">
        <v>1</v>
      </c>
      <c r="DT151" s="7">
        <v>1</v>
      </c>
      <c r="DU151" s="7">
        <v>1</v>
      </c>
      <c r="DV151" s="7">
        <v>1</v>
      </c>
      <c r="DW151" s="7">
        <v>1</v>
      </c>
      <c r="DX151" s="7">
        <v>1</v>
      </c>
      <c r="DY151" s="7">
        <v>1</v>
      </c>
      <c r="DZ151" s="7">
        <v>1</v>
      </c>
      <c r="EA151" s="7">
        <v>1</v>
      </c>
      <c r="EB151" s="7">
        <v>1</v>
      </c>
      <c r="EC151" s="7">
        <v>1</v>
      </c>
      <c r="ED151" s="7">
        <v>1</v>
      </c>
      <c r="EE151" s="7">
        <v>1</v>
      </c>
      <c r="EF151" s="7">
        <v>1</v>
      </c>
      <c r="EG151" s="7">
        <v>1</v>
      </c>
      <c r="EH151" s="7">
        <v>1</v>
      </c>
      <c r="EI151" s="7">
        <v>1</v>
      </c>
      <c r="EJ151" s="7">
        <v>1</v>
      </c>
      <c r="EK151" s="7">
        <v>1</v>
      </c>
      <c r="EL151" s="7">
        <v>1</v>
      </c>
      <c r="EM151" s="7">
        <v>1</v>
      </c>
      <c r="EN151" s="7">
        <v>1</v>
      </c>
      <c r="EO151" s="7">
        <v>1</v>
      </c>
      <c r="EP151" s="7">
        <v>1</v>
      </c>
      <c r="EQ151" s="7">
        <v>1</v>
      </c>
      <c r="ER151" s="7">
        <v>1</v>
      </c>
      <c r="ES151" s="7">
        <v>1</v>
      </c>
      <c r="ET151" s="7">
        <v>1</v>
      </c>
      <c r="EU151" s="7">
        <v>1</v>
      </c>
      <c r="EV151" s="7">
        <v>1</v>
      </c>
      <c r="EW151" s="7">
        <v>1</v>
      </c>
      <c r="EX151" s="7">
        <v>1</v>
      </c>
      <c r="EY151" s="7">
        <v>1</v>
      </c>
      <c r="EZ151" s="7">
        <v>1</v>
      </c>
      <c r="FB151" s="50">
        <f>HLOOKUP(M16,$AU$112:$EZ$213,40,TRUE)</f>
        <v>1</v>
      </c>
      <c r="FD151" s="50">
        <f>HLOOKUP(AL42,$AU$112:$EZ$213,40,TRUE)</f>
        <v>1</v>
      </c>
    </row>
    <row r="152" spans="46:160">
      <c r="AT152" s="112">
        <v>1.4790000000000001</v>
      </c>
      <c r="AU152" s="7">
        <v>2</v>
      </c>
      <c r="AV152" s="7">
        <v>2</v>
      </c>
      <c r="AW152" s="7">
        <v>2</v>
      </c>
      <c r="AX152" s="7">
        <v>2</v>
      </c>
      <c r="AY152" s="7">
        <v>2</v>
      </c>
      <c r="AZ152" s="7">
        <v>2</v>
      </c>
      <c r="BA152" s="331">
        <v>2</v>
      </c>
      <c r="BB152" s="7">
        <v>2</v>
      </c>
      <c r="BC152" s="7">
        <v>2</v>
      </c>
      <c r="BD152" s="7">
        <v>2</v>
      </c>
      <c r="BE152" s="7">
        <v>2</v>
      </c>
      <c r="BF152" s="7">
        <v>2</v>
      </c>
      <c r="BG152" s="7">
        <v>2</v>
      </c>
      <c r="BH152" s="7">
        <v>2</v>
      </c>
      <c r="BI152" s="7">
        <v>2</v>
      </c>
      <c r="BJ152" s="7">
        <v>2</v>
      </c>
      <c r="BK152" s="7">
        <v>2</v>
      </c>
      <c r="BL152" s="7">
        <v>2</v>
      </c>
      <c r="BM152" s="7">
        <v>2</v>
      </c>
      <c r="BN152" s="7">
        <v>2</v>
      </c>
      <c r="BO152" s="7">
        <v>2</v>
      </c>
      <c r="BP152" s="7">
        <v>2</v>
      </c>
      <c r="BQ152" s="7">
        <v>2</v>
      </c>
      <c r="BR152" s="7">
        <v>2</v>
      </c>
      <c r="BS152" s="7">
        <v>2</v>
      </c>
      <c r="BT152" s="7">
        <v>2</v>
      </c>
      <c r="BU152" s="7">
        <v>2</v>
      </c>
      <c r="BV152" s="7">
        <v>2</v>
      </c>
      <c r="BW152" s="7">
        <v>2</v>
      </c>
      <c r="BX152" s="7">
        <v>2</v>
      </c>
      <c r="BY152" s="7">
        <v>2</v>
      </c>
      <c r="BZ152" s="7">
        <v>2</v>
      </c>
      <c r="CA152" s="7">
        <v>2</v>
      </c>
      <c r="CB152" s="7">
        <v>2</v>
      </c>
      <c r="CC152" s="7">
        <v>2</v>
      </c>
      <c r="CD152" s="7">
        <v>2</v>
      </c>
      <c r="CE152" s="7">
        <v>2</v>
      </c>
      <c r="CF152" s="7">
        <v>2</v>
      </c>
      <c r="CG152" s="7">
        <v>2</v>
      </c>
      <c r="CH152" s="7">
        <v>2</v>
      </c>
      <c r="CI152" s="7">
        <v>2</v>
      </c>
      <c r="CJ152" s="7">
        <v>2</v>
      </c>
      <c r="CK152" s="7">
        <v>2</v>
      </c>
      <c r="CL152" s="7">
        <v>2</v>
      </c>
      <c r="CM152" s="7">
        <v>2</v>
      </c>
      <c r="CN152" s="7">
        <v>2</v>
      </c>
      <c r="CO152" s="7">
        <v>2</v>
      </c>
      <c r="CP152" s="7">
        <v>2</v>
      </c>
      <c r="CQ152" s="7">
        <v>2</v>
      </c>
      <c r="CR152" s="7">
        <v>2</v>
      </c>
      <c r="CS152" s="7">
        <v>2</v>
      </c>
      <c r="CT152" s="7">
        <v>2</v>
      </c>
      <c r="CU152" s="7">
        <v>2</v>
      </c>
      <c r="CV152" s="7">
        <v>2</v>
      </c>
      <c r="CW152" s="7">
        <v>2</v>
      </c>
      <c r="CX152" s="7">
        <v>2</v>
      </c>
      <c r="CY152" s="7">
        <v>2</v>
      </c>
      <c r="CZ152" s="7">
        <v>1</v>
      </c>
      <c r="DA152" s="7">
        <v>1</v>
      </c>
      <c r="DB152" s="7">
        <v>1</v>
      </c>
      <c r="DC152" s="7">
        <v>1</v>
      </c>
      <c r="DD152" s="7">
        <v>1</v>
      </c>
      <c r="DE152" s="7">
        <v>1</v>
      </c>
      <c r="DF152" s="7">
        <v>1</v>
      </c>
      <c r="DG152" s="7">
        <v>1</v>
      </c>
      <c r="DH152" s="7">
        <v>1</v>
      </c>
      <c r="DI152" s="7">
        <v>1</v>
      </c>
      <c r="DJ152" s="7">
        <v>1</v>
      </c>
      <c r="DK152" s="7">
        <v>1</v>
      </c>
      <c r="DL152" s="7">
        <v>1</v>
      </c>
      <c r="DM152" s="7">
        <v>1</v>
      </c>
      <c r="DN152" s="7">
        <v>1</v>
      </c>
      <c r="DO152" s="7">
        <v>1</v>
      </c>
      <c r="DP152" s="7">
        <v>1</v>
      </c>
      <c r="DQ152" s="7">
        <v>1</v>
      </c>
      <c r="DR152" s="7">
        <v>1</v>
      </c>
      <c r="DS152" s="7">
        <v>1</v>
      </c>
      <c r="DT152" s="7">
        <v>1</v>
      </c>
      <c r="DU152" s="7">
        <v>1</v>
      </c>
      <c r="DV152" s="7">
        <v>1</v>
      </c>
      <c r="DW152" s="7">
        <v>1</v>
      </c>
      <c r="DX152" s="7">
        <v>1</v>
      </c>
      <c r="DY152" s="7">
        <v>1</v>
      </c>
      <c r="DZ152" s="7">
        <v>1</v>
      </c>
      <c r="EA152" s="7">
        <v>1</v>
      </c>
      <c r="EB152" s="7">
        <v>1</v>
      </c>
      <c r="EC152" s="7">
        <v>1</v>
      </c>
      <c r="ED152" s="7">
        <v>1</v>
      </c>
      <c r="EE152" s="7">
        <v>1</v>
      </c>
      <c r="EF152" s="7">
        <v>1</v>
      </c>
      <c r="EG152" s="7">
        <v>1</v>
      </c>
      <c r="EH152" s="7">
        <v>1</v>
      </c>
      <c r="EI152" s="7">
        <v>1</v>
      </c>
      <c r="EJ152" s="7">
        <v>1</v>
      </c>
      <c r="EK152" s="7">
        <v>1</v>
      </c>
      <c r="EL152" s="7">
        <v>1</v>
      </c>
      <c r="EM152" s="7">
        <v>1</v>
      </c>
      <c r="EN152" s="7">
        <v>1</v>
      </c>
      <c r="EO152" s="7">
        <v>1</v>
      </c>
      <c r="EP152" s="7">
        <v>1</v>
      </c>
      <c r="EQ152" s="7">
        <v>1</v>
      </c>
      <c r="ER152" s="7">
        <v>1</v>
      </c>
      <c r="ES152" s="7">
        <v>1</v>
      </c>
      <c r="ET152" s="7">
        <v>1</v>
      </c>
      <c r="EU152" s="7">
        <v>1</v>
      </c>
      <c r="EV152" s="7">
        <v>1</v>
      </c>
      <c r="EW152" s="7">
        <v>1</v>
      </c>
      <c r="EX152" s="7">
        <v>1</v>
      </c>
      <c r="EY152" s="7">
        <v>1</v>
      </c>
      <c r="EZ152" s="7">
        <v>1</v>
      </c>
      <c r="FB152" s="50">
        <f>HLOOKUP(M16,$AU$112:$EZ$213,41,TRUE)</f>
        <v>1</v>
      </c>
      <c r="FD152" s="50">
        <f>HLOOKUP(AL42,$AU$112:$EZ$213,41,TRUE)</f>
        <v>1</v>
      </c>
    </row>
    <row r="153" spans="46:160">
      <c r="AT153" s="112">
        <v>1.585</v>
      </c>
      <c r="AU153" s="7">
        <v>2</v>
      </c>
      <c r="AV153" s="7">
        <v>2</v>
      </c>
      <c r="AW153" s="7">
        <v>2</v>
      </c>
      <c r="AX153" s="7">
        <v>2</v>
      </c>
      <c r="AY153" s="7">
        <v>2</v>
      </c>
      <c r="AZ153" s="7">
        <v>2</v>
      </c>
      <c r="BA153" s="331">
        <v>2</v>
      </c>
      <c r="BB153" s="7">
        <v>2</v>
      </c>
      <c r="BC153" s="7">
        <v>2</v>
      </c>
      <c r="BD153" s="7">
        <v>2</v>
      </c>
      <c r="BE153" s="7">
        <v>2</v>
      </c>
      <c r="BF153" s="7">
        <v>2</v>
      </c>
      <c r="BG153" s="7">
        <v>2</v>
      </c>
      <c r="BH153" s="7">
        <v>2</v>
      </c>
      <c r="BI153" s="7">
        <v>2</v>
      </c>
      <c r="BJ153" s="7">
        <v>2</v>
      </c>
      <c r="BK153" s="7">
        <v>2</v>
      </c>
      <c r="BL153" s="7">
        <v>2</v>
      </c>
      <c r="BM153" s="7">
        <v>2</v>
      </c>
      <c r="BN153" s="7">
        <v>2</v>
      </c>
      <c r="BO153" s="7">
        <v>2</v>
      </c>
      <c r="BP153" s="7">
        <v>2</v>
      </c>
      <c r="BQ153" s="7">
        <v>2</v>
      </c>
      <c r="BR153" s="7">
        <v>2</v>
      </c>
      <c r="BS153" s="7">
        <v>2</v>
      </c>
      <c r="BT153" s="7">
        <v>2</v>
      </c>
      <c r="BU153" s="7">
        <v>2</v>
      </c>
      <c r="BV153" s="7">
        <v>2</v>
      </c>
      <c r="BW153" s="7">
        <v>2</v>
      </c>
      <c r="BX153" s="7">
        <v>2</v>
      </c>
      <c r="BY153" s="7">
        <v>2</v>
      </c>
      <c r="BZ153" s="7">
        <v>2</v>
      </c>
      <c r="CA153" s="7">
        <v>2</v>
      </c>
      <c r="CB153" s="7">
        <v>2</v>
      </c>
      <c r="CC153" s="7">
        <v>2</v>
      </c>
      <c r="CD153" s="7">
        <v>2</v>
      </c>
      <c r="CE153" s="7">
        <v>2</v>
      </c>
      <c r="CF153" s="7">
        <v>2</v>
      </c>
      <c r="CG153" s="7">
        <v>2</v>
      </c>
      <c r="CH153" s="7">
        <v>2</v>
      </c>
      <c r="CI153" s="7">
        <v>2</v>
      </c>
      <c r="CJ153" s="7">
        <v>2</v>
      </c>
      <c r="CK153" s="7">
        <v>2</v>
      </c>
      <c r="CL153" s="7">
        <v>2</v>
      </c>
      <c r="CM153" s="7">
        <v>2</v>
      </c>
      <c r="CN153" s="7">
        <v>2</v>
      </c>
      <c r="CO153" s="7">
        <v>2</v>
      </c>
      <c r="CP153" s="7">
        <v>2</v>
      </c>
      <c r="CQ153" s="7">
        <v>2</v>
      </c>
      <c r="CR153" s="7">
        <v>2</v>
      </c>
      <c r="CS153" s="7">
        <v>2</v>
      </c>
      <c r="CT153" s="7">
        <v>2</v>
      </c>
      <c r="CU153" s="7">
        <v>2</v>
      </c>
      <c r="CV153" s="7">
        <v>2</v>
      </c>
      <c r="CW153" s="7">
        <v>2</v>
      </c>
      <c r="CX153" s="7">
        <v>2</v>
      </c>
      <c r="CY153" s="7">
        <v>2</v>
      </c>
      <c r="CZ153" s="7">
        <v>2</v>
      </c>
      <c r="DA153" s="7">
        <v>1</v>
      </c>
      <c r="DB153" s="7">
        <v>1</v>
      </c>
      <c r="DC153" s="7">
        <v>1</v>
      </c>
      <c r="DD153" s="7">
        <v>1</v>
      </c>
      <c r="DE153" s="7">
        <v>1</v>
      </c>
      <c r="DF153" s="7">
        <v>1</v>
      </c>
      <c r="DG153" s="7">
        <v>1</v>
      </c>
      <c r="DH153" s="7">
        <v>1</v>
      </c>
      <c r="DI153" s="7">
        <v>1</v>
      </c>
      <c r="DJ153" s="7">
        <v>1</v>
      </c>
      <c r="DK153" s="7">
        <v>1</v>
      </c>
      <c r="DL153" s="7">
        <v>1</v>
      </c>
      <c r="DM153" s="7">
        <v>1</v>
      </c>
      <c r="DN153" s="7">
        <v>1</v>
      </c>
      <c r="DO153" s="7">
        <v>1</v>
      </c>
      <c r="DP153" s="7">
        <v>1</v>
      </c>
      <c r="DQ153" s="7">
        <v>1</v>
      </c>
      <c r="DR153" s="7">
        <v>1</v>
      </c>
      <c r="DS153" s="7">
        <v>1</v>
      </c>
      <c r="DT153" s="7">
        <v>1</v>
      </c>
      <c r="DU153" s="7">
        <v>1</v>
      </c>
      <c r="DV153" s="7">
        <v>1</v>
      </c>
      <c r="DW153" s="7">
        <v>1</v>
      </c>
      <c r="DX153" s="7">
        <v>1</v>
      </c>
      <c r="DY153" s="7">
        <v>1</v>
      </c>
      <c r="DZ153" s="7">
        <v>1</v>
      </c>
      <c r="EA153" s="7">
        <v>1</v>
      </c>
      <c r="EB153" s="7">
        <v>1</v>
      </c>
      <c r="EC153" s="7">
        <v>1</v>
      </c>
      <c r="ED153" s="7">
        <v>1</v>
      </c>
      <c r="EE153" s="7">
        <v>1</v>
      </c>
      <c r="EF153" s="7">
        <v>1</v>
      </c>
      <c r="EG153" s="7">
        <v>1</v>
      </c>
      <c r="EH153" s="7">
        <v>1</v>
      </c>
      <c r="EI153" s="7">
        <v>1</v>
      </c>
      <c r="EJ153" s="7">
        <v>1</v>
      </c>
      <c r="EK153" s="7">
        <v>1</v>
      </c>
      <c r="EL153" s="7">
        <v>1</v>
      </c>
      <c r="EM153" s="7">
        <v>1</v>
      </c>
      <c r="EN153" s="7">
        <v>1</v>
      </c>
      <c r="EO153" s="7">
        <v>1</v>
      </c>
      <c r="EP153" s="7">
        <v>1</v>
      </c>
      <c r="EQ153" s="7">
        <v>1</v>
      </c>
      <c r="ER153" s="7">
        <v>1</v>
      </c>
      <c r="ES153" s="7">
        <v>1</v>
      </c>
      <c r="ET153" s="7">
        <v>1</v>
      </c>
      <c r="EU153" s="7">
        <v>1</v>
      </c>
      <c r="EV153" s="7">
        <v>1</v>
      </c>
      <c r="EW153" s="7">
        <v>1</v>
      </c>
      <c r="EX153" s="7">
        <v>1</v>
      </c>
      <c r="EY153" s="7">
        <v>1</v>
      </c>
      <c r="EZ153" s="7">
        <v>1</v>
      </c>
      <c r="FB153" s="50">
        <f>HLOOKUP(M16,$AU$112:$EZ$213,42,TRUE)</f>
        <v>1</v>
      </c>
      <c r="FD153" s="50">
        <f>HLOOKUP(AL42,$AU$112:$EZ$213,42,TRUE)</f>
        <v>1</v>
      </c>
    </row>
    <row r="154" spans="46:160">
      <c r="AT154" s="112">
        <v>1.698</v>
      </c>
      <c r="AU154" s="7">
        <v>2</v>
      </c>
      <c r="AV154" s="7">
        <v>2</v>
      </c>
      <c r="AW154" s="7">
        <v>2</v>
      </c>
      <c r="AX154" s="7">
        <v>2</v>
      </c>
      <c r="AY154" s="7">
        <v>2</v>
      </c>
      <c r="AZ154" s="7">
        <v>2</v>
      </c>
      <c r="BA154" s="331">
        <v>2</v>
      </c>
      <c r="BB154" s="7">
        <v>2</v>
      </c>
      <c r="BC154" s="7">
        <v>2</v>
      </c>
      <c r="BD154" s="7">
        <v>2</v>
      </c>
      <c r="BE154" s="7">
        <v>2</v>
      </c>
      <c r="BF154" s="7">
        <v>2</v>
      </c>
      <c r="BG154" s="7">
        <v>2</v>
      </c>
      <c r="BH154" s="7">
        <v>2</v>
      </c>
      <c r="BI154" s="7">
        <v>2</v>
      </c>
      <c r="BJ154" s="7">
        <v>2</v>
      </c>
      <c r="BK154" s="7">
        <v>2</v>
      </c>
      <c r="BL154" s="7">
        <v>2</v>
      </c>
      <c r="BM154" s="7">
        <v>2</v>
      </c>
      <c r="BN154" s="7">
        <v>2</v>
      </c>
      <c r="BO154" s="7">
        <v>2</v>
      </c>
      <c r="BP154" s="7">
        <v>2</v>
      </c>
      <c r="BQ154" s="7">
        <v>2</v>
      </c>
      <c r="BR154" s="7">
        <v>2</v>
      </c>
      <c r="BS154" s="7">
        <v>2</v>
      </c>
      <c r="BT154" s="7">
        <v>2</v>
      </c>
      <c r="BU154" s="7">
        <v>2</v>
      </c>
      <c r="BV154" s="7">
        <v>2</v>
      </c>
      <c r="BW154" s="7">
        <v>2</v>
      </c>
      <c r="BX154" s="7">
        <v>2</v>
      </c>
      <c r="BY154" s="7">
        <v>2</v>
      </c>
      <c r="BZ154" s="7">
        <v>2</v>
      </c>
      <c r="CA154" s="7">
        <v>2</v>
      </c>
      <c r="CB154" s="7">
        <v>2</v>
      </c>
      <c r="CC154" s="7">
        <v>2</v>
      </c>
      <c r="CD154" s="7">
        <v>2</v>
      </c>
      <c r="CE154" s="7">
        <v>2</v>
      </c>
      <c r="CF154" s="7">
        <v>2</v>
      </c>
      <c r="CG154" s="7">
        <v>2</v>
      </c>
      <c r="CH154" s="7">
        <v>2</v>
      </c>
      <c r="CI154" s="7">
        <v>2</v>
      </c>
      <c r="CJ154" s="7">
        <v>2</v>
      </c>
      <c r="CK154" s="7">
        <v>2</v>
      </c>
      <c r="CL154" s="7">
        <v>2</v>
      </c>
      <c r="CM154" s="7">
        <v>2</v>
      </c>
      <c r="CN154" s="7">
        <v>2</v>
      </c>
      <c r="CO154" s="7">
        <v>2</v>
      </c>
      <c r="CP154" s="7">
        <v>2</v>
      </c>
      <c r="CQ154" s="7">
        <v>2</v>
      </c>
      <c r="CR154" s="7">
        <v>2</v>
      </c>
      <c r="CS154" s="7">
        <v>2</v>
      </c>
      <c r="CT154" s="7">
        <v>2</v>
      </c>
      <c r="CU154" s="7">
        <v>2</v>
      </c>
      <c r="CV154" s="7">
        <v>2</v>
      </c>
      <c r="CW154" s="7">
        <v>2</v>
      </c>
      <c r="CX154" s="7">
        <v>2</v>
      </c>
      <c r="CY154" s="7">
        <v>2</v>
      </c>
      <c r="CZ154" s="7">
        <v>2</v>
      </c>
      <c r="DA154" s="7">
        <v>2</v>
      </c>
      <c r="DB154" s="7">
        <v>1</v>
      </c>
      <c r="DC154" s="7">
        <v>1</v>
      </c>
      <c r="DD154" s="7">
        <v>1</v>
      </c>
      <c r="DE154" s="7">
        <v>1</v>
      </c>
      <c r="DF154" s="7">
        <v>1</v>
      </c>
      <c r="DG154" s="7">
        <v>1</v>
      </c>
      <c r="DH154" s="7">
        <v>1</v>
      </c>
      <c r="DI154" s="7">
        <v>1</v>
      </c>
      <c r="DJ154" s="7">
        <v>1</v>
      </c>
      <c r="DK154" s="7">
        <v>1</v>
      </c>
      <c r="DL154" s="7">
        <v>1</v>
      </c>
      <c r="DM154" s="7">
        <v>1</v>
      </c>
      <c r="DN154" s="7">
        <v>1</v>
      </c>
      <c r="DO154" s="7">
        <v>1</v>
      </c>
      <c r="DP154" s="7">
        <v>1</v>
      </c>
      <c r="DQ154" s="7">
        <v>1</v>
      </c>
      <c r="DR154" s="7">
        <v>1</v>
      </c>
      <c r="DS154" s="7">
        <v>1</v>
      </c>
      <c r="DT154" s="7">
        <v>1</v>
      </c>
      <c r="DU154" s="7">
        <v>1</v>
      </c>
      <c r="DV154" s="7">
        <v>1</v>
      </c>
      <c r="DW154" s="7">
        <v>1</v>
      </c>
      <c r="DX154" s="7">
        <v>1</v>
      </c>
      <c r="DY154" s="7">
        <v>1</v>
      </c>
      <c r="DZ154" s="7">
        <v>1</v>
      </c>
      <c r="EA154" s="7">
        <v>1</v>
      </c>
      <c r="EB154" s="7">
        <v>1</v>
      </c>
      <c r="EC154" s="7">
        <v>1</v>
      </c>
      <c r="ED154" s="7">
        <v>1</v>
      </c>
      <c r="EE154" s="7">
        <v>1</v>
      </c>
      <c r="EF154" s="7">
        <v>1</v>
      </c>
      <c r="EG154" s="7">
        <v>1</v>
      </c>
      <c r="EH154" s="7">
        <v>1</v>
      </c>
      <c r="EI154" s="7">
        <v>1</v>
      </c>
      <c r="EJ154" s="7">
        <v>1</v>
      </c>
      <c r="EK154" s="7">
        <v>1</v>
      </c>
      <c r="EL154" s="7">
        <v>1</v>
      </c>
      <c r="EM154" s="7">
        <v>1</v>
      </c>
      <c r="EN154" s="7">
        <v>1</v>
      </c>
      <c r="EO154" s="7">
        <v>1</v>
      </c>
      <c r="EP154" s="7">
        <v>1</v>
      </c>
      <c r="EQ154" s="7">
        <v>1</v>
      </c>
      <c r="ER154" s="7">
        <v>1</v>
      </c>
      <c r="ES154" s="7">
        <v>1</v>
      </c>
      <c r="ET154" s="7">
        <v>1</v>
      </c>
      <c r="EU154" s="7">
        <v>1</v>
      </c>
      <c r="EV154" s="7">
        <v>1</v>
      </c>
      <c r="EW154" s="7">
        <v>1</v>
      </c>
      <c r="EX154" s="7">
        <v>1</v>
      </c>
      <c r="EY154" s="7">
        <v>1</v>
      </c>
      <c r="EZ154" s="7">
        <v>1</v>
      </c>
      <c r="FB154" s="50">
        <f>HLOOKUP(M16,$AU$112:$EZ$213,43,TRUE)</f>
        <v>1</v>
      </c>
      <c r="FD154" s="50">
        <f>HLOOKUP(AL42,$AU$112:$EZ$213,43,TRUE)</f>
        <v>1</v>
      </c>
    </row>
    <row r="155" spans="46:160">
      <c r="AT155" s="112">
        <v>1.82</v>
      </c>
      <c r="AU155" s="7">
        <v>2</v>
      </c>
      <c r="AV155" s="7">
        <v>2</v>
      </c>
      <c r="AW155" s="7">
        <v>2</v>
      </c>
      <c r="AX155" s="7">
        <v>2</v>
      </c>
      <c r="AY155" s="7">
        <v>2</v>
      </c>
      <c r="AZ155" s="7">
        <v>2</v>
      </c>
      <c r="BA155" s="331">
        <v>2</v>
      </c>
      <c r="BB155" s="7">
        <v>2</v>
      </c>
      <c r="BC155" s="7">
        <v>2</v>
      </c>
      <c r="BD155" s="7">
        <v>2</v>
      </c>
      <c r="BE155" s="7">
        <v>2</v>
      </c>
      <c r="BF155" s="7">
        <v>2</v>
      </c>
      <c r="BG155" s="7">
        <v>2</v>
      </c>
      <c r="BH155" s="7">
        <v>2</v>
      </c>
      <c r="BI155" s="7">
        <v>2</v>
      </c>
      <c r="BJ155" s="7">
        <v>2</v>
      </c>
      <c r="BK155" s="7">
        <v>2</v>
      </c>
      <c r="BL155" s="7">
        <v>2</v>
      </c>
      <c r="BM155" s="7">
        <v>2</v>
      </c>
      <c r="BN155" s="7">
        <v>2</v>
      </c>
      <c r="BO155" s="7">
        <v>2</v>
      </c>
      <c r="BP155" s="7">
        <v>2</v>
      </c>
      <c r="BQ155" s="7">
        <v>2</v>
      </c>
      <c r="BR155" s="7">
        <v>2</v>
      </c>
      <c r="BS155" s="7">
        <v>2</v>
      </c>
      <c r="BT155" s="7">
        <v>2</v>
      </c>
      <c r="BU155" s="7">
        <v>2</v>
      </c>
      <c r="BV155" s="7">
        <v>2</v>
      </c>
      <c r="BW155" s="7">
        <v>2</v>
      </c>
      <c r="BX155" s="7">
        <v>2</v>
      </c>
      <c r="BY155" s="7">
        <v>2</v>
      </c>
      <c r="BZ155" s="7">
        <v>2</v>
      </c>
      <c r="CA155" s="7">
        <v>2</v>
      </c>
      <c r="CB155" s="7">
        <v>2</v>
      </c>
      <c r="CC155" s="7">
        <v>2</v>
      </c>
      <c r="CD155" s="7">
        <v>2</v>
      </c>
      <c r="CE155" s="7">
        <v>2</v>
      </c>
      <c r="CF155" s="7">
        <v>2</v>
      </c>
      <c r="CG155" s="7">
        <v>2</v>
      </c>
      <c r="CH155" s="7">
        <v>2</v>
      </c>
      <c r="CI155" s="7">
        <v>2</v>
      </c>
      <c r="CJ155" s="7">
        <v>2</v>
      </c>
      <c r="CK155" s="7">
        <v>2</v>
      </c>
      <c r="CL155" s="7">
        <v>2</v>
      </c>
      <c r="CM155" s="7">
        <v>2</v>
      </c>
      <c r="CN155" s="7">
        <v>2</v>
      </c>
      <c r="CO155" s="7">
        <v>2</v>
      </c>
      <c r="CP155" s="7">
        <v>2</v>
      </c>
      <c r="CQ155" s="7">
        <v>2</v>
      </c>
      <c r="CR155" s="7">
        <v>2</v>
      </c>
      <c r="CS155" s="7">
        <v>2</v>
      </c>
      <c r="CT155" s="7">
        <v>2</v>
      </c>
      <c r="CU155" s="7">
        <v>2</v>
      </c>
      <c r="CV155" s="7">
        <v>2</v>
      </c>
      <c r="CW155" s="7">
        <v>2</v>
      </c>
      <c r="CX155" s="7">
        <v>2</v>
      </c>
      <c r="CY155" s="7">
        <v>2</v>
      </c>
      <c r="CZ155" s="7">
        <v>2</v>
      </c>
      <c r="DA155" s="7">
        <v>2</v>
      </c>
      <c r="DB155" s="7">
        <v>2</v>
      </c>
      <c r="DC155" s="7">
        <v>1</v>
      </c>
      <c r="DD155" s="7">
        <v>1</v>
      </c>
      <c r="DE155" s="7">
        <v>1</v>
      </c>
      <c r="DF155" s="7">
        <v>1</v>
      </c>
      <c r="DG155" s="7">
        <v>1</v>
      </c>
      <c r="DH155" s="7">
        <v>1</v>
      </c>
      <c r="DI155" s="7">
        <v>1</v>
      </c>
      <c r="DJ155" s="7">
        <v>1</v>
      </c>
      <c r="DK155" s="7">
        <v>1</v>
      </c>
      <c r="DL155" s="7">
        <v>1</v>
      </c>
      <c r="DM155" s="7">
        <v>1</v>
      </c>
      <c r="DN155" s="7">
        <v>1</v>
      </c>
      <c r="DO155" s="7">
        <v>1</v>
      </c>
      <c r="DP155" s="7">
        <v>1</v>
      </c>
      <c r="DQ155" s="7">
        <v>1</v>
      </c>
      <c r="DR155" s="7">
        <v>1</v>
      </c>
      <c r="DS155" s="7">
        <v>1</v>
      </c>
      <c r="DT155" s="7">
        <v>1</v>
      </c>
      <c r="DU155" s="7">
        <v>1</v>
      </c>
      <c r="DV155" s="7">
        <v>1</v>
      </c>
      <c r="DW155" s="7">
        <v>1</v>
      </c>
      <c r="DX155" s="7">
        <v>1</v>
      </c>
      <c r="DY155" s="7">
        <v>1</v>
      </c>
      <c r="DZ155" s="7">
        <v>1</v>
      </c>
      <c r="EA155" s="7">
        <v>1</v>
      </c>
      <c r="EB155" s="7">
        <v>1</v>
      </c>
      <c r="EC155" s="7">
        <v>1</v>
      </c>
      <c r="ED155" s="7">
        <v>1</v>
      </c>
      <c r="EE155" s="7">
        <v>1</v>
      </c>
      <c r="EF155" s="7">
        <v>1</v>
      </c>
      <c r="EG155" s="7">
        <v>1</v>
      </c>
      <c r="EH155" s="7">
        <v>1</v>
      </c>
      <c r="EI155" s="7">
        <v>1</v>
      </c>
      <c r="EJ155" s="7">
        <v>1</v>
      </c>
      <c r="EK155" s="7">
        <v>1</v>
      </c>
      <c r="EL155" s="7">
        <v>1</v>
      </c>
      <c r="EM155" s="7">
        <v>1</v>
      </c>
      <c r="EN155" s="7">
        <v>1</v>
      </c>
      <c r="EO155" s="7">
        <v>1</v>
      </c>
      <c r="EP155" s="7">
        <v>1</v>
      </c>
      <c r="EQ155" s="7">
        <v>1</v>
      </c>
      <c r="ER155" s="7">
        <v>1</v>
      </c>
      <c r="ES155" s="7">
        <v>1</v>
      </c>
      <c r="ET155" s="7">
        <v>1</v>
      </c>
      <c r="EU155" s="7">
        <v>1</v>
      </c>
      <c r="EV155" s="7">
        <v>1</v>
      </c>
      <c r="EW155" s="7">
        <v>1</v>
      </c>
      <c r="EX155" s="7">
        <v>1</v>
      </c>
      <c r="EY155" s="7">
        <v>1</v>
      </c>
      <c r="EZ155" s="7">
        <v>1</v>
      </c>
      <c r="FB155" s="50">
        <f>HLOOKUP(M16,$AU$112:$EZ$213,44,TRUE)</f>
        <v>1</v>
      </c>
      <c r="FD155" s="50">
        <f>HLOOKUP(AL42,$AU$112:$EZ$213,44,TRUE)</f>
        <v>1</v>
      </c>
    </row>
    <row r="156" spans="46:160">
      <c r="AT156" s="112">
        <v>1.95</v>
      </c>
      <c r="AU156" s="7">
        <v>2</v>
      </c>
      <c r="AV156" s="7">
        <v>2</v>
      </c>
      <c r="AW156" s="7">
        <v>2</v>
      </c>
      <c r="AX156" s="7">
        <v>2</v>
      </c>
      <c r="AY156" s="7">
        <v>2</v>
      </c>
      <c r="AZ156" s="7">
        <v>2</v>
      </c>
      <c r="BA156" s="331">
        <v>2</v>
      </c>
      <c r="BB156" s="7">
        <v>2</v>
      </c>
      <c r="BC156" s="7">
        <v>2</v>
      </c>
      <c r="BD156" s="7">
        <v>2</v>
      </c>
      <c r="BE156" s="7">
        <v>2</v>
      </c>
      <c r="BF156" s="7">
        <v>2</v>
      </c>
      <c r="BG156" s="7">
        <v>2</v>
      </c>
      <c r="BH156" s="7">
        <v>2</v>
      </c>
      <c r="BI156" s="7">
        <v>2</v>
      </c>
      <c r="BJ156" s="7">
        <v>2</v>
      </c>
      <c r="BK156" s="7">
        <v>2</v>
      </c>
      <c r="BL156" s="7">
        <v>2</v>
      </c>
      <c r="BM156" s="7">
        <v>2</v>
      </c>
      <c r="BN156" s="7">
        <v>2</v>
      </c>
      <c r="BO156" s="7">
        <v>2</v>
      </c>
      <c r="BP156" s="7">
        <v>2</v>
      </c>
      <c r="BQ156" s="7">
        <v>2</v>
      </c>
      <c r="BR156" s="7">
        <v>2</v>
      </c>
      <c r="BS156" s="7">
        <v>2</v>
      </c>
      <c r="BT156" s="7">
        <v>2</v>
      </c>
      <c r="BU156" s="7">
        <v>2</v>
      </c>
      <c r="BV156" s="7">
        <v>2</v>
      </c>
      <c r="BW156" s="7">
        <v>2</v>
      </c>
      <c r="BX156" s="7">
        <v>2</v>
      </c>
      <c r="BY156" s="7">
        <v>2</v>
      </c>
      <c r="BZ156" s="7">
        <v>2</v>
      </c>
      <c r="CA156" s="7">
        <v>2</v>
      </c>
      <c r="CB156" s="7">
        <v>2</v>
      </c>
      <c r="CC156" s="7">
        <v>2</v>
      </c>
      <c r="CD156" s="7">
        <v>2</v>
      </c>
      <c r="CE156" s="7">
        <v>2</v>
      </c>
      <c r="CF156" s="7">
        <v>2</v>
      </c>
      <c r="CG156" s="7">
        <v>2</v>
      </c>
      <c r="CH156" s="7">
        <v>2</v>
      </c>
      <c r="CI156" s="7">
        <v>2</v>
      </c>
      <c r="CJ156" s="7">
        <v>2</v>
      </c>
      <c r="CK156" s="7">
        <v>2</v>
      </c>
      <c r="CL156" s="7">
        <v>2</v>
      </c>
      <c r="CM156" s="7">
        <v>2</v>
      </c>
      <c r="CN156" s="7">
        <v>2</v>
      </c>
      <c r="CO156" s="7">
        <v>2</v>
      </c>
      <c r="CP156" s="7">
        <v>2</v>
      </c>
      <c r="CQ156" s="7">
        <v>2</v>
      </c>
      <c r="CR156" s="7">
        <v>2</v>
      </c>
      <c r="CS156" s="7">
        <v>2</v>
      </c>
      <c r="CT156" s="7">
        <v>2</v>
      </c>
      <c r="CU156" s="7">
        <v>2</v>
      </c>
      <c r="CV156" s="7">
        <v>2</v>
      </c>
      <c r="CW156" s="7">
        <v>2</v>
      </c>
      <c r="CX156" s="7">
        <v>2</v>
      </c>
      <c r="CY156" s="7">
        <v>2</v>
      </c>
      <c r="CZ156" s="7">
        <v>2</v>
      </c>
      <c r="DA156" s="7">
        <v>2</v>
      </c>
      <c r="DB156" s="7">
        <v>2</v>
      </c>
      <c r="DC156" s="7">
        <v>2</v>
      </c>
      <c r="DD156" s="7">
        <v>1</v>
      </c>
      <c r="DE156" s="7">
        <v>1</v>
      </c>
      <c r="DF156" s="7">
        <v>1</v>
      </c>
      <c r="DG156" s="7">
        <v>1</v>
      </c>
      <c r="DH156" s="7">
        <v>1</v>
      </c>
      <c r="DI156" s="7">
        <v>1</v>
      </c>
      <c r="DJ156" s="7">
        <v>1</v>
      </c>
      <c r="DK156" s="7">
        <v>1</v>
      </c>
      <c r="DL156" s="7">
        <v>1</v>
      </c>
      <c r="DM156" s="7">
        <v>1</v>
      </c>
      <c r="DN156" s="7">
        <v>1</v>
      </c>
      <c r="DO156" s="7">
        <v>1</v>
      </c>
      <c r="DP156" s="7">
        <v>1</v>
      </c>
      <c r="DQ156" s="7">
        <v>1</v>
      </c>
      <c r="DR156" s="7">
        <v>1</v>
      </c>
      <c r="DS156" s="7">
        <v>1</v>
      </c>
      <c r="DT156" s="7">
        <v>1</v>
      </c>
      <c r="DU156" s="7">
        <v>1</v>
      </c>
      <c r="DV156" s="7">
        <v>1</v>
      </c>
      <c r="DW156" s="7">
        <v>1</v>
      </c>
      <c r="DX156" s="7">
        <v>1</v>
      </c>
      <c r="DY156" s="7">
        <v>1</v>
      </c>
      <c r="DZ156" s="7">
        <v>1</v>
      </c>
      <c r="EA156" s="7">
        <v>1</v>
      </c>
      <c r="EB156" s="7">
        <v>1</v>
      </c>
      <c r="EC156" s="7">
        <v>1</v>
      </c>
      <c r="ED156" s="7">
        <v>1</v>
      </c>
      <c r="EE156" s="7">
        <v>1</v>
      </c>
      <c r="EF156" s="7">
        <v>1</v>
      </c>
      <c r="EG156" s="7">
        <v>1</v>
      </c>
      <c r="EH156" s="7">
        <v>1</v>
      </c>
      <c r="EI156" s="7">
        <v>1</v>
      </c>
      <c r="EJ156" s="7">
        <v>1</v>
      </c>
      <c r="EK156" s="7">
        <v>1</v>
      </c>
      <c r="EL156" s="7">
        <v>1</v>
      </c>
      <c r="EM156" s="7">
        <v>1</v>
      </c>
      <c r="EN156" s="7">
        <v>1</v>
      </c>
      <c r="EO156" s="7">
        <v>1</v>
      </c>
      <c r="EP156" s="7">
        <v>1</v>
      </c>
      <c r="EQ156" s="7">
        <v>1</v>
      </c>
      <c r="ER156" s="7">
        <v>1</v>
      </c>
      <c r="ES156" s="7">
        <v>1</v>
      </c>
      <c r="ET156" s="7">
        <v>1</v>
      </c>
      <c r="EU156" s="7">
        <v>1</v>
      </c>
      <c r="EV156" s="7">
        <v>1</v>
      </c>
      <c r="EW156" s="7">
        <v>1</v>
      </c>
      <c r="EX156" s="7">
        <v>1</v>
      </c>
      <c r="EY156" s="7">
        <v>1</v>
      </c>
      <c r="EZ156" s="7">
        <v>1</v>
      </c>
      <c r="FB156" s="50">
        <f>HLOOKUP(M16,$AU$112:$EZ$213,45,TRUE)</f>
        <v>1</v>
      </c>
      <c r="FD156" s="50">
        <f>HLOOKUP(AL42,$AU$112:$EZ$213,45,TRUE)</f>
        <v>1</v>
      </c>
    </row>
    <row r="157" spans="46:160">
      <c r="AT157" s="112">
        <v>2.089</v>
      </c>
      <c r="AU157" s="7">
        <v>2</v>
      </c>
      <c r="AV157" s="7">
        <v>2</v>
      </c>
      <c r="AW157" s="7">
        <v>2</v>
      </c>
      <c r="AX157" s="7">
        <v>2</v>
      </c>
      <c r="AY157" s="7">
        <v>2</v>
      </c>
      <c r="AZ157" s="7">
        <v>2</v>
      </c>
      <c r="BA157" s="331">
        <v>2</v>
      </c>
      <c r="BB157" s="7">
        <v>2</v>
      </c>
      <c r="BC157" s="7">
        <v>2</v>
      </c>
      <c r="BD157" s="7">
        <v>2</v>
      </c>
      <c r="BE157" s="7">
        <v>2</v>
      </c>
      <c r="BF157" s="7">
        <v>2</v>
      </c>
      <c r="BG157" s="7">
        <v>2</v>
      </c>
      <c r="BH157" s="7">
        <v>2</v>
      </c>
      <c r="BI157" s="7">
        <v>2</v>
      </c>
      <c r="BJ157" s="7">
        <v>2</v>
      </c>
      <c r="BK157" s="7">
        <v>2</v>
      </c>
      <c r="BL157" s="7">
        <v>2</v>
      </c>
      <c r="BM157" s="7">
        <v>2</v>
      </c>
      <c r="BN157" s="7">
        <v>2</v>
      </c>
      <c r="BO157" s="7">
        <v>2</v>
      </c>
      <c r="BP157" s="7">
        <v>2</v>
      </c>
      <c r="BQ157" s="7">
        <v>2</v>
      </c>
      <c r="BR157" s="7">
        <v>2</v>
      </c>
      <c r="BS157" s="7">
        <v>2</v>
      </c>
      <c r="BT157" s="7">
        <v>2</v>
      </c>
      <c r="BU157" s="7">
        <v>2</v>
      </c>
      <c r="BV157" s="7">
        <v>2</v>
      </c>
      <c r="BW157" s="7">
        <v>2</v>
      </c>
      <c r="BX157" s="7">
        <v>2</v>
      </c>
      <c r="BY157" s="7">
        <v>2</v>
      </c>
      <c r="BZ157" s="7">
        <v>2</v>
      </c>
      <c r="CA157" s="7">
        <v>2</v>
      </c>
      <c r="CB157" s="7">
        <v>2</v>
      </c>
      <c r="CC157" s="7">
        <v>2</v>
      </c>
      <c r="CD157" s="7">
        <v>2</v>
      </c>
      <c r="CE157" s="7">
        <v>2</v>
      </c>
      <c r="CF157" s="7">
        <v>2</v>
      </c>
      <c r="CG157" s="7">
        <v>2</v>
      </c>
      <c r="CH157" s="7">
        <v>2</v>
      </c>
      <c r="CI157" s="7">
        <v>2</v>
      </c>
      <c r="CJ157" s="7">
        <v>2</v>
      </c>
      <c r="CK157" s="7">
        <v>2</v>
      </c>
      <c r="CL157" s="7">
        <v>2</v>
      </c>
      <c r="CM157" s="7">
        <v>2</v>
      </c>
      <c r="CN157" s="7">
        <v>2</v>
      </c>
      <c r="CO157" s="7">
        <v>2</v>
      </c>
      <c r="CP157" s="7">
        <v>2</v>
      </c>
      <c r="CQ157" s="7">
        <v>2</v>
      </c>
      <c r="CR157" s="7">
        <v>2</v>
      </c>
      <c r="CS157" s="7">
        <v>2</v>
      </c>
      <c r="CT157" s="7">
        <v>2</v>
      </c>
      <c r="CU157" s="7">
        <v>2</v>
      </c>
      <c r="CV157" s="7">
        <v>2</v>
      </c>
      <c r="CW157" s="7">
        <v>2</v>
      </c>
      <c r="CX157" s="7">
        <v>2</v>
      </c>
      <c r="CY157" s="7">
        <v>2</v>
      </c>
      <c r="CZ157" s="7">
        <v>2</v>
      </c>
      <c r="DA157" s="7">
        <v>2</v>
      </c>
      <c r="DB157" s="7">
        <v>2</v>
      </c>
      <c r="DC157" s="7">
        <v>2</v>
      </c>
      <c r="DD157" s="7">
        <v>2</v>
      </c>
      <c r="DE157" s="7">
        <v>1</v>
      </c>
      <c r="DF157" s="7">
        <v>1</v>
      </c>
      <c r="DG157" s="7">
        <v>1</v>
      </c>
      <c r="DH157" s="7">
        <v>1</v>
      </c>
      <c r="DI157" s="7">
        <v>1</v>
      </c>
      <c r="DJ157" s="7">
        <v>1</v>
      </c>
      <c r="DK157" s="7">
        <v>1</v>
      </c>
      <c r="DL157" s="7">
        <v>1</v>
      </c>
      <c r="DM157" s="7">
        <v>1</v>
      </c>
      <c r="DN157" s="7">
        <v>1</v>
      </c>
      <c r="DO157" s="7">
        <v>1</v>
      </c>
      <c r="DP157" s="7">
        <v>1</v>
      </c>
      <c r="DQ157" s="7">
        <v>1</v>
      </c>
      <c r="DR157" s="7">
        <v>1</v>
      </c>
      <c r="DS157" s="7">
        <v>1</v>
      </c>
      <c r="DT157" s="7">
        <v>1</v>
      </c>
      <c r="DU157" s="7">
        <v>1</v>
      </c>
      <c r="DV157" s="7">
        <v>1</v>
      </c>
      <c r="DW157" s="7">
        <v>1</v>
      </c>
      <c r="DX157" s="7">
        <v>1</v>
      </c>
      <c r="DY157" s="7">
        <v>1</v>
      </c>
      <c r="DZ157" s="7">
        <v>1</v>
      </c>
      <c r="EA157" s="7">
        <v>1</v>
      </c>
      <c r="EB157" s="7">
        <v>1</v>
      </c>
      <c r="EC157" s="7">
        <v>1</v>
      </c>
      <c r="ED157" s="7">
        <v>1</v>
      </c>
      <c r="EE157" s="7">
        <v>1</v>
      </c>
      <c r="EF157" s="7">
        <v>1</v>
      </c>
      <c r="EG157" s="7">
        <v>1</v>
      </c>
      <c r="EH157" s="7">
        <v>1</v>
      </c>
      <c r="EI157" s="7">
        <v>1</v>
      </c>
      <c r="EJ157" s="7">
        <v>1</v>
      </c>
      <c r="EK157" s="7">
        <v>1</v>
      </c>
      <c r="EL157" s="7">
        <v>1</v>
      </c>
      <c r="EM157" s="7">
        <v>1</v>
      </c>
      <c r="EN157" s="7">
        <v>1</v>
      </c>
      <c r="EO157" s="7">
        <v>1</v>
      </c>
      <c r="EP157" s="7">
        <v>1</v>
      </c>
      <c r="EQ157" s="7">
        <v>1</v>
      </c>
      <c r="ER157" s="7">
        <v>1</v>
      </c>
      <c r="ES157" s="7">
        <v>1</v>
      </c>
      <c r="ET157" s="7">
        <v>1</v>
      </c>
      <c r="EU157" s="7">
        <v>1</v>
      </c>
      <c r="EV157" s="7">
        <v>1</v>
      </c>
      <c r="EW157" s="7">
        <v>1</v>
      </c>
      <c r="EX157" s="7">
        <v>1</v>
      </c>
      <c r="EY157" s="7">
        <v>1</v>
      </c>
      <c r="EZ157" s="7">
        <v>1</v>
      </c>
      <c r="FB157" s="50">
        <f>HLOOKUP(M16,$AU$112:$EZ$213,46,TRUE)</f>
        <v>1</v>
      </c>
      <c r="FD157" s="50">
        <f>HLOOKUP(AL42,$AU$112:$EZ$213,46,TRUE)</f>
        <v>1</v>
      </c>
    </row>
    <row r="158" spans="46:160">
      <c r="AT158" s="112">
        <v>2.2389999999999999</v>
      </c>
      <c r="AU158" s="7">
        <v>2</v>
      </c>
      <c r="AV158" s="7">
        <v>2</v>
      </c>
      <c r="AW158" s="7">
        <v>2</v>
      </c>
      <c r="AX158" s="7">
        <v>2</v>
      </c>
      <c r="AY158" s="7">
        <v>2</v>
      </c>
      <c r="AZ158" s="7">
        <v>2</v>
      </c>
      <c r="BA158" s="331">
        <v>2</v>
      </c>
      <c r="BB158" s="7">
        <v>2</v>
      </c>
      <c r="BC158" s="7">
        <v>2</v>
      </c>
      <c r="BD158" s="7">
        <v>2</v>
      </c>
      <c r="BE158" s="7">
        <v>2</v>
      </c>
      <c r="BF158" s="7">
        <v>2</v>
      </c>
      <c r="BG158" s="7">
        <v>2</v>
      </c>
      <c r="BH158" s="7">
        <v>2</v>
      </c>
      <c r="BI158" s="7">
        <v>2</v>
      </c>
      <c r="BJ158" s="7">
        <v>2</v>
      </c>
      <c r="BK158" s="7">
        <v>2</v>
      </c>
      <c r="BL158" s="7">
        <v>2</v>
      </c>
      <c r="BM158" s="7">
        <v>2</v>
      </c>
      <c r="BN158" s="7">
        <v>2</v>
      </c>
      <c r="BO158" s="7">
        <v>2</v>
      </c>
      <c r="BP158" s="7">
        <v>2</v>
      </c>
      <c r="BQ158" s="7">
        <v>2</v>
      </c>
      <c r="BR158" s="7">
        <v>2</v>
      </c>
      <c r="BS158" s="7">
        <v>2</v>
      </c>
      <c r="BT158" s="7">
        <v>2</v>
      </c>
      <c r="BU158" s="7">
        <v>2</v>
      </c>
      <c r="BV158" s="7">
        <v>2</v>
      </c>
      <c r="BW158" s="7">
        <v>2</v>
      </c>
      <c r="BX158" s="7">
        <v>2</v>
      </c>
      <c r="BY158" s="7">
        <v>2</v>
      </c>
      <c r="BZ158" s="7">
        <v>2</v>
      </c>
      <c r="CA158" s="7">
        <v>2</v>
      </c>
      <c r="CB158" s="7">
        <v>2</v>
      </c>
      <c r="CC158" s="7">
        <v>2</v>
      </c>
      <c r="CD158" s="7">
        <v>2</v>
      </c>
      <c r="CE158" s="7">
        <v>2</v>
      </c>
      <c r="CF158" s="7">
        <v>2</v>
      </c>
      <c r="CG158" s="7">
        <v>2</v>
      </c>
      <c r="CH158" s="7">
        <v>2</v>
      </c>
      <c r="CI158" s="7">
        <v>2</v>
      </c>
      <c r="CJ158" s="7">
        <v>2</v>
      </c>
      <c r="CK158" s="7">
        <v>2</v>
      </c>
      <c r="CL158" s="7">
        <v>2</v>
      </c>
      <c r="CM158" s="7">
        <v>2</v>
      </c>
      <c r="CN158" s="7">
        <v>2</v>
      </c>
      <c r="CO158" s="7">
        <v>2</v>
      </c>
      <c r="CP158" s="7">
        <v>2</v>
      </c>
      <c r="CQ158" s="7">
        <v>2</v>
      </c>
      <c r="CR158" s="7">
        <v>2</v>
      </c>
      <c r="CS158" s="7">
        <v>2</v>
      </c>
      <c r="CT158" s="7">
        <v>2</v>
      </c>
      <c r="CU158" s="7">
        <v>2</v>
      </c>
      <c r="CV158" s="7">
        <v>2</v>
      </c>
      <c r="CW158" s="7">
        <v>2</v>
      </c>
      <c r="CX158" s="7">
        <v>2</v>
      </c>
      <c r="CY158" s="7">
        <v>2</v>
      </c>
      <c r="CZ158" s="7">
        <v>2</v>
      </c>
      <c r="DA158" s="7">
        <v>2</v>
      </c>
      <c r="DB158" s="7">
        <v>2</v>
      </c>
      <c r="DC158" s="7">
        <v>2</v>
      </c>
      <c r="DD158" s="7">
        <v>2</v>
      </c>
      <c r="DE158" s="7">
        <v>2</v>
      </c>
      <c r="DF158" s="7">
        <v>1</v>
      </c>
      <c r="DG158" s="7">
        <v>1</v>
      </c>
      <c r="DH158" s="7">
        <v>1</v>
      </c>
      <c r="DI158" s="7">
        <v>1</v>
      </c>
      <c r="DJ158" s="7">
        <v>1</v>
      </c>
      <c r="DK158" s="7">
        <v>1</v>
      </c>
      <c r="DL158" s="7">
        <v>1</v>
      </c>
      <c r="DM158" s="7">
        <v>1</v>
      </c>
      <c r="DN158" s="7">
        <v>1</v>
      </c>
      <c r="DO158" s="7">
        <v>1</v>
      </c>
      <c r="DP158" s="7">
        <v>1</v>
      </c>
      <c r="DQ158" s="7">
        <v>1</v>
      </c>
      <c r="DR158" s="7">
        <v>1</v>
      </c>
      <c r="DS158" s="7">
        <v>1</v>
      </c>
      <c r="DT158" s="7">
        <v>1</v>
      </c>
      <c r="DU158" s="7">
        <v>1</v>
      </c>
      <c r="DV158" s="7">
        <v>1</v>
      </c>
      <c r="DW158" s="7">
        <v>1</v>
      </c>
      <c r="DX158" s="7">
        <v>1</v>
      </c>
      <c r="DY158" s="7">
        <v>1</v>
      </c>
      <c r="DZ158" s="7">
        <v>1</v>
      </c>
      <c r="EA158" s="7">
        <v>1</v>
      </c>
      <c r="EB158" s="7">
        <v>1</v>
      </c>
      <c r="EC158" s="7">
        <v>1</v>
      </c>
      <c r="ED158" s="7">
        <v>1</v>
      </c>
      <c r="EE158" s="7">
        <v>1</v>
      </c>
      <c r="EF158" s="7">
        <v>1</v>
      </c>
      <c r="EG158" s="7">
        <v>1</v>
      </c>
      <c r="EH158" s="7">
        <v>1</v>
      </c>
      <c r="EI158" s="7">
        <v>1</v>
      </c>
      <c r="EJ158" s="7">
        <v>1</v>
      </c>
      <c r="EK158" s="7">
        <v>1</v>
      </c>
      <c r="EL158" s="7">
        <v>1</v>
      </c>
      <c r="EM158" s="7">
        <v>1</v>
      </c>
      <c r="EN158" s="7">
        <v>1</v>
      </c>
      <c r="EO158" s="7">
        <v>1</v>
      </c>
      <c r="EP158" s="7">
        <v>1</v>
      </c>
      <c r="EQ158" s="7">
        <v>1</v>
      </c>
      <c r="ER158" s="7">
        <v>1</v>
      </c>
      <c r="ES158" s="7">
        <v>1</v>
      </c>
      <c r="ET158" s="7">
        <v>1</v>
      </c>
      <c r="EU158" s="7">
        <v>1</v>
      </c>
      <c r="EV158" s="7">
        <v>1</v>
      </c>
      <c r="EW158" s="7">
        <v>1</v>
      </c>
      <c r="EX158" s="7">
        <v>1</v>
      </c>
      <c r="EY158" s="7">
        <v>1</v>
      </c>
      <c r="EZ158" s="7">
        <v>1</v>
      </c>
      <c r="FB158" s="50">
        <f>HLOOKUP(M16,$AU$112:$EZ$213,47,TRUE)</f>
        <v>1</v>
      </c>
      <c r="FD158" s="50">
        <f>HLOOKUP(AL42,$AU$112:$EZ$213,47,TRUE)</f>
        <v>1</v>
      </c>
    </row>
    <row r="159" spans="46:160">
      <c r="AT159" s="112">
        <v>2.399</v>
      </c>
      <c r="AU159" s="7">
        <v>2</v>
      </c>
      <c r="AV159" s="7">
        <v>2</v>
      </c>
      <c r="AW159" s="7">
        <v>2</v>
      </c>
      <c r="AX159" s="7">
        <v>2</v>
      </c>
      <c r="AY159" s="7">
        <v>2</v>
      </c>
      <c r="AZ159" s="7">
        <v>2</v>
      </c>
      <c r="BA159" s="331">
        <v>2</v>
      </c>
      <c r="BB159" s="7">
        <v>2</v>
      </c>
      <c r="BC159" s="7">
        <v>2</v>
      </c>
      <c r="BD159" s="7">
        <v>2</v>
      </c>
      <c r="BE159" s="7">
        <v>2</v>
      </c>
      <c r="BF159" s="7">
        <v>2</v>
      </c>
      <c r="BG159" s="7">
        <v>2</v>
      </c>
      <c r="BH159" s="7">
        <v>2</v>
      </c>
      <c r="BI159" s="7">
        <v>2</v>
      </c>
      <c r="BJ159" s="7">
        <v>2</v>
      </c>
      <c r="BK159" s="7">
        <v>2</v>
      </c>
      <c r="BL159" s="7">
        <v>2</v>
      </c>
      <c r="BM159" s="7">
        <v>2</v>
      </c>
      <c r="BN159" s="7">
        <v>2</v>
      </c>
      <c r="BO159" s="7">
        <v>2</v>
      </c>
      <c r="BP159" s="7">
        <v>2</v>
      </c>
      <c r="BQ159" s="7">
        <v>2</v>
      </c>
      <c r="BR159" s="7">
        <v>2</v>
      </c>
      <c r="BS159" s="7">
        <v>2</v>
      </c>
      <c r="BT159" s="7">
        <v>2</v>
      </c>
      <c r="BU159" s="7">
        <v>2</v>
      </c>
      <c r="BV159" s="7">
        <v>2</v>
      </c>
      <c r="BW159" s="7">
        <v>2</v>
      </c>
      <c r="BX159" s="7">
        <v>2</v>
      </c>
      <c r="BY159" s="7">
        <v>2</v>
      </c>
      <c r="BZ159" s="7">
        <v>2</v>
      </c>
      <c r="CA159" s="7">
        <v>2</v>
      </c>
      <c r="CB159" s="7">
        <v>2</v>
      </c>
      <c r="CC159" s="7">
        <v>2</v>
      </c>
      <c r="CD159" s="7">
        <v>2</v>
      </c>
      <c r="CE159" s="7">
        <v>2</v>
      </c>
      <c r="CF159" s="7">
        <v>2</v>
      </c>
      <c r="CG159" s="7">
        <v>2</v>
      </c>
      <c r="CH159" s="7">
        <v>2</v>
      </c>
      <c r="CI159" s="7">
        <v>2</v>
      </c>
      <c r="CJ159" s="7">
        <v>2</v>
      </c>
      <c r="CK159" s="7">
        <v>2</v>
      </c>
      <c r="CL159" s="7">
        <v>2</v>
      </c>
      <c r="CM159" s="7">
        <v>2</v>
      </c>
      <c r="CN159" s="7">
        <v>2</v>
      </c>
      <c r="CO159" s="7">
        <v>2</v>
      </c>
      <c r="CP159" s="7">
        <v>2</v>
      </c>
      <c r="CQ159" s="7">
        <v>2</v>
      </c>
      <c r="CR159" s="7">
        <v>2</v>
      </c>
      <c r="CS159" s="7">
        <v>2</v>
      </c>
      <c r="CT159" s="7">
        <v>2</v>
      </c>
      <c r="CU159" s="7">
        <v>2</v>
      </c>
      <c r="CV159" s="7">
        <v>2</v>
      </c>
      <c r="CW159" s="7">
        <v>2</v>
      </c>
      <c r="CX159" s="7">
        <v>2</v>
      </c>
      <c r="CY159" s="7">
        <v>2</v>
      </c>
      <c r="CZ159" s="7">
        <v>2</v>
      </c>
      <c r="DA159" s="7">
        <v>2</v>
      </c>
      <c r="DB159" s="7">
        <v>2</v>
      </c>
      <c r="DC159" s="7">
        <v>2</v>
      </c>
      <c r="DD159" s="7">
        <v>2</v>
      </c>
      <c r="DE159" s="7">
        <v>2</v>
      </c>
      <c r="DF159" s="7">
        <v>2</v>
      </c>
      <c r="DG159" s="7">
        <v>1</v>
      </c>
      <c r="DH159" s="7">
        <v>1</v>
      </c>
      <c r="DI159" s="7">
        <v>1</v>
      </c>
      <c r="DJ159" s="7">
        <v>1</v>
      </c>
      <c r="DK159" s="7">
        <v>1</v>
      </c>
      <c r="DL159" s="7">
        <v>1</v>
      </c>
      <c r="DM159" s="7">
        <v>1</v>
      </c>
      <c r="DN159" s="7">
        <v>1</v>
      </c>
      <c r="DO159" s="7">
        <v>1</v>
      </c>
      <c r="DP159" s="7">
        <v>1</v>
      </c>
      <c r="DQ159" s="7">
        <v>1</v>
      </c>
      <c r="DR159" s="7">
        <v>1</v>
      </c>
      <c r="DS159" s="7">
        <v>1</v>
      </c>
      <c r="DT159" s="7">
        <v>1</v>
      </c>
      <c r="DU159" s="7">
        <v>1</v>
      </c>
      <c r="DV159" s="7">
        <v>1</v>
      </c>
      <c r="DW159" s="7">
        <v>1</v>
      </c>
      <c r="DX159" s="7">
        <v>1</v>
      </c>
      <c r="DY159" s="7">
        <v>1</v>
      </c>
      <c r="DZ159" s="7">
        <v>1</v>
      </c>
      <c r="EA159" s="7">
        <v>1</v>
      </c>
      <c r="EB159" s="7">
        <v>1</v>
      </c>
      <c r="EC159" s="7">
        <v>1</v>
      </c>
      <c r="ED159" s="7">
        <v>1</v>
      </c>
      <c r="EE159" s="7">
        <v>1</v>
      </c>
      <c r="EF159" s="7">
        <v>1</v>
      </c>
      <c r="EG159" s="7">
        <v>1</v>
      </c>
      <c r="EH159" s="7">
        <v>1</v>
      </c>
      <c r="EI159" s="7">
        <v>1</v>
      </c>
      <c r="EJ159" s="7">
        <v>1</v>
      </c>
      <c r="EK159" s="7">
        <v>1</v>
      </c>
      <c r="EL159" s="7">
        <v>1</v>
      </c>
      <c r="EM159" s="7">
        <v>1</v>
      </c>
      <c r="EN159" s="7">
        <v>1</v>
      </c>
      <c r="EO159" s="7">
        <v>1</v>
      </c>
      <c r="EP159" s="7">
        <v>1</v>
      </c>
      <c r="EQ159" s="7">
        <v>1</v>
      </c>
      <c r="ER159" s="7">
        <v>1</v>
      </c>
      <c r="ES159" s="7">
        <v>1</v>
      </c>
      <c r="ET159" s="7">
        <v>1</v>
      </c>
      <c r="EU159" s="7">
        <v>1</v>
      </c>
      <c r="EV159" s="7">
        <v>1</v>
      </c>
      <c r="EW159" s="7">
        <v>1</v>
      </c>
      <c r="EX159" s="7">
        <v>1</v>
      </c>
      <c r="EY159" s="7">
        <v>1</v>
      </c>
      <c r="EZ159" s="7">
        <v>1</v>
      </c>
      <c r="FB159" s="50">
        <f>HLOOKUP(M16,$AU$112:$EZ$213,48,TRUE)</f>
        <v>1</v>
      </c>
      <c r="FD159" s="50">
        <f>HLOOKUP(AL42,$AU$112:$EZ$213,48,TRUE)</f>
        <v>1</v>
      </c>
    </row>
    <row r="160" spans="46:160">
      <c r="AT160" s="112">
        <v>2.57</v>
      </c>
      <c r="AU160" s="7">
        <v>2</v>
      </c>
      <c r="AV160" s="7">
        <v>2</v>
      </c>
      <c r="AW160" s="7">
        <v>2</v>
      </c>
      <c r="AX160" s="7">
        <v>2</v>
      </c>
      <c r="AY160" s="7">
        <v>2</v>
      </c>
      <c r="AZ160" s="7">
        <v>2</v>
      </c>
      <c r="BA160" s="331">
        <v>2</v>
      </c>
      <c r="BB160" s="7">
        <v>2</v>
      </c>
      <c r="BC160" s="7">
        <v>2</v>
      </c>
      <c r="BD160" s="7">
        <v>2</v>
      </c>
      <c r="BE160" s="7">
        <v>2</v>
      </c>
      <c r="BF160" s="7">
        <v>2</v>
      </c>
      <c r="BG160" s="7">
        <v>2</v>
      </c>
      <c r="BH160" s="7">
        <v>2</v>
      </c>
      <c r="BI160" s="7">
        <v>2</v>
      </c>
      <c r="BJ160" s="7">
        <v>2</v>
      </c>
      <c r="BK160" s="7">
        <v>2</v>
      </c>
      <c r="BL160" s="7">
        <v>2</v>
      </c>
      <c r="BM160" s="7">
        <v>2</v>
      </c>
      <c r="BN160" s="7">
        <v>2</v>
      </c>
      <c r="BO160" s="7">
        <v>2</v>
      </c>
      <c r="BP160" s="7">
        <v>2</v>
      </c>
      <c r="BQ160" s="7">
        <v>2</v>
      </c>
      <c r="BR160" s="7">
        <v>2</v>
      </c>
      <c r="BS160" s="7">
        <v>2</v>
      </c>
      <c r="BT160" s="7">
        <v>2</v>
      </c>
      <c r="BU160" s="7">
        <v>2</v>
      </c>
      <c r="BV160" s="7">
        <v>2</v>
      </c>
      <c r="BW160" s="7">
        <v>2</v>
      </c>
      <c r="BX160" s="7">
        <v>2</v>
      </c>
      <c r="BY160" s="7">
        <v>2</v>
      </c>
      <c r="BZ160" s="7">
        <v>2</v>
      </c>
      <c r="CA160" s="7">
        <v>2</v>
      </c>
      <c r="CB160" s="7">
        <v>2</v>
      </c>
      <c r="CC160" s="7">
        <v>2</v>
      </c>
      <c r="CD160" s="7">
        <v>2</v>
      </c>
      <c r="CE160" s="7">
        <v>2</v>
      </c>
      <c r="CF160" s="7">
        <v>2</v>
      </c>
      <c r="CG160" s="7">
        <v>2</v>
      </c>
      <c r="CH160" s="7">
        <v>2</v>
      </c>
      <c r="CI160" s="7">
        <v>2</v>
      </c>
      <c r="CJ160" s="7">
        <v>2</v>
      </c>
      <c r="CK160" s="7">
        <v>2</v>
      </c>
      <c r="CL160" s="7">
        <v>2</v>
      </c>
      <c r="CM160" s="7">
        <v>2</v>
      </c>
      <c r="CN160" s="7">
        <v>2</v>
      </c>
      <c r="CO160" s="7">
        <v>2</v>
      </c>
      <c r="CP160" s="7">
        <v>2</v>
      </c>
      <c r="CQ160" s="7">
        <v>2</v>
      </c>
      <c r="CR160" s="7">
        <v>2</v>
      </c>
      <c r="CS160" s="7">
        <v>2</v>
      </c>
      <c r="CT160" s="7">
        <v>2</v>
      </c>
      <c r="CU160" s="7">
        <v>2</v>
      </c>
      <c r="CV160" s="7">
        <v>2</v>
      </c>
      <c r="CW160" s="7">
        <v>2</v>
      </c>
      <c r="CX160" s="7">
        <v>2</v>
      </c>
      <c r="CY160" s="7">
        <v>2</v>
      </c>
      <c r="CZ160" s="7">
        <v>2</v>
      </c>
      <c r="DA160" s="7">
        <v>2</v>
      </c>
      <c r="DB160" s="7">
        <v>2</v>
      </c>
      <c r="DC160" s="7">
        <v>2</v>
      </c>
      <c r="DD160" s="7">
        <v>2</v>
      </c>
      <c r="DE160" s="7">
        <v>2</v>
      </c>
      <c r="DF160" s="7">
        <v>2</v>
      </c>
      <c r="DG160" s="7">
        <v>2</v>
      </c>
      <c r="DH160" s="7">
        <v>1</v>
      </c>
      <c r="DI160" s="7">
        <v>1</v>
      </c>
      <c r="DJ160" s="7">
        <v>1</v>
      </c>
      <c r="DK160" s="7">
        <v>1</v>
      </c>
      <c r="DL160" s="7">
        <v>1</v>
      </c>
      <c r="DM160" s="7">
        <v>1</v>
      </c>
      <c r="DN160" s="7">
        <v>1</v>
      </c>
      <c r="DO160" s="7">
        <v>1</v>
      </c>
      <c r="DP160" s="7">
        <v>1</v>
      </c>
      <c r="DQ160" s="7">
        <v>1</v>
      </c>
      <c r="DR160" s="7">
        <v>1</v>
      </c>
      <c r="DS160" s="7">
        <v>1</v>
      </c>
      <c r="DT160" s="7">
        <v>1</v>
      </c>
      <c r="DU160" s="7">
        <v>1</v>
      </c>
      <c r="DV160" s="7">
        <v>1</v>
      </c>
      <c r="DW160" s="7">
        <v>1</v>
      </c>
      <c r="DX160" s="7">
        <v>1</v>
      </c>
      <c r="DY160" s="7">
        <v>1</v>
      </c>
      <c r="DZ160" s="7">
        <v>1</v>
      </c>
      <c r="EA160" s="7">
        <v>1</v>
      </c>
      <c r="EB160" s="7">
        <v>1</v>
      </c>
      <c r="EC160" s="7">
        <v>1</v>
      </c>
      <c r="ED160" s="7">
        <v>1</v>
      </c>
      <c r="EE160" s="7">
        <v>1</v>
      </c>
      <c r="EF160" s="7">
        <v>1</v>
      </c>
      <c r="EG160" s="7">
        <v>1</v>
      </c>
      <c r="EH160" s="7">
        <v>1</v>
      </c>
      <c r="EI160" s="7">
        <v>1</v>
      </c>
      <c r="EJ160" s="7">
        <v>1</v>
      </c>
      <c r="EK160" s="7">
        <v>1</v>
      </c>
      <c r="EL160" s="7">
        <v>1</v>
      </c>
      <c r="EM160" s="7">
        <v>1</v>
      </c>
      <c r="EN160" s="7">
        <v>1</v>
      </c>
      <c r="EO160" s="7">
        <v>1</v>
      </c>
      <c r="EP160" s="7">
        <v>1</v>
      </c>
      <c r="EQ160" s="7">
        <v>1</v>
      </c>
      <c r="ER160" s="7">
        <v>1</v>
      </c>
      <c r="ES160" s="7">
        <v>1</v>
      </c>
      <c r="ET160" s="7">
        <v>1</v>
      </c>
      <c r="EU160" s="7">
        <v>1</v>
      </c>
      <c r="EV160" s="7">
        <v>1</v>
      </c>
      <c r="EW160" s="7">
        <v>1</v>
      </c>
      <c r="EX160" s="7">
        <v>1</v>
      </c>
      <c r="EY160" s="7">
        <v>1</v>
      </c>
      <c r="EZ160" s="7">
        <v>1</v>
      </c>
      <c r="FB160" s="50">
        <f>HLOOKUP(M16,$AU$112:$EZ$213,49,TRUE)</f>
        <v>1</v>
      </c>
      <c r="FD160" s="50">
        <f>HLOOKUP(AL42,$AU$112:$EZ$213,49,TRUE)</f>
        <v>1</v>
      </c>
    </row>
    <row r="161" spans="46:160">
      <c r="AT161" s="112">
        <v>2.754</v>
      </c>
      <c r="AU161" s="7">
        <v>2</v>
      </c>
      <c r="AV161" s="7">
        <v>2</v>
      </c>
      <c r="AW161" s="7">
        <v>2</v>
      </c>
      <c r="AX161" s="7">
        <v>2</v>
      </c>
      <c r="AY161" s="7">
        <v>2</v>
      </c>
      <c r="AZ161" s="7">
        <v>2</v>
      </c>
      <c r="BA161" s="331">
        <v>2</v>
      </c>
      <c r="BB161" s="7">
        <v>2</v>
      </c>
      <c r="BC161" s="7">
        <v>2</v>
      </c>
      <c r="BD161" s="7">
        <v>2</v>
      </c>
      <c r="BE161" s="7">
        <v>2</v>
      </c>
      <c r="BF161" s="7">
        <v>2</v>
      </c>
      <c r="BG161" s="7">
        <v>2</v>
      </c>
      <c r="BH161" s="7">
        <v>2</v>
      </c>
      <c r="BI161" s="7">
        <v>2</v>
      </c>
      <c r="BJ161" s="7">
        <v>2</v>
      </c>
      <c r="BK161" s="7">
        <v>2</v>
      </c>
      <c r="BL161" s="7">
        <v>2</v>
      </c>
      <c r="BM161" s="7">
        <v>2</v>
      </c>
      <c r="BN161" s="7">
        <v>2</v>
      </c>
      <c r="BO161" s="7">
        <v>2</v>
      </c>
      <c r="BP161" s="7">
        <v>2</v>
      </c>
      <c r="BQ161" s="7">
        <v>2</v>
      </c>
      <c r="BR161" s="7">
        <v>2</v>
      </c>
      <c r="BS161" s="7">
        <v>2</v>
      </c>
      <c r="BT161" s="7">
        <v>2</v>
      </c>
      <c r="BU161" s="7">
        <v>2</v>
      </c>
      <c r="BV161" s="7">
        <v>2</v>
      </c>
      <c r="BW161" s="7">
        <v>2</v>
      </c>
      <c r="BX161" s="7">
        <v>2</v>
      </c>
      <c r="BY161" s="7">
        <v>2</v>
      </c>
      <c r="BZ161" s="7">
        <v>2</v>
      </c>
      <c r="CA161" s="7">
        <v>2</v>
      </c>
      <c r="CB161" s="7">
        <v>2</v>
      </c>
      <c r="CC161" s="7">
        <v>2</v>
      </c>
      <c r="CD161" s="7">
        <v>2</v>
      </c>
      <c r="CE161" s="7">
        <v>2</v>
      </c>
      <c r="CF161" s="7">
        <v>2</v>
      </c>
      <c r="CG161" s="7">
        <v>2</v>
      </c>
      <c r="CH161" s="7">
        <v>2</v>
      </c>
      <c r="CI161" s="7">
        <v>2</v>
      </c>
      <c r="CJ161" s="7">
        <v>2</v>
      </c>
      <c r="CK161" s="7">
        <v>2</v>
      </c>
      <c r="CL161" s="7">
        <v>2</v>
      </c>
      <c r="CM161" s="7">
        <v>2</v>
      </c>
      <c r="CN161" s="7">
        <v>2</v>
      </c>
      <c r="CO161" s="7">
        <v>2</v>
      </c>
      <c r="CP161" s="7">
        <v>2</v>
      </c>
      <c r="CQ161" s="7">
        <v>2</v>
      </c>
      <c r="CR161" s="7">
        <v>2</v>
      </c>
      <c r="CS161" s="7">
        <v>2</v>
      </c>
      <c r="CT161" s="7">
        <v>2</v>
      </c>
      <c r="CU161" s="7">
        <v>2</v>
      </c>
      <c r="CV161" s="7">
        <v>2</v>
      </c>
      <c r="CW161" s="7">
        <v>2</v>
      </c>
      <c r="CX161" s="7">
        <v>2</v>
      </c>
      <c r="CY161" s="7">
        <v>2</v>
      </c>
      <c r="CZ161" s="7">
        <v>2</v>
      </c>
      <c r="DA161" s="7">
        <v>2</v>
      </c>
      <c r="DB161" s="7">
        <v>2</v>
      </c>
      <c r="DC161" s="7">
        <v>2</v>
      </c>
      <c r="DD161" s="7">
        <v>2</v>
      </c>
      <c r="DE161" s="7">
        <v>2</v>
      </c>
      <c r="DF161" s="7">
        <v>2</v>
      </c>
      <c r="DG161" s="7">
        <v>2</v>
      </c>
      <c r="DH161" s="7">
        <v>2</v>
      </c>
      <c r="DI161" s="7">
        <v>1</v>
      </c>
      <c r="DJ161" s="7">
        <v>1</v>
      </c>
      <c r="DK161" s="7">
        <v>1</v>
      </c>
      <c r="DL161" s="7">
        <v>1</v>
      </c>
      <c r="DM161" s="7">
        <v>1</v>
      </c>
      <c r="DN161" s="7">
        <v>1</v>
      </c>
      <c r="DO161" s="7">
        <v>1</v>
      </c>
      <c r="DP161" s="7">
        <v>1</v>
      </c>
      <c r="DQ161" s="7">
        <v>1</v>
      </c>
      <c r="DR161" s="7">
        <v>1</v>
      </c>
      <c r="DS161" s="7">
        <v>1</v>
      </c>
      <c r="DT161" s="7">
        <v>1</v>
      </c>
      <c r="DU161" s="7">
        <v>1</v>
      </c>
      <c r="DV161" s="7">
        <v>1</v>
      </c>
      <c r="DW161" s="7">
        <v>1</v>
      </c>
      <c r="DX161" s="7">
        <v>1</v>
      </c>
      <c r="DY161" s="7">
        <v>1</v>
      </c>
      <c r="DZ161" s="7">
        <v>1</v>
      </c>
      <c r="EA161" s="7">
        <v>1</v>
      </c>
      <c r="EB161" s="7">
        <v>1</v>
      </c>
      <c r="EC161" s="7">
        <v>1</v>
      </c>
      <c r="ED161" s="7">
        <v>1</v>
      </c>
      <c r="EE161" s="7">
        <v>1</v>
      </c>
      <c r="EF161" s="7">
        <v>1</v>
      </c>
      <c r="EG161" s="7">
        <v>1</v>
      </c>
      <c r="EH161" s="7">
        <v>1</v>
      </c>
      <c r="EI161" s="7">
        <v>1</v>
      </c>
      <c r="EJ161" s="7">
        <v>1</v>
      </c>
      <c r="EK161" s="7">
        <v>1</v>
      </c>
      <c r="EL161" s="7">
        <v>1</v>
      </c>
      <c r="EM161" s="7">
        <v>1</v>
      </c>
      <c r="EN161" s="7">
        <v>1</v>
      </c>
      <c r="EO161" s="7">
        <v>1</v>
      </c>
      <c r="EP161" s="7">
        <v>1</v>
      </c>
      <c r="EQ161" s="7">
        <v>1</v>
      </c>
      <c r="ER161" s="7">
        <v>1</v>
      </c>
      <c r="ES161" s="7">
        <v>1</v>
      </c>
      <c r="ET161" s="7">
        <v>1</v>
      </c>
      <c r="EU161" s="7">
        <v>1</v>
      </c>
      <c r="EV161" s="7">
        <v>1</v>
      </c>
      <c r="EW161" s="7">
        <v>1</v>
      </c>
      <c r="EX161" s="7">
        <v>1</v>
      </c>
      <c r="EY161" s="7">
        <v>1</v>
      </c>
      <c r="EZ161" s="7">
        <v>1</v>
      </c>
      <c r="FB161" s="50">
        <f>HLOOKUP(M16,$AU$112:$EZ$213,50,TRUE)</f>
        <v>1</v>
      </c>
      <c r="FD161" s="50">
        <f>HLOOKUP(AL42,$AU$112:$EZ$213,50,TRUE)</f>
        <v>1</v>
      </c>
    </row>
    <row r="162" spans="46:160">
      <c r="AT162" s="112">
        <v>2.9510000000000001</v>
      </c>
      <c r="AU162" s="7">
        <v>2</v>
      </c>
      <c r="AV162" s="7">
        <v>2</v>
      </c>
      <c r="AW162" s="7">
        <v>2</v>
      </c>
      <c r="AX162" s="7">
        <v>2</v>
      </c>
      <c r="AY162" s="7">
        <v>2</v>
      </c>
      <c r="AZ162" s="7">
        <v>2</v>
      </c>
      <c r="BA162" s="331">
        <v>2</v>
      </c>
      <c r="BB162" s="7">
        <v>2</v>
      </c>
      <c r="BC162" s="7">
        <v>2</v>
      </c>
      <c r="BD162" s="7">
        <v>2</v>
      </c>
      <c r="BE162" s="7">
        <v>2</v>
      </c>
      <c r="BF162" s="7">
        <v>2</v>
      </c>
      <c r="BG162" s="7">
        <v>2</v>
      </c>
      <c r="BH162" s="7">
        <v>2</v>
      </c>
      <c r="BI162" s="7">
        <v>2</v>
      </c>
      <c r="BJ162" s="7">
        <v>2</v>
      </c>
      <c r="BK162" s="7">
        <v>2</v>
      </c>
      <c r="BL162" s="7">
        <v>2</v>
      </c>
      <c r="BM162" s="7">
        <v>2</v>
      </c>
      <c r="BN162" s="7">
        <v>2</v>
      </c>
      <c r="BO162" s="7">
        <v>2</v>
      </c>
      <c r="BP162" s="7">
        <v>2</v>
      </c>
      <c r="BQ162" s="7">
        <v>2</v>
      </c>
      <c r="BR162" s="7">
        <v>2</v>
      </c>
      <c r="BS162" s="7">
        <v>2</v>
      </c>
      <c r="BT162" s="7">
        <v>2</v>
      </c>
      <c r="BU162" s="7">
        <v>2</v>
      </c>
      <c r="BV162" s="7">
        <v>2</v>
      </c>
      <c r="BW162" s="7">
        <v>2</v>
      </c>
      <c r="BX162" s="7">
        <v>2</v>
      </c>
      <c r="BY162" s="7">
        <v>2</v>
      </c>
      <c r="BZ162" s="7">
        <v>2</v>
      </c>
      <c r="CA162" s="7">
        <v>2</v>
      </c>
      <c r="CB162" s="7">
        <v>2</v>
      </c>
      <c r="CC162" s="7">
        <v>2</v>
      </c>
      <c r="CD162" s="7">
        <v>2</v>
      </c>
      <c r="CE162" s="7">
        <v>2</v>
      </c>
      <c r="CF162" s="7">
        <v>2</v>
      </c>
      <c r="CG162" s="7">
        <v>2</v>
      </c>
      <c r="CH162" s="7">
        <v>2</v>
      </c>
      <c r="CI162" s="7">
        <v>2</v>
      </c>
      <c r="CJ162" s="7">
        <v>2</v>
      </c>
      <c r="CK162" s="7">
        <v>2</v>
      </c>
      <c r="CL162" s="7">
        <v>2</v>
      </c>
      <c r="CM162" s="7">
        <v>2</v>
      </c>
      <c r="CN162" s="7">
        <v>2</v>
      </c>
      <c r="CO162" s="7">
        <v>2</v>
      </c>
      <c r="CP162" s="7">
        <v>2</v>
      </c>
      <c r="CQ162" s="7">
        <v>2</v>
      </c>
      <c r="CR162" s="7">
        <v>2</v>
      </c>
      <c r="CS162" s="7">
        <v>2</v>
      </c>
      <c r="CT162" s="7">
        <v>2</v>
      </c>
      <c r="CU162" s="7">
        <v>2</v>
      </c>
      <c r="CV162" s="7">
        <v>2</v>
      </c>
      <c r="CW162" s="7">
        <v>2</v>
      </c>
      <c r="CX162" s="7">
        <v>2</v>
      </c>
      <c r="CY162" s="7">
        <v>2</v>
      </c>
      <c r="CZ162" s="7">
        <v>2</v>
      </c>
      <c r="DA162" s="7">
        <v>2</v>
      </c>
      <c r="DB162" s="7">
        <v>2</v>
      </c>
      <c r="DC162" s="7">
        <v>2</v>
      </c>
      <c r="DD162" s="7">
        <v>2</v>
      </c>
      <c r="DE162" s="7">
        <v>2</v>
      </c>
      <c r="DF162" s="7">
        <v>2</v>
      </c>
      <c r="DG162" s="7">
        <v>2</v>
      </c>
      <c r="DH162" s="7">
        <v>2</v>
      </c>
      <c r="DI162" s="7">
        <v>1</v>
      </c>
      <c r="DJ162" s="7">
        <v>1</v>
      </c>
      <c r="DK162" s="7">
        <v>1</v>
      </c>
      <c r="DL162" s="7">
        <v>1</v>
      </c>
      <c r="DM162" s="7">
        <v>1</v>
      </c>
      <c r="DN162" s="7">
        <v>1</v>
      </c>
      <c r="DO162" s="7">
        <v>1</v>
      </c>
      <c r="DP162" s="7">
        <v>1</v>
      </c>
      <c r="DQ162" s="7">
        <v>1</v>
      </c>
      <c r="DR162" s="7">
        <v>1</v>
      </c>
      <c r="DS162" s="7">
        <v>1</v>
      </c>
      <c r="DT162" s="7">
        <v>1</v>
      </c>
      <c r="DU162" s="7">
        <v>1</v>
      </c>
      <c r="DV162" s="7">
        <v>1</v>
      </c>
      <c r="DW162" s="7">
        <v>1</v>
      </c>
      <c r="DX162" s="7">
        <v>1</v>
      </c>
      <c r="DY162" s="7">
        <v>1</v>
      </c>
      <c r="DZ162" s="7">
        <v>1</v>
      </c>
      <c r="EA162" s="7">
        <v>1</v>
      </c>
      <c r="EB162" s="7">
        <v>1</v>
      </c>
      <c r="EC162" s="7">
        <v>1</v>
      </c>
      <c r="ED162" s="7">
        <v>1</v>
      </c>
      <c r="EE162" s="7">
        <v>1</v>
      </c>
      <c r="EF162" s="7">
        <v>1</v>
      </c>
      <c r="EG162" s="7">
        <v>1</v>
      </c>
      <c r="EH162" s="7">
        <v>1</v>
      </c>
      <c r="EI162" s="7">
        <v>1</v>
      </c>
      <c r="EJ162" s="7">
        <v>1</v>
      </c>
      <c r="EK162" s="7">
        <v>1</v>
      </c>
      <c r="EL162" s="7">
        <v>1</v>
      </c>
      <c r="EM162" s="7">
        <v>1</v>
      </c>
      <c r="EN162" s="7">
        <v>1</v>
      </c>
      <c r="EO162" s="7">
        <v>1</v>
      </c>
      <c r="EP162" s="7">
        <v>1</v>
      </c>
      <c r="EQ162" s="7">
        <v>1</v>
      </c>
      <c r="ER162" s="7">
        <v>1</v>
      </c>
      <c r="ES162" s="7">
        <v>1</v>
      </c>
      <c r="ET162" s="7">
        <v>1</v>
      </c>
      <c r="EU162" s="7">
        <v>1</v>
      </c>
      <c r="EV162" s="7">
        <v>1</v>
      </c>
      <c r="EW162" s="7">
        <v>1</v>
      </c>
      <c r="EX162" s="7">
        <v>1</v>
      </c>
      <c r="EY162" s="7">
        <v>1</v>
      </c>
      <c r="EZ162" s="7">
        <v>1</v>
      </c>
      <c r="FB162" s="50">
        <f>HLOOKUP(M16,$AU$112:$EZ$213,51,TRUE)</f>
        <v>1</v>
      </c>
      <c r="FD162" s="50">
        <f>HLOOKUP(AL42,$AU$112:$EZ$213,51,TRUE)</f>
        <v>1</v>
      </c>
    </row>
    <row r="163" spans="46:160">
      <c r="AT163" s="112">
        <v>3.1619999999999999</v>
      </c>
      <c r="AU163" s="7">
        <v>2</v>
      </c>
      <c r="AV163" s="7">
        <v>2</v>
      </c>
      <c r="AW163" s="7">
        <v>2</v>
      </c>
      <c r="AX163" s="7">
        <v>2</v>
      </c>
      <c r="AY163" s="7">
        <v>2</v>
      </c>
      <c r="AZ163" s="7">
        <v>2</v>
      </c>
      <c r="BA163" s="331">
        <v>2</v>
      </c>
      <c r="BB163" s="7">
        <v>2</v>
      </c>
      <c r="BC163" s="7">
        <v>2</v>
      </c>
      <c r="BD163" s="7">
        <v>2</v>
      </c>
      <c r="BE163" s="7">
        <v>2</v>
      </c>
      <c r="BF163" s="7">
        <v>2</v>
      </c>
      <c r="BG163" s="7">
        <v>2</v>
      </c>
      <c r="BH163" s="7">
        <v>2</v>
      </c>
      <c r="BI163" s="7">
        <v>2</v>
      </c>
      <c r="BJ163" s="7">
        <v>2</v>
      </c>
      <c r="BK163" s="7">
        <v>2</v>
      </c>
      <c r="BL163" s="7">
        <v>2</v>
      </c>
      <c r="BM163" s="7">
        <v>2</v>
      </c>
      <c r="BN163" s="7">
        <v>2</v>
      </c>
      <c r="BO163" s="7">
        <v>2</v>
      </c>
      <c r="BP163" s="7">
        <v>2</v>
      </c>
      <c r="BQ163" s="7">
        <v>2</v>
      </c>
      <c r="BR163" s="7">
        <v>2</v>
      </c>
      <c r="BS163" s="7">
        <v>2</v>
      </c>
      <c r="BT163" s="7">
        <v>2</v>
      </c>
      <c r="BU163" s="7">
        <v>2</v>
      </c>
      <c r="BV163" s="7">
        <v>2</v>
      </c>
      <c r="BW163" s="7">
        <v>2</v>
      </c>
      <c r="BX163" s="7">
        <v>2</v>
      </c>
      <c r="BY163" s="7">
        <v>2</v>
      </c>
      <c r="BZ163" s="7">
        <v>2</v>
      </c>
      <c r="CA163" s="7">
        <v>2</v>
      </c>
      <c r="CB163" s="7">
        <v>2</v>
      </c>
      <c r="CC163" s="7">
        <v>2</v>
      </c>
      <c r="CD163" s="7">
        <v>2</v>
      </c>
      <c r="CE163" s="7">
        <v>2</v>
      </c>
      <c r="CF163" s="7">
        <v>2</v>
      </c>
      <c r="CG163" s="7">
        <v>2</v>
      </c>
      <c r="CH163" s="7">
        <v>2</v>
      </c>
      <c r="CI163" s="7">
        <v>2</v>
      </c>
      <c r="CJ163" s="7">
        <v>2</v>
      </c>
      <c r="CK163" s="7">
        <v>2</v>
      </c>
      <c r="CL163" s="7">
        <v>2</v>
      </c>
      <c r="CM163" s="7">
        <v>2</v>
      </c>
      <c r="CN163" s="7">
        <v>2</v>
      </c>
      <c r="CO163" s="7">
        <v>2</v>
      </c>
      <c r="CP163" s="7">
        <v>2</v>
      </c>
      <c r="CQ163" s="7">
        <v>2</v>
      </c>
      <c r="CR163" s="7">
        <v>2</v>
      </c>
      <c r="CS163" s="7">
        <v>2</v>
      </c>
      <c r="CT163" s="7">
        <v>2</v>
      </c>
      <c r="CU163" s="7">
        <v>2</v>
      </c>
      <c r="CV163" s="7">
        <v>2</v>
      </c>
      <c r="CW163" s="7">
        <v>2</v>
      </c>
      <c r="CX163" s="7">
        <v>2</v>
      </c>
      <c r="CY163" s="7">
        <v>2</v>
      </c>
      <c r="CZ163" s="7">
        <v>2</v>
      </c>
      <c r="DA163" s="7">
        <v>2</v>
      </c>
      <c r="DB163" s="7">
        <v>2</v>
      </c>
      <c r="DC163" s="7">
        <v>2</v>
      </c>
      <c r="DD163" s="7">
        <v>2</v>
      </c>
      <c r="DE163" s="7">
        <v>2</v>
      </c>
      <c r="DF163" s="7">
        <v>2</v>
      </c>
      <c r="DG163" s="7">
        <v>2</v>
      </c>
      <c r="DH163" s="7">
        <v>2</v>
      </c>
      <c r="DI163" s="7">
        <v>2</v>
      </c>
      <c r="DJ163" s="7">
        <v>1</v>
      </c>
      <c r="DK163" s="7">
        <v>1</v>
      </c>
      <c r="DL163" s="7">
        <v>1</v>
      </c>
      <c r="DM163" s="7">
        <v>1</v>
      </c>
      <c r="DN163" s="7">
        <v>1</v>
      </c>
      <c r="DO163" s="7">
        <v>1</v>
      </c>
      <c r="DP163" s="7">
        <v>1</v>
      </c>
      <c r="DQ163" s="7">
        <v>1</v>
      </c>
      <c r="DR163" s="7">
        <v>1</v>
      </c>
      <c r="DS163" s="7">
        <v>1</v>
      </c>
      <c r="DT163" s="7">
        <v>1</v>
      </c>
      <c r="DU163" s="7">
        <v>1</v>
      </c>
      <c r="DV163" s="7">
        <v>1</v>
      </c>
      <c r="DW163" s="7">
        <v>1</v>
      </c>
      <c r="DX163" s="7">
        <v>1</v>
      </c>
      <c r="DY163" s="7">
        <v>1</v>
      </c>
      <c r="DZ163" s="7">
        <v>1</v>
      </c>
      <c r="EA163" s="7">
        <v>1</v>
      </c>
      <c r="EB163" s="7">
        <v>1</v>
      </c>
      <c r="EC163" s="7">
        <v>1</v>
      </c>
      <c r="ED163" s="7">
        <v>1</v>
      </c>
      <c r="EE163" s="7">
        <v>1</v>
      </c>
      <c r="EF163" s="7">
        <v>1</v>
      </c>
      <c r="EG163" s="7">
        <v>1</v>
      </c>
      <c r="EH163" s="7">
        <v>1</v>
      </c>
      <c r="EI163" s="7">
        <v>1</v>
      </c>
      <c r="EJ163" s="7">
        <v>1</v>
      </c>
      <c r="EK163" s="7">
        <v>1</v>
      </c>
      <c r="EL163" s="7">
        <v>1</v>
      </c>
      <c r="EM163" s="7">
        <v>1</v>
      </c>
      <c r="EN163" s="7">
        <v>1</v>
      </c>
      <c r="EO163" s="7">
        <v>1</v>
      </c>
      <c r="EP163" s="7">
        <v>1</v>
      </c>
      <c r="EQ163" s="7">
        <v>1</v>
      </c>
      <c r="ER163" s="7">
        <v>1</v>
      </c>
      <c r="ES163" s="7">
        <v>1</v>
      </c>
      <c r="ET163" s="7">
        <v>1</v>
      </c>
      <c r="EU163" s="7">
        <v>1</v>
      </c>
      <c r="EV163" s="7">
        <v>1</v>
      </c>
      <c r="EW163" s="7">
        <v>1</v>
      </c>
      <c r="EX163" s="7">
        <v>1</v>
      </c>
      <c r="EY163" s="7">
        <v>1</v>
      </c>
      <c r="EZ163" s="7">
        <v>1</v>
      </c>
      <c r="FB163" s="50">
        <f>HLOOKUP(M16,$AU$112:$EZ$213,52,TRUE)</f>
        <v>1</v>
      </c>
      <c r="FD163" s="50">
        <f>HLOOKUP(AL42,$AU$112:$EZ$213,52,TRUE)</f>
        <v>1</v>
      </c>
    </row>
    <row r="164" spans="46:160">
      <c r="AT164" s="112">
        <v>3.3879999999999999</v>
      </c>
      <c r="AU164" s="7">
        <v>2</v>
      </c>
      <c r="AV164" s="7">
        <v>2</v>
      </c>
      <c r="AW164" s="7">
        <v>2</v>
      </c>
      <c r="AX164" s="7">
        <v>2</v>
      </c>
      <c r="AY164" s="7">
        <v>2</v>
      </c>
      <c r="AZ164" s="7">
        <v>2</v>
      </c>
      <c r="BA164" s="331">
        <v>2</v>
      </c>
      <c r="BB164" s="7">
        <v>2</v>
      </c>
      <c r="BC164" s="7">
        <v>2</v>
      </c>
      <c r="BD164" s="7">
        <v>2</v>
      </c>
      <c r="BE164" s="7">
        <v>2</v>
      </c>
      <c r="BF164" s="7">
        <v>2</v>
      </c>
      <c r="BG164" s="7">
        <v>2</v>
      </c>
      <c r="BH164" s="7">
        <v>2</v>
      </c>
      <c r="BI164" s="7">
        <v>2</v>
      </c>
      <c r="BJ164" s="7">
        <v>2</v>
      </c>
      <c r="BK164" s="7">
        <v>2</v>
      </c>
      <c r="BL164" s="7">
        <v>2</v>
      </c>
      <c r="BM164" s="7">
        <v>2</v>
      </c>
      <c r="BN164" s="7">
        <v>2</v>
      </c>
      <c r="BO164" s="7">
        <v>2</v>
      </c>
      <c r="BP164" s="7">
        <v>2</v>
      </c>
      <c r="BQ164" s="7">
        <v>2</v>
      </c>
      <c r="BR164" s="7">
        <v>2</v>
      </c>
      <c r="BS164" s="7">
        <v>2</v>
      </c>
      <c r="BT164" s="7">
        <v>2</v>
      </c>
      <c r="BU164" s="7">
        <v>2</v>
      </c>
      <c r="BV164" s="7">
        <v>2</v>
      </c>
      <c r="BW164" s="7">
        <v>2</v>
      </c>
      <c r="BX164" s="7">
        <v>2</v>
      </c>
      <c r="BY164" s="7">
        <v>2</v>
      </c>
      <c r="BZ164" s="7">
        <v>2</v>
      </c>
      <c r="CA164" s="7">
        <v>2</v>
      </c>
      <c r="CB164" s="7">
        <v>2</v>
      </c>
      <c r="CC164" s="7">
        <v>2</v>
      </c>
      <c r="CD164" s="7">
        <v>2</v>
      </c>
      <c r="CE164" s="7">
        <v>2</v>
      </c>
      <c r="CF164" s="7">
        <v>2</v>
      </c>
      <c r="CG164" s="7">
        <v>2</v>
      </c>
      <c r="CH164" s="7">
        <v>2</v>
      </c>
      <c r="CI164" s="7">
        <v>2</v>
      </c>
      <c r="CJ164" s="7">
        <v>2</v>
      </c>
      <c r="CK164" s="7">
        <v>2</v>
      </c>
      <c r="CL164" s="7">
        <v>2</v>
      </c>
      <c r="CM164" s="7">
        <v>2</v>
      </c>
      <c r="CN164" s="7">
        <v>2</v>
      </c>
      <c r="CO164" s="7">
        <v>2</v>
      </c>
      <c r="CP164" s="7">
        <v>2</v>
      </c>
      <c r="CQ164" s="7">
        <v>2</v>
      </c>
      <c r="CR164" s="7">
        <v>2</v>
      </c>
      <c r="CS164" s="7">
        <v>2</v>
      </c>
      <c r="CT164" s="7">
        <v>2</v>
      </c>
      <c r="CU164" s="7">
        <v>2</v>
      </c>
      <c r="CV164" s="7">
        <v>2</v>
      </c>
      <c r="CW164" s="7">
        <v>2</v>
      </c>
      <c r="CX164" s="7">
        <v>2</v>
      </c>
      <c r="CY164" s="7">
        <v>2</v>
      </c>
      <c r="CZ164" s="7">
        <v>2</v>
      </c>
      <c r="DA164" s="7">
        <v>2</v>
      </c>
      <c r="DB164" s="7">
        <v>2</v>
      </c>
      <c r="DC164" s="7">
        <v>2</v>
      </c>
      <c r="DD164" s="7">
        <v>2</v>
      </c>
      <c r="DE164" s="7">
        <v>2</v>
      </c>
      <c r="DF164" s="7">
        <v>2</v>
      </c>
      <c r="DG164" s="7">
        <v>2</v>
      </c>
      <c r="DH164" s="7">
        <v>2</v>
      </c>
      <c r="DI164" s="7">
        <v>2</v>
      </c>
      <c r="DJ164" s="7">
        <v>2</v>
      </c>
      <c r="DK164" s="7">
        <v>1</v>
      </c>
      <c r="DL164" s="7">
        <v>1</v>
      </c>
      <c r="DM164" s="7">
        <v>1</v>
      </c>
      <c r="DN164" s="7">
        <v>1</v>
      </c>
      <c r="DO164" s="7">
        <v>1</v>
      </c>
      <c r="DP164" s="7">
        <v>1</v>
      </c>
      <c r="DQ164" s="7">
        <v>1</v>
      </c>
      <c r="DR164" s="7">
        <v>1</v>
      </c>
      <c r="DS164" s="7">
        <v>1</v>
      </c>
      <c r="DT164" s="7">
        <v>1</v>
      </c>
      <c r="DU164" s="7">
        <v>1</v>
      </c>
      <c r="DV164" s="7">
        <v>1</v>
      </c>
      <c r="DW164" s="7">
        <v>1</v>
      </c>
      <c r="DX164" s="7">
        <v>1</v>
      </c>
      <c r="DY164" s="7">
        <v>1</v>
      </c>
      <c r="DZ164" s="7">
        <v>1</v>
      </c>
      <c r="EA164" s="7">
        <v>1</v>
      </c>
      <c r="EB164" s="7">
        <v>1</v>
      </c>
      <c r="EC164" s="7">
        <v>1</v>
      </c>
      <c r="ED164" s="7">
        <v>1</v>
      </c>
      <c r="EE164" s="7">
        <v>1</v>
      </c>
      <c r="EF164" s="7">
        <v>1</v>
      </c>
      <c r="EG164" s="7">
        <v>1</v>
      </c>
      <c r="EH164" s="7">
        <v>1</v>
      </c>
      <c r="EI164" s="7">
        <v>1</v>
      </c>
      <c r="EJ164" s="7">
        <v>1</v>
      </c>
      <c r="EK164" s="7">
        <v>1</v>
      </c>
      <c r="EL164" s="7">
        <v>1</v>
      </c>
      <c r="EM164" s="7">
        <v>1</v>
      </c>
      <c r="EN164" s="7">
        <v>1</v>
      </c>
      <c r="EO164" s="7">
        <v>1</v>
      </c>
      <c r="EP164" s="7">
        <v>1</v>
      </c>
      <c r="EQ164" s="7">
        <v>1</v>
      </c>
      <c r="ER164" s="7">
        <v>1</v>
      </c>
      <c r="ES164" s="7">
        <v>1</v>
      </c>
      <c r="ET164" s="7">
        <v>1</v>
      </c>
      <c r="EU164" s="7">
        <v>1</v>
      </c>
      <c r="EV164" s="7">
        <v>1</v>
      </c>
      <c r="EW164" s="7">
        <v>1</v>
      </c>
      <c r="EX164" s="7">
        <v>1</v>
      </c>
      <c r="EY164" s="7">
        <v>1</v>
      </c>
      <c r="EZ164" s="7">
        <v>1</v>
      </c>
      <c r="FB164" s="50">
        <f>HLOOKUP(M16,$AU$112:$EZ$213,53,TRUE)</f>
        <v>1</v>
      </c>
      <c r="FD164" s="50">
        <f>HLOOKUP(AL42,$AU$112:$EZ$213,53,TRUE)</f>
        <v>1</v>
      </c>
    </row>
    <row r="165" spans="46:160">
      <c r="AT165" s="112">
        <v>3.6309999999999998</v>
      </c>
      <c r="AU165" s="7">
        <v>2</v>
      </c>
      <c r="AV165" s="7">
        <v>2</v>
      </c>
      <c r="AW165" s="7">
        <v>2</v>
      </c>
      <c r="AX165" s="7">
        <v>2</v>
      </c>
      <c r="AY165" s="7">
        <v>2</v>
      </c>
      <c r="AZ165" s="7">
        <v>2</v>
      </c>
      <c r="BA165" s="331">
        <v>2</v>
      </c>
      <c r="BB165" s="7">
        <v>2</v>
      </c>
      <c r="BC165" s="7">
        <v>2</v>
      </c>
      <c r="BD165" s="7">
        <v>2</v>
      </c>
      <c r="BE165" s="7">
        <v>2</v>
      </c>
      <c r="BF165" s="7">
        <v>2</v>
      </c>
      <c r="BG165" s="7">
        <v>2</v>
      </c>
      <c r="BH165" s="7">
        <v>2</v>
      </c>
      <c r="BI165" s="7">
        <v>2</v>
      </c>
      <c r="BJ165" s="7">
        <v>2</v>
      </c>
      <c r="BK165" s="7">
        <v>2</v>
      </c>
      <c r="BL165" s="7">
        <v>2</v>
      </c>
      <c r="BM165" s="7">
        <v>2</v>
      </c>
      <c r="BN165" s="7">
        <v>2</v>
      </c>
      <c r="BO165" s="7">
        <v>2</v>
      </c>
      <c r="BP165" s="7">
        <v>2</v>
      </c>
      <c r="BQ165" s="7">
        <v>2</v>
      </c>
      <c r="BR165" s="7">
        <v>2</v>
      </c>
      <c r="BS165" s="7">
        <v>2</v>
      </c>
      <c r="BT165" s="7">
        <v>2</v>
      </c>
      <c r="BU165" s="7">
        <v>2</v>
      </c>
      <c r="BV165" s="7">
        <v>2</v>
      </c>
      <c r="BW165" s="7">
        <v>2</v>
      </c>
      <c r="BX165" s="7">
        <v>2</v>
      </c>
      <c r="BY165" s="7">
        <v>2</v>
      </c>
      <c r="BZ165" s="7">
        <v>2</v>
      </c>
      <c r="CA165" s="7">
        <v>2</v>
      </c>
      <c r="CB165" s="7">
        <v>2</v>
      </c>
      <c r="CC165" s="7">
        <v>2</v>
      </c>
      <c r="CD165" s="7">
        <v>2</v>
      </c>
      <c r="CE165" s="7">
        <v>2</v>
      </c>
      <c r="CF165" s="7">
        <v>2</v>
      </c>
      <c r="CG165" s="7">
        <v>2</v>
      </c>
      <c r="CH165" s="7">
        <v>2</v>
      </c>
      <c r="CI165" s="7">
        <v>2</v>
      </c>
      <c r="CJ165" s="7">
        <v>2</v>
      </c>
      <c r="CK165" s="7">
        <v>2</v>
      </c>
      <c r="CL165" s="7">
        <v>2</v>
      </c>
      <c r="CM165" s="7">
        <v>2</v>
      </c>
      <c r="CN165" s="7">
        <v>2</v>
      </c>
      <c r="CO165" s="7">
        <v>2</v>
      </c>
      <c r="CP165" s="7">
        <v>2</v>
      </c>
      <c r="CQ165" s="7">
        <v>2</v>
      </c>
      <c r="CR165" s="7">
        <v>2</v>
      </c>
      <c r="CS165" s="7">
        <v>2</v>
      </c>
      <c r="CT165" s="7">
        <v>2</v>
      </c>
      <c r="CU165" s="7">
        <v>2</v>
      </c>
      <c r="CV165" s="7">
        <v>2</v>
      </c>
      <c r="CW165" s="7">
        <v>2</v>
      </c>
      <c r="CX165" s="7">
        <v>2</v>
      </c>
      <c r="CY165" s="7">
        <v>2</v>
      </c>
      <c r="CZ165" s="7">
        <v>2</v>
      </c>
      <c r="DA165" s="7">
        <v>2</v>
      </c>
      <c r="DB165" s="7">
        <v>2</v>
      </c>
      <c r="DC165" s="7">
        <v>2</v>
      </c>
      <c r="DD165" s="7">
        <v>2</v>
      </c>
      <c r="DE165" s="7">
        <v>2</v>
      </c>
      <c r="DF165" s="7">
        <v>2</v>
      </c>
      <c r="DG165" s="7">
        <v>2</v>
      </c>
      <c r="DH165" s="7">
        <v>2</v>
      </c>
      <c r="DI165" s="7">
        <v>2</v>
      </c>
      <c r="DJ165" s="7">
        <v>2</v>
      </c>
      <c r="DK165" s="7">
        <v>2</v>
      </c>
      <c r="DL165" s="7">
        <v>1</v>
      </c>
      <c r="DM165" s="7">
        <v>1</v>
      </c>
      <c r="DN165" s="7">
        <v>1</v>
      </c>
      <c r="DO165" s="7">
        <v>1</v>
      </c>
      <c r="DP165" s="7">
        <v>1</v>
      </c>
      <c r="DQ165" s="7">
        <v>1</v>
      </c>
      <c r="DR165" s="7">
        <v>1</v>
      </c>
      <c r="DS165" s="7">
        <v>1</v>
      </c>
      <c r="DT165" s="7">
        <v>1</v>
      </c>
      <c r="DU165" s="7">
        <v>1</v>
      </c>
      <c r="DV165" s="7">
        <v>1</v>
      </c>
      <c r="DW165" s="7">
        <v>1</v>
      </c>
      <c r="DX165" s="7">
        <v>1</v>
      </c>
      <c r="DY165" s="7">
        <v>1</v>
      </c>
      <c r="DZ165" s="7">
        <v>1</v>
      </c>
      <c r="EA165" s="7">
        <v>1</v>
      </c>
      <c r="EB165" s="7">
        <v>1</v>
      </c>
      <c r="EC165" s="7">
        <v>1</v>
      </c>
      <c r="ED165" s="7">
        <v>1</v>
      </c>
      <c r="EE165" s="7">
        <v>1</v>
      </c>
      <c r="EF165" s="7">
        <v>1</v>
      </c>
      <c r="EG165" s="7">
        <v>1</v>
      </c>
      <c r="EH165" s="7">
        <v>1</v>
      </c>
      <c r="EI165" s="7">
        <v>1</v>
      </c>
      <c r="EJ165" s="7">
        <v>1</v>
      </c>
      <c r="EK165" s="7">
        <v>1</v>
      </c>
      <c r="EL165" s="7">
        <v>1</v>
      </c>
      <c r="EM165" s="7">
        <v>1</v>
      </c>
      <c r="EN165" s="7">
        <v>1</v>
      </c>
      <c r="EO165" s="7">
        <v>1</v>
      </c>
      <c r="EP165" s="7">
        <v>1</v>
      </c>
      <c r="EQ165" s="7">
        <v>1</v>
      </c>
      <c r="ER165" s="7">
        <v>1</v>
      </c>
      <c r="ES165" s="7">
        <v>1</v>
      </c>
      <c r="ET165" s="7">
        <v>1</v>
      </c>
      <c r="EU165" s="7">
        <v>1</v>
      </c>
      <c r="EV165" s="7">
        <v>1</v>
      </c>
      <c r="EW165" s="7">
        <v>1</v>
      </c>
      <c r="EX165" s="7">
        <v>1</v>
      </c>
      <c r="EY165" s="7">
        <v>1</v>
      </c>
      <c r="EZ165" s="7">
        <v>1</v>
      </c>
      <c r="FB165" s="50">
        <f>HLOOKUP(M16,$AU$112:$EZ$213,54,TRUE)</f>
        <v>1</v>
      </c>
      <c r="FD165" s="50">
        <f>HLOOKUP(AL42,$AU$112:$EZ$213,54,TRUE)</f>
        <v>1</v>
      </c>
    </row>
    <row r="166" spans="46:160">
      <c r="AT166" s="112">
        <v>3.89</v>
      </c>
      <c r="AU166" s="7">
        <v>2</v>
      </c>
      <c r="AV166" s="7">
        <v>2</v>
      </c>
      <c r="AW166" s="7">
        <v>2</v>
      </c>
      <c r="AX166" s="7">
        <v>2</v>
      </c>
      <c r="AY166" s="7">
        <v>2</v>
      </c>
      <c r="AZ166" s="7">
        <v>2</v>
      </c>
      <c r="BA166" s="331">
        <v>2</v>
      </c>
      <c r="BB166" s="7">
        <v>2</v>
      </c>
      <c r="BC166" s="7">
        <v>2</v>
      </c>
      <c r="BD166" s="7">
        <v>2</v>
      </c>
      <c r="BE166" s="7">
        <v>2</v>
      </c>
      <c r="BF166" s="7">
        <v>2</v>
      </c>
      <c r="BG166" s="7">
        <v>2</v>
      </c>
      <c r="BH166" s="7">
        <v>2</v>
      </c>
      <c r="BI166" s="7">
        <v>2</v>
      </c>
      <c r="BJ166" s="7">
        <v>2</v>
      </c>
      <c r="BK166" s="7">
        <v>2</v>
      </c>
      <c r="BL166" s="7">
        <v>2</v>
      </c>
      <c r="BM166" s="7">
        <v>2</v>
      </c>
      <c r="BN166" s="7">
        <v>2</v>
      </c>
      <c r="BO166" s="7">
        <v>2</v>
      </c>
      <c r="BP166" s="7">
        <v>2</v>
      </c>
      <c r="BQ166" s="7">
        <v>2</v>
      </c>
      <c r="BR166" s="7">
        <v>2</v>
      </c>
      <c r="BS166" s="7">
        <v>2</v>
      </c>
      <c r="BT166" s="7">
        <v>2</v>
      </c>
      <c r="BU166" s="7">
        <v>2</v>
      </c>
      <c r="BV166" s="7">
        <v>2</v>
      </c>
      <c r="BW166" s="7">
        <v>2</v>
      </c>
      <c r="BX166" s="7">
        <v>2</v>
      </c>
      <c r="BY166" s="7">
        <v>2</v>
      </c>
      <c r="BZ166" s="7">
        <v>2</v>
      </c>
      <c r="CA166" s="7">
        <v>2</v>
      </c>
      <c r="CB166" s="7">
        <v>2</v>
      </c>
      <c r="CC166" s="7">
        <v>2</v>
      </c>
      <c r="CD166" s="7">
        <v>2</v>
      </c>
      <c r="CE166" s="7">
        <v>2</v>
      </c>
      <c r="CF166" s="7">
        <v>2</v>
      </c>
      <c r="CG166" s="7">
        <v>2</v>
      </c>
      <c r="CH166" s="7">
        <v>2</v>
      </c>
      <c r="CI166" s="7">
        <v>2</v>
      </c>
      <c r="CJ166" s="7">
        <v>2</v>
      </c>
      <c r="CK166" s="7">
        <v>2</v>
      </c>
      <c r="CL166" s="7">
        <v>2</v>
      </c>
      <c r="CM166" s="7">
        <v>2</v>
      </c>
      <c r="CN166" s="7">
        <v>2</v>
      </c>
      <c r="CO166" s="7">
        <v>2</v>
      </c>
      <c r="CP166" s="7">
        <v>2</v>
      </c>
      <c r="CQ166" s="7">
        <v>2</v>
      </c>
      <c r="CR166" s="7">
        <v>2</v>
      </c>
      <c r="CS166" s="7">
        <v>2</v>
      </c>
      <c r="CT166" s="7">
        <v>2</v>
      </c>
      <c r="CU166" s="7">
        <v>2</v>
      </c>
      <c r="CV166" s="7">
        <v>2</v>
      </c>
      <c r="CW166" s="7">
        <v>2</v>
      </c>
      <c r="CX166" s="7">
        <v>2</v>
      </c>
      <c r="CY166" s="7">
        <v>2</v>
      </c>
      <c r="CZ166" s="7">
        <v>2</v>
      </c>
      <c r="DA166" s="7">
        <v>2</v>
      </c>
      <c r="DB166" s="7">
        <v>2</v>
      </c>
      <c r="DC166" s="7">
        <v>2</v>
      </c>
      <c r="DD166" s="7">
        <v>2</v>
      </c>
      <c r="DE166" s="7">
        <v>2</v>
      </c>
      <c r="DF166" s="7">
        <v>2</v>
      </c>
      <c r="DG166" s="7">
        <v>2</v>
      </c>
      <c r="DH166" s="7">
        <v>2</v>
      </c>
      <c r="DI166" s="7">
        <v>2</v>
      </c>
      <c r="DJ166" s="7">
        <v>2</v>
      </c>
      <c r="DK166" s="7">
        <v>2</v>
      </c>
      <c r="DL166" s="7">
        <v>2</v>
      </c>
      <c r="DM166" s="7">
        <v>1</v>
      </c>
      <c r="DN166" s="7">
        <v>1</v>
      </c>
      <c r="DO166" s="7">
        <v>1</v>
      </c>
      <c r="DP166" s="7">
        <v>1</v>
      </c>
      <c r="DQ166" s="7">
        <v>1</v>
      </c>
      <c r="DR166" s="7">
        <v>1</v>
      </c>
      <c r="DS166" s="7">
        <v>1</v>
      </c>
      <c r="DT166" s="7">
        <v>1</v>
      </c>
      <c r="DU166" s="7">
        <v>1</v>
      </c>
      <c r="DV166" s="7">
        <v>1</v>
      </c>
      <c r="DW166" s="7">
        <v>1</v>
      </c>
      <c r="DX166" s="7">
        <v>1</v>
      </c>
      <c r="DY166" s="7">
        <v>1</v>
      </c>
      <c r="DZ166" s="7">
        <v>1</v>
      </c>
      <c r="EA166" s="7">
        <v>1</v>
      </c>
      <c r="EB166" s="7">
        <v>1</v>
      </c>
      <c r="EC166" s="7">
        <v>1</v>
      </c>
      <c r="ED166" s="7">
        <v>1</v>
      </c>
      <c r="EE166" s="7">
        <v>1</v>
      </c>
      <c r="EF166" s="7">
        <v>1</v>
      </c>
      <c r="EG166" s="7">
        <v>1</v>
      </c>
      <c r="EH166" s="7">
        <v>1</v>
      </c>
      <c r="EI166" s="7">
        <v>1</v>
      </c>
      <c r="EJ166" s="7">
        <v>1</v>
      </c>
      <c r="EK166" s="7">
        <v>1</v>
      </c>
      <c r="EL166" s="7">
        <v>1</v>
      </c>
      <c r="EM166" s="7">
        <v>1</v>
      </c>
      <c r="EN166" s="7">
        <v>1</v>
      </c>
      <c r="EO166" s="7">
        <v>1</v>
      </c>
      <c r="EP166" s="7">
        <v>1</v>
      </c>
      <c r="EQ166" s="7">
        <v>1</v>
      </c>
      <c r="ER166" s="7">
        <v>1</v>
      </c>
      <c r="ES166" s="7">
        <v>1</v>
      </c>
      <c r="ET166" s="7">
        <v>1</v>
      </c>
      <c r="EU166" s="7">
        <v>1</v>
      </c>
      <c r="EV166" s="7">
        <v>1</v>
      </c>
      <c r="EW166" s="7">
        <v>1</v>
      </c>
      <c r="EX166" s="7">
        <v>1</v>
      </c>
      <c r="EY166" s="7">
        <v>1</v>
      </c>
      <c r="EZ166" s="7">
        <v>1</v>
      </c>
      <c r="FB166" s="50">
        <f>HLOOKUP(M16,$AU$112:$EZ$213,55,TRUE)</f>
        <v>1</v>
      </c>
      <c r="FD166" s="50">
        <f>HLOOKUP(AL42,$AU$112:$EZ$213,55,TRUE)</f>
        <v>1</v>
      </c>
    </row>
    <row r="167" spans="46:160">
      <c r="AT167" s="112">
        <v>4.1689999999999996</v>
      </c>
      <c r="AU167" s="7">
        <v>2</v>
      </c>
      <c r="AV167" s="7">
        <v>2</v>
      </c>
      <c r="AW167" s="7">
        <v>2</v>
      </c>
      <c r="AX167" s="7">
        <v>2</v>
      </c>
      <c r="AY167" s="7">
        <v>2</v>
      </c>
      <c r="AZ167" s="7">
        <v>2</v>
      </c>
      <c r="BA167" s="331">
        <v>2</v>
      </c>
      <c r="BB167" s="7">
        <v>2</v>
      </c>
      <c r="BC167" s="7">
        <v>2</v>
      </c>
      <c r="BD167" s="7">
        <v>2</v>
      </c>
      <c r="BE167" s="7">
        <v>2</v>
      </c>
      <c r="BF167" s="7">
        <v>2</v>
      </c>
      <c r="BG167" s="7">
        <v>2</v>
      </c>
      <c r="BH167" s="7">
        <v>2</v>
      </c>
      <c r="BI167" s="7">
        <v>2</v>
      </c>
      <c r="BJ167" s="7">
        <v>2</v>
      </c>
      <c r="BK167" s="7">
        <v>2</v>
      </c>
      <c r="BL167" s="7">
        <v>2</v>
      </c>
      <c r="BM167" s="7">
        <v>2</v>
      </c>
      <c r="BN167" s="7">
        <v>2</v>
      </c>
      <c r="BO167" s="7">
        <v>2</v>
      </c>
      <c r="BP167" s="7">
        <v>2</v>
      </c>
      <c r="BQ167" s="7">
        <v>2</v>
      </c>
      <c r="BR167" s="7">
        <v>2</v>
      </c>
      <c r="BS167" s="7">
        <v>2</v>
      </c>
      <c r="BT167" s="7">
        <v>2</v>
      </c>
      <c r="BU167" s="7">
        <v>2</v>
      </c>
      <c r="BV167" s="7">
        <v>2</v>
      </c>
      <c r="BW167" s="7">
        <v>2</v>
      </c>
      <c r="BX167" s="7">
        <v>2</v>
      </c>
      <c r="BY167" s="7">
        <v>2</v>
      </c>
      <c r="BZ167" s="7">
        <v>2</v>
      </c>
      <c r="CA167" s="7">
        <v>2</v>
      </c>
      <c r="CB167" s="7">
        <v>2</v>
      </c>
      <c r="CC167" s="7">
        <v>2</v>
      </c>
      <c r="CD167" s="7">
        <v>2</v>
      </c>
      <c r="CE167" s="7">
        <v>2</v>
      </c>
      <c r="CF167" s="7">
        <v>2</v>
      </c>
      <c r="CG167" s="7">
        <v>2</v>
      </c>
      <c r="CH167" s="7">
        <v>2</v>
      </c>
      <c r="CI167" s="7">
        <v>2</v>
      </c>
      <c r="CJ167" s="7">
        <v>2</v>
      </c>
      <c r="CK167" s="7">
        <v>2</v>
      </c>
      <c r="CL167" s="7">
        <v>2</v>
      </c>
      <c r="CM167" s="7">
        <v>2</v>
      </c>
      <c r="CN167" s="7">
        <v>2</v>
      </c>
      <c r="CO167" s="7">
        <v>2</v>
      </c>
      <c r="CP167" s="7">
        <v>2</v>
      </c>
      <c r="CQ167" s="7">
        <v>2</v>
      </c>
      <c r="CR167" s="7">
        <v>2</v>
      </c>
      <c r="CS167" s="7">
        <v>2</v>
      </c>
      <c r="CT167" s="7">
        <v>2</v>
      </c>
      <c r="CU167" s="7">
        <v>2</v>
      </c>
      <c r="CV167" s="7">
        <v>2</v>
      </c>
      <c r="CW167" s="7">
        <v>2</v>
      </c>
      <c r="CX167" s="7">
        <v>2</v>
      </c>
      <c r="CY167" s="7">
        <v>2</v>
      </c>
      <c r="CZ167" s="7">
        <v>2</v>
      </c>
      <c r="DA167" s="7">
        <v>2</v>
      </c>
      <c r="DB167" s="7">
        <v>2</v>
      </c>
      <c r="DC167" s="7">
        <v>2</v>
      </c>
      <c r="DD167" s="7">
        <v>2</v>
      </c>
      <c r="DE167" s="7">
        <v>2</v>
      </c>
      <c r="DF167" s="7">
        <v>2</v>
      </c>
      <c r="DG167" s="7">
        <v>2</v>
      </c>
      <c r="DH167" s="7">
        <v>2</v>
      </c>
      <c r="DI167" s="7">
        <v>2</v>
      </c>
      <c r="DJ167" s="7">
        <v>2</v>
      </c>
      <c r="DK167" s="7">
        <v>2</v>
      </c>
      <c r="DL167" s="7">
        <v>2</v>
      </c>
      <c r="DM167" s="7">
        <v>2</v>
      </c>
      <c r="DN167" s="7">
        <v>1</v>
      </c>
      <c r="DO167" s="7">
        <v>1</v>
      </c>
      <c r="DP167" s="7">
        <v>1</v>
      </c>
      <c r="DQ167" s="7">
        <v>1</v>
      </c>
      <c r="DR167" s="7">
        <v>1</v>
      </c>
      <c r="DS167" s="7">
        <v>1</v>
      </c>
      <c r="DT167" s="7">
        <v>1</v>
      </c>
      <c r="DU167" s="7">
        <v>1</v>
      </c>
      <c r="DV167" s="7">
        <v>1</v>
      </c>
      <c r="DW167" s="7">
        <v>1</v>
      </c>
      <c r="DX167" s="7">
        <v>1</v>
      </c>
      <c r="DY167" s="7">
        <v>1</v>
      </c>
      <c r="DZ167" s="7">
        <v>1</v>
      </c>
      <c r="EA167" s="7">
        <v>1</v>
      </c>
      <c r="EB167" s="7">
        <v>1</v>
      </c>
      <c r="EC167" s="7">
        <v>1</v>
      </c>
      <c r="ED167" s="7">
        <v>1</v>
      </c>
      <c r="EE167" s="7">
        <v>1</v>
      </c>
      <c r="EF167" s="7">
        <v>1</v>
      </c>
      <c r="EG167" s="7">
        <v>1</v>
      </c>
      <c r="EH167" s="7">
        <v>1</v>
      </c>
      <c r="EI167" s="7">
        <v>1</v>
      </c>
      <c r="EJ167" s="7">
        <v>1</v>
      </c>
      <c r="EK167" s="7">
        <v>1</v>
      </c>
      <c r="EL167" s="7">
        <v>1</v>
      </c>
      <c r="EM167" s="7">
        <v>1</v>
      </c>
      <c r="EN167" s="7">
        <v>1</v>
      </c>
      <c r="EO167" s="7">
        <v>1</v>
      </c>
      <c r="EP167" s="7">
        <v>1</v>
      </c>
      <c r="EQ167" s="7">
        <v>1</v>
      </c>
      <c r="ER167" s="7">
        <v>1</v>
      </c>
      <c r="ES167" s="7">
        <v>1</v>
      </c>
      <c r="ET167" s="7">
        <v>1</v>
      </c>
      <c r="EU167" s="7">
        <v>1</v>
      </c>
      <c r="EV167" s="7">
        <v>1</v>
      </c>
      <c r="EW167" s="7">
        <v>1</v>
      </c>
      <c r="EX167" s="7">
        <v>1</v>
      </c>
      <c r="EY167" s="7">
        <v>1</v>
      </c>
      <c r="EZ167" s="7">
        <v>1</v>
      </c>
      <c r="FB167" s="50">
        <f>HLOOKUP(M16,$AU$112:$EZ$213,56,TRUE)</f>
        <v>1</v>
      </c>
      <c r="FD167" s="50">
        <f>HLOOKUP(AL42,$AU$112:$EZ$213,56,TRUE)</f>
        <v>1</v>
      </c>
    </row>
    <row r="168" spans="46:160">
      <c r="AT168" s="112">
        <v>4.4669999999999996</v>
      </c>
      <c r="AU168" s="7">
        <v>2</v>
      </c>
      <c r="AV168" s="7">
        <v>2</v>
      </c>
      <c r="AW168" s="7">
        <v>2</v>
      </c>
      <c r="AX168" s="7">
        <v>2</v>
      </c>
      <c r="AY168" s="7">
        <v>2</v>
      </c>
      <c r="AZ168" s="7">
        <v>2</v>
      </c>
      <c r="BA168" s="331">
        <v>2</v>
      </c>
      <c r="BB168" s="7">
        <v>2</v>
      </c>
      <c r="BC168" s="7">
        <v>2</v>
      </c>
      <c r="BD168" s="7">
        <v>2</v>
      </c>
      <c r="BE168" s="7">
        <v>2</v>
      </c>
      <c r="BF168" s="7">
        <v>2</v>
      </c>
      <c r="BG168" s="7">
        <v>2</v>
      </c>
      <c r="BH168" s="7">
        <v>2</v>
      </c>
      <c r="BI168" s="7">
        <v>2</v>
      </c>
      <c r="BJ168" s="7">
        <v>2</v>
      </c>
      <c r="BK168" s="7">
        <v>2</v>
      </c>
      <c r="BL168" s="7">
        <v>2</v>
      </c>
      <c r="BM168" s="7">
        <v>2</v>
      </c>
      <c r="BN168" s="7">
        <v>2</v>
      </c>
      <c r="BO168" s="7">
        <v>2</v>
      </c>
      <c r="BP168" s="7">
        <v>2</v>
      </c>
      <c r="BQ168" s="7">
        <v>2</v>
      </c>
      <c r="BR168" s="7">
        <v>2</v>
      </c>
      <c r="BS168" s="7">
        <v>2</v>
      </c>
      <c r="BT168" s="7">
        <v>2</v>
      </c>
      <c r="BU168" s="7">
        <v>2</v>
      </c>
      <c r="BV168" s="7">
        <v>2</v>
      </c>
      <c r="BW168" s="7">
        <v>2</v>
      </c>
      <c r="BX168" s="7">
        <v>2</v>
      </c>
      <c r="BY168" s="7">
        <v>2</v>
      </c>
      <c r="BZ168" s="7">
        <v>2</v>
      </c>
      <c r="CA168" s="7">
        <v>2</v>
      </c>
      <c r="CB168" s="7">
        <v>2</v>
      </c>
      <c r="CC168" s="7">
        <v>2</v>
      </c>
      <c r="CD168" s="7">
        <v>2</v>
      </c>
      <c r="CE168" s="7">
        <v>2</v>
      </c>
      <c r="CF168" s="7">
        <v>2</v>
      </c>
      <c r="CG168" s="7">
        <v>2</v>
      </c>
      <c r="CH168" s="7">
        <v>2</v>
      </c>
      <c r="CI168" s="7">
        <v>2</v>
      </c>
      <c r="CJ168" s="7">
        <v>2</v>
      </c>
      <c r="CK168" s="7">
        <v>2</v>
      </c>
      <c r="CL168" s="7">
        <v>2</v>
      </c>
      <c r="CM168" s="7">
        <v>2</v>
      </c>
      <c r="CN168" s="7">
        <v>2</v>
      </c>
      <c r="CO168" s="7">
        <v>2</v>
      </c>
      <c r="CP168" s="7">
        <v>2</v>
      </c>
      <c r="CQ168" s="7">
        <v>2</v>
      </c>
      <c r="CR168" s="7">
        <v>2</v>
      </c>
      <c r="CS168" s="7">
        <v>2</v>
      </c>
      <c r="CT168" s="7">
        <v>2</v>
      </c>
      <c r="CU168" s="7">
        <v>2</v>
      </c>
      <c r="CV168" s="7">
        <v>2</v>
      </c>
      <c r="CW168" s="7">
        <v>2</v>
      </c>
      <c r="CX168" s="7">
        <v>2</v>
      </c>
      <c r="CY168" s="7">
        <v>2</v>
      </c>
      <c r="CZ168" s="7">
        <v>2</v>
      </c>
      <c r="DA168" s="7">
        <v>2</v>
      </c>
      <c r="DB168" s="7">
        <v>2</v>
      </c>
      <c r="DC168" s="7">
        <v>2</v>
      </c>
      <c r="DD168" s="7">
        <v>2</v>
      </c>
      <c r="DE168" s="7">
        <v>2</v>
      </c>
      <c r="DF168" s="7">
        <v>2</v>
      </c>
      <c r="DG168" s="7">
        <v>2</v>
      </c>
      <c r="DH168" s="7">
        <v>2</v>
      </c>
      <c r="DI168" s="7">
        <v>2</v>
      </c>
      <c r="DJ168" s="7">
        <v>2</v>
      </c>
      <c r="DK168" s="7">
        <v>2</v>
      </c>
      <c r="DL168" s="7">
        <v>2</v>
      </c>
      <c r="DM168" s="7">
        <v>2</v>
      </c>
      <c r="DN168" s="7">
        <v>2</v>
      </c>
      <c r="DO168" s="7">
        <v>1</v>
      </c>
      <c r="DP168" s="7">
        <v>1</v>
      </c>
      <c r="DQ168" s="7">
        <v>1</v>
      </c>
      <c r="DR168" s="7">
        <v>1</v>
      </c>
      <c r="DS168" s="7">
        <v>1</v>
      </c>
      <c r="DT168" s="7">
        <v>1</v>
      </c>
      <c r="DU168" s="7">
        <v>1</v>
      </c>
      <c r="DV168" s="7">
        <v>1</v>
      </c>
      <c r="DW168" s="7">
        <v>1</v>
      </c>
      <c r="DX168" s="7">
        <v>1</v>
      </c>
      <c r="DY168" s="7">
        <v>1</v>
      </c>
      <c r="DZ168" s="7">
        <v>1</v>
      </c>
      <c r="EA168" s="7">
        <v>1</v>
      </c>
      <c r="EB168" s="7">
        <v>1</v>
      </c>
      <c r="EC168" s="7">
        <v>1</v>
      </c>
      <c r="ED168" s="7">
        <v>1</v>
      </c>
      <c r="EE168" s="7">
        <v>1</v>
      </c>
      <c r="EF168" s="7">
        <v>1</v>
      </c>
      <c r="EG168" s="7">
        <v>1</v>
      </c>
      <c r="EH168" s="7">
        <v>1</v>
      </c>
      <c r="EI168" s="7">
        <v>1</v>
      </c>
      <c r="EJ168" s="7">
        <v>1</v>
      </c>
      <c r="EK168" s="7">
        <v>1</v>
      </c>
      <c r="EL168" s="7">
        <v>1</v>
      </c>
      <c r="EM168" s="7">
        <v>1</v>
      </c>
      <c r="EN168" s="7">
        <v>1</v>
      </c>
      <c r="EO168" s="7">
        <v>1</v>
      </c>
      <c r="EP168" s="7">
        <v>1</v>
      </c>
      <c r="EQ168" s="7">
        <v>1</v>
      </c>
      <c r="ER168" s="7">
        <v>1</v>
      </c>
      <c r="ES168" s="7">
        <v>1</v>
      </c>
      <c r="ET168" s="7">
        <v>1</v>
      </c>
      <c r="EU168" s="7">
        <v>1</v>
      </c>
      <c r="EV168" s="7">
        <v>1</v>
      </c>
      <c r="EW168" s="7">
        <v>1</v>
      </c>
      <c r="EX168" s="7">
        <v>1</v>
      </c>
      <c r="EY168" s="7">
        <v>1</v>
      </c>
      <c r="EZ168" s="7">
        <v>1</v>
      </c>
      <c r="FB168" s="50">
        <f>HLOOKUP(M16,$AU$112:$EZ$213,57,TRUE)</f>
        <v>1</v>
      </c>
      <c r="FD168" s="50">
        <f>HLOOKUP(AL42,$AU$112:$EZ$213,57,TRUE)</f>
        <v>1</v>
      </c>
    </row>
    <row r="169" spans="46:160">
      <c r="AT169" s="112">
        <v>4.7859999999999996</v>
      </c>
      <c r="AU169" s="7">
        <v>2</v>
      </c>
      <c r="AV169" s="7">
        <v>2</v>
      </c>
      <c r="AW169" s="7">
        <v>2</v>
      </c>
      <c r="AX169" s="7">
        <v>2</v>
      </c>
      <c r="AY169" s="7">
        <v>2</v>
      </c>
      <c r="AZ169" s="7">
        <v>2</v>
      </c>
      <c r="BA169" s="331">
        <v>2</v>
      </c>
      <c r="BB169" s="7">
        <v>2</v>
      </c>
      <c r="BC169" s="7">
        <v>2</v>
      </c>
      <c r="BD169" s="7">
        <v>2</v>
      </c>
      <c r="BE169" s="7">
        <v>2</v>
      </c>
      <c r="BF169" s="7">
        <v>2</v>
      </c>
      <c r="BG169" s="7">
        <v>2</v>
      </c>
      <c r="BH169" s="7">
        <v>2</v>
      </c>
      <c r="BI169" s="7">
        <v>2</v>
      </c>
      <c r="BJ169" s="7">
        <v>2</v>
      </c>
      <c r="BK169" s="7">
        <v>2</v>
      </c>
      <c r="BL169" s="7">
        <v>2</v>
      </c>
      <c r="BM169" s="7">
        <v>2</v>
      </c>
      <c r="BN169" s="7">
        <v>2</v>
      </c>
      <c r="BO169" s="7">
        <v>2</v>
      </c>
      <c r="BP169" s="7">
        <v>2</v>
      </c>
      <c r="BQ169" s="7">
        <v>2</v>
      </c>
      <c r="BR169" s="7">
        <v>2</v>
      </c>
      <c r="BS169" s="7">
        <v>2</v>
      </c>
      <c r="BT169" s="7">
        <v>2</v>
      </c>
      <c r="BU169" s="7">
        <v>2</v>
      </c>
      <c r="BV169" s="7">
        <v>2</v>
      </c>
      <c r="BW169" s="7">
        <v>2</v>
      </c>
      <c r="BX169" s="7">
        <v>2</v>
      </c>
      <c r="BY169" s="7">
        <v>2</v>
      </c>
      <c r="BZ169" s="7">
        <v>2</v>
      </c>
      <c r="CA169" s="7">
        <v>2</v>
      </c>
      <c r="CB169" s="7">
        <v>2</v>
      </c>
      <c r="CC169" s="7">
        <v>2</v>
      </c>
      <c r="CD169" s="7">
        <v>2</v>
      </c>
      <c r="CE169" s="7">
        <v>2</v>
      </c>
      <c r="CF169" s="7">
        <v>2</v>
      </c>
      <c r="CG169" s="7">
        <v>2</v>
      </c>
      <c r="CH169" s="7">
        <v>2</v>
      </c>
      <c r="CI169" s="7">
        <v>2</v>
      </c>
      <c r="CJ169" s="7">
        <v>2</v>
      </c>
      <c r="CK169" s="7">
        <v>2</v>
      </c>
      <c r="CL169" s="7">
        <v>2</v>
      </c>
      <c r="CM169" s="7">
        <v>2</v>
      </c>
      <c r="CN169" s="7">
        <v>2</v>
      </c>
      <c r="CO169" s="7">
        <v>2</v>
      </c>
      <c r="CP169" s="7">
        <v>2</v>
      </c>
      <c r="CQ169" s="7">
        <v>2</v>
      </c>
      <c r="CR169" s="7">
        <v>2</v>
      </c>
      <c r="CS169" s="7">
        <v>2</v>
      </c>
      <c r="CT169" s="7">
        <v>2</v>
      </c>
      <c r="CU169" s="7">
        <v>2</v>
      </c>
      <c r="CV169" s="7">
        <v>2</v>
      </c>
      <c r="CW169" s="7">
        <v>2</v>
      </c>
      <c r="CX169" s="7">
        <v>2</v>
      </c>
      <c r="CY169" s="7">
        <v>2</v>
      </c>
      <c r="CZ169" s="7">
        <v>2</v>
      </c>
      <c r="DA169" s="7">
        <v>2</v>
      </c>
      <c r="DB169" s="7">
        <v>2</v>
      </c>
      <c r="DC169" s="7">
        <v>2</v>
      </c>
      <c r="DD169" s="7">
        <v>2</v>
      </c>
      <c r="DE169" s="7">
        <v>2</v>
      </c>
      <c r="DF169" s="7">
        <v>2</v>
      </c>
      <c r="DG169" s="7">
        <v>2</v>
      </c>
      <c r="DH169" s="7">
        <v>2</v>
      </c>
      <c r="DI169" s="7">
        <v>2</v>
      </c>
      <c r="DJ169" s="7">
        <v>2</v>
      </c>
      <c r="DK169" s="7">
        <v>2</v>
      </c>
      <c r="DL169" s="7">
        <v>2</v>
      </c>
      <c r="DM169" s="7">
        <v>2</v>
      </c>
      <c r="DN169" s="7">
        <v>2</v>
      </c>
      <c r="DO169" s="7">
        <v>2</v>
      </c>
      <c r="DP169" s="7">
        <v>1</v>
      </c>
      <c r="DQ169" s="7">
        <v>1</v>
      </c>
      <c r="DR169" s="7">
        <v>1</v>
      </c>
      <c r="DS169" s="7">
        <v>1</v>
      </c>
      <c r="DT169" s="7">
        <v>1</v>
      </c>
      <c r="DU169" s="7">
        <v>1</v>
      </c>
      <c r="DV169" s="7">
        <v>1</v>
      </c>
      <c r="DW169" s="7">
        <v>1</v>
      </c>
      <c r="DX169" s="7">
        <v>1</v>
      </c>
      <c r="DY169" s="7">
        <v>1</v>
      </c>
      <c r="DZ169" s="7">
        <v>1</v>
      </c>
      <c r="EA169" s="7">
        <v>1</v>
      </c>
      <c r="EB169" s="7">
        <v>1</v>
      </c>
      <c r="EC169" s="7">
        <v>1</v>
      </c>
      <c r="ED169" s="7">
        <v>1</v>
      </c>
      <c r="EE169" s="7">
        <v>1</v>
      </c>
      <c r="EF169" s="7">
        <v>1</v>
      </c>
      <c r="EG169" s="7">
        <v>1</v>
      </c>
      <c r="EH169" s="7">
        <v>1</v>
      </c>
      <c r="EI169" s="7">
        <v>1</v>
      </c>
      <c r="EJ169" s="7">
        <v>1</v>
      </c>
      <c r="EK169" s="7">
        <v>1</v>
      </c>
      <c r="EL169" s="7">
        <v>1</v>
      </c>
      <c r="EM169" s="7">
        <v>1</v>
      </c>
      <c r="EN169" s="7">
        <v>1</v>
      </c>
      <c r="EO169" s="7">
        <v>1</v>
      </c>
      <c r="EP169" s="7">
        <v>1</v>
      </c>
      <c r="EQ169" s="7">
        <v>1</v>
      </c>
      <c r="ER169" s="7">
        <v>1</v>
      </c>
      <c r="ES169" s="7">
        <v>1</v>
      </c>
      <c r="ET169" s="7">
        <v>1</v>
      </c>
      <c r="EU169" s="7">
        <v>1</v>
      </c>
      <c r="EV169" s="7">
        <v>1</v>
      </c>
      <c r="EW169" s="7">
        <v>1</v>
      </c>
      <c r="EX169" s="7">
        <v>1</v>
      </c>
      <c r="EY169" s="7">
        <v>1</v>
      </c>
      <c r="EZ169" s="7">
        <v>1</v>
      </c>
      <c r="FB169" s="50">
        <f>HLOOKUP(M16,$AU$112:$EZ$213,58,TRUE)</f>
        <v>1</v>
      </c>
      <c r="FD169" s="50">
        <f>HLOOKUP(AL42,$AU$112:$EZ$213,58,TRUE)</f>
        <v>1</v>
      </c>
    </row>
    <row r="170" spans="46:160">
      <c r="AT170" s="112">
        <v>5.1289999999999996</v>
      </c>
      <c r="AU170" s="7">
        <v>2</v>
      </c>
      <c r="AV170" s="7">
        <v>2</v>
      </c>
      <c r="AW170" s="7">
        <v>2</v>
      </c>
      <c r="AX170" s="7">
        <v>2</v>
      </c>
      <c r="AY170" s="7">
        <v>2</v>
      </c>
      <c r="AZ170" s="7">
        <v>2</v>
      </c>
      <c r="BA170" s="331">
        <v>2</v>
      </c>
      <c r="BB170" s="7">
        <v>2</v>
      </c>
      <c r="BC170" s="7">
        <v>2</v>
      </c>
      <c r="BD170" s="7">
        <v>2</v>
      </c>
      <c r="BE170" s="7">
        <v>2</v>
      </c>
      <c r="BF170" s="7">
        <v>2</v>
      </c>
      <c r="BG170" s="7">
        <v>2</v>
      </c>
      <c r="BH170" s="7">
        <v>2</v>
      </c>
      <c r="BI170" s="7">
        <v>2</v>
      </c>
      <c r="BJ170" s="7">
        <v>2</v>
      </c>
      <c r="BK170" s="7">
        <v>2</v>
      </c>
      <c r="BL170" s="7">
        <v>2</v>
      </c>
      <c r="BM170" s="7">
        <v>2</v>
      </c>
      <c r="BN170" s="7">
        <v>2</v>
      </c>
      <c r="BO170" s="7">
        <v>2</v>
      </c>
      <c r="BP170" s="7">
        <v>2</v>
      </c>
      <c r="BQ170" s="7">
        <v>2</v>
      </c>
      <c r="BR170" s="7">
        <v>2</v>
      </c>
      <c r="BS170" s="7">
        <v>2</v>
      </c>
      <c r="BT170" s="7">
        <v>2</v>
      </c>
      <c r="BU170" s="7">
        <v>2</v>
      </c>
      <c r="BV170" s="7">
        <v>2</v>
      </c>
      <c r="BW170" s="7">
        <v>2</v>
      </c>
      <c r="BX170" s="7">
        <v>2</v>
      </c>
      <c r="BY170" s="7">
        <v>2</v>
      </c>
      <c r="BZ170" s="7">
        <v>2</v>
      </c>
      <c r="CA170" s="7">
        <v>2</v>
      </c>
      <c r="CB170" s="7">
        <v>2</v>
      </c>
      <c r="CC170" s="7">
        <v>2</v>
      </c>
      <c r="CD170" s="7">
        <v>2</v>
      </c>
      <c r="CE170" s="7">
        <v>2</v>
      </c>
      <c r="CF170" s="7">
        <v>2</v>
      </c>
      <c r="CG170" s="7">
        <v>2</v>
      </c>
      <c r="CH170" s="7">
        <v>2</v>
      </c>
      <c r="CI170" s="7">
        <v>2</v>
      </c>
      <c r="CJ170" s="7">
        <v>2</v>
      </c>
      <c r="CK170" s="7">
        <v>2</v>
      </c>
      <c r="CL170" s="7">
        <v>2</v>
      </c>
      <c r="CM170" s="7">
        <v>2</v>
      </c>
      <c r="CN170" s="7">
        <v>2</v>
      </c>
      <c r="CO170" s="7">
        <v>2</v>
      </c>
      <c r="CP170" s="7">
        <v>2</v>
      </c>
      <c r="CQ170" s="7">
        <v>2</v>
      </c>
      <c r="CR170" s="7">
        <v>2</v>
      </c>
      <c r="CS170" s="7">
        <v>2</v>
      </c>
      <c r="CT170" s="7">
        <v>2</v>
      </c>
      <c r="CU170" s="7">
        <v>2</v>
      </c>
      <c r="CV170" s="7">
        <v>2</v>
      </c>
      <c r="CW170" s="7">
        <v>2</v>
      </c>
      <c r="CX170" s="7">
        <v>2</v>
      </c>
      <c r="CY170" s="7">
        <v>2</v>
      </c>
      <c r="CZ170" s="7">
        <v>2</v>
      </c>
      <c r="DA170" s="7">
        <v>2</v>
      </c>
      <c r="DB170" s="7">
        <v>2</v>
      </c>
      <c r="DC170" s="7">
        <v>2</v>
      </c>
      <c r="DD170" s="7">
        <v>2</v>
      </c>
      <c r="DE170" s="7">
        <v>2</v>
      </c>
      <c r="DF170" s="7">
        <v>2</v>
      </c>
      <c r="DG170" s="7">
        <v>2</v>
      </c>
      <c r="DH170" s="7">
        <v>2</v>
      </c>
      <c r="DI170" s="7">
        <v>2</v>
      </c>
      <c r="DJ170" s="7">
        <v>2</v>
      </c>
      <c r="DK170" s="7">
        <v>2</v>
      </c>
      <c r="DL170" s="7">
        <v>2</v>
      </c>
      <c r="DM170" s="7">
        <v>2</v>
      </c>
      <c r="DN170" s="7">
        <v>2</v>
      </c>
      <c r="DO170" s="7">
        <v>2</v>
      </c>
      <c r="DP170" s="7">
        <v>2</v>
      </c>
      <c r="DQ170" s="7">
        <v>1</v>
      </c>
      <c r="DR170" s="7">
        <v>1</v>
      </c>
      <c r="DS170" s="7">
        <v>1</v>
      </c>
      <c r="DT170" s="7">
        <v>1</v>
      </c>
      <c r="DU170" s="7">
        <v>1</v>
      </c>
      <c r="DV170" s="7">
        <v>1</v>
      </c>
      <c r="DW170" s="7">
        <v>1</v>
      </c>
      <c r="DX170" s="7">
        <v>1</v>
      </c>
      <c r="DY170" s="7">
        <v>1</v>
      </c>
      <c r="DZ170" s="7">
        <v>1</v>
      </c>
      <c r="EA170" s="7">
        <v>1</v>
      </c>
      <c r="EB170" s="7">
        <v>1</v>
      </c>
      <c r="EC170" s="7">
        <v>1</v>
      </c>
      <c r="ED170" s="7">
        <v>1</v>
      </c>
      <c r="EE170" s="7">
        <v>1</v>
      </c>
      <c r="EF170" s="7">
        <v>1</v>
      </c>
      <c r="EG170" s="7">
        <v>1</v>
      </c>
      <c r="EH170" s="7">
        <v>1</v>
      </c>
      <c r="EI170" s="7">
        <v>1</v>
      </c>
      <c r="EJ170" s="7">
        <v>1</v>
      </c>
      <c r="EK170" s="7">
        <v>1</v>
      </c>
      <c r="EL170" s="7">
        <v>1</v>
      </c>
      <c r="EM170" s="7">
        <v>1</v>
      </c>
      <c r="EN170" s="7">
        <v>1</v>
      </c>
      <c r="EO170" s="7">
        <v>1</v>
      </c>
      <c r="EP170" s="7">
        <v>1</v>
      </c>
      <c r="EQ170" s="7">
        <v>1</v>
      </c>
      <c r="ER170" s="7">
        <v>1</v>
      </c>
      <c r="ES170" s="7">
        <v>1</v>
      </c>
      <c r="ET170" s="7">
        <v>1</v>
      </c>
      <c r="EU170" s="7">
        <v>1</v>
      </c>
      <c r="EV170" s="7">
        <v>1</v>
      </c>
      <c r="EW170" s="7">
        <v>1</v>
      </c>
      <c r="EX170" s="7">
        <v>1</v>
      </c>
      <c r="EY170" s="7">
        <v>1</v>
      </c>
      <c r="EZ170" s="7">
        <v>1</v>
      </c>
      <c r="FB170" s="50">
        <f>HLOOKUP(M16,$AU$112:$EZ$213,59,TRUE)</f>
        <v>1</v>
      </c>
      <c r="FD170" s="50">
        <f>HLOOKUP(AL42,$AU$112:$EZ$213,59,TRUE)</f>
        <v>1</v>
      </c>
    </row>
    <row r="171" spans="46:160">
      <c r="AT171" s="112">
        <v>5.4950000000000001</v>
      </c>
      <c r="AU171" s="7">
        <v>2</v>
      </c>
      <c r="AV171" s="7">
        <v>2</v>
      </c>
      <c r="AW171" s="7">
        <v>2</v>
      </c>
      <c r="AX171" s="7">
        <v>2</v>
      </c>
      <c r="AY171" s="7">
        <v>2</v>
      </c>
      <c r="AZ171" s="7">
        <v>2</v>
      </c>
      <c r="BA171" s="331">
        <v>2</v>
      </c>
      <c r="BB171" s="7">
        <v>2</v>
      </c>
      <c r="BC171" s="7">
        <v>2</v>
      </c>
      <c r="BD171" s="7">
        <v>2</v>
      </c>
      <c r="BE171" s="7">
        <v>2</v>
      </c>
      <c r="BF171" s="7">
        <v>2</v>
      </c>
      <c r="BG171" s="7">
        <v>2</v>
      </c>
      <c r="BH171" s="7">
        <v>2</v>
      </c>
      <c r="BI171" s="7">
        <v>2</v>
      </c>
      <c r="BJ171" s="7">
        <v>2</v>
      </c>
      <c r="BK171" s="7">
        <v>2</v>
      </c>
      <c r="BL171" s="7">
        <v>2</v>
      </c>
      <c r="BM171" s="7">
        <v>2</v>
      </c>
      <c r="BN171" s="7">
        <v>2</v>
      </c>
      <c r="BO171" s="7">
        <v>2</v>
      </c>
      <c r="BP171" s="7">
        <v>2</v>
      </c>
      <c r="BQ171" s="7">
        <v>2</v>
      </c>
      <c r="BR171" s="7">
        <v>2</v>
      </c>
      <c r="BS171" s="7">
        <v>2</v>
      </c>
      <c r="BT171" s="7">
        <v>2</v>
      </c>
      <c r="BU171" s="7">
        <v>2</v>
      </c>
      <c r="BV171" s="7">
        <v>2</v>
      </c>
      <c r="BW171" s="7">
        <v>2</v>
      </c>
      <c r="BX171" s="7">
        <v>2</v>
      </c>
      <c r="BY171" s="7">
        <v>2</v>
      </c>
      <c r="BZ171" s="7">
        <v>2</v>
      </c>
      <c r="CA171" s="7">
        <v>2</v>
      </c>
      <c r="CB171" s="7">
        <v>2</v>
      </c>
      <c r="CC171" s="7">
        <v>2</v>
      </c>
      <c r="CD171" s="7">
        <v>2</v>
      </c>
      <c r="CE171" s="7">
        <v>2</v>
      </c>
      <c r="CF171" s="7">
        <v>2</v>
      </c>
      <c r="CG171" s="7">
        <v>2</v>
      </c>
      <c r="CH171" s="7">
        <v>2</v>
      </c>
      <c r="CI171" s="7">
        <v>2</v>
      </c>
      <c r="CJ171" s="7">
        <v>2</v>
      </c>
      <c r="CK171" s="7">
        <v>2</v>
      </c>
      <c r="CL171" s="7">
        <v>2</v>
      </c>
      <c r="CM171" s="7">
        <v>2</v>
      </c>
      <c r="CN171" s="7">
        <v>2</v>
      </c>
      <c r="CO171" s="7">
        <v>2</v>
      </c>
      <c r="CP171" s="7">
        <v>2</v>
      </c>
      <c r="CQ171" s="7">
        <v>2</v>
      </c>
      <c r="CR171" s="7">
        <v>2</v>
      </c>
      <c r="CS171" s="7">
        <v>2</v>
      </c>
      <c r="CT171" s="7">
        <v>2</v>
      </c>
      <c r="CU171" s="7">
        <v>2</v>
      </c>
      <c r="CV171" s="7">
        <v>2</v>
      </c>
      <c r="CW171" s="7">
        <v>2</v>
      </c>
      <c r="CX171" s="7">
        <v>2</v>
      </c>
      <c r="CY171" s="7">
        <v>2</v>
      </c>
      <c r="CZ171" s="7">
        <v>2</v>
      </c>
      <c r="DA171" s="7">
        <v>2</v>
      </c>
      <c r="DB171" s="7">
        <v>2</v>
      </c>
      <c r="DC171" s="7">
        <v>2</v>
      </c>
      <c r="DD171" s="7">
        <v>2</v>
      </c>
      <c r="DE171" s="7">
        <v>2</v>
      </c>
      <c r="DF171" s="7">
        <v>2</v>
      </c>
      <c r="DG171" s="7">
        <v>2</v>
      </c>
      <c r="DH171" s="7">
        <v>2</v>
      </c>
      <c r="DI171" s="7">
        <v>2</v>
      </c>
      <c r="DJ171" s="7">
        <v>2</v>
      </c>
      <c r="DK171" s="7">
        <v>2</v>
      </c>
      <c r="DL171" s="7">
        <v>2</v>
      </c>
      <c r="DM171" s="7">
        <v>2</v>
      </c>
      <c r="DN171" s="7">
        <v>2</v>
      </c>
      <c r="DO171" s="7">
        <v>2</v>
      </c>
      <c r="DP171" s="7">
        <v>2</v>
      </c>
      <c r="DQ171" s="7">
        <v>2</v>
      </c>
      <c r="DR171" s="7">
        <v>1</v>
      </c>
      <c r="DS171" s="7">
        <v>1</v>
      </c>
      <c r="DT171" s="7">
        <v>1</v>
      </c>
      <c r="DU171" s="7">
        <v>1</v>
      </c>
      <c r="DV171" s="7">
        <v>1</v>
      </c>
      <c r="DW171" s="7">
        <v>1</v>
      </c>
      <c r="DX171" s="7">
        <v>1</v>
      </c>
      <c r="DY171" s="7">
        <v>1</v>
      </c>
      <c r="DZ171" s="7">
        <v>1</v>
      </c>
      <c r="EA171" s="7">
        <v>1</v>
      </c>
      <c r="EB171" s="7">
        <v>1</v>
      </c>
      <c r="EC171" s="7">
        <v>1</v>
      </c>
      <c r="ED171" s="7">
        <v>1</v>
      </c>
      <c r="EE171" s="7">
        <v>1</v>
      </c>
      <c r="EF171" s="7">
        <v>1</v>
      </c>
      <c r="EG171" s="7">
        <v>1</v>
      </c>
      <c r="EH171" s="7">
        <v>1</v>
      </c>
      <c r="EI171" s="7">
        <v>1</v>
      </c>
      <c r="EJ171" s="7">
        <v>1</v>
      </c>
      <c r="EK171" s="7">
        <v>1</v>
      </c>
      <c r="EL171" s="7">
        <v>1</v>
      </c>
      <c r="EM171" s="7">
        <v>1</v>
      </c>
      <c r="EN171" s="7">
        <v>1</v>
      </c>
      <c r="EO171" s="7">
        <v>1</v>
      </c>
      <c r="EP171" s="7">
        <v>1</v>
      </c>
      <c r="EQ171" s="7">
        <v>1</v>
      </c>
      <c r="ER171" s="7">
        <v>1</v>
      </c>
      <c r="ES171" s="7">
        <v>1</v>
      </c>
      <c r="ET171" s="7">
        <v>1</v>
      </c>
      <c r="EU171" s="7">
        <v>1</v>
      </c>
      <c r="EV171" s="7">
        <v>1</v>
      </c>
      <c r="EW171" s="7">
        <v>1</v>
      </c>
      <c r="EX171" s="7">
        <v>1</v>
      </c>
      <c r="EY171" s="7">
        <v>1</v>
      </c>
      <c r="EZ171" s="7">
        <v>1</v>
      </c>
      <c r="FB171" s="50">
        <f>HLOOKUP(M16,$AU$112:$EZ$213,60,TRUE)</f>
        <v>1</v>
      </c>
      <c r="FD171" s="50">
        <f>HLOOKUP(AL42,$AU$112:$EZ$213,60,TRUE)</f>
        <v>1</v>
      </c>
    </row>
    <row r="172" spans="46:160">
      <c r="AT172" s="112">
        <v>5.8879999999999999</v>
      </c>
      <c r="AU172" s="7">
        <v>2</v>
      </c>
      <c r="AV172" s="7">
        <v>2</v>
      </c>
      <c r="AW172" s="7">
        <v>2</v>
      </c>
      <c r="AX172" s="7">
        <v>2</v>
      </c>
      <c r="AY172" s="7">
        <v>2</v>
      </c>
      <c r="AZ172" s="7">
        <v>2</v>
      </c>
      <c r="BA172" s="331">
        <v>2</v>
      </c>
      <c r="BB172" s="7">
        <v>2</v>
      </c>
      <c r="BC172" s="7">
        <v>2</v>
      </c>
      <c r="BD172" s="7">
        <v>2</v>
      </c>
      <c r="BE172" s="7">
        <v>2</v>
      </c>
      <c r="BF172" s="7">
        <v>2</v>
      </c>
      <c r="BG172" s="7">
        <v>2</v>
      </c>
      <c r="BH172" s="7">
        <v>2</v>
      </c>
      <c r="BI172" s="7">
        <v>2</v>
      </c>
      <c r="BJ172" s="7">
        <v>2</v>
      </c>
      <c r="BK172" s="7">
        <v>2</v>
      </c>
      <c r="BL172" s="7">
        <v>2</v>
      </c>
      <c r="BM172" s="7">
        <v>2</v>
      </c>
      <c r="BN172" s="7">
        <v>2</v>
      </c>
      <c r="BO172" s="7">
        <v>2</v>
      </c>
      <c r="BP172" s="7">
        <v>2</v>
      </c>
      <c r="BQ172" s="7">
        <v>2</v>
      </c>
      <c r="BR172" s="7">
        <v>2</v>
      </c>
      <c r="BS172" s="7">
        <v>2</v>
      </c>
      <c r="BT172" s="7">
        <v>2</v>
      </c>
      <c r="BU172" s="7">
        <v>2</v>
      </c>
      <c r="BV172" s="7">
        <v>2</v>
      </c>
      <c r="BW172" s="7">
        <v>2</v>
      </c>
      <c r="BX172" s="7">
        <v>2</v>
      </c>
      <c r="BY172" s="7">
        <v>2</v>
      </c>
      <c r="BZ172" s="7">
        <v>2</v>
      </c>
      <c r="CA172" s="7">
        <v>2</v>
      </c>
      <c r="CB172" s="7">
        <v>2</v>
      </c>
      <c r="CC172" s="7">
        <v>2</v>
      </c>
      <c r="CD172" s="7">
        <v>2</v>
      </c>
      <c r="CE172" s="7">
        <v>2</v>
      </c>
      <c r="CF172" s="7">
        <v>2</v>
      </c>
      <c r="CG172" s="7">
        <v>2</v>
      </c>
      <c r="CH172" s="7">
        <v>2</v>
      </c>
      <c r="CI172" s="7">
        <v>2</v>
      </c>
      <c r="CJ172" s="7">
        <v>2</v>
      </c>
      <c r="CK172" s="7">
        <v>2</v>
      </c>
      <c r="CL172" s="7">
        <v>2</v>
      </c>
      <c r="CM172" s="7">
        <v>2</v>
      </c>
      <c r="CN172" s="7">
        <v>2</v>
      </c>
      <c r="CO172" s="7">
        <v>2</v>
      </c>
      <c r="CP172" s="7">
        <v>2</v>
      </c>
      <c r="CQ172" s="7">
        <v>2</v>
      </c>
      <c r="CR172" s="7">
        <v>2</v>
      </c>
      <c r="CS172" s="7">
        <v>2</v>
      </c>
      <c r="CT172" s="7">
        <v>2</v>
      </c>
      <c r="CU172" s="7">
        <v>2</v>
      </c>
      <c r="CV172" s="7">
        <v>2</v>
      </c>
      <c r="CW172" s="7">
        <v>2</v>
      </c>
      <c r="CX172" s="7">
        <v>2</v>
      </c>
      <c r="CY172" s="7">
        <v>2</v>
      </c>
      <c r="CZ172" s="7">
        <v>2</v>
      </c>
      <c r="DA172" s="7">
        <v>2</v>
      </c>
      <c r="DB172" s="7">
        <v>2</v>
      </c>
      <c r="DC172" s="7">
        <v>2</v>
      </c>
      <c r="DD172" s="7">
        <v>2</v>
      </c>
      <c r="DE172" s="7">
        <v>2</v>
      </c>
      <c r="DF172" s="7">
        <v>2</v>
      </c>
      <c r="DG172" s="7">
        <v>2</v>
      </c>
      <c r="DH172" s="7">
        <v>2</v>
      </c>
      <c r="DI172" s="7">
        <v>2</v>
      </c>
      <c r="DJ172" s="7">
        <v>2</v>
      </c>
      <c r="DK172" s="7">
        <v>2</v>
      </c>
      <c r="DL172" s="7">
        <v>2</v>
      </c>
      <c r="DM172" s="7">
        <v>2</v>
      </c>
      <c r="DN172" s="7">
        <v>2</v>
      </c>
      <c r="DO172" s="7">
        <v>2</v>
      </c>
      <c r="DP172" s="7">
        <v>2</v>
      </c>
      <c r="DQ172" s="7">
        <v>2</v>
      </c>
      <c r="DR172" s="7">
        <v>1</v>
      </c>
      <c r="DS172" s="7">
        <v>1</v>
      </c>
      <c r="DT172" s="7">
        <v>1</v>
      </c>
      <c r="DU172" s="7">
        <v>1</v>
      </c>
      <c r="DV172" s="7">
        <v>1</v>
      </c>
      <c r="DW172" s="7">
        <v>1</v>
      </c>
      <c r="DX172" s="7">
        <v>1</v>
      </c>
      <c r="DY172" s="7">
        <v>1</v>
      </c>
      <c r="DZ172" s="7">
        <v>1</v>
      </c>
      <c r="EA172" s="7">
        <v>1</v>
      </c>
      <c r="EB172" s="7">
        <v>1</v>
      </c>
      <c r="EC172" s="7">
        <v>1</v>
      </c>
      <c r="ED172" s="7">
        <v>1</v>
      </c>
      <c r="EE172" s="7">
        <v>1</v>
      </c>
      <c r="EF172" s="7">
        <v>1</v>
      </c>
      <c r="EG172" s="7">
        <v>1</v>
      </c>
      <c r="EH172" s="7">
        <v>1</v>
      </c>
      <c r="EI172" s="7">
        <v>1</v>
      </c>
      <c r="EJ172" s="7">
        <v>1</v>
      </c>
      <c r="EK172" s="7">
        <v>1</v>
      </c>
      <c r="EL172" s="7">
        <v>1</v>
      </c>
      <c r="EM172" s="7">
        <v>1</v>
      </c>
      <c r="EN172" s="7">
        <v>1</v>
      </c>
      <c r="EO172" s="7">
        <v>1</v>
      </c>
      <c r="EP172" s="7">
        <v>1</v>
      </c>
      <c r="EQ172" s="7">
        <v>1</v>
      </c>
      <c r="ER172" s="7">
        <v>1</v>
      </c>
      <c r="ES172" s="7">
        <v>1</v>
      </c>
      <c r="ET172" s="7">
        <v>1</v>
      </c>
      <c r="EU172" s="7">
        <v>1</v>
      </c>
      <c r="EV172" s="7">
        <v>1</v>
      </c>
      <c r="EW172" s="7">
        <v>1</v>
      </c>
      <c r="EX172" s="7">
        <v>1</v>
      </c>
      <c r="EY172" s="7">
        <v>1</v>
      </c>
      <c r="EZ172" s="7">
        <v>1</v>
      </c>
      <c r="FB172" s="50">
        <f>HLOOKUP(M16,$AU$112:$EZ$213,61,TRUE)</f>
        <v>1</v>
      </c>
      <c r="FD172" s="50">
        <f>HLOOKUP(AL42,$AU$112:$EZ$213,61,TRUE)</f>
        <v>1</v>
      </c>
    </row>
    <row r="173" spans="46:160">
      <c r="AT173" s="112">
        <v>6.31</v>
      </c>
      <c r="AU173" s="7">
        <v>2</v>
      </c>
      <c r="AV173" s="7">
        <v>2</v>
      </c>
      <c r="AW173" s="7">
        <v>2</v>
      </c>
      <c r="AX173" s="7">
        <v>2</v>
      </c>
      <c r="AY173" s="7">
        <v>2</v>
      </c>
      <c r="AZ173" s="7">
        <v>2</v>
      </c>
      <c r="BA173" s="331">
        <v>2</v>
      </c>
      <c r="BB173" s="7">
        <v>2</v>
      </c>
      <c r="BC173" s="7">
        <v>2</v>
      </c>
      <c r="BD173" s="7">
        <v>2</v>
      </c>
      <c r="BE173" s="7">
        <v>2</v>
      </c>
      <c r="BF173" s="7">
        <v>2</v>
      </c>
      <c r="BG173" s="7">
        <v>2</v>
      </c>
      <c r="BH173" s="7">
        <v>2</v>
      </c>
      <c r="BI173" s="7">
        <v>2</v>
      </c>
      <c r="BJ173" s="7">
        <v>2</v>
      </c>
      <c r="BK173" s="7">
        <v>2</v>
      </c>
      <c r="BL173" s="7">
        <v>2</v>
      </c>
      <c r="BM173" s="7">
        <v>2</v>
      </c>
      <c r="BN173" s="7">
        <v>2</v>
      </c>
      <c r="BO173" s="7">
        <v>2</v>
      </c>
      <c r="BP173" s="7">
        <v>2</v>
      </c>
      <c r="BQ173" s="7">
        <v>2</v>
      </c>
      <c r="BR173" s="7">
        <v>2</v>
      </c>
      <c r="BS173" s="7">
        <v>2</v>
      </c>
      <c r="BT173" s="7">
        <v>2</v>
      </c>
      <c r="BU173" s="7">
        <v>2</v>
      </c>
      <c r="BV173" s="7">
        <v>2</v>
      </c>
      <c r="BW173" s="7">
        <v>2</v>
      </c>
      <c r="BX173" s="7">
        <v>2</v>
      </c>
      <c r="BY173" s="7">
        <v>2</v>
      </c>
      <c r="BZ173" s="7">
        <v>2</v>
      </c>
      <c r="CA173" s="7">
        <v>2</v>
      </c>
      <c r="CB173" s="7">
        <v>2</v>
      </c>
      <c r="CC173" s="7">
        <v>2</v>
      </c>
      <c r="CD173" s="7">
        <v>2</v>
      </c>
      <c r="CE173" s="7">
        <v>2</v>
      </c>
      <c r="CF173" s="7">
        <v>2</v>
      </c>
      <c r="CG173" s="7">
        <v>2</v>
      </c>
      <c r="CH173" s="7">
        <v>2</v>
      </c>
      <c r="CI173" s="7">
        <v>2</v>
      </c>
      <c r="CJ173" s="7">
        <v>2</v>
      </c>
      <c r="CK173" s="7">
        <v>2</v>
      </c>
      <c r="CL173" s="7">
        <v>2</v>
      </c>
      <c r="CM173" s="7">
        <v>2</v>
      </c>
      <c r="CN173" s="7">
        <v>2</v>
      </c>
      <c r="CO173" s="7">
        <v>2</v>
      </c>
      <c r="CP173" s="7">
        <v>2</v>
      </c>
      <c r="CQ173" s="7">
        <v>2</v>
      </c>
      <c r="CR173" s="7">
        <v>2</v>
      </c>
      <c r="CS173" s="7">
        <v>2</v>
      </c>
      <c r="CT173" s="7">
        <v>2</v>
      </c>
      <c r="CU173" s="7">
        <v>2</v>
      </c>
      <c r="CV173" s="7">
        <v>2</v>
      </c>
      <c r="CW173" s="7">
        <v>2</v>
      </c>
      <c r="CX173" s="7">
        <v>2</v>
      </c>
      <c r="CY173" s="7">
        <v>2</v>
      </c>
      <c r="CZ173" s="7">
        <v>2</v>
      </c>
      <c r="DA173" s="7">
        <v>2</v>
      </c>
      <c r="DB173" s="7">
        <v>2</v>
      </c>
      <c r="DC173" s="7">
        <v>2</v>
      </c>
      <c r="DD173" s="7">
        <v>2</v>
      </c>
      <c r="DE173" s="7">
        <v>2</v>
      </c>
      <c r="DF173" s="7">
        <v>2</v>
      </c>
      <c r="DG173" s="7">
        <v>2</v>
      </c>
      <c r="DH173" s="7">
        <v>2</v>
      </c>
      <c r="DI173" s="7">
        <v>2</v>
      </c>
      <c r="DJ173" s="7">
        <v>2</v>
      </c>
      <c r="DK173" s="7">
        <v>2</v>
      </c>
      <c r="DL173" s="7">
        <v>2</v>
      </c>
      <c r="DM173" s="7">
        <v>2</v>
      </c>
      <c r="DN173" s="7">
        <v>2</v>
      </c>
      <c r="DO173" s="7">
        <v>2</v>
      </c>
      <c r="DP173" s="7">
        <v>2</v>
      </c>
      <c r="DQ173" s="7">
        <v>2</v>
      </c>
      <c r="DR173" s="7">
        <v>2</v>
      </c>
      <c r="DS173" s="7">
        <v>1</v>
      </c>
      <c r="DT173" s="7">
        <v>1</v>
      </c>
      <c r="DU173" s="7">
        <v>1</v>
      </c>
      <c r="DV173" s="7">
        <v>1</v>
      </c>
      <c r="DW173" s="7">
        <v>1</v>
      </c>
      <c r="DX173" s="7">
        <v>1</v>
      </c>
      <c r="DY173" s="7">
        <v>1</v>
      </c>
      <c r="DZ173" s="7">
        <v>1</v>
      </c>
      <c r="EA173" s="7">
        <v>1</v>
      </c>
      <c r="EB173" s="7">
        <v>1</v>
      </c>
      <c r="EC173" s="7">
        <v>1</v>
      </c>
      <c r="ED173" s="7">
        <v>1</v>
      </c>
      <c r="EE173" s="7">
        <v>1</v>
      </c>
      <c r="EF173" s="7">
        <v>1</v>
      </c>
      <c r="EG173" s="7">
        <v>1</v>
      </c>
      <c r="EH173" s="7">
        <v>1</v>
      </c>
      <c r="EI173" s="7">
        <v>1</v>
      </c>
      <c r="EJ173" s="7">
        <v>1</v>
      </c>
      <c r="EK173" s="7">
        <v>1</v>
      </c>
      <c r="EL173" s="7">
        <v>1</v>
      </c>
      <c r="EM173" s="7">
        <v>1</v>
      </c>
      <c r="EN173" s="7">
        <v>1</v>
      </c>
      <c r="EO173" s="7">
        <v>1</v>
      </c>
      <c r="EP173" s="7">
        <v>1</v>
      </c>
      <c r="EQ173" s="7">
        <v>1</v>
      </c>
      <c r="ER173" s="7">
        <v>1</v>
      </c>
      <c r="ES173" s="7">
        <v>1</v>
      </c>
      <c r="ET173" s="7">
        <v>1</v>
      </c>
      <c r="EU173" s="7">
        <v>1</v>
      </c>
      <c r="EV173" s="7">
        <v>1</v>
      </c>
      <c r="EW173" s="7">
        <v>1</v>
      </c>
      <c r="EX173" s="7">
        <v>1</v>
      </c>
      <c r="EY173" s="7">
        <v>1</v>
      </c>
      <c r="EZ173" s="7">
        <v>1</v>
      </c>
      <c r="FB173" s="50">
        <f>HLOOKUP(M16,$AU$112:$EZ$213,62,TRUE)</f>
        <v>1</v>
      </c>
      <c r="FD173" s="50">
        <f>HLOOKUP(AL42,$AU$112:$EZ$213,62,TRUE)</f>
        <v>1</v>
      </c>
    </row>
    <row r="174" spans="46:160">
      <c r="AT174" s="112">
        <v>6.7610000000000001</v>
      </c>
      <c r="AU174" s="7">
        <v>2</v>
      </c>
      <c r="AV174" s="7">
        <v>2</v>
      </c>
      <c r="AW174" s="7">
        <v>2</v>
      </c>
      <c r="AX174" s="7">
        <v>2</v>
      </c>
      <c r="AY174" s="7">
        <v>2</v>
      </c>
      <c r="AZ174" s="7">
        <v>2</v>
      </c>
      <c r="BA174" s="331">
        <v>2</v>
      </c>
      <c r="BB174" s="7">
        <v>2</v>
      </c>
      <c r="BC174" s="7">
        <v>2</v>
      </c>
      <c r="BD174" s="7">
        <v>2</v>
      </c>
      <c r="BE174" s="7">
        <v>2</v>
      </c>
      <c r="BF174" s="7">
        <v>2</v>
      </c>
      <c r="BG174" s="7">
        <v>2</v>
      </c>
      <c r="BH174" s="7">
        <v>2</v>
      </c>
      <c r="BI174" s="7">
        <v>2</v>
      </c>
      <c r="BJ174" s="7">
        <v>2</v>
      </c>
      <c r="BK174" s="7">
        <v>2</v>
      </c>
      <c r="BL174" s="7">
        <v>2</v>
      </c>
      <c r="BM174" s="7">
        <v>2</v>
      </c>
      <c r="BN174" s="7">
        <v>2</v>
      </c>
      <c r="BO174" s="7">
        <v>2</v>
      </c>
      <c r="BP174" s="7">
        <v>2</v>
      </c>
      <c r="BQ174" s="7">
        <v>2</v>
      </c>
      <c r="BR174" s="7">
        <v>2</v>
      </c>
      <c r="BS174" s="7">
        <v>2</v>
      </c>
      <c r="BT174" s="7">
        <v>2</v>
      </c>
      <c r="BU174" s="7">
        <v>2</v>
      </c>
      <c r="BV174" s="7">
        <v>2</v>
      </c>
      <c r="BW174" s="7">
        <v>2</v>
      </c>
      <c r="BX174" s="7">
        <v>2</v>
      </c>
      <c r="BY174" s="7">
        <v>2</v>
      </c>
      <c r="BZ174" s="7">
        <v>2</v>
      </c>
      <c r="CA174" s="7">
        <v>2</v>
      </c>
      <c r="CB174" s="7">
        <v>2</v>
      </c>
      <c r="CC174" s="7">
        <v>2</v>
      </c>
      <c r="CD174" s="7">
        <v>2</v>
      </c>
      <c r="CE174" s="7">
        <v>2</v>
      </c>
      <c r="CF174" s="7">
        <v>2</v>
      </c>
      <c r="CG174" s="7">
        <v>2</v>
      </c>
      <c r="CH174" s="7">
        <v>2</v>
      </c>
      <c r="CI174" s="7">
        <v>2</v>
      </c>
      <c r="CJ174" s="7">
        <v>2</v>
      </c>
      <c r="CK174" s="7">
        <v>2</v>
      </c>
      <c r="CL174" s="7">
        <v>2</v>
      </c>
      <c r="CM174" s="7">
        <v>2</v>
      </c>
      <c r="CN174" s="7">
        <v>2</v>
      </c>
      <c r="CO174" s="7">
        <v>2</v>
      </c>
      <c r="CP174" s="7">
        <v>2</v>
      </c>
      <c r="CQ174" s="7">
        <v>2</v>
      </c>
      <c r="CR174" s="7">
        <v>2</v>
      </c>
      <c r="CS174" s="7">
        <v>2</v>
      </c>
      <c r="CT174" s="7">
        <v>2</v>
      </c>
      <c r="CU174" s="7">
        <v>2</v>
      </c>
      <c r="CV174" s="7">
        <v>2</v>
      </c>
      <c r="CW174" s="7">
        <v>2</v>
      </c>
      <c r="CX174" s="7">
        <v>2</v>
      </c>
      <c r="CY174" s="7">
        <v>2</v>
      </c>
      <c r="CZ174" s="7">
        <v>2</v>
      </c>
      <c r="DA174" s="7">
        <v>2</v>
      </c>
      <c r="DB174" s="7">
        <v>2</v>
      </c>
      <c r="DC174" s="7">
        <v>2</v>
      </c>
      <c r="DD174" s="7">
        <v>2</v>
      </c>
      <c r="DE174" s="7">
        <v>2</v>
      </c>
      <c r="DF174" s="7">
        <v>2</v>
      </c>
      <c r="DG174" s="7">
        <v>2</v>
      </c>
      <c r="DH174" s="7">
        <v>2</v>
      </c>
      <c r="DI174" s="7">
        <v>2</v>
      </c>
      <c r="DJ174" s="7">
        <v>2</v>
      </c>
      <c r="DK174" s="7">
        <v>2</v>
      </c>
      <c r="DL174" s="7">
        <v>2</v>
      </c>
      <c r="DM174" s="7">
        <v>2</v>
      </c>
      <c r="DN174" s="7">
        <v>2</v>
      </c>
      <c r="DO174" s="7">
        <v>2</v>
      </c>
      <c r="DP174" s="7">
        <v>2</v>
      </c>
      <c r="DQ174" s="7">
        <v>2</v>
      </c>
      <c r="DR174" s="7">
        <v>2</v>
      </c>
      <c r="DS174" s="7">
        <v>2</v>
      </c>
      <c r="DT174" s="7">
        <v>1</v>
      </c>
      <c r="DU174" s="7">
        <v>1</v>
      </c>
      <c r="DV174" s="7">
        <v>1</v>
      </c>
      <c r="DW174" s="7">
        <v>1</v>
      </c>
      <c r="DX174" s="7">
        <v>1</v>
      </c>
      <c r="DY174" s="7">
        <v>1</v>
      </c>
      <c r="DZ174" s="7">
        <v>1</v>
      </c>
      <c r="EA174" s="7">
        <v>1</v>
      </c>
      <c r="EB174" s="7">
        <v>1</v>
      </c>
      <c r="EC174" s="7">
        <v>1</v>
      </c>
      <c r="ED174" s="7">
        <v>1</v>
      </c>
      <c r="EE174" s="7">
        <v>1</v>
      </c>
      <c r="EF174" s="7">
        <v>1</v>
      </c>
      <c r="EG174" s="7">
        <v>1</v>
      </c>
      <c r="EH174" s="7">
        <v>1</v>
      </c>
      <c r="EI174" s="7">
        <v>1</v>
      </c>
      <c r="EJ174" s="7">
        <v>1</v>
      </c>
      <c r="EK174" s="7">
        <v>1</v>
      </c>
      <c r="EL174" s="7">
        <v>1</v>
      </c>
      <c r="EM174" s="7">
        <v>1</v>
      </c>
      <c r="EN174" s="7">
        <v>1</v>
      </c>
      <c r="EO174" s="7">
        <v>1</v>
      </c>
      <c r="EP174" s="7">
        <v>1</v>
      </c>
      <c r="EQ174" s="7">
        <v>1</v>
      </c>
      <c r="ER174" s="7">
        <v>1</v>
      </c>
      <c r="ES174" s="7">
        <v>1</v>
      </c>
      <c r="ET174" s="7">
        <v>1</v>
      </c>
      <c r="EU174" s="7">
        <v>1</v>
      </c>
      <c r="EV174" s="7">
        <v>1</v>
      </c>
      <c r="EW174" s="7">
        <v>1</v>
      </c>
      <c r="EX174" s="7">
        <v>1</v>
      </c>
      <c r="EY174" s="7">
        <v>1</v>
      </c>
      <c r="EZ174" s="7">
        <v>1</v>
      </c>
      <c r="FB174" s="50">
        <f>HLOOKUP(M16,$AU$112:$EZ$213,63,TRUE)</f>
        <v>1</v>
      </c>
      <c r="FD174" s="50">
        <f>HLOOKUP(AL42,$AU$112:$EZ$213,63,TRUE)</f>
        <v>2</v>
      </c>
    </row>
    <row r="175" spans="46:160">
      <c r="AT175" s="112">
        <v>7.2439999999999998</v>
      </c>
      <c r="AU175" s="7">
        <v>2</v>
      </c>
      <c r="AV175" s="7">
        <v>2</v>
      </c>
      <c r="AW175" s="7">
        <v>2</v>
      </c>
      <c r="AX175" s="7">
        <v>2</v>
      </c>
      <c r="AY175" s="7">
        <v>2</v>
      </c>
      <c r="AZ175" s="7">
        <v>2</v>
      </c>
      <c r="BA175" s="331">
        <v>2</v>
      </c>
      <c r="BB175" s="7">
        <v>2</v>
      </c>
      <c r="BC175" s="7">
        <v>2</v>
      </c>
      <c r="BD175" s="7">
        <v>2</v>
      </c>
      <c r="BE175" s="7">
        <v>2</v>
      </c>
      <c r="BF175" s="7">
        <v>2</v>
      </c>
      <c r="BG175" s="7">
        <v>2</v>
      </c>
      <c r="BH175" s="7">
        <v>2</v>
      </c>
      <c r="BI175" s="7">
        <v>2</v>
      </c>
      <c r="BJ175" s="7">
        <v>2</v>
      </c>
      <c r="BK175" s="7">
        <v>2</v>
      </c>
      <c r="BL175" s="7">
        <v>2</v>
      </c>
      <c r="BM175" s="7">
        <v>2</v>
      </c>
      <c r="BN175" s="7">
        <v>2</v>
      </c>
      <c r="BO175" s="7">
        <v>2</v>
      </c>
      <c r="BP175" s="7">
        <v>2</v>
      </c>
      <c r="BQ175" s="7">
        <v>2</v>
      </c>
      <c r="BR175" s="7">
        <v>2</v>
      </c>
      <c r="BS175" s="7">
        <v>2</v>
      </c>
      <c r="BT175" s="7">
        <v>2</v>
      </c>
      <c r="BU175" s="7">
        <v>2</v>
      </c>
      <c r="BV175" s="7">
        <v>2</v>
      </c>
      <c r="BW175" s="7">
        <v>2</v>
      </c>
      <c r="BX175" s="7">
        <v>2</v>
      </c>
      <c r="BY175" s="7">
        <v>2</v>
      </c>
      <c r="BZ175" s="7">
        <v>2</v>
      </c>
      <c r="CA175" s="7">
        <v>2</v>
      </c>
      <c r="CB175" s="7">
        <v>2</v>
      </c>
      <c r="CC175" s="7">
        <v>2</v>
      </c>
      <c r="CD175" s="7">
        <v>2</v>
      </c>
      <c r="CE175" s="7">
        <v>2</v>
      </c>
      <c r="CF175" s="7">
        <v>2</v>
      </c>
      <c r="CG175" s="7">
        <v>2</v>
      </c>
      <c r="CH175" s="7">
        <v>2</v>
      </c>
      <c r="CI175" s="7">
        <v>2</v>
      </c>
      <c r="CJ175" s="7">
        <v>2</v>
      </c>
      <c r="CK175" s="7">
        <v>2</v>
      </c>
      <c r="CL175" s="7">
        <v>2</v>
      </c>
      <c r="CM175" s="7">
        <v>2</v>
      </c>
      <c r="CN175" s="7">
        <v>2</v>
      </c>
      <c r="CO175" s="7">
        <v>2</v>
      </c>
      <c r="CP175" s="7">
        <v>2</v>
      </c>
      <c r="CQ175" s="7">
        <v>2</v>
      </c>
      <c r="CR175" s="7">
        <v>2</v>
      </c>
      <c r="CS175" s="7">
        <v>2</v>
      </c>
      <c r="CT175" s="7">
        <v>2</v>
      </c>
      <c r="CU175" s="7">
        <v>2</v>
      </c>
      <c r="CV175" s="7">
        <v>2</v>
      </c>
      <c r="CW175" s="7">
        <v>2</v>
      </c>
      <c r="CX175" s="7">
        <v>2</v>
      </c>
      <c r="CY175" s="7">
        <v>2</v>
      </c>
      <c r="CZ175" s="7">
        <v>2</v>
      </c>
      <c r="DA175" s="7">
        <v>2</v>
      </c>
      <c r="DB175" s="7">
        <v>2</v>
      </c>
      <c r="DC175" s="7">
        <v>2</v>
      </c>
      <c r="DD175" s="7">
        <v>2</v>
      </c>
      <c r="DE175" s="7">
        <v>2</v>
      </c>
      <c r="DF175" s="7">
        <v>2</v>
      </c>
      <c r="DG175" s="7">
        <v>2</v>
      </c>
      <c r="DH175" s="7">
        <v>2</v>
      </c>
      <c r="DI175" s="7">
        <v>2</v>
      </c>
      <c r="DJ175" s="7">
        <v>2</v>
      </c>
      <c r="DK175" s="7">
        <v>2</v>
      </c>
      <c r="DL175" s="7">
        <v>2</v>
      </c>
      <c r="DM175" s="7">
        <v>2</v>
      </c>
      <c r="DN175" s="7">
        <v>2</v>
      </c>
      <c r="DO175" s="7">
        <v>2</v>
      </c>
      <c r="DP175" s="7">
        <v>2</v>
      </c>
      <c r="DQ175" s="7">
        <v>2</v>
      </c>
      <c r="DR175" s="7">
        <v>2</v>
      </c>
      <c r="DS175" s="7">
        <v>2</v>
      </c>
      <c r="DT175" s="7">
        <v>2</v>
      </c>
      <c r="DU175" s="7">
        <v>1</v>
      </c>
      <c r="DV175" s="7">
        <v>1</v>
      </c>
      <c r="DW175" s="7">
        <v>1</v>
      </c>
      <c r="DX175" s="7">
        <v>1</v>
      </c>
      <c r="DY175" s="7">
        <v>1</v>
      </c>
      <c r="DZ175" s="7">
        <v>1</v>
      </c>
      <c r="EA175" s="7">
        <v>1</v>
      </c>
      <c r="EB175" s="7">
        <v>1</v>
      </c>
      <c r="EC175" s="7">
        <v>1</v>
      </c>
      <c r="ED175" s="7">
        <v>1</v>
      </c>
      <c r="EE175" s="7">
        <v>1</v>
      </c>
      <c r="EF175" s="7">
        <v>1</v>
      </c>
      <c r="EG175" s="7">
        <v>1</v>
      </c>
      <c r="EH175" s="7">
        <v>1</v>
      </c>
      <c r="EI175" s="7">
        <v>1</v>
      </c>
      <c r="EJ175" s="7">
        <v>1</v>
      </c>
      <c r="EK175" s="7">
        <v>1</v>
      </c>
      <c r="EL175" s="7">
        <v>1</v>
      </c>
      <c r="EM175" s="7">
        <v>1</v>
      </c>
      <c r="EN175" s="7">
        <v>1</v>
      </c>
      <c r="EO175" s="7">
        <v>1</v>
      </c>
      <c r="EP175" s="7">
        <v>1</v>
      </c>
      <c r="EQ175" s="7">
        <v>1</v>
      </c>
      <c r="ER175" s="7">
        <v>1</v>
      </c>
      <c r="ES175" s="7">
        <v>1</v>
      </c>
      <c r="ET175" s="7">
        <v>1</v>
      </c>
      <c r="EU175" s="7">
        <v>1</v>
      </c>
      <c r="EV175" s="7">
        <v>1</v>
      </c>
      <c r="EW175" s="7">
        <v>1</v>
      </c>
      <c r="EX175" s="7">
        <v>1</v>
      </c>
      <c r="EY175" s="7">
        <v>1</v>
      </c>
      <c r="EZ175" s="7">
        <v>1</v>
      </c>
      <c r="FB175" s="50">
        <f>HLOOKUP(M16,$AU$112:$EZ$213,64,TRUE)</f>
        <v>2</v>
      </c>
      <c r="FD175" s="50">
        <f>HLOOKUP(AL42,$AU$112:$EZ$213,64,TRUE)</f>
        <v>2</v>
      </c>
    </row>
    <row r="176" spans="46:160">
      <c r="AT176" s="112">
        <v>7.7619999999999996</v>
      </c>
      <c r="AU176" s="7">
        <v>2</v>
      </c>
      <c r="AV176" s="7">
        <v>2</v>
      </c>
      <c r="AW176" s="7">
        <v>2</v>
      </c>
      <c r="AX176" s="7">
        <v>2</v>
      </c>
      <c r="AY176" s="7">
        <v>2</v>
      </c>
      <c r="AZ176" s="7">
        <v>2</v>
      </c>
      <c r="BA176" s="331">
        <v>2</v>
      </c>
      <c r="BB176" s="7">
        <v>2</v>
      </c>
      <c r="BC176" s="7">
        <v>2</v>
      </c>
      <c r="BD176" s="7">
        <v>2</v>
      </c>
      <c r="BE176" s="7">
        <v>2</v>
      </c>
      <c r="BF176" s="7">
        <v>2</v>
      </c>
      <c r="BG176" s="7">
        <v>2</v>
      </c>
      <c r="BH176" s="7">
        <v>2</v>
      </c>
      <c r="BI176" s="7">
        <v>2</v>
      </c>
      <c r="BJ176" s="7">
        <v>2</v>
      </c>
      <c r="BK176" s="7">
        <v>2</v>
      </c>
      <c r="BL176" s="7">
        <v>2</v>
      </c>
      <c r="BM176" s="7">
        <v>2</v>
      </c>
      <c r="BN176" s="7">
        <v>2</v>
      </c>
      <c r="BO176" s="7">
        <v>2</v>
      </c>
      <c r="BP176" s="7">
        <v>2</v>
      </c>
      <c r="BQ176" s="7">
        <v>2</v>
      </c>
      <c r="BR176" s="7">
        <v>2</v>
      </c>
      <c r="BS176" s="7">
        <v>2</v>
      </c>
      <c r="BT176" s="7">
        <v>2</v>
      </c>
      <c r="BU176" s="7">
        <v>2</v>
      </c>
      <c r="BV176" s="7">
        <v>2</v>
      </c>
      <c r="BW176" s="7">
        <v>2</v>
      </c>
      <c r="BX176" s="7">
        <v>2</v>
      </c>
      <c r="BY176" s="7">
        <v>2</v>
      </c>
      <c r="BZ176" s="7">
        <v>2</v>
      </c>
      <c r="CA176" s="7">
        <v>2</v>
      </c>
      <c r="CB176" s="7">
        <v>2</v>
      </c>
      <c r="CC176" s="7">
        <v>2</v>
      </c>
      <c r="CD176" s="7">
        <v>2</v>
      </c>
      <c r="CE176" s="7">
        <v>2</v>
      </c>
      <c r="CF176" s="7">
        <v>2</v>
      </c>
      <c r="CG176" s="7">
        <v>2</v>
      </c>
      <c r="CH176" s="7">
        <v>2</v>
      </c>
      <c r="CI176" s="7">
        <v>2</v>
      </c>
      <c r="CJ176" s="7">
        <v>2</v>
      </c>
      <c r="CK176" s="7">
        <v>2</v>
      </c>
      <c r="CL176" s="7">
        <v>2</v>
      </c>
      <c r="CM176" s="7">
        <v>2</v>
      </c>
      <c r="CN176" s="7">
        <v>2</v>
      </c>
      <c r="CO176" s="7">
        <v>2</v>
      </c>
      <c r="CP176" s="7">
        <v>2</v>
      </c>
      <c r="CQ176" s="7">
        <v>2</v>
      </c>
      <c r="CR176" s="7">
        <v>2</v>
      </c>
      <c r="CS176" s="7">
        <v>2</v>
      </c>
      <c r="CT176" s="7">
        <v>2</v>
      </c>
      <c r="CU176" s="7">
        <v>2</v>
      </c>
      <c r="CV176" s="7">
        <v>2</v>
      </c>
      <c r="CW176" s="7">
        <v>2</v>
      </c>
      <c r="CX176" s="7">
        <v>2</v>
      </c>
      <c r="CY176" s="7">
        <v>2</v>
      </c>
      <c r="CZ176" s="7">
        <v>2</v>
      </c>
      <c r="DA176" s="7">
        <v>2</v>
      </c>
      <c r="DB176" s="7">
        <v>2</v>
      </c>
      <c r="DC176" s="7">
        <v>2</v>
      </c>
      <c r="DD176" s="7">
        <v>2</v>
      </c>
      <c r="DE176" s="7">
        <v>2</v>
      </c>
      <c r="DF176" s="7">
        <v>2</v>
      </c>
      <c r="DG176" s="7">
        <v>2</v>
      </c>
      <c r="DH176" s="7">
        <v>2</v>
      </c>
      <c r="DI176" s="7">
        <v>2</v>
      </c>
      <c r="DJ176" s="7">
        <v>2</v>
      </c>
      <c r="DK176" s="7">
        <v>2</v>
      </c>
      <c r="DL176" s="7">
        <v>2</v>
      </c>
      <c r="DM176" s="7">
        <v>2</v>
      </c>
      <c r="DN176" s="7">
        <v>2</v>
      </c>
      <c r="DO176" s="7">
        <v>2</v>
      </c>
      <c r="DP176" s="7">
        <v>2</v>
      </c>
      <c r="DQ176" s="7">
        <v>2</v>
      </c>
      <c r="DR176" s="7">
        <v>2</v>
      </c>
      <c r="DS176" s="7">
        <v>2</v>
      </c>
      <c r="DT176" s="7">
        <v>2</v>
      </c>
      <c r="DU176" s="7">
        <v>2</v>
      </c>
      <c r="DV176" s="7">
        <v>1</v>
      </c>
      <c r="DW176" s="7">
        <v>1</v>
      </c>
      <c r="DX176" s="7">
        <v>1</v>
      </c>
      <c r="DY176" s="7">
        <v>1</v>
      </c>
      <c r="DZ176" s="7">
        <v>1</v>
      </c>
      <c r="EA176" s="7">
        <v>1</v>
      </c>
      <c r="EB176" s="7">
        <v>1</v>
      </c>
      <c r="EC176" s="7">
        <v>1</v>
      </c>
      <c r="ED176" s="7">
        <v>1</v>
      </c>
      <c r="EE176" s="7">
        <v>1</v>
      </c>
      <c r="EF176" s="7">
        <v>1</v>
      </c>
      <c r="EG176" s="7">
        <v>1</v>
      </c>
      <c r="EH176" s="7">
        <v>1</v>
      </c>
      <c r="EI176" s="7">
        <v>1</v>
      </c>
      <c r="EJ176" s="7">
        <v>1</v>
      </c>
      <c r="EK176" s="7">
        <v>1</v>
      </c>
      <c r="EL176" s="7">
        <v>1</v>
      </c>
      <c r="EM176" s="7">
        <v>1</v>
      </c>
      <c r="EN176" s="7">
        <v>1</v>
      </c>
      <c r="EO176" s="7">
        <v>1</v>
      </c>
      <c r="EP176" s="7">
        <v>1</v>
      </c>
      <c r="EQ176" s="7">
        <v>1</v>
      </c>
      <c r="ER176" s="7">
        <v>1</v>
      </c>
      <c r="ES176" s="7">
        <v>1</v>
      </c>
      <c r="ET176" s="7">
        <v>1</v>
      </c>
      <c r="EU176" s="7">
        <v>1</v>
      </c>
      <c r="EV176" s="7">
        <v>1</v>
      </c>
      <c r="EW176" s="7">
        <v>1</v>
      </c>
      <c r="EX176" s="7">
        <v>1</v>
      </c>
      <c r="EY176" s="7">
        <v>1</v>
      </c>
      <c r="EZ176" s="7">
        <v>1</v>
      </c>
      <c r="FB176" s="50">
        <f>HLOOKUP(M16,$AU$112:$EZ$213,65,TRUE)</f>
        <v>2</v>
      </c>
      <c r="FD176" s="50">
        <f>HLOOKUP(AL42,$AU$112:$EZ$213,65,TRUE)</f>
        <v>2</v>
      </c>
    </row>
    <row r="177" spans="46:160">
      <c r="AT177" s="112">
        <v>8.3179999999999996</v>
      </c>
      <c r="AU177" s="7">
        <v>2</v>
      </c>
      <c r="AV177" s="7">
        <v>2</v>
      </c>
      <c r="AW177" s="7">
        <v>2</v>
      </c>
      <c r="AX177" s="7">
        <v>2</v>
      </c>
      <c r="AY177" s="7">
        <v>2</v>
      </c>
      <c r="AZ177" s="7">
        <v>2</v>
      </c>
      <c r="BA177" s="331">
        <v>2</v>
      </c>
      <c r="BB177" s="7">
        <v>2</v>
      </c>
      <c r="BC177" s="7">
        <v>2</v>
      </c>
      <c r="BD177" s="7">
        <v>2</v>
      </c>
      <c r="BE177" s="7">
        <v>2</v>
      </c>
      <c r="BF177" s="7">
        <v>2</v>
      </c>
      <c r="BG177" s="7">
        <v>2</v>
      </c>
      <c r="BH177" s="7">
        <v>2</v>
      </c>
      <c r="BI177" s="7">
        <v>2</v>
      </c>
      <c r="BJ177" s="7">
        <v>2</v>
      </c>
      <c r="BK177" s="7">
        <v>2</v>
      </c>
      <c r="BL177" s="7">
        <v>2</v>
      </c>
      <c r="BM177" s="7">
        <v>2</v>
      </c>
      <c r="BN177" s="7">
        <v>2</v>
      </c>
      <c r="BO177" s="7">
        <v>2</v>
      </c>
      <c r="BP177" s="7">
        <v>2</v>
      </c>
      <c r="BQ177" s="7">
        <v>2</v>
      </c>
      <c r="BR177" s="7">
        <v>2</v>
      </c>
      <c r="BS177" s="7">
        <v>2</v>
      </c>
      <c r="BT177" s="7">
        <v>2</v>
      </c>
      <c r="BU177" s="7">
        <v>2</v>
      </c>
      <c r="BV177" s="7">
        <v>2</v>
      </c>
      <c r="BW177" s="7">
        <v>2</v>
      </c>
      <c r="BX177" s="7">
        <v>2</v>
      </c>
      <c r="BY177" s="7">
        <v>2</v>
      </c>
      <c r="BZ177" s="7">
        <v>2</v>
      </c>
      <c r="CA177" s="7">
        <v>2</v>
      </c>
      <c r="CB177" s="7">
        <v>2</v>
      </c>
      <c r="CC177" s="7">
        <v>2</v>
      </c>
      <c r="CD177" s="7">
        <v>2</v>
      </c>
      <c r="CE177" s="7">
        <v>2</v>
      </c>
      <c r="CF177" s="7">
        <v>2</v>
      </c>
      <c r="CG177" s="7">
        <v>2</v>
      </c>
      <c r="CH177" s="7">
        <v>2</v>
      </c>
      <c r="CI177" s="7">
        <v>2</v>
      </c>
      <c r="CJ177" s="7">
        <v>2</v>
      </c>
      <c r="CK177" s="7">
        <v>2</v>
      </c>
      <c r="CL177" s="7">
        <v>2</v>
      </c>
      <c r="CM177" s="7">
        <v>2</v>
      </c>
      <c r="CN177" s="7">
        <v>2</v>
      </c>
      <c r="CO177" s="7">
        <v>2</v>
      </c>
      <c r="CP177" s="7">
        <v>2</v>
      </c>
      <c r="CQ177" s="7">
        <v>2</v>
      </c>
      <c r="CR177" s="7">
        <v>2</v>
      </c>
      <c r="CS177" s="7">
        <v>2</v>
      </c>
      <c r="CT177" s="7">
        <v>2</v>
      </c>
      <c r="CU177" s="7">
        <v>2</v>
      </c>
      <c r="CV177" s="7">
        <v>2</v>
      </c>
      <c r="CW177" s="7">
        <v>2</v>
      </c>
      <c r="CX177" s="7">
        <v>2</v>
      </c>
      <c r="CY177" s="7">
        <v>2</v>
      </c>
      <c r="CZ177" s="7">
        <v>2</v>
      </c>
      <c r="DA177" s="7">
        <v>2</v>
      </c>
      <c r="DB177" s="7">
        <v>2</v>
      </c>
      <c r="DC177" s="7">
        <v>2</v>
      </c>
      <c r="DD177" s="7">
        <v>2</v>
      </c>
      <c r="DE177" s="7">
        <v>2</v>
      </c>
      <c r="DF177" s="7">
        <v>2</v>
      </c>
      <c r="DG177" s="7">
        <v>2</v>
      </c>
      <c r="DH177" s="7">
        <v>2</v>
      </c>
      <c r="DI177" s="7">
        <v>2</v>
      </c>
      <c r="DJ177" s="7">
        <v>2</v>
      </c>
      <c r="DK177" s="7">
        <v>2</v>
      </c>
      <c r="DL177" s="7">
        <v>2</v>
      </c>
      <c r="DM177" s="7">
        <v>2</v>
      </c>
      <c r="DN177" s="7">
        <v>2</v>
      </c>
      <c r="DO177" s="7">
        <v>2</v>
      </c>
      <c r="DP177" s="7">
        <v>2</v>
      </c>
      <c r="DQ177" s="7">
        <v>2</v>
      </c>
      <c r="DR177" s="7">
        <v>2</v>
      </c>
      <c r="DS177" s="7">
        <v>2</v>
      </c>
      <c r="DT177" s="7">
        <v>2</v>
      </c>
      <c r="DU177" s="7">
        <v>2</v>
      </c>
      <c r="DV177" s="7">
        <v>2</v>
      </c>
      <c r="DW177" s="7">
        <v>1</v>
      </c>
      <c r="DX177" s="7">
        <v>1</v>
      </c>
      <c r="DY177" s="7">
        <v>1</v>
      </c>
      <c r="DZ177" s="7">
        <v>1</v>
      </c>
      <c r="EA177" s="7">
        <v>1</v>
      </c>
      <c r="EB177" s="7">
        <v>1</v>
      </c>
      <c r="EC177" s="7">
        <v>1</v>
      </c>
      <c r="ED177" s="7">
        <v>1</v>
      </c>
      <c r="EE177" s="7">
        <v>1</v>
      </c>
      <c r="EF177" s="7">
        <v>1</v>
      </c>
      <c r="EG177" s="7">
        <v>1</v>
      </c>
      <c r="EH177" s="7">
        <v>1</v>
      </c>
      <c r="EI177" s="7">
        <v>1</v>
      </c>
      <c r="EJ177" s="7">
        <v>1</v>
      </c>
      <c r="EK177" s="7">
        <v>1</v>
      </c>
      <c r="EL177" s="7">
        <v>1</v>
      </c>
      <c r="EM177" s="7">
        <v>1</v>
      </c>
      <c r="EN177" s="7">
        <v>1</v>
      </c>
      <c r="EO177" s="7">
        <v>1</v>
      </c>
      <c r="EP177" s="7">
        <v>1</v>
      </c>
      <c r="EQ177" s="7">
        <v>1</v>
      </c>
      <c r="ER177" s="7">
        <v>1</v>
      </c>
      <c r="ES177" s="7">
        <v>1</v>
      </c>
      <c r="ET177" s="7">
        <v>1</v>
      </c>
      <c r="EU177" s="7">
        <v>1</v>
      </c>
      <c r="EV177" s="7">
        <v>1</v>
      </c>
      <c r="EW177" s="7">
        <v>1</v>
      </c>
      <c r="EX177" s="7">
        <v>1</v>
      </c>
      <c r="EY177" s="7">
        <v>1</v>
      </c>
      <c r="EZ177" s="7">
        <v>1</v>
      </c>
      <c r="FB177" s="50">
        <f>HLOOKUP(M16,$AU$112:$EZ$213,66,TRUE)</f>
        <v>2</v>
      </c>
      <c r="FD177" s="50">
        <f>HLOOKUP(AL42,$AU$112:$EZ$213,66,TRUE)</f>
        <v>2</v>
      </c>
    </row>
    <row r="178" spans="46:160">
      <c r="AT178" s="112">
        <v>8.9130000000000003</v>
      </c>
      <c r="AU178" s="7">
        <v>2</v>
      </c>
      <c r="AV178" s="7">
        <v>2</v>
      </c>
      <c r="AW178" s="7">
        <v>2</v>
      </c>
      <c r="AX178" s="7">
        <v>2</v>
      </c>
      <c r="AY178" s="7">
        <v>2</v>
      </c>
      <c r="AZ178" s="7">
        <v>2</v>
      </c>
      <c r="BA178" s="331">
        <v>2</v>
      </c>
      <c r="BB178" s="7">
        <v>2</v>
      </c>
      <c r="BC178" s="7">
        <v>2</v>
      </c>
      <c r="BD178" s="7">
        <v>2</v>
      </c>
      <c r="BE178" s="7">
        <v>2</v>
      </c>
      <c r="BF178" s="7">
        <v>2</v>
      </c>
      <c r="BG178" s="7">
        <v>2</v>
      </c>
      <c r="BH178" s="7">
        <v>2</v>
      </c>
      <c r="BI178" s="7">
        <v>2</v>
      </c>
      <c r="BJ178" s="7">
        <v>2</v>
      </c>
      <c r="BK178" s="7">
        <v>2</v>
      </c>
      <c r="BL178" s="7">
        <v>2</v>
      </c>
      <c r="BM178" s="7">
        <v>2</v>
      </c>
      <c r="BN178" s="7">
        <v>2</v>
      </c>
      <c r="BO178" s="7">
        <v>2</v>
      </c>
      <c r="BP178" s="7">
        <v>2</v>
      </c>
      <c r="BQ178" s="7">
        <v>2</v>
      </c>
      <c r="BR178" s="7">
        <v>2</v>
      </c>
      <c r="BS178" s="7">
        <v>2</v>
      </c>
      <c r="BT178" s="7">
        <v>2</v>
      </c>
      <c r="BU178" s="7">
        <v>2</v>
      </c>
      <c r="BV178" s="7">
        <v>2</v>
      </c>
      <c r="BW178" s="7">
        <v>2</v>
      </c>
      <c r="BX178" s="7">
        <v>2</v>
      </c>
      <c r="BY178" s="7">
        <v>2</v>
      </c>
      <c r="BZ178" s="7">
        <v>2</v>
      </c>
      <c r="CA178" s="7">
        <v>2</v>
      </c>
      <c r="CB178" s="7">
        <v>2</v>
      </c>
      <c r="CC178" s="7">
        <v>2</v>
      </c>
      <c r="CD178" s="7">
        <v>2</v>
      </c>
      <c r="CE178" s="7">
        <v>2</v>
      </c>
      <c r="CF178" s="7">
        <v>2</v>
      </c>
      <c r="CG178" s="7">
        <v>2</v>
      </c>
      <c r="CH178" s="7">
        <v>2</v>
      </c>
      <c r="CI178" s="7">
        <v>2</v>
      </c>
      <c r="CJ178" s="7">
        <v>2</v>
      </c>
      <c r="CK178" s="7">
        <v>2</v>
      </c>
      <c r="CL178" s="7">
        <v>2</v>
      </c>
      <c r="CM178" s="7">
        <v>2</v>
      </c>
      <c r="CN178" s="7">
        <v>2</v>
      </c>
      <c r="CO178" s="7">
        <v>2</v>
      </c>
      <c r="CP178" s="7">
        <v>2</v>
      </c>
      <c r="CQ178" s="7">
        <v>2</v>
      </c>
      <c r="CR178" s="7">
        <v>2</v>
      </c>
      <c r="CS178" s="7">
        <v>2</v>
      </c>
      <c r="CT178" s="7">
        <v>2</v>
      </c>
      <c r="CU178" s="7">
        <v>2</v>
      </c>
      <c r="CV178" s="7">
        <v>2</v>
      </c>
      <c r="CW178" s="7">
        <v>2</v>
      </c>
      <c r="CX178" s="7">
        <v>2</v>
      </c>
      <c r="CY178" s="7">
        <v>2</v>
      </c>
      <c r="CZ178" s="7">
        <v>2</v>
      </c>
      <c r="DA178" s="7">
        <v>2</v>
      </c>
      <c r="DB178" s="7">
        <v>2</v>
      </c>
      <c r="DC178" s="7">
        <v>2</v>
      </c>
      <c r="DD178" s="7">
        <v>2</v>
      </c>
      <c r="DE178" s="7">
        <v>2</v>
      </c>
      <c r="DF178" s="7">
        <v>2</v>
      </c>
      <c r="DG178" s="7">
        <v>2</v>
      </c>
      <c r="DH178" s="7">
        <v>2</v>
      </c>
      <c r="DI178" s="7">
        <v>2</v>
      </c>
      <c r="DJ178" s="7">
        <v>2</v>
      </c>
      <c r="DK178" s="7">
        <v>2</v>
      </c>
      <c r="DL178" s="7">
        <v>2</v>
      </c>
      <c r="DM178" s="7">
        <v>2</v>
      </c>
      <c r="DN178" s="7">
        <v>2</v>
      </c>
      <c r="DO178" s="7">
        <v>2</v>
      </c>
      <c r="DP178" s="7">
        <v>2</v>
      </c>
      <c r="DQ178" s="7">
        <v>2</v>
      </c>
      <c r="DR178" s="7">
        <v>2</v>
      </c>
      <c r="DS178" s="7">
        <v>2</v>
      </c>
      <c r="DT178" s="7">
        <v>2</v>
      </c>
      <c r="DU178" s="7">
        <v>2</v>
      </c>
      <c r="DV178" s="7">
        <v>2</v>
      </c>
      <c r="DW178" s="7">
        <v>2</v>
      </c>
      <c r="DX178" s="7">
        <v>1</v>
      </c>
      <c r="DY178" s="7">
        <v>1</v>
      </c>
      <c r="DZ178" s="7">
        <v>1</v>
      </c>
      <c r="EA178" s="7">
        <v>1</v>
      </c>
      <c r="EB178" s="7">
        <v>1</v>
      </c>
      <c r="EC178" s="7">
        <v>1</v>
      </c>
      <c r="ED178" s="7">
        <v>1</v>
      </c>
      <c r="EE178" s="7">
        <v>1</v>
      </c>
      <c r="EF178" s="7">
        <v>1</v>
      </c>
      <c r="EG178" s="7">
        <v>1</v>
      </c>
      <c r="EH178" s="7">
        <v>1</v>
      </c>
      <c r="EI178" s="7">
        <v>1</v>
      </c>
      <c r="EJ178" s="7">
        <v>1</v>
      </c>
      <c r="EK178" s="7">
        <v>1</v>
      </c>
      <c r="EL178" s="7">
        <v>1</v>
      </c>
      <c r="EM178" s="7">
        <v>1</v>
      </c>
      <c r="EN178" s="7">
        <v>1</v>
      </c>
      <c r="EO178" s="7">
        <v>1</v>
      </c>
      <c r="EP178" s="7">
        <v>1</v>
      </c>
      <c r="EQ178" s="7">
        <v>1</v>
      </c>
      <c r="ER178" s="7">
        <v>1</v>
      </c>
      <c r="ES178" s="7">
        <v>1</v>
      </c>
      <c r="ET178" s="7">
        <v>1</v>
      </c>
      <c r="EU178" s="7">
        <v>1</v>
      </c>
      <c r="EV178" s="7">
        <v>1</v>
      </c>
      <c r="EW178" s="7">
        <v>1</v>
      </c>
      <c r="EX178" s="7">
        <v>1</v>
      </c>
      <c r="EY178" s="7">
        <v>1</v>
      </c>
      <c r="EZ178" s="7">
        <v>1</v>
      </c>
      <c r="FB178" s="50">
        <f>HLOOKUP(M16,$AU$112:$EZ$213,67,TRUE)</f>
        <v>2</v>
      </c>
      <c r="FD178" s="50">
        <f>HLOOKUP(AL42,$AU$112:$EZ$213,67,TRUE)</f>
        <v>2</v>
      </c>
    </row>
    <row r="179" spans="46:160">
      <c r="AT179" s="112">
        <v>9.5500000000000007</v>
      </c>
      <c r="AU179" s="7">
        <v>2</v>
      </c>
      <c r="AV179" s="7">
        <v>2</v>
      </c>
      <c r="AW179" s="7">
        <v>2</v>
      </c>
      <c r="AX179" s="7">
        <v>2</v>
      </c>
      <c r="AY179" s="7">
        <v>2</v>
      </c>
      <c r="AZ179" s="7">
        <v>2</v>
      </c>
      <c r="BA179" s="331">
        <v>2</v>
      </c>
      <c r="BB179" s="7">
        <v>2</v>
      </c>
      <c r="BC179" s="7">
        <v>2</v>
      </c>
      <c r="BD179" s="7">
        <v>2</v>
      </c>
      <c r="BE179" s="7">
        <v>2</v>
      </c>
      <c r="BF179" s="7">
        <v>2</v>
      </c>
      <c r="BG179" s="7">
        <v>2</v>
      </c>
      <c r="BH179" s="7">
        <v>2</v>
      </c>
      <c r="BI179" s="7">
        <v>2</v>
      </c>
      <c r="BJ179" s="7">
        <v>2</v>
      </c>
      <c r="BK179" s="7">
        <v>2</v>
      </c>
      <c r="BL179" s="7">
        <v>2</v>
      </c>
      <c r="BM179" s="7">
        <v>2</v>
      </c>
      <c r="BN179" s="7">
        <v>2</v>
      </c>
      <c r="BO179" s="7">
        <v>2</v>
      </c>
      <c r="BP179" s="7">
        <v>2</v>
      </c>
      <c r="BQ179" s="7">
        <v>2</v>
      </c>
      <c r="BR179" s="7">
        <v>2</v>
      </c>
      <c r="BS179" s="7">
        <v>2</v>
      </c>
      <c r="BT179" s="7">
        <v>2</v>
      </c>
      <c r="BU179" s="7">
        <v>2</v>
      </c>
      <c r="BV179" s="7">
        <v>2</v>
      </c>
      <c r="BW179" s="7">
        <v>2</v>
      </c>
      <c r="BX179" s="7">
        <v>2</v>
      </c>
      <c r="BY179" s="7">
        <v>2</v>
      </c>
      <c r="BZ179" s="7">
        <v>2</v>
      </c>
      <c r="CA179" s="7">
        <v>2</v>
      </c>
      <c r="CB179" s="7">
        <v>2</v>
      </c>
      <c r="CC179" s="7">
        <v>2</v>
      </c>
      <c r="CD179" s="7">
        <v>2</v>
      </c>
      <c r="CE179" s="7">
        <v>2</v>
      </c>
      <c r="CF179" s="7">
        <v>2</v>
      </c>
      <c r="CG179" s="7">
        <v>2</v>
      </c>
      <c r="CH179" s="7">
        <v>2</v>
      </c>
      <c r="CI179" s="7">
        <v>2</v>
      </c>
      <c r="CJ179" s="7">
        <v>2</v>
      </c>
      <c r="CK179" s="7">
        <v>2</v>
      </c>
      <c r="CL179" s="7">
        <v>2</v>
      </c>
      <c r="CM179" s="7">
        <v>2</v>
      </c>
      <c r="CN179" s="7">
        <v>2</v>
      </c>
      <c r="CO179" s="7">
        <v>2</v>
      </c>
      <c r="CP179" s="7">
        <v>2</v>
      </c>
      <c r="CQ179" s="7">
        <v>2</v>
      </c>
      <c r="CR179" s="7">
        <v>2</v>
      </c>
      <c r="CS179" s="7">
        <v>2</v>
      </c>
      <c r="CT179" s="7">
        <v>2</v>
      </c>
      <c r="CU179" s="7">
        <v>2</v>
      </c>
      <c r="CV179" s="7">
        <v>2</v>
      </c>
      <c r="CW179" s="7">
        <v>2</v>
      </c>
      <c r="CX179" s="7">
        <v>2</v>
      </c>
      <c r="CY179" s="7">
        <v>2</v>
      </c>
      <c r="CZ179" s="7">
        <v>2</v>
      </c>
      <c r="DA179" s="7">
        <v>2</v>
      </c>
      <c r="DB179" s="7">
        <v>2</v>
      </c>
      <c r="DC179" s="7">
        <v>2</v>
      </c>
      <c r="DD179" s="7">
        <v>2</v>
      </c>
      <c r="DE179" s="7">
        <v>2</v>
      </c>
      <c r="DF179" s="7">
        <v>2</v>
      </c>
      <c r="DG179" s="7">
        <v>2</v>
      </c>
      <c r="DH179" s="7">
        <v>2</v>
      </c>
      <c r="DI179" s="7">
        <v>2</v>
      </c>
      <c r="DJ179" s="7">
        <v>2</v>
      </c>
      <c r="DK179" s="7">
        <v>2</v>
      </c>
      <c r="DL179" s="7">
        <v>2</v>
      </c>
      <c r="DM179" s="7">
        <v>2</v>
      </c>
      <c r="DN179" s="7">
        <v>2</v>
      </c>
      <c r="DO179" s="7">
        <v>2</v>
      </c>
      <c r="DP179" s="7">
        <v>2</v>
      </c>
      <c r="DQ179" s="7">
        <v>2</v>
      </c>
      <c r="DR179" s="7">
        <v>2</v>
      </c>
      <c r="DS179" s="7">
        <v>2</v>
      </c>
      <c r="DT179" s="7">
        <v>2</v>
      </c>
      <c r="DU179" s="7">
        <v>2</v>
      </c>
      <c r="DV179" s="7">
        <v>2</v>
      </c>
      <c r="DW179" s="7">
        <v>2</v>
      </c>
      <c r="DX179" s="7">
        <v>1</v>
      </c>
      <c r="DY179" s="7">
        <v>1</v>
      </c>
      <c r="DZ179" s="7">
        <v>1</v>
      </c>
      <c r="EA179" s="7">
        <v>1</v>
      </c>
      <c r="EB179" s="7">
        <v>1</v>
      </c>
      <c r="EC179" s="7">
        <v>1</v>
      </c>
      <c r="ED179" s="7">
        <v>1</v>
      </c>
      <c r="EE179" s="7">
        <v>1</v>
      </c>
      <c r="EF179" s="7">
        <v>1</v>
      </c>
      <c r="EG179" s="7">
        <v>1</v>
      </c>
      <c r="EH179" s="7">
        <v>1</v>
      </c>
      <c r="EI179" s="7">
        <v>1</v>
      </c>
      <c r="EJ179" s="7">
        <v>1</v>
      </c>
      <c r="EK179" s="7">
        <v>1</v>
      </c>
      <c r="EL179" s="7">
        <v>1</v>
      </c>
      <c r="EM179" s="7">
        <v>1</v>
      </c>
      <c r="EN179" s="7">
        <v>1</v>
      </c>
      <c r="EO179" s="7">
        <v>1</v>
      </c>
      <c r="EP179" s="7">
        <v>1</v>
      </c>
      <c r="EQ179" s="7">
        <v>1</v>
      </c>
      <c r="ER179" s="7">
        <v>1</v>
      </c>
      <c r="ES179" s="7">
        <v>1</v>
      </c>
      <c r="ET179" s="7">
        <v>1</v>
      </c>
      <c r="EU179" s="7">
        <v>1</v>
      </c>
      <c r="EV179" s="7">
        <v>1</v>
      </c>
      <c r="EW179" s="7">
        <v>1</v>
      </c>
      <c r="EX179" s="7">
        <v>1</v>
      </c>
      <c r="EY179" s="7">
        <v>1</v>
      </c>
      <c r="EZ179" s="7">
        <v>1</v>
      </c>
      <c r="FB179" s="50">
        <f>HLOOKUP(M16,$AU$112:$EZ$213,68,TRUE)</f>
        <v>2</v>
      </c>
      <c r="FD179" s="50">
        <f>HLOOKUP(AL42,$AU$112:$EZ$213,68,TRUE)</f>
        <v>2</v>
      </c>
    </row>
    <row r="180" spans="46:160">
      <c r="AT180" s="112">
        <v>10.233000000000001</v>
      </c>
      <c r="AU180" s="7">
        <v>2</v>
      </c>
      <c r="AV180" s="7">
        <v>2</v>
      </c>
      <c r="AW180" s="7">
        <v>2</v>
      </c>
      <c r="AX180" s="7">
        <v>2</v>
      </c>
      <c r="AY180" s="7">
        <v>2</v>
      </c>
      <c r="AZ180" s="7">
        <v>2</v>
      </c>
      <c r="BA180" s="331">
        <v>2</v>
      </c>
      <c r="BB180" s="7">
        <v>2</v>
      </c>
      <c r="BC180" s="7">
        <v>2</v>
      </c>
      <c r="BD180" s="7">
        <v>2</v>
      </c>
      <c r="BE180" s="7">
        <v>2</v>
      </c>
      <c r="BF180" s="7">
        <v>2</v>
      </c>
      <c r="BG180" s="7">
        <v>2</v>
      </c>
      <c r="BH180" s="7">
        <v>2</v>
      </c>
      <c r="BI180" s="7">
        <v>2</v>
      </c>
      <c r="BJ180" s="7">
        <v>2</v>
      </c>
      <c r="BK180" s="7">
        <v>2</v>
      </c>
      <c r="BL180" s="7">
        <v>2</v>
      </c>
      <c r="BM180" s="7">
        <v>2</v>
      </c>
      <c r="BN180" s="7">
        <v>2</v>
      </c>
      <c r="BO180" s="7">
        <v>2</v>
      </c>
      <c r="BP180" s="7">
        <v>2</v>
      </c>
      <c r="BQ180" s="7">
        <v>2</v>
      </c>
      <c r="BR180" s="7">
        <v>2</v>
      </c>
      <c r="BS180" s="7">
        <v>2</v>
      </c>
      <c r="BT180" s="7">
        <v>2</v>
      </c>
      <c r="BU180" s="7">
        <v>2</v>
      </c>
      <c r="BV180" s="7">
        <v>2</v>
      </c>
      <c r="BW180" s="7">
        <v>2</v>
      </c>
      <c r="BX180" s="7">
        <v>2</v>
      </c>
      <c r="BY180" s="7">
        <v>2</v>
      </c>
      <c r="BZ180" s="7">
        <v>2</v>
      </c>
      <c r="CA180" s="7">
        <v>2</v>
      </c>
      <c r="CB180" s="7">
        <v>2</v>
      </c>
      <c r="CC180" s="7">
        <v>2</v>
      </c>
      <c r="CD180" s="7">
        <v>2</v>
      </c>
      <c r="CE180" s="7">
        <v>2</v>
      </c>
      <c r="CF180" s="7">
        <v>2</v>
      </c>
      <c r="CG180" s="7">
        <v>2</v>
      </c>
      <c r="CH180" s="7">
        <v>2</v>
      </c>
      <c r="CI180" s="7">
        <v>2</v>
      </c>
      <c r="CJ180" s="7">
        <v>2</v>
      </c>
      <c r="CK180" s="7">
        <v>2</v>
      </c>
      <c r="CL180" s="7">
        <v>2</v>
      </c>
      <c r="CM180" s="7">
        <v>2</v>
      </c>
      <c r="CN180" s="7">
        <v>2</v>
      </c>
      <c r="CO180" s="7">
        <v>2</v>
      </c>
      <c r="CP180" s="7">
        <v>2</v>
      </c>
      <c r="CQ180" s="7">
        <v>2</v>
      </c>
      <c r="CR180" s="7">
        <v>2</v>
      </c>
      <c r="CS180" s="7">
        <v>2</v>
      </c>
      <c r="CT180" s="7">
        <v>2</v>
      </c>
      <c r="CU180" s="7">
        <v>2</v>
      </c>
      <c r="CV180" s="7">
        <v>2</v>
      </c>
      <c r="CW180" s="7">
        <v>2</v>
      </c>
      <c r="CX180" s="7">
        <v>2</v>
      </c>
      <c r="CY180" s="7">
        <v>2</v>
      </c>
      <c r="CZ180" s="7">
        <v>2</v>
      </c>
      <c r="DA180" s="7">
        <v>2</v>
      </c>
      <c r="DB180" s="7">
        <v>2</v>
      </c>
      <c r="DC180" s="7">
        <v>2</v>
      </c>
      <c r="DD180" s="7">
        <v>2</v>
      </c>
      <c r="DE180" s="7">
        <v>2</v>
      </c>
      <c r="DF180" s="7">
        <v>2</v>
      </c>
      <c r="DG180" s="7">
        <v>2</v>
      </c>
      <c r="DH180" s="7">
        <v>2</v>
      </c>
      <c r="DI180" s="7">
        <v>2</v>
      </c>
      <c r="DJ180" s="7">
        <v>2</v>
      </c>
      <c r="DK180" s="7">
        <v>2</v>
      </c>
      <c r="DL180" s="7">
        <v>2</v>
      </c>
      <c r="DM180" s="7">
        <v>2</v>
      </c>
      <c r="DN180" s="7">
        <v>2</v>
      </c>
      <c r="DO180" s="7">
        <v>2</v>
      </c>
      <c r="DP180" s="7">
        <v>2</v>
      </c>
      <c r="DQ180" s="7">
        <v>2</v>
      </c>
      <c r="DR180" s="7">
        <v>2</v>
      </c>
      <c r="DS180" s="7">
        <v>2</v>
      </c>
      <c r="DT180" s="7">
        <v>2</v>
      </c>
      <c r="DU180" s="7">
        <v>2</v>
      </c>
      <c r="DV180" s="7">
        <v>2</v>
      </c>
      <c r="DW180" s="7">
        <v>2</v>
      </c>
      <c r="DX180" s="7">
        <v>2</v>
      </c>
      <c r="DY180" s="7">
        <v>1</v>
      </c>
      <c r="DZ180" s="7">
        <v>1</v>
      </c>
      <c r="EA180" s="7">
        <v>1</v>
      </c>
      <c r="EB180" s="7">
        <v>1</v>
      </c>
      <c r="EC180" s="7">
        <v>1</v>
      </c>
      <c r="ED180" s="7">
        <v>1</v>
      </c>
      <c r="EE180" s="7">
        <v>1</v>
      </c>
      <c r="EF180" s="7">
        <v>1</v>
      </c>
      <c r="EG180" s="7">
        <v>1</v>
      </c>
      <c r="EH180" s="7">
        <v>1</v>
      </c>
      <c r="EI180" s="7">
        <v>1</v>
      </c>
      <c r="EJ180" s="7">
        <v>1</v>
      </c>
      <c r="EK180" s="7">
        <v>1</v>
      </c>
      <c r="EL180" s="7">
        <v>1</v>
      </c>
      <c r="EM180" s="7">
        <v>1</v>
      </c>
      <c r="EN180" s="7">
        <v>1</v>
      </c>
      <c r="EO180" s="7">
        <v>1</v>
      </c>
      <c r="EP180" s="7">
        <v>1</v>
      </c>
      <c r="EQ180" s="7">
        <v>1</v>
      </c>
      <c r="ER180" s="7">
        <v>1</v>
      </c>
      <c r="ES180" s="7">
        <v>1</v>
      </c>
      <c r="ET180" s="7">
        <v>1</v>
      </c>
      <c r="EU180" s="7">
        <v>1</v>
      </c>
      <c r="EV180" s="7">
        <v>1</v>
      </c>
      <c r="EW180" s="7">
        <v>1</v>
      </c>
      <c r="EX180" s="7">
        <v>1</v>
      </c>
      <c r="EY180" s="7">
        <v>1</v>
      </c>
      <c r="EZ180" s="7">
        <v>1</v>
      </c>
      <c r="FB180" s="50">
        <f>HLOOKUP(M16,$AU$112:$EZ$213,69,TRUE)</f>
        <v>2</v>
      </c>
      <c r="FD180" s="50">
        <f>HLOOKUP(AL42,$AU$112:$EZ$213,69,TRUE)</f>
        <v>2</v>
      </c>
    </row>
    <row r="181" spans="46:160">
      <c r="AT181" s="112">
        <v>10.965</v>
      </c>
      <c r="AU181" s="7">
        <v>2</v>
      </c>
      <c r="AV181" s="7">
        <v>2</v>
      </c>
      <c r="AW181" s="7">
        <v>2</v>
      </c>
      <c r="AX181" s="7">
        <v>2</v>
      </c>
      <c r="AY181" s="7">
        <v>2</v>
      </c>
      <c r="AZ181" s="7">
        <v>2</v>
      </c>
      <c r="BA181" s="331">
        <v>2</v>
      </c>
      <c r="BB181" s="7">
        <v>2</v>
      </c>
      <c r="BC181" s="7">
        <v>2</v>
      </c>
      <c r="BD181" s="7">
        <v>2</v>
      </c>
      <c r="BE181" s="7">
        <v>2</v>
      </c>
      <c r="BF181" s="7">
        <v>2</v>
      </c>
      <c r="BG181" s="7">
        <v>2</v>
      </c>
      <c r="BH181" s="7">
        <v>2</v>
      </c>
      <c r="BI181" s="7">
        <v>2</v>
      </c>
      <c r="BJ181" s="7">
        <v>2</v>
      </c>
      <c r="BK181" s="7">
        <v>2</v>
      </c>
      <c r="BL181" s="7">
        <v>2</v>
      </c>
      <c r="BM181" s="7">
        <v>2</v>
      </c>
      <c r="BN181" s="7">
        <v>2</v>
      </c>
      <c r="BO181" s="7">
        <v>2</v>
      </c>
      <c r="BP181" s="7">
        <v>2</v>
      </c>
      <c r="BQ181" s="7">
        <v>2</v>
      </c>
      <c r="BR181" s="7">
        <v>2</v>
      </c>
      <c r="BS181" s="7">
        <v>2</v>
      </c>
      <c r="BT181" s="7">
        <v>2</v>
      </c>
      <c r="BU181" s="7">
        <v>2</v>
      </c>
      <c r="BV181" s="7">
        <v>2</v>
      </c>
      <c r="BW181" s="7">
        <v>2</v>
      </c>
      <c r="BX181" s="7">
        <v>2</v>
      </c>
      <c r="BY181" s="7">
        <v>2</v>
      </c>
      <c r="BZ181" s="7">
        <v>2</v>
      </c>
      <c r="CA181" s="7">
        <v>2</v>
      </c>
      <c r="CB181" s="7">
        <v>2</v>
      </c>
      <c r="CC181" s="7">
        <v>2</v>
      </c>
      <c r="CD181" s="7">
        <v>2</v>
      </c>
      <c r="CE181" s="7">
        <v>2</v>
      </c>
      <c r="CF181" s="7">
        <v>2</v>
      </c>
      <c r="CG181" s="7">
        <v>2</v>
      </c>
      <c r="CH181" s="7">
        <v>2</v>
      </c>
      <c r="CI181" s="7">
        <v>2</v>
      </c>
      <c r="CJ181" s="7">
        <v>2</v>
      </c>
      <c r="CK181" s="7">
        <v>2</v>
      </c>
      <c r="CL181" s="7">
        <v>2</v>
      </c>
      <c r="CM181" s="7">
        <v>2</v>
      </c>
      <c r="CN181" s="7">
        <v>2</v>
      </c>
      <c r="CO181" s="7">
        <v>2</v>
      </c>
      <c r="CP181" s="7">
        <v>2</v>
      </c>
      <c r="CQ181" s="7">
        <v>2</v>
      </c>
      <c r="CR181" s="7">
        <v>2</v>
      </c>
      <c r="CS181" s="7">
        <v>2</v>
      </c>
      <c r="CT181" s="7">
        <v>2</v>
      </c>
      <c r="CU181" s="7">
        <v>2</v>
      </c>
      <c r="CV181" s="7">
        <v>2</v>
      </c>
      <c r="CW181" s="7">
        <v>2</v>
      </c>
      <c r="CX181" s="7">
        <v>2</v>
      </c>
      <c r="CY181" s="7">
        <v>2</v>
      </c>
      <c r="CZ181" s="7">
        <v>2</v>
      </c>
      <c r="DA181" s="7">
        <v>2</v>
      </c>
      <c r="DB181" s="7">
        <v>2</v>
      </c>
      <c r="DC181" s="7">
        <v>2</v>
      </c>
      <c r="DD181" s="7">
        <v>2</v>
      </c>
      <c r="DE181" s="7">
        <v>2</v>
      </c>
      <c r="DF181" s="7">
        <v>2</v>
      </c>
      <c r="DG181" s="7">
        <v>2</v>
      </c>
      <c r="DH181" s="7">
        <v>2</v>
      </c>
      <c r="DI181" s="7">
        <v>2</v>
      </c>
      <c r="DJ181" s="7">
        <v>2</v>
      </c>
      <c r="DK181" s="7">
        <v>2</v>
      </c>
      <c r="DL181" s="7">
        <v>2</v>
      </c>
      <c r="DM181" s="7">
        <v>2</v>
      </c>
      <c r="DN181" s="7">
        <v>2</v>
      </c>
      <c r="DO181" s="7">
        <v>2</v>
      </c>
      <c r="DP181" s="7">
        <v>2</v>
      </c>
      <c r="DQ181" s="7">
        <v>2</v>
      </c>
      <c r="DR181" s="7">
        <v>2</v>
      </c>
      <c r="DS181" s="7">
        <v>2</v>
      </c>
      <c r="DT181" s="7">
        <v>2</v>
      </c>
      <c r="DU181" s="7">
        <v>2</v>
      </c>
      <c r="DV181" s="7">
        <v>2</v>
      </c>
      <c r="DW181" s="7">
        <v>2</v>
      </c>
      <c r="DX181" s="7">
        <v>2</v>
      </c>
      <c r="DY181" s="7">
        <v>2</v>
      </c>
      <c r="DZ181" s="7">
        <v>1</v>
      </c>
      <c r="EA181" s="7">
        <v>1</v>
      </c>
      <c r="EB181" s="7">
        <v>1</v>
      </c>
      <c r="EC181" s="7">
        <v>1</v>
      </c>
      <c r="ED181" s="7">
        <v>1</v>
      </c>
      <c r="EE181" s="7">
        <v>1</v>
      </c>
      <c r="EF181" s="7">
        <v>1</v>
      </c>
      <c r="EG181" s="7">
        <v>1</v>
      </c>
      <c r="EH181" s="7">
        <v>1</v>
      </c>
      <c r="EI181" s="7">
        <v>1</v>
      </c>
      <c r="EJ181" s="7">
        <v>1</v>
      </c>
      <c r="EK181" s="7">
        <v>1</v>
      </c>
      <c r="EL181" s="7">
        <v>1</v>
      </c>
      <c r="EM181" s="7">
        <v>1</v>
      </c>
      <c r="EN181" s="7">
        <v>1</v>
      </c>
      <c r="EO181" s="7">
        <v>1</v>
      </c>
      <c r="EP181" s="7">
        <v>1</v>
      </c>
      <c r="EQ181" s="7">
        <v>1</v>
      </c>
      <c r="ER181" s="7">
        <v>1</v>
      </c>
      <c r="ES181" s="7">
        <v>1</v>
      </c>
      <c r="ET181" s="7">
        <v>1</v>
      </c>
      <c r="EU181" s="7">
        <v>1</v>
      </c>
      <c r="EV181" s="7">
        <v>1</v>
      </c>
      <c r="EW181" s="7">
        <v>1</v>
      </c>
      <c r="EX181" s="7">
        <v>1</v>
      </c>
      <c r="EY181" s="7">
        <v>1</v>
      </c>
      <c r="EZ181" s="7">
        <v>1</v>
      </c>
      <c r="FB181" s="50">
        <f>HLOOKUP(M16,$AU$112:$EZ$213,70,TRUE)</f>
        <v>2</v>
      </c>
      <c r="FD181" s="50">
        <f>HLOOKUP(AL42,$AU$112:$EZ$213,70,TRUE)</f>
        <v>2</v>
      </c>
    </row>
    <row r="182" spans="46:160">
      <c r="AT182" s="112">
        <v>11.749000000000001</v>
      </c>
      <c r="AU182" s="7">
        <v>2</v>
      </c>
      <c r="AV182" s="7">
        <v>2</v>
      </c>
      <c r="AW182" s="7">
        <v>2</v>
      </c>
      <c r="AX182" s="7">
        <v>2</v>
      </c>
      <c r="AY182" s="7">
        <v>2</v>
      </c>
      <c r="AZ182" s="7">
        <v>2</v>
      </c>
      <c r="BA182" s="331">
        <v>2</v>
      </c>
      <c r="BB182" s="7">
        <v>2</v>
      </c>
      <c r="BC182" s="7">
        <v>2</v>
      </c>
      <c r="BD182" s="7">
        <v>2</v>
      </c>
      <c r="BE182" s="7">
        <v>2</v>
      </c>
      <c r="BF182" s="7">
        <v>2</v>
      </c>
      <c r="BG182" s="7">
        <v>2</v>
      </c>
      <c r="BH182" s="7">
        <v>2</v>
      </c>
      <c r="BI182" s="7">
        <v>2</v>
      </c>
      <c r="BJ182" s="7">
        <v>2</v>
      </c>
      <c r="BK182" s="7">
        <v>2</v>
      </c>
      <c r="BL182" s="7">
        <v>2</v>
      </c>
      <c r="BM182" s="7">
        <v>2</v>
      </c>
      <c r="BN182" s="7">
        <v>2</v>
      </c>
      <c r="BO182" s="7">
        <v>2</v>
      </c>
      <c r="BP182" s="7">
        <v>2</v>
      </c>
      <c r="BQ182" s="7">
        <v>2</v>
      </c>
      <c r="BR182" s="7">
        <v>2</v>
      </c>
      <c r="BS182" s="7">
        <v>2</v>
      </c>
      <c r="BT182" s="7">
        <v>2</v>
      </c>
      <c r="BU182" s="7">
        <v>2</v>
      </c>
      <c r="BV182" s="7">
        <v>2</v>
      </c>
      <c r="BW182" s="7">
        <v>2</v>
      </c>
      <c r="BX182" s="7">
        <v>2</v>
      </c>
      <c r="BY182" s="7">
        <v>2</v>
      </c>
      <c r="BZ182" s="7">
        <v>2</v>
      </c>
      <c r="CA182" s="7">
        <v>2</v>
      </c>
      <c r="CB182" s="7">
        <v>2</v>
      </c>
      <c r="CC182" s="7">
        <v>2</v>
      </c>
      <c r="CD182" s="7">
        <v>2</v>
      </c>
      <c r="CE182" s="7">
        <v>2</v>
      </c>
      <c r="CF182" s="7">
        <v>2</v>
      </c>
      <c r="CG182" s="7">
        <v>2</v>
      </c>
      <c r="CH182" s="7">
        <v>2</v>
      </c>
      <c r="CI182" s="7">
        <v>2</v>
      </c>
      <c r="CJ182" s="7">
        <v>2</v>
      </c>
      <c r="CK182" s="7">
        <v>2</v>
      </c>
      <c r="CL182" s="7">
        <v>2</v>
      </c>
      <c r="CM182" s="7">
        <v>2</v>
      </c>
      <c r="CN182" s="7">
        <v>2</v>
      </c>
      <c r="CO182" s="7">
        <v>2</v>
      </c>
      <c r="CP182" s="7">
        <v>2</v>
      </c>
      <c r="CQ182" s="7">
        <v>2</v>
      </c>
      <c r="CR182" s="7">
        <v>2</v>
      </c>
      <c r="CS182" s="7">
        <v>2</v>
      </c>
      <c r="CT182" s="7">
        <v>2</v>
      </c>
      <c r="CU182" s="7">
        <v>2</v>
      </c>
      <c r="CV182" s="7">
        <v>2</v>
      </c>
      <c r="CW182" s="7">
        <v>2</v>
      </c>
      <c r="CX182" s="7">
        <v>2</v>
      </c>
      <c r="CY182" s="7">
        <v>2</v>
      </c>
      <c r="CZ182" s="7">
        <v>2</v>
      </c>
      <c r="DA182" s="7">
        <v>2</v>
      </c>
      <c r="DB182" s="7">
        <v>2</v>
      </c>
      <c r="DC182" s="7">
        <v>2</v>
      </c>
      <c r="DD182" s="7">
        <v>2</v>
      </c>
      <c r="DE182" s="7">
        <v>2</v>
      </c>
      <c r="DF182" s="7">
        <v>2</v>
      </c>
      <c r="DG182" s="7">
        <v>2</v>
      </c>
      <c r="DH182" s="7">
        <v>2</v>
      </c>
      <c r="DI182" s="7">
        <v>2</v>
      </c>
      <c r="DJ182" s="7">
        <v>2</v>
      </c>
      <c r="DK182" s="7">
        <v>2</v>
      </c>
      <c r="DL182" s="7">
        <v>2</v>
      </c>
      <c r="DM182" s="7">
        <v>2</v>
      </c>
      <c r="DN182" s="7">
        <v>2</v>
      </c>
      <c r="DO182" s="7">
        <v>2</v>
      </c>
      <c r="DP182" s="7">
        <v>2</v>
      </c>
      <c r="DQ182" s="7">
        <v>2</v>
      </c>
      <c r="DR182" s="7">
        <v>2</v>
      </c>
      <c r="DS182" s="7">
        <v>2</v>
      </c>
      <c r="DT182" s="7">
        <v>2</v>
      </c>
      <c r="DU182" s="7">
        <v>2</v>
      </c>
      <c r="DV182" s="7">
        <v>2</v>
      </c>
      <c r="DW182" s="7">
        <v>2</v>
      </c>
      <c r="DX182" s="7">
        <v>2</v>
      </c>
      <c r="DY182" s="7">
        <v>2</v>
      </c>
      <c r="DZ182" s="7">
        <v>2</v>
      </c>
      <c r="EA182" s="7">
        <v>1</v>
      </c>
      <c r="EB182" s="7">
        <v>1</v>
      </c>
      <c r="EC182" s="7">
        <v>1</v>
      </c>
      <c r="ED182" s="7">
        <v>1</v>
      </c>
      <c r="EE182" s="7">
        <v>1</v>
      </c>
      <c r="EF182" s="7">
        <v>1</v>
      </c>
      <c r="EG182" s="7">
        <v>1</v>
      </c>
      <c r="EH182" s="7">
        <v>1</v>
      </c>
      <c r="EI182" s="7">
        <v>1</v>
      </c>
      <c r="EJ182" s="7">
        <v>1</v>
      </c>
      <c r="EK182" s="7">
        <v>1</v>
      </c>
      <c r="EL182" s="7">
        <v>1</v>
      </c>
      <c r="EM182" s="7">
        <v>1</v>
      </c>
      <c r="EN182" s="7">
        <v>1</v>
      </c>
      <c r="EO182" s="7">
        <v>1</v>
      </c>
      <c r="EP182" s="7">
        <v>1</v>
      </c>
      <c r="EQ182" s="7">
        <v>1</v>
      </c>
      <c r="ER182" s="7">
        <v>1</v>
      </c>
      <c r="ES182" s="7">
        <v>1</v>
      </c>
      <c r="ET182" s="7">
        <v>1</v>
      </c>
      <c r="EU182" s="7">
        <v>1</v>
      </c>
      <c r="EV182" s="7">
        <v>1</v>
      </c>
      <c r="EW182" s="7">
        <v>1</v>
      </c>
      <c r="EX182" s="7">
        <v>1</v>
      </c>
      <c r="EY182" s="7">
        <v>1</v>
      </c>
      <c r="EZ182" s="7">
        <v>1</v>
      </c>
      <c r="FB182" s="50">
        <f>HLOOKUP(M16,$AU$112:$EZ$213,71,TRUE)</f>
        <v>2</v>
      </c>
      <c r="FD182" s="50">
        <f>HLOOKUP(AL42,$AU$112:$EZ$213,71,TRUE)</f>
        <v>2</v>
      </c>
    </row>
    <row r="183" spans="46:160">
      <c r="AT183" s="112">
        <v>12.589</v>
      </c>
      <c r="AU183" s="7">
        <v>2</v>
      </c>
      <c r="AV183" s="7">
        <v>2</v>
      </c>
      <c r="AW183" s="7">
        <v>2</v>
      </c>
      <c r="AX183" s="7">
        <v>2</v>
      </c>
      <c r="AY183" s="7">
        <v>2</v>
      </c>
      <c r="AZ183" s="7">
        <v>2</v>
      </c>
      <c r="BA183" s="331">
        <v>2</v>
      </c>
      <c r="BB183" s="7">
        <v>2</v>
      </c>
      <c r="BC183" s="7">
        <v>2</v>
      </c>
      <c r="BD183" s="7">
        <v>2</v>
      </c>
      <c r="BE183" s="7">
        <v>2</v>
      </c>
      <c r="BF183" s="7">
        <v>2</v>
      </c>
      <c r="BG183" s="7">
        <v>2</v>
      </c>
      <c r="BH183" s="7">
        <v>2</v>
      </c>
      <c r="BI183" s="7">
        <v>2</v>
      </c>
      <c r="BJ183" s="7">
        <v>2</v>
      </c>
      <c r="BK183" s="7">
        <v>2</v>
      </c>
      <c r="BL183" s="7">
        <v>2</v>
      </c>
      <c r="BM183" s="7">
        <v>2</v>
      </c>
      <c r="BN183" s="7">
        <v>2</v>
      </c>
      <c r="BO183" s="7">
        <v>2</v>
      </c>
      <c r="BP183" s="7">
        <v>2</v>
      </c>
      <c r="BQ183" s="7">
        <v>2</v>
      </c>
      <c r="BR183" s="7">
        <v>2</v>
      </c>
      <c r="BS183" s="7">
        <v>2</v>
      </c>
      <c r="BT183" s="7">
        <v>2</v>
      </c>
      <c r="BU183" s="7">
        <v>2</v>
      </c>
      <c r="BV183" s="7">
        <v>2</v>
      </c>
      <c r="BW183" s="7">
        <v>2</v>
      </c>
      <c r="BX183" s="7">
        <v>2</v>
      </c>
      <c r="BY183" s="7">
        <v>2</v>
      </c>
      <c r="BZ183" s="7">
        <v>2</v>
      </c>
      <c r="CA183" s="7">
        <v>2</v>
      </c>
      <c r="CB183" s="7">
        <v>2</v>
      </c>
      <c r="CC183" s="7">
        <v>2</v>
      </c>
      <c r="CD183" s="7">
        <v>2</v>
      </c>
      <c r="CE183" s="7">
        <v>2</v>
      </c>
      <c r="CF183" s="7">
        <v>2</v>
      </c>
      <c r="CG183" s="7">
        <v>2</v>
      </c>
      <c r="CH183" s="7">
        <v>2</v>
      </c>
      <c r="CI183" s="7">
        <v>2</v>
      </c>
      <c r="CJ183" s="7">
        <v>2</v>
      </c>
      <c r="CK183" s="7">
        <v>2</v>
      </c>
      <c r="CL183" s="7">
        <v>2</v>
      </c>
      <c r="CM183" s="7">
        <v>2</v>
      </c>
      <c r="CN183" s="7">
        <v>2</v>
      </c>
      <c r="CO183" s="7">
        <v>2</v>
      </c>
      <c r="CP183" s="7">
        <v>2</v>
      </c>
      <c r="CQ183" s="7">
        <v>2</v>
      </c>
      <c r="CR183" s="7">
        <v>2</v>
      </c>
      <c r="CS183" s="7">
        <v>2</v>
      </c>
      <c r="CT183" s="7">
        <v>2</v>
      </c>
      <c r="CU183" s="7">
        <v>2</v>
      </c>
      <c r="CV183" s="7">
        <v>2</v>
      </c>
      <c r="CW183" s="7">
        <v>2</v>
      </c>
      <c r="CX183" s="7">
        <v>2</v>
      </c>
      <c r="CY183" s="7">
        <v>2</v>
      </c>
      <c r="CZ183" s="7">
        <v>2</v>
      </c>
      <c r="DA183" s="7">
        <v>2</v>
      </c>
      <c r="DB183" s="7">
        <v>2</v>
      </c>
      <c r="DC183" s="7">
        <v>2</v>
      </c>
      <c r="DD183" s="7">
        <v>2</v>
      </c>
      <c r="DE183" s="7">
        <v>2</v>
      </c>
      <c r="DF183" s="7">
        <v>2</v>
      </c>
      <c r="DG183" s="7">
        <v>2</v>
      </c>
      <c r="DH183" s="7">
        <v>2</v>
      </c>
      <c r="DI183" s="7">
        <v>2</v>
      </c>
      <c r="DJ183" s="7">
        <v>2</v>
      </c>
      <c r="DK183" s="7">
        <v>2</v>
      </c>
      <c r="DL183" s="7">
        <v>2</v>
      </c>
      <c r="DM183" s="7">
        <v>2</v>
      </c>
      <c r="DN183" s="7">
        <v>2</v>
      </c>
      <c r="DO183" s="7">
        <v>2</v>
      </c>
      <c r="DP183" s="7">
        <v>2</v>
      </c>
      <c r="DQ183" s="7">
        <v>2</v>
      </c>
      <c r="DR183" s="7">
        <v>2</v>
      </c>
      <c r="DS183" s="7">
        <v>2</v>
      </c>
      <c r="DT183" s="7">
        <v>2</v>
      </c>
      <c r="DU183" s="7">
        <v>2</v>
      </c>
      <c r="DV183" s="7">
        <v>2</v>
      </c>
      <c r="DW183" s="7">
        <v>2</v>
      </c>
      <c r="DX183" s="7">
        <v>2</v>
      </c>
      <c r="DY183" s="7">
        <v>2</v>
      </c>
      <c r="DZ183" s="7">
        <v>2</v>
      </c>
      <c r="EA183" s="7">
        <v>2</v>
      </c>
      <c r="EB183" s="7">
        <v>1</v>
      </c>
      <c r="EC183" s="7">
        <v>1</v>
      </c>
      <c r="ED183" s="7">
        <v>1</v>
      </c>
      <c r="EE183" s="7">
        <v>1</v>
      </c>
      <c r="EF183" s="7">
        <v>1</v>
      </c>
      <c r="EG183" s="7">
        <v>1</v>
      </c>
      <c r="EH183" s="7">
        <v>1</v>
      </c>
      <c r="EI183" s="7">
        <v>1</v>
      </c>
      <c r="EJ183" s="7">
        <v>1</v>
      </c>
      <c r="EK183" s="7">
        <v>1</v>
      </c>
      <c r="EL183" s="7">
        <v>1</v>
      </c>
      <c r="EM183" s="7">
        <v>1</v>
      </c>
      <c r="EN183" s="7">
        <v>1</v>
      </c>
      <c r="EO183" s="7">
        <v>1</v>
      </c>
      <c r="EP183" s="7">
        <v>1</v>
      </c>
      <c r="EQ183" s="7">
        <v>1</v>
      </c>
      <c r="ER183" s="7">
        <v>1</v>
      </c>
      <c r="ES183" s="7">
        <v>1</v>
      </c>
      <c r="ET183" s="7">
        <v>1</v>
      </c>
      <c r="EU183" s="7">
        <v>1</v>
      </c>
      <c r="EV183" s="7">
        <v>1</v>
      </c>
      <c r="EW183" s="7">
        <v>1</v>
      </c>
      <c r="EX183" s="7">
        <v>1</v>
      </c>
      <c r="EY183" s="7">
        <v>1</v>
      </c>
      <c r="EZ183" s="7">
        <v>1</v>
      </c>
      <c r="FB183" s="50">
        <f>HLOOKUP(M16,$AU$112:$EZ$213,72,TRUE)</f>
        <v>2</v>
      </c>
      <c r="FD183" s="50">
        <f>HLOOKUP(AL42,$AU$112:$EZ$213,72,TRUE)</f>
        <v>2</v>
      </c>
    </row>
    <row r="184" spans="46:160">
      <c r="AT184" s="112">
        <v>13.49</v>
      </c>
      <c r="AU184" s="7">
        <v>2</v>
      </c>
      <c r="AV184" s="7">
        <v>2</v>
      </c>
      <c r="AW184" s="7">
        <v>2</v>
      </c>
      <c r="AX184" s="7">
        <v>2</v>
      </c>
      <c r="AY184" s="7">
        <v>2</v>
      </c>
      <c r="AZ184" s="7">
        <v>2</v>
      </c>
      <c r="BA184" s="331">
        <v>2</v>
      </c>
      <c r="BB184" s="7">
        <v>2</v>
      </c>
      <c r="BC184" s="7">
        <v>2</v>
      </c>
      <c r="BD184" s="7">
        <v>2</v>
      </c>
      <c r="BE184" s="7">
        <v>2</v>
      </c>
      <c r="BF184" s="7">
        <v>2</v>
      </c>
      <c r="BG184" s="7">
        <v>2</v>
      </c>
      <c r="BH184" s="7">
        <v>2</v>
      </c>
      <c r="BI184" s="7">
        <v>2</v>
      </c>
      <c r="BJ184" s="7">
        <v>2</v>
      </c>
      <c r="BK184" s="7">
        <v>2</v>
      </c>
      <c r="BL184" s="7">
        <v>2</v>
      </c>
      <c r="BM184" s="7">
        <v>2</v>
      </c>
      <c r="BN184" s="7">
        <v>2</v>
      </c>
      <c r="BO184" s="7">
        <v>2</v>
      </c>
      <c r="BP184" s="7">
        <v>2</v>
      </c>
      <c r="BQ184" s="7">
        <v>2</v>
      </c>
      <c r="BR184" s="7">
        <v>2</v>
      </c>
      <c r="BS184" s="7">
        <v>2</v>
      </c>
      <c r="BT184" s="7">
        <v>2</v>
      </c>
      <c r="BU184" s="7">
        <v>2</v>
      </c>
      <c r="BV184" s="7">
        <v>2</v>
      </c>
      <c r="BW184" s="7">
        <v>2</v>
      </c>
      <c r="BX184" s="7">
        <v>2</v>
      </c>
      <c r="BY184" s="7">
        <v>2</v>
      </c>
      <c r="BZ184" s="7">
        <v>2</v>
      </c>
      <c r="CA184" s="7">
        <v>2</v>
      </c>
      <c r="CB184" s="7">
        <v>2</v>
      </c>
      <c r="CC184" s="7">
        <v>2</v>
      </c>
      <c r="CD184" s="7">
        <v>2</v>
      </c>
      <c r="CE184" s="7">
        <v>2</v>
      </c>
      <c r="CF184" s="7">
        <v>2</v>
      </c>
      <c r="CG184" s="7">
        <v>2</v>
      </c>
      <c r="CH184" s="7">
        <v>2</v>
      </c>
      <c r="CI184" s="7">
        <v>2</v>
      </c>
      <c r="CJ184" s="7">
        <v>2</v>
      </c>
      <c r="CK184" s="7">
        <v>2</v>
      </c>
      <c r="CL184" s="7">
        <v>2</v>
      </c>
      <c r="CM184" s="7">
        <v>2</v>
      </c>
      <c r="CN184" s="7">
        <v>2</v>
      </c>
      <c r="CO184" s="7">
        <v>2</v>
      </c>
      <c r="CP184" s="7">
        <v>2</v>
      </c>
      <c r="CQ184" s="7">
        <v>2</v>
      </c>
      <c r="CR184" s="7">
        <v>2</v>
      </c>
      <c r="CS184" s="7">
        <v>2</v>
      </c>
      <c r="CT184" s="7">
        <v>2</v>
      </c>
      <c r="CU184" s="7">
        <v>2</v>
      </c>
      <c r="CV184" s="7">
        <v>2</v>
      </c>
      <c r="CW184" s="7">
        <v>2</v>
      </c>
      <c r="CX184" s="7">
        <v>2</v>
      </c>
      <c r="CY184" s="7">
        <v>2</v>
      </c>
      <c r="CZ184" s="7">
        <v>2</v>
      </c>
      <c r="DA184" s="7">
        <v>2</v>
      </c>
      <c r="DB184" s="7">
        <v>2</v>
      </c>
      <c r="DC184" s="7">
        <v>2</v>
      </c>
      <c r="DD184" s="7">
        <v>2</v>
      </c>
      <c r="DE184" s="7">
        <v>2</v>
      </c>
      <c r="DF184" s="7">
        <v>2</v>
      </c>
      <c r="DG184" s="7">
        <v>2</v>
      </c>
      <c r="DH184" s="7">
        <v>2</v>
      </c>
      <c r="DI184" s="7">
        <v>2</v>
      </c>
      <c r="DJ184" s="7">
        <v>2</v>
      </c>
      <c r="DK184" s="7">
        <v>2</v>
      </c>
      <c r="DL184" s="7">
        <v>2</v>
      </c>
      <c r="DM184" s="7">
        <v>2</v>
      </c>
      <c r="DN184" s="7">
        <v>2</v>
      </c>
      <c r="DO184" s="7">
        <v>2</v>
      </c>
      <c r="DP184" s="7">
        <v>2</v>
      </c>
      <c r="DQ184" s="7">
        <v>2</v>
      </c>
      <c r="DR184" s="7">
        <v>2</v>
      </c>
      <c r="DS184" s="7">
        <v>2</v>
      </c>
      <c r="DT184" s="7">
        <v>2</v>
      </c>
      <c r="DU184" s="7">
        <v>2</v>
      </c>
      <c r="DV184" s="7">
        <v>2</v>
      </c>
      <c r="DW184" s="7">
        <v>2</v>
      </c>
      <c r="DX184" s="7">
        <v>2</v>
      </c>
      <c r="DY184" s="7">
        <v>2</v>
      </c>
      <c r="DZ184" s="7">
        <v>2</v>
      </c>
      <c r="EA184" s="7">
        <v>2</v>
      </c>
      <c r="EB184" s="7">
        <v>1</v>
      </c>
      <c r="EC184" s="7">
        <v>1</v>
      </c>
      <c r="ED184" s="7">
        <v>1</v>
      </c>
      <c r="EE184" s="7">
        <v>1</v>
      </c>
      <c r="EF184" s="7">
        <v>1</v>
      </c>
      <c r="EG184" s="7">
        <v>1</v>
      </c>
      <c r="EH184" s="7">
        <v>1</v>
      </c>
      <c r="EI184" s="7">
        <v>1</v>
      </c>
      <c r="EJ184" s="7">
        <v>1</v>
      </c>
      <c r="EK184" s="7">
        <v>1</v>
      </c>
      <c r="EL184" s="7">
        <v>1</v>
      </c>
      <c r="EM184" s="7">
        <v>1</v>
      </c>
      <c r="EN184" s="7">
        <v>1</v>
      </c>
      <c r="EO184" s="7">
        <v>1</v>
      </c>
      <c r="EP184" s="7">
        <v>1</v>
      </c>
      <c r="EQ184" s="7">
        <v>1</v>
      </c>
      <c r="ER184" s="7">
        <v>1</v>
      </c>
      <c r="ES184" s="7">
        <v>1</v>
      </c>
      <c r="ET184" s="7">
        <v>1</v>
      </c>
      <c r="EU184" s="7">
        <v>1</v>
      </c>
      <c r="EV184" s="7">
        <v>1</v>
      </c>
      <c r="EW184" s="7">
        <v>1</v>
      </c>
      <c r="EX184" s="7">
        <v>1</v>
      </c>
      <c r="EY184" s="7">
        <v>1</v>
      </c>
      <c r="EZ184" s="7">
        <v>1</v>
      </c>
      <c r="FB184" s="50">
        <f>HLOOKUP(M16,$AU$112:$EZ$213,73,TRUE)</f>
        <v>2</v>
      </c>
      <c r="FD184" s="50">
        <f>HLOOKUP(AL42,$AU$112:$EZ$213,73,TRUE)</f>
        <v>2</v>
      </c>
    </row>
    <row r="185" spans="46:160">
      <c r="AT185" s="112">
        <v>14.454000000000001</v>
      </c>
      <c r="AU185" s="7">
        <v>2</v>
      </c>
      <c r="AV185" s="7">
        <v>2</v>
      </c>
      <c r="AW185" s="7">
        <v>2</v>
      </c>
      <c r="AX185" s="7">
        <v>2</v>
      </c>
      <c r="AY185" s="7">
        <v>2</v>
      </c>
      <c r="AZ185" s="7">
        <v>2</v>
      </c>
      <c r="BA185" s="331">
        <v>2</v>
      </c>
      <c r="BB185" s="7">
        <v>2</v>
      </c>
      <c r="BC185" s="7">
        <v>2</v>
      </c>
      <c r="BD185" s="7">
        <v>2</v>
      </c>
      <c r="BE185" s="7">
        <v>2</v>
      </c>
      <c r="BF185" s="7">
        <v>2</v>
      </c>
      <c r="BG185" s="7">
        <v>2</v>
      </c>
      <c r="BH185" s="7">
        <v>2</v>
      </c>
      <c r="BI185" s="7">
        <v>2</v>
      </c>
      <c r="BJ185" s="7">
        <v>2</v>
      </c>
      <c r="BK185" s="7">
        <v>2</v>
      </c>
      <c r="BL185" s="7">
        <v>2</v>
      </c>
      <c r="BM185" s="7">
        <v>2</v>
      </c>
      <c r="BN185" s="7">
        <v>2</v>
      </c>
      <c r="BO185" s="7">
        <v>2</v>
      </c>
      <c r="BP185" s="7">
        <v>2</v>
      </c>
      <c r="BQ185" s="7">
        <v>2</v>
      </c>
      <c r="BR185" s="7">
        <v>2</v>
      </c>
      <c r="BS185" s="7">
        <v>2</v>
      </c>
      <c r="BT185" s="7">
        <v>2</v>
      </c>
      <c r="BU185" s="7">
        <v>2</v>
      </c>
      <c r="BV185" s="7">
        <v>2</v>
      </c>
      <c r="BW185" s="7">
        <v>2</v>
      </c>
      <c r="BX185" s="7">
        <v>2</v>
      </c>
      <c r="BY185" s="7">
        <v>2</v>
      </c>
      <c r="BZ185" s="7">
        <v>2</v>
      </c>
      <c r="CA185" s="7">
        <v>2</v>
      </c>
      <c r="CB185" s="7">
        <v>2</v>
      </c>
      <c r="CC185" s="7">
        <v>2</v>
      </c>
      <c r="CD185" s="7">
        <v>2</v>
      </c>
      <c r="CE185" s="7">
        <v>2</v>
      </c>
      <c r="CF185" s="7">
        <v>2</v>
      </c>
      <c r="CG185" s="7">
        <v>2</v>
      </c>
      <c r="CH185" s="7">
        <v>2</v>
      </c>
      <c r="CI185" s="7">
        <v>2</v>
      </c>
      <c r="CJ185" s="7">
        <v>2</v>
      </c>
      <c r="CK185" s="7">
        <v>2</v>
      </c>
      <c r="CL185" s="7">
        <v>2</v>
      </c>
      <c r="CM185" s="7">
        <v>2</v>
      </c>
      <c r="CN185" s="7">
        <v>2</v>
      </c>
      <c r="CO185" s="7">
        <v>2</v>
      </c>
      <c r="CP185" s="7">
        <v>2</v>
      </c>
      <c r="CQ185" s="7">
        <v>2</v>
      </c>
      <c r="CR185" s="7">
        <v>2</v>
      </c>
      <c r="CS185" s="7">
        <v>2</v>
      </c>
      <c r="CT185" s="7">
        <v>2</v>
      </c>
      <c r="CU185" s="7">
        <v>2</v>
      </c>
      <c r="CV185" s="7">
        <v>2</v>
      </c>
      <c r="CW185" s="7">
        <v>2</v>
      </c>
      <c r="CX185" s="7">
        <v>2</v>
      </c>
      <c r="CY185" s="7">
        <v>2</v>
      </c>
      <c r="CZ185" s="7">
        <v>2</v>
      </c>
      <c r="DA185" s="7">
        <v>2</v>
      </c>
      <c r="DB185" s="7">
        <v>2</v>
      </c>
      <c r="DC185" s="7">
        <v>2</v>
      </c>
      <c r="DD185" s="7">
        <v>2</v>
      </c>
      <c r="DE185" s="7">
        <v>2</v>
      </c>
      <c r="DF185" s="7">
        <v>2</v>
      </c>
      <c r="DG185" s="7">
        <v>2</v>
      </c>
      <c r="DH185" s="7">
        <v>2</v>
      </c>
      <c r="DI185" s="7">
        <v>2</v>
      </c>
      <c r="DJ185" s="7">
        <v>2</v>
      </c>
      <c r="DK185" s="7">
        <v>2</v>
      </c>
      <c r="DL185" s="7">
        <v>2</v>
      </c>
      <c r="DM185" s="7">
        <v>2</v>
      </c>
      <c r="DN185" s="7">
        <v>2</v>
      </c>
      <c r="DO185" s="7">
        <v>2</v>
      </c>
      <c r="DP185" s="7">
        <v>2</v>
      </c>
      <c r="DQ185" s="7">
        <v>2</v>
      </c>
      <c r="DR185" s="7">
        <v>2</v>
      </c>
      <c r="DS185" s="7">
        <v>2</v>
      </c>
      <c r="DT185" s="7">
        <v>2</v>
      </c>
      <c r="DU185" s="7">
        <v>2</v>
      </c>
      <c r="DV185" s="7">
        <v>2</v>
      </c>
      <c r="DW185" s="7">
        <v>2</v>
      </c>
      <c r="DX185" s="7">
        <v>2</v>
      </c>
      <c r="DY185" s="7">
        <v>2</v>
      </c>
      <c r="DZ185" s="7">
        <v>2</v>
      </c>
      <c r="EA185" s="7">
        <v>2</v>
      </c>
      <c r="EB185" s="7">
        <v>2</v>
      </c>
      <c r="EC185" s="7">
        <v>1</v>
      </c>
      <c r="ED185" s="7">
        <v>1</v>
      </c>
      <c r="EE185" s="7">
        <v>1</v>
      </c>
      <c r="EF185" s="7">
        <v>1</v>
      </c>
      <c r="EG185" s="7">
        <v>1</v>
      </c>
      <c r="EH185" s="7">
        <v>1</v>
      </c>
      <c r="EI185" s="7">
        <v>1</v>
      </c>
      <c r="EJ185" s="7">
        <v>1</v>
      </c>
      <c r="EK185" s="7">
        <v>1</v>
      </c>
      <c r="EL185" s="7">
        <v>1</v>
      </c>
      <c r="EM185" s="7">
        <v>1</v>
      </c>
      <c r="EN185" s="7">
        <v>1</v>
      </c>
      <c r="EO185" s="7">
        <v>1</v>
      </c>
      <c r="EP185" s="7">
        <v>1</v>
      </c>
      <c r="EQ185" s="7">
        <v>1</v>
      </c>
      <c r="ER185" s="7">
        <v>1</v>
      </c>
      <c r="ES185" s="7">
        <v>1</v>
      </c>
      <c r="ET185" s="7">
        <v>1</v>
      </c>
      <c r="EU185" s="7">
        <v>1</v>
      </c>
      <c r="EV185" s="7">
        <v>1</v>
      </c>
      <c r="EW185" s="7">
        <v>1</v>
      </c>
      <c r="EX185" s="7">
        <v>1</v>
      </c>
      <c r="EY185" s="7">
        <v>1</v>
      </c>
      <c r="EZ185" s="7">
        <v>1</v>
      </c>
      <c r="FB185" s="50">
        <f>HLOOKUP(M16,$AU$112:$EZ$213,74,TRUE)</f>
        <v>2</v>
      </c>
      <c r="FD185" s="50">
        <f>HLOOKUP(AL42,$AU$112:$EZ$213,74,TRUE)</f>
        <v>2</v>
      </c>
    </row>
    <row r="186" spans="46:160">
      <c r="AT186" s="112">
        <v>15.488</v>
      </c>
      <c r="AU186" s="7">
        <v>2</v>
      </c>
      <c r="AV186" s="7">
        <v>2</v>
      </c>
      <c r="AW186" s="7">
        <v>2</v>
      </c>
      <c r="AX186" s="7">
        <v>2</v>
      </c>
      <c r="AY186" s="7">
        <v>2</v>
      </c>
      <c r="AZ186" s="7">
        <v>2</v>
      </c>
      <c r="BA186" s="331">
        <v>2</v>
      </c>
      <c r="BB186" s="7">
        <v>2</v>
      </c>
      <c r="BC186" s="7">
        <v>2</v>
      </c>
      <c r="BD186" s="7">
        <v>2</v>
      </c>
      <c r="BE186" s="7">
        <v>2</v>
      </c>
      <c r="BF186" s="7">
        <v>2</v>
      </c>
      <c r="BG186" s="7">
        <v>2</v>
      </c>
      <c r="BH186" s="7">
        <v>2</v>
      </c>
      <c r="BI186" s="7">
        <v>2</v>
      </c>
      <c r="BJ186" s="7">
        <v>2</v>
      </c>
      <c r="BK186" s="7">
        <v>2</v>
      </c>
      <c r="BL186" s="7">
        <v>2</v>
      </c>
      <c r="BM186" s="7">
        <v>2</v>
      </c>
      <c r="BN186" s="7">
        <v>2</v>
      </c>
      <c r="BO186" s="7">
        <v>2</v>
      </c>
      <c r="BP186" s="7">
        <v>2</v>
      </c>
      <c r="BQ186" s="7">
        <v>2</v>
      </c>
      <c r="BR186" s="7">
        <v>2</v>
      </c>
      <c r="BS186" s="7">
        <v>2</v>
      </c>
      <c r="BT186" s="7">
        <v>2</v>
      </c>
      <c r="BU186" s="7">
        <v>2</v>
      </c>
      <c r="BV186" s="7">
        <v>2</v>
      </c>
      <c r="BW186" s="7">
        <v>2</v>
      </c>
      <c r="BX186" s="7">
        <v>2</v>
      </c>
      <c r="BY186" s="7">
        <v>2</v>
      </c>
      <c r="BZ186" s="7">
        <v>2</v>
      </c>
      <c r="CA186" s="7">
        <v>2</v>
      </c>
      <c r="CB186" s="7">
        <v>2</v>
      </c>
      <c r="CC186" s="7">
        <v>2</v>
      </c>
      <c r="CD186" s="7">
        <v>2</v>
      </c>
      <c r="CE186" s="7">
        <v>2</v>
      </c>
      <c r="CF186" s="7">
        <v>2</v>
      </c>
      <c r="CG186" s="7">
        <v>2</v>
      </c>
      <c r="CH186" s="7">
        <v>2</v>
      </c>
      <c r="CI186" s="7">
        <v>2</v>
      </c>
      <c r="CJ186" s="7">
        <v>2</v>
      </c>
      <c r="CK186" s="7">
        <v>2</v>
      </c>
      <c r="CL186" s="7">
        <v>2</v>
      </c>
      <c r="CM186" s="7">
        <v>2</v>
      </c>
      <c r="CN186" s="7">
        <v>2</v>
      </c>
      <c r="CO186" s="7">
        <v>2</v>
      </c>
      <c r="CP186" s="7">
        <v>2</v>
      </c>
      <c r="CQ186" s="7">
        <v>2</v>
      </c>
      <c r="CR186" s="7">
        <v>2</v>
      </c>
      <c r="CS186" s="7">
        <v>2</v>
      </c>
      <c r="CT186" s="7">
        <v>2</v>
      </c>
      <c r="CU186" s="7">
        <v>2</v>
      </c>
      <c r="CV186" s="7">
        <v>2</v>
      </c>
      <c r="CW186" s="7">
        <v>2</v>
      </c>
      <c r="CX186" s="7">
        <v>2</v>
      </c>
      <c r="CY186" s="7">
        <v>2</v>
      </c>
      <c r="CZ186" s="7">
        <v>2</v>
      </c>
      <c r="DA186" s="7">
        <v>2</v>
      </c>
      <c r="DB186" s="7">
        <v>2</v>
      </c>
      <c r="DC186" s="7">
        <v>2</v>
      </c>
      <c r="DD186" s="7">
        <v>2</v>
      </c>
      <c r="DE186" s="7">
        <v>2</v>
      </c>
      <c r="DF186" s="7">
        <v>2</v>
      </c>
      <c r="DG186" s="7">
        <v>2</v>
      </c>
      <c r="DH186" s="7">
        <v>2</v>
      </c>
      <c r="DI186" s="7">
        <v>2</v>
      </c>
      <c r="DJ186" s="7">
        <v>2</v>
      </c>
      <c r="DK186" s="7">
        <v>2</v>
      </c>
      <c r="DL186" s="7">
        <v>2</v>
      </c>
      <c r="DM186" s="7">
        <v>2</v>
      </c>
      <c r="DN186" s="7">
        <v>2</v>
      </c>
      <c r="DO186" s="7">
        <v>2</v>
      </c>
      <c r="DP186" s="7">
        <v>2</v>
      </c>
      <c r="DQ186" s="7">
        <v>2</v>
      </c>
      <c r="DR186" s="7">
        <v>2</v>
      </c>
      <c r="DS186" s="7">
        <v>2</v>
      </c>
      <c r="DT186" s="7">
        <v>2</v>
      </c>
      <c r="DU186" s="7">
        <v>2</v>
      </c>
      <c r="DV186" s="7">
        <v>2</v>
      </c>
      <c r="DW186" s="7">
        <v>2</v>
      </c>
      <c r="DX186" s="7">
        <v>2</v>
      </c>
      <c r="DY186" s="7">
        <v>2</v>
      </c>
      <c r="DZ186" s="7">
        <v>2</v>
      </c>
      <c r="EA186" s="7">
        <v>2</v>
      </c>
      <c r="EB186" s="7">
        <v>2</v>
      </c>
      <c r="EC186" s="7">
        <v>2</v>
      </c>
      <c r="ED186" s="7">
        <v>1</v>
      </c>
      <c r="EE186" s="7">
        <v>1</v>
      </c>
      <c r="EF186" s="7">
        <v>1</v>
      </c>
      <c r="EG186" s="7">
        <v>1</v>
      </c>
      <c r="EH186" s="7">
        <v>1</v>
      </c>
      <c r="EI186" s="7">
        <v>1</v>
      </c>
      <c r="EJ186" s="7">
        <v>1</v>
      </c>
      <c r="EK186" s="7">
        <v>1</v>
      </c>
      <c r="EL186" s="7">
        <v>1</v>
      </c>
      <c r="EM186" s="7">
        <v>1</v>
      </c>
      <c r="EN186" s="7">
        <v>1</v>
      </c>
      <c r="EO186" s="7">
        <v>1</v>
      </c>
      <c r="EP186" s="7">
        <v>1</v>
      </c>
      <c r="EQ186" s="7">
        <v>1</v>
      </c>
      <c r="ER186" s="7">
        <v>1</v>
      </c>
      <c r="ES186" s="7">
        <v>1</v>
      </c>
      <c r="ET186" s="7">
        <v>1</v>
      </c>
      <c r="EU186" s="7">
        <v>1</v>
      </c>
      <c r="EV186" s="7">
        <v>1</v>
      </c>
      <c r="EW186" s="7">
        <v>1</v>
      </c>
      <c r="EX186" s="7">
        <v>1</v>
      </c>
      <c r="EY186" s="7">
        <v>1</v>
      </c>
      <c r="EZ186" s="7">
        <v>1</v>
      </c>
      <c r="FB186" s="50">
        <f>HLOOKUP(M16,$AU$112:$EZ$213,75,TRUE)</f>
        <v>2</v>
      </c>
      <c r="FD186" s="50">
        <f>HLOOKUP(AL42,$AU$112:$EZ$213,75,TRUE)</f>
        <v>2</v>
      </c>
    </row>
    <row r="187" spans="46:160">
      <c r="AT187" s="112">
        <v>16.596</v>
      </c>
      <c r="AU187" s="7">
        <v>2</v>
      </c>
      <c r="AV187" s="7">
        <v>2</v>
      </c>
      <c r="AW187" s="7">
        <v>2</v>
      </c>
      <c r="AX187" s="7">
        <v>2</v>
      </c>
      <c r="AY187" s="7">
        <v>2</v>
      </c>
      <c r="AZ187" s="7">
        <v>2</v>
      </c>
      <c r="BA187" s="331">
        <v>2</v>
      </c>
      <c r="BB187" s="7">
        <v>2</v>
      </c>
      <c r="BC187" s="7">
        <v>2</v>
      </c>
      <c r="BD187" s="7">
        <v>2</v>
      </c>
      <c r="BE187" s="7">
        <v>2</v>
      </c>
      <c r="BF187" s="7">
        <v>2</v>
      </c>
      <c r="BG187" s="7">
        <v>2</v>
      </c>
      <c r="BH187" s="7">
        <v>2</v>
      </c>
      <c r="BI187" s="7">
        <v>2</v>
      </c>
      <c r="BJ187" s="7">
        <v>2</v>
      </c>
      <c r="BK187" s="7">
        <v>2</v>
      </c>
      <c r="BL187" s="7">
        <v>2</v>
      </c>
      <c r="BM187" s="7">
        <v>2</v>
      </c>
      <c r="BN187" s="7">
        <v>2</v>
      </c>
      <c r="BO187" s="7">
        <v>2</v>
      </c>
      <c r="BP187" s="7">
        <v>2</v>
      </c>
      <c r="BQ187" s="7">
        <v>2</v>
      </c>
      <c r="BR187" s="7">
        <v>2</v>
      </c>
      <c r="BS187" s="7">
        <v>2</v>
      </c>
      <c r="BT187" s="7">
        <v>2</v>
      </c>
      <c r="BU187" s="7">
        <v>2</v>
      </c>
      <c r="BV187" s="7">
        <v>2</v>
      </c>
      <c r="BW187" s="7">
        <v>2</v>
      </c>
      <c r="BX187" s="7">
        <v>2</v>
      </c>
      <c r="BY187" s="7">
        <v>2</v>
      </c>
      <c r="BZ187" s="7">
        <v>2</v>
      </c>
      <c r="CA187" s="7">
        <v>2</v>
      </c>
      <c r="CB187" s="7">
        <v>2</v>
      </c>
      <c r="CC187" s="7">
        <v>2</v>
      </c>
      <c r="CD187" s="7">
        <v>2</v>
      </c>
      <c r="CE187" s="7">
        <v>2</v>
      </c>
      <c r="CF187" s="7">
        <v>2</v>
      </c>
      <c r="CG187" s="7">
        <v>2</v>
      </c>
      <c r="CH187" s="7">
        <v>2</v>
      </c>
      <c r="CI187" s="7">
        <v>2</v>
      </c>
      <c r="CJ187" s="7">
        <v>2</v>
      </c>
      <c r="CK187" s="7">
        <v>2</v>
      </c>
      <c r="CL187" s="7">
        <v>2</v>
      </c>
      <c r="CM187" s="7">
        <v>2</v>
      </c>
      <c r="CN187" s="7">
        <v>2</v>
      </c>
      <c r="CO187" s="7">
        <v>2</v>
      </c>
      <c r="CP187" s="7">
        <v>2</v>
      </c>
      <c r="CQ187" s="7">
        <v>2</v>
      </c>
      <c r="CR187" s="7">
        <v>2</v>
      </c>
      <c r="CS187" s="7">
        <v>2</v>
      </c>
      <c r="CT187" s="7">
        <v>2</v>
      </c>
      <c r="CU187" s="7">
        <v>2</v>
      </c>
      <c r="CV187" s="7">
        <v>2</v>
      </c>
      <c r="CW187" s="7">
        <v>2</v>
      </c>
      <c r="CX187" s="7">
        <v>2</v>
      </c>
      <c r="CY187" s="7">
        <v>2</v>
      </c>
      <c r="CZ187" s="7">
        <v>2</v>
      </c>
      <c r="DA187" s="7">
        <v>2</v>
      </c>
      <c r="DB187" s="7">
        <v>2</v>
      </c>
      <c r="DC187" s="7">
        <v>2</v>
      </c>
      <c r="DD187" s="7">
        <v>2</v>
      </c>
      <c r="DE187" s="7">
        <v>2</v>
      </c>
      <c r="DF187" s="7">
        <v>2</v>
      </c>
      <c r="DG187" s="7">
        <v>2</v>
      </c>
      <c r="DH187" s="7">
        <v>2</v>
      </c>
      <c r="DI187" s="7">
        <v>2</v>
      </c>
      <c r="DJ187" s="7">
        <v>2</v>
      </c>
      <c r="DK187" s="7">
        <v>2</v>
      </c>
      <c r="DL187" s="7">
        <v>2</v>
      </c>
      <c r="DM187" s="7">
        <v>2</v>
      </c>
      <c r="DN187" s="7">
        <v>2</v>
      </c>
      <c r="DO187" s="7">
        <v>2</v>
      </c>
      <c r="DP187" s="7">
        <v>2</v>
      </c>
      <c r="DQ187" s="7">
        <v>2</v>
      </c>
      <c r="DR187" s="7">
        <v>2</v>
      </c>
      <c r="DS187" s="7">
        <v>2</v>
      </c>
      <c r="DT187" s="7">
        <v>2</v>
      </c>
      <c r="DU187" s="7">
        <v>2</v>
      </c>
      <c r="DV187" s="7">
        <v>2</v>
      </c>
      <c r="DW187" s="7">
        <v>2</v>
      </c>
      <c r="DX187" s="7">
        <v>2</v>
      </c>
      <c r="DY187" s="7">
        <v>2</v>
      </c>
      <c r="DZ187" s="7">
        <v>2</v>
      </c>
      <c r="EA187" s="7">
        <v>2</v>
      </c>
      <c r="EB187" s="7">
        <v>2</v>
      </c>
      <c r="EC187" s="7">
        <v>2</v>
      </c>
      <c r="ED187" s="7">
        <v>2</v>
      </c>
      <c r="EE187" s="7">
        <v>1</v>
      </c>
      <c r="EF187" s="7">
        <v>1</v>
      </c>
      <c r="EG187" s="7">
        <v>1</v>
      </c>
      <c r="EH187" s="7">
        <v>1</v>
      </c>
      <c r="EI187" s="7">
        <v>1</v>
      </c>
      <c r="EJ187" s="7">
        <v>1</v>
      </c>
      <c r="EK187" s="7">
        <v>1</v>
      </c>
      <c r="EL187" s="7">
        <v>1</v>
      </c>
      <c r="EM187" s="7">
        <v>1</v>
      </c>
      <c r="EN187" s="7">
        <v>1</v>
      </c>
      <c r="EO187" s="7">
        <v>1</v>
      </c>
      <c r="EP187" s="7">
        <v>1</v>
      </c>
      <c r="EQ187" s="7">
        <v>1</v>
      </c>
      <c r="ER187" s="7">
        <v>1</v>
      </c>
      <c r="ES187" s="7">
        <v>1</v>
      </c>
      <c r="ET187" s="7">
        <v>1</v>
      </c>
      <c r="EU187" s="7">
        <v>1</v>
      </c>
      <c r="EV187" s="7">
        <v>1</v>
      </c>
      <c r="EW187" s="7">
        <v>1</v>
      </c>
      <c r="EX187" s="7">
        <v>1</v>
      </c>
      <c r="EY187" s="7">
        <v>1</v>
      </c>
      <c r="EZ187" s="7">
        <v>1</v>
      </c>
      <c r="FB187" s="50">
        <f>HLOOKUP(M16,$AU$112:$EZ$213,76,TRUE)</f>
        <v>2</v>
      </c>
      <c r="FD187" s="50">
        <f>HLOOKUP(AL42,$AU$112:$EZ$213,76,TRUE)</f>
        <v>2</v>
      </c>
    </row>
    <row r="188" spans="46:160">
      <c r="AT188" s="112">
        <v>17.783000000000001</v>
      </c>
      <c r="AU188" s="7">
        <v>2</v>
      </c>
      <c r="AV188" s="7">
        <v>2</v>
      </c>
      <c r="AW188" s="7">
        <v>2</v>
      </c>
      <c r="AX188" s="7">
        <v>2</v>
      </c>
      <c r="AY188" s="7">
        <v>2</v>
      </c>
      <c r="AZ188" s="7">
        <v>2</v>
      </c>
      <c r="BA188" s="331">
        <v>2</v>
      </c>
      <c r="BB188" s="7">
        <v>2</v>
      </c>
      <c r="BC188" s="7">
        <v>2</v>
      </c>
      <c r="BD188" s="7">
        <v>2</v>
      </c>
      <c r="BE188" s="7">
        <v>2</v>
      </c>
      <c r="BF188" s="7">
        <v>2</v>
      </c>
      <c r="BG188" s="7">
        <v>2</v>
      </c>
      <c r="BH188" s="7">
        <v>2</v>
      </c>
      <c r="BI188" s="7">
        <v>2</v>
      </c>
      <c r="BJ188" s="7">
        <v>2</v>
      </c>
      <c r="BK188" s="7">
        <v>2</v>
      </c>
      <c r="BL188" s="7">
        <v>2</v>
      </c>
      <c r="BM188" s="7">
        <v>2</v>
      </c>
      <c r="BN188" s="7">
        <v>2</v>
      </c>
      <c r="BO188" s="7">
        <v>2</v>
      </c>
      <c r="BP188" s="7">
        <v>2</v>
      </c>
      <c r="BQ188" s="7">
        <v>2</v>
      </c>
      <c r="BR188" s="7">
        <v>2</v>
      </c>
      <c r="BS188" s="7">
        <v>2</v>
      </c>
      <c r="BT188" s="7">
        <v>2</v>
      </c>
      <c r="BU188" s="7">
        <v>2</v>
      </c>
      <c r="BV188" s="7">
        <v>2</v>
      </c>
      <c r="BW188" s="7">
        <v>2</v>
      </c>
      <c r="BX188" s="7">
        <v>2</v>
      </c>
      <c r="BY188" s="7">
        <v>2</v>
      </c>
      <c r="BZ188" s="7">
        <v>2</v>
      </c>
      <c r="CA188" s="7">
        <v>2</v>
      </c>
      <c r="CB188" s="7">
        <v>2</v>
      </c>
      <c r="CC188" s="7">
        <v>2</v>
      </c>
      <c r="CD188" s="7">
        <v>2</v>
      </c>
      <c r="CE188" s="7">
        <v>2</v>
      </c>
      <c r="CF188" s="7">
        <v>2</v>
      </c>
      <c r="CG188" s="7">
        <v>2</v>
      </c>
      <c r="CH188" s="7">
        <v>2</v>
      </c>
      <c r="CI188" s="7">
        <v>2</v>
      </c>
      <c r="CJ188" s="7">
        <v>2</v>
      </c>
      <c r="CK188" s="7">
        <v>2</v>
      </c>
      <c r="CL188" s="7">
        <v>2</v>
      </c>
      <c r="CM188" s="7">
        <v>2</v>
      </c>
      <c r="CN188" s="7">
        <v>2</v>
      </c>
      <c r="CO188" s="7">
        <v>2</v>
      </c>
      <c r="CP188" s="7">
        <v>2</v>
      </c>
      <c r="CQ188" s="7">
        <v>2</v>
      </c>
      <c r="CR188" s="7">
        <v>2</v>
      </c>
      <c r="CS188" s="7">
        <v>2</v>
      </c>
      <c r="CT188" s="7">
        <v>2</v>
      </c>
      <c r="CU188" s="7">
        <v>2</v>
      </c>
      <c r="CV188" s="7">
        <v>2</v>
      </c>
      <c r="CW188" s="7">
        <v>2</v>
      </c>
      <c r="CX188" s="7">
        <v>2</v>
      </c>
      <c r="CY188" s="7">
        <v>2</v>
      </c>
      <c r="CZ188" s="7">
        <v>2</v>
      </c>
      <c r="DA188" s="7">
        <v>2</v>
      </c>
      <c r="DB188" s="7">
        <v>2</v>
      </c>
      <c r="DC188" s="7">
        <v>2</v>
      </c>
      <c r="DD188" s="7">
        <v>2</v>
      </c>
      <c r="DE188" s="7">
        <v>2</v>
      </c>
      <c r="DF188" s="7">
        <v>2</v>
      </c>
      <c r="DG188" s="7">
        <v>2</v>
      </c>
      <c r="DH188" s="7">
        <v>2</v>
      </c>
      <c r="DI188" s="7">
        <v>2</v>
      </c>
      <c r="DJ188" s="7">
        <v>2</v>
      </c>
      <c r="DK188" s="7">
        <v>2</v>
      </c>
      <c r="DL188" s="7">
        <v>2</v>
      </c>
      <c r="DM188" s="7">
        <v>2</v>
      </c>
      <c r="DN188" s="7">
        <v>2</v>
      </c>
      <c r="DO188" s="7">
        <v>2</v>
      </c>
      <c r="DP188" s="7">
        <v>2</v>
      </c>
      <c r="DQ188" s="7">
        <v>2</v>
      </c>
      <c r="DR188" s="7">
        <v>2</v>
      </c>
      <c r="DS188" s="7">
        <v>2</v>
      </c>
      <c r="DT188" s="7">
        <v>2</v>
      </c>
      <c r="DU188" s="7">
        <v>2</v>
      </c>
      <c r="DV188" s="7">
        <v>2</v>
      </c>
      <c r="DW188" s="7">
        <v>2</v>
      </c>
      <c r="DX188" s="7">
        <v>2</v>
      </c>
      <c r="DY188" s="7">
        <v>2</v>
      </c>
      <c r="DZ188" s="7">
        <v>2</v>
      </c>
      <c r="EA188" s="7">
        <v>2</v>
      </c>
      <c r="EB188" s="7">
        <v>2</v>
      </c>
      <c r="EC188" s="7">
        <v>2</v>
      </c>
      <c r="ED188" s="7">
        <v>2</v>
      </c>
      <c r="EE188" s="7">
        <v>2</v>
      </c>
      <c r="EF188" s="7">
        <v>1</v>
      </c>
      <c r="EG188" s="7">
        <v>1</v>
      </c>
      <c r="EH188" s="7">
        <v>1</v>
      </c>
      <c r="EI188" s="7">
        <v>1</v>
      </c>
      <c r="EJ188" s="7">
        <v>1</v>
      </c>
      <c r="EK188" s="7">
        <v>1</v>
      </c>
      <c r="EL188" s="7">
        <v>1</v>
      </c>
      <c r="EM188" s="7">
        <v>1</v>
      </c>
      <c r="EN188" s="7">
        <v>1</v>
      </c>
      <c r="EO188" s="7">
        <v>1</v>
      </c>
      <c r="EP188" s="7">
        <v>1</v>
      </c>
      <c r="EQ188" s="7">
        <v>1</v>
      </c>
      <c r="ER188" s="7">
        <v>1</v>
      </c>
      <c r="ES188" s="7">
        <v>1</v>
      </c>
      <c r="ET188" s="7">
        <v>1</v>
      </c>
      <c r="EU188" s="7">
        <v>1</v>
      </c>
      <c r="EV188" s="7">
        <v>1</v>
      </c>
      <c r="EW188" s="7">
        <v>1</v>
      </c>
      <c r="EX188" s="7">
        <v>1</v>
      </c>
      <c r="EY188" s="7">
        <v>1</v>
      </c>
      <c r="EZ188" s="7">
        <v>1</v>
      </c>
      <c r="FB188" s="50">
        <f>HLOOKUP(M16,$AU$112:$EZ$213,77,TRUE)</f>
        <v>2</v>
      </c>
      <c r="FD188" s="50">
        <f>HLOOKUP(AL42,$AU$112:$EZ$213,77,TRUE)</f>
        <v>2</v>
      </c>
    </row>
    <row r="189" spans="46:160">
      <c r="AT189" s="112">
        <v>19.055</v>
      </c>
      <c r="AU189" s="7">
        <v>2</v>
      </c>
      <c r="AV189" s="7">
        <v>2</v>
      </c>
      <c r="AW189" s="7">
        <v>2</v>
      </c>
      <c r="AX189" s="7">
        <v>2</v>
      </c>
      <c r="AY189" s="7">
        <v>2</v>
      </c>
      <c r="AZ189" s="7">
        <v>2</v>
      </c>
      <c r="BA189" s="331">
        <v>2</v>
      </c>
      <c r="BB189" s="7">
        <v>2</v>
      </c>
      <c r="BC189" s="7">
        <v>2</v>
      </c>
      <c r="BD189" s="7">
        <v>2</v>
      </c>
      <c r="BE189" s="7">
        <v>2</v>
      </c>
      <c r="BF189" s="7">
        <v>2</v>
      </c>
      <c r="BG189" s="7">
        <v>2</v>
      </c>
      <c r="BH189" s="7">
        <v>2</v>
      </c>
      <c r="BI189" s="7">
        <v>2</v>
      </c>
      <c r="BJ189" s="7">
        <v>2</v>
      </c>
      <c r="BK189" s="7">
        <v>2</v>
      </c>
      <c r="BL189" s="7">
        <v>2</v>
      </c>
      <c r="BM189" s="7">
        <v>2</v>
      </c>
      <c r="BN189" s="7">
        <v>2</v>
      </c>
      <c r="BO189" s="7">
        <v>2</v>
      </c>
      <c r="BP189" s="7">
        <v>2</v>
      </c>
      <c r="BQ189" s="7">
        <v>2</v>
      </c>
      <c r="BR189" s="7">
        <v>2</v>
      </c>
      <c r="BS189" s="7">
        <v>2</v>
      </c>
      <c r="BT189" s="7">
        <v>2</v>
      </c>
      <c r="BU189" s="7">
        <v>2</v>
      </c>
      <c r="BV189" s="7">
        <v>2</v>
      </c>
      <c r="BW189" s="7">
        <v>2</v>
      </c>
      <c r="BX189" s="7">
        <v>2</v>
      </c>
      <c r="BY189" s="7">
        <v>2</v>
      </c>
      <c r="BZ189" s="7">
        <v>2</v>
      </c>
      <c r="CA189" s="7">
        <v>2</v>
      </c>
      <c r="CB189" s="7">
        <v>2</v>
      </c>
      <c r="CC189" s="7">
        <v>2</v>
      </c>
      <c r="CD189" s="7">
        <v>2</v>
      </c>
      <c r="CE189" s="7">
        <v>2</v>
      </c>
      <c r="CF189" s="7">
        <v>2</v>
      </c>
      <c r="CG189" s="7">
        <v>2</v>
      </c>
      <c r="CH189" s="7">
        <v>2</v>
      </c>
      <c r="CI189" s="7">
        <v>2</v>
      </c>
      <c r="CJ189" s="7">
        <v>2</v>
      </c>
      <c r="CK189" s="7">
        <v>2</v>
      </c>
      <c r="CL189" s="7">
        <v>2</v>
      </c>
      <c r="CM189" s="7">
        <v>2</v>
      </c>
      <c r="CN189" s="7">
        <v>2</v>
      </c>
      <c r="CO189" s="7">
        <v>2</v>
      </c>
      <c r="CP189" s="7">
        <v>2</v>
      </c>
      <c r="CQ189" s="7">
        <v>2</v>
      </c>
      <c r="CR189" s="7">
        <v>2</v>
      </c>
      <c r="CS189" s="7">
        <v>2</v>
      </c>
      <c r="CT189" s="7">
        <v>2</v>
      </c>
      <c r="CU189" s="7">
        <v>2</v>
      </c>
      <c r="CV189" s="7">
        <v>2</v>
      </c>
      <c r="CW189" s="7">
        <v>2</v>
      </c>
      <c r="CX189" s="7">
        <v>2</v>
      </c>
      <c r="CY189" s="7">
        <v>2</v>
      </c>
      <c r="CZ189" s="7">
        <v>2</v>
      </c>
      <c r="DA189" s="7">
        <v>2</v>
      </c>
      <c r="DB189" s="7">
        <v>2</v>
      </c>
      <c r="DC189" s="7">
        <v>2</v>
      </c>
      <c r="DD189" s="7">
        <v>2</v>
      </c>
      <c r="DE189" s="7">
        <v>2</v>
      </c>
      <c r="DF189" s="7">
        <v>2</v>
      </c>
      <c r="DG189" s="7">
        <v>2</v>
      </c>
      <c r="DH189" s="7">
        <v>2</v>
      </c>
      <c r="DI189" s="7">
        <v>2</v>
      </c>
      <c r="DJ189" s="7">
        <v>2</v>
      </c>
      <c r="DK189" s="7">
        <v>2</v>
      </c>
      <c r="DL189" s="7">
        <v>2</v>
      </c>
      <c r="DM189" s="7">
        <v>2</v>
      </c>
      <c r="DN189" s="7">
        <v>2</v>
      </c>
      <c r="DO189" s="7">
        <v>2</v>
      </c>
      <c r="DP189" s="7">
        <v>2</v>
      </c>
      <c r="DQ189" s="7">
        <v>2</v>
      </c>
      <c r="DR189" s="7">
        <v>2</v>
      </c>
      <c r="DS189" s="7">
        <v>2</v>
      </c>
      <c r="DT189" s="7">
        <v>2</v>
      </c>
      <c r="DU189" s="7">
        <v>2</v>
      </c>
      <c r="DV189" s="7">
        <v>2</v>
      </c>
      <c r="DW189" s="7">
        <v>2</v>
      </c>
      <c r="DX189" s="7">
        <v>2</v>
      </c>
      <c r="DY189" s="7">
        <v>2</v>
      </c>
      <c r="DZ189" s="7">
        <v>2</v>
      </c>
      <c r="EA189" s="7">
        <v>2</v>
      </c>
      <c r="EB189" s="7">
        <v>2</v>
      </c>
      <c r="EC189" s="7">
        <v>2</v>
      </c>
      <c r="ED189" s="7">
        <v>2</v>
      </c>
      <c r="EE189" s="7">
        <v>2</v>
      </c>
      <c r="EF189" s="7">
        <v>1</v>
      </c>
      <c r="EG189" s="7">
        <v>1</v>
      </c>
      <c r="EH189" s="7">
        <v>1</v>
      </c>
      <c r="EI189" s="7">
        <v>1</v>
      </c>
      <c r="EJ189" s="7">
        <v>1</v>
      </c>
      <c r="EK189" s="7">
        <v>1</v>
      </c>
      <c r="EL189" s="7">
        <v>1</v>
      </c>
      <c r="EM189" s="7">
        <v>1</v>
      </c>
      <c r="EN189" s="7">
        <v>1</v>
      </c>
      <c r="EO189" s="7">
        <v>1</v>
      </c>
      <c r="EP189" s="7">
        <v>1</v>
      </c>
      <c r="EQ189" s="7">
        <v>1</v>
      </c>
      <c r="ER189" s="7">
        <v>1</v>
      </c>
      <c r="ES189" s="7">
        <v>1</v>
      </c>
      <c r="ET189" s="7">
        <v>1</v>
      </c>
      <c r="EU189" s="7">
        <v>1</v>
      </c>
      <c r="EV189" s="7">
        <v>1</v>
      </c>
      <c r="EW189" s="7">
        <v>1</v>
      </c>
      <c r="EX189" s="7">
        <v>1</v>
      </c>
      <c r="EY189" s="7">
        <v>1</v>
      </c>
      <c r="EZ189" s="7">
        <v>1</v>
      </c>
      <c r="FB189" s="50">
        <f>HLOOKUP(M16,$AU$112:$EZ$213,78,TRUE)</f>
        <v>2</v>
      </c>
      <c r="FD189" s="50">
        <f>HLOOKUP(AL42,$AU$112:$EZ$213,78,TRUE)</f>
        <v>2</v>
      </c>
    </row>
    <row r="190" spans="46:160">
      <c r="AT190" s="112">
        <v>20.417000000000002</v>
      </c>
      <c r="AU190" s="7">
        <v>2</v>
      </c>
      <c r="AV190" s="7">
        <v>2</v>
      </c>
      <c r="AW190" s="7">
        <v>2</v>
      </c>
      <c r="AX190" s="7">
        <v>2</v>
      </c>
      <c r="AY190" s="7">
        <v>2</v>
      </c>
      <c r="AZ190" s="7">
        <v>2</v>
      </c>
      <c r="BA190" s="331">
        <v>2</v>
      </c>
      <c r="BB190" s="7">
        <v>2</v>
      </c>
      <c r="BC190" s="7">
        <v>2</v>
      </c>
      <c r="BD190" s="7">
        <v>2</v>
      </c>
      <c r="BE190" s="7">
        <v>2</v>
      </c>
      <c r="BF190" s="7">
        <v>2</v>
      </c>
      <c r="BG190" s="7">
        <v>2</v>
      </c>
      <c r="BH190" s="7">
        <v>2</v>
      </c>
      <c r="BI190" s="7">
        <v>2</v>
      </c>
      <c r="BJ190" s="7">
        <v>2</v>
      </c>
      <c r="BK190" s="7">
        <v>2</v>
      </c>
      <c r="BL190" s="7">
        <v>2</v>
      </c>
      <c r="BM190" s="7">
        <v>2</v>
      </c>
      <c r="BN190" s="7">
        <v>2</v>
      </c>
      <c r="BO190" s="7">
        <v>2</v>
      </c>
      <c r="BP190" s="7">
        <v>2</v>
      </c>
      <c r="BQ190" s="7">
        <v>2</v>
      </c>
      <c r="BR190" s="7">
        <v>2</v>
      </c>
      <c r="BS190" s="7">
        <v>2</v>
      </c>
      <c r="BT190" s="7">
        <v>2</v>
      </c>
      <c r="BU190" s="7">
        <v>2</v>
      </c>
      <c r="BV190" s="7">
        <v>2</v>
      </c>
      <c r="BW190" s="7">
        <v>2</v>
      </c>
      <c r="BX190" s="7">
        <v>2</v>
      </c>
      <c r="BY190" s="7">
        <v>2</v>
      </c>
      <c r="BZ190" s="7">
        <v>2</v>
      </c>
      <c r="CA190" s="7">
        <v>2</v>
      </c>
      <c r="CB190" s="7">
        <v>2</v>
      </c>
      <c r="CC190" s="7">
        <v>2</v>
      </c>
      <c r="CD190" s="7">
        <v>2</v>
      </c>
      <c r="CE190" s="7">
        <v>2</v>
      </c>
      <c r="CF190" s="7">
        <v>2</v>
      </c>
      <c r="CG190" s="7">
        <v>2</v>
      </c>
      <c r="CH190" s="7">
        <v>2</v>
      </c>
      <c r="CI190" s="7">
        <v>2</v>
      </c>
      <c r="CJ190" s="7">
        <v>2</v>
      </c>
      <c r="CK190" s="7">
        <v>2</v>
      </c>
      <c r="CL190" s="7">
        <v>2</v>
      </c>
      <c r="CM190" s="7">
        <v>2</v>
      </c>
      <c r="CN190" s="7">
        <v>2</v>
      </c>
      <c r="CO190" s="7">
        <v>2</v>
      </c>
      <c r="CP190" s="7">
        <v>2</v>
      </c>
      <c r="CQ190" s="7">
        <v>2</v>
      </c>
      <c r="CR190" s="7">
        <v>2</v>
      </c>
      <c r="CS190" s="7">
        <v>2</v>
      </c>
      <c r="CT190" s="7">
        <v>2</v>
      </c>
      <c r="CU190" s="7">
        <v>2</v>
      </c>
      <c r="CV190" s="7">
        <v>2</v>
      </c>
      <c r="CW190" s="7">
        <v>2</v>
      </c>
      <c r="CX190" s="7">
        <v>2</v>
      </c>
      <c r="CY190" s="7">
        <v>2</v>
      </c>
      <c r="CZ190" s="7">
        <v>2</v>
      </c>
      <c r="DA190" s="7">
        <v>2</v>
      </c>
      <c r="DB190" s="7">
        <v>2</v>
      </c>
      <c r="DC190" s="7">
        <v>2</v>
      </c>
      <c r="DD190" s="7">
        <v>2</v>
      </c>
      <c r="DE190" s="7">
        <v>2</v>
      </c>
      <c r="DF190" s="7">
        <v>2</v>
      </c>
      <c r="DG190" s="7">
        <v>2</v>
      </c>
      <c r="DH190" s="7">
        <v>2</v>
      </c>
      <c r="DI190" s="7">
        <v>2</v>
      </c>
      <c r="DJ190" s="7">
        <v>2</v>
      </c>
      <c r="DK190" s="7">
        <v>2</v>
      </c>
      <c r="DL190" s="7">
        <v>2</v>
      </c>
      <c r="DM190" s="7">
        <v>2</v>
      </c>
      <c r="DN190" s="7">
        <v>2</v>
      </c>
      <c r="DO190" s="7">
        <v>2</v>
      </c>
      <c r="DP190" s="7">
        <v>2</v>
      </c>
      <c r="DQ190" s="7">
        <v>2</v>
      </c>
      <c r="DR190" s="7">
        <v>2</v>
      </c>
      <c r="DS190" s="7">
        <v>2</v>
      </c>
      <c r="DT190" s="7">
        <v>2</v>
      </c>
      <c r="DU190" s="7">
        <v>2</v>
      </c>
      <c r="DV190" s="7">
        <v>2</v>
      </c>
      <c r="DW190" s="7">
        <v>2</v>
      </c>
      <c r="DX190" s="7">
        <v>2</v>
      </c>
      <c r="DY190" s="7">
        <v>2</v>
      </c>
      <c r="DZ190" s="7">
        <v>2</v>
      </c>
      <c r="EA190" s="7">
        <v>2</v>
      </c>
      <c r="EB190" s="7">
        <v>2</v>
      </c>
      <c r="EC190" s="7">
        <v>2</v>
      </c>
      <c r="ED190" s="7">
        <v>2</v>
      </c>
      <c r="EE190" s="7">
        <v>2</v>
      </c>
      <c r="EF190" s="7">
        <v>2</v>
      </c>
      <c r="EG190" s="7">
        <v>1</v>
      </c>
      <c r="EH190" s="7">
        <v>1</v>
      </c>
      <c r="EI190" s="7">
        <v>1</v>
      </c>
      <c r="EJ190" s="7">
        <v>1</v>
      </c>
      <c r="EK190" s="7">
        <v>1</v>
      </c>
      <c r="EL190" s="7">
        <v>1</v>
      </c>
      <c r="EM190" s="7">
        <v>1</v>
      </c>
      <c r="EN190" s="7">
        <v>1</v>
      </c>
      <c r="EO190" s="7">
        <v>1</v>
      </c>
      <c r="EP190" s="7">
        <v>1</v>
      </c>
      <c r="EQ190" s="7">
        <v>1</v>
      </c>
      <c r="ER190" s="7">
        <v>1</v>
      </c>
      <c r="ES190" s="7">
        <v>1</v>
      </c>
      <c r="ET190" s="7">
        <v>1</v>
      </c>
      <c r="EU190" s="7">
        <v>1</v>
      </c>
      <c r="EV190" s="7">
        <v>1</v>
      </c>
      <c r="EW190" s="7">
        <v>1</v>
      </c>
      <c r="EX190" s="7">
        <v>1</v>
      </c>
      <c r="EY190" s="7">
        <v>1</v>
      </c>
      <c r="EZ190" s="7">
        <v>1</v>
      </c>
      <c r="FB190" s="50">
        <f>HLOOKUP(M16,$AU$112:$EZ$213,79,TRUE)</f>
        <v>2</v>
      </c>
      <c r="FD190" s="50">
        <f>HLOOKUP(AL42,$AU$112:$EZ$213,79,TRUE)</f>
        <v>2</v>
      </c>
    </row>
    <row r="191" spans="46:160">
      <c r="AT191" s="112">
        <v>21.878</v>
      </c>
      <c r="AU191" s="7">
        <v>2</v>
      </c>
      <c r="AV191" s="7">
        <v>2</v>
      </c>
      <c r="AW191" s="7">
        <v>2</v>
      </c>
      <c r="AX191" s="7">
        <v>2</v>
      </c>
      <c r="AY191" s="7">
        <v>2</v>
      </c>
      <c r="AZ191" s="7">
        <v>2</v>
      </c>
      <c r="BA191" s="331">
        <v>2</v>
      </c>
      <c r="BB191" s="7">
        <v>2</v>
      </c>
      <c r="BC191" s="7">
        <v>2</v>
      </c>
      <c r="BD191" s="7">
        <v>2</v>
      </c>
      <c r="BE191" s="7">
        <v>2</v>
      </c>
      <c r="BF191" s="7">
        <v>2</v>
      </c>
      <c r="BG191" s="7">
        <v>2</v>
      </c>
      <c r="BH191" s="7">
        <v>2</v>
      </c>
      <c r="BI191" s="7">
        <v>2</v>
      </c>
      <c r="BJ191" s="7">
        <v>2</v>
      </c>
      <c r="BK191" s="7">
        <v>2</v>
      </c>
      <c r="BL191" s="7">
        <v>2</v>
      </c>
      <c r="BM191" s="7">
        <v>2</v>
      </c>
      <c r="BN191" s="7">
        <v>2</v>
      </c>
      <c r="BO191" s="7">
        <v>2</v>
      </c>
      <c r="BP191" s="7">
        <v>2</v>
      </c>
      <c r="BQ191" s="7">
        <v>2</v>
      </c>
      <c r="BR191" s="7">
        <v>2</v>
      </c>
      <c r="BS191" s="7">
        <v>2</v>
      </c>
      <c r="BT191" s="7">
        <v>2</v>
      </c>
      <c r="BU191" s="7">
        <v>2</v>
      </c>
      <c r="BV191" s="7">
        <v>2</v>
      </c>
      <c r="BW191" s="7">
        <v>2</v>
      </c>
      <c r="BX191" s="7">
        <v>2</v>
      </c>
      <c r="BY191" s="7">
        <v>2</v>
      </c>
      <c r="BZ191" s="7">
        <v>2</v>
      </c>
      <c r="CA191" s="7">
        <v>2</v>
      </c>
      <c r="CB191" s="7">
        <v>2</v>
      </c>
      <c r="CC191" s="7">
        <v>2</v>
      </c>
      <c r="CD191" s="7">
        <v>2</v>
      </c>
      <c r="CE191" s="7">
        <v>2</v>
      </c>
      <c r="CF191" s="7">
        <v>2</v>
      </c>
      <c r="CG191" s="7">
        <v>2</v>
      </c>
      <c r="CH191" s="7">
        <v>2</v>
      </c>
      <c r="CI191" s="7">
        <v>2</v>
      </c>
      <c r="CJ191" s="7">
        <v>2</v>
      </c>
      <c r="CK191" s="7">
        <v>2</v>
      </c>
      <c r="CL191" s="7">
        <v>2</v>
      </c>
      <c r="CM191" s="7">
        <v>2</v>
      </c>
      <c r="CN191" s="7">
        <v>2</v>
      </c>
      <c r="CO191" s="7">
        <v>2</v>
      </c>
      <c r="CP191" s="7">
        <v>2</v>
      </c>
      <c r="CQ191" s="7">
        <v>2</v>
      </c>
      <c r="CR191" s="7">
        <v>2</v>
      </c>
      <c r="CS191" s="7">
        <v>2</v>
      </c>
      <c r="CT191" s="7">
        <v>2</v>
      </c>
      <c r="CU191" s="7">
        <v>2</v>
      </c>
      <c r="CV191" s="7">
        <v>2</v>
      </c>
      <c r="CW191" s="7">
        <v>2</v>
      </c>
      <c r="CX191" s="7">
        <v>2</v>
      </c>
      <c r="CY191" s="7">
        <v>2</v>
      </c>
      <c r="CZ191" s="7">
        <v>2</v>
      </c>
      <c r="DA191" s="7">
        <v>2</v>
      </c>
      <c r="DB191" s="7">
        <v>2</v>
      </c>
      <c r="DC191" s="7">
        <v>2</v>
      </c>
      <c r="DD191" s="7">
        <v>2</v>
      </c>
      <c r="DE191" s="7">
        <v>2</v>
      </c>
      <c r="DF191" s="7">
        <v>2</v>
      </c>
      <c r="DG191" s="7">
        <v>2</v>
      </c>
      <c r="DH191" s="7">
        <v>2</v>
      </c>
      <c r="DI191" s="7">
        <v>2</v>
      </c>
      <c r="DJ191" s="7">
        <v>2</v>
      </c>
      <c r="DK191" s="7">
        <v>2</v>
      </c>
      <c r="DL191" s="7">
        <v>2</v>
      </c>
      <c r="DM191" s="7">
        <v>2</v>
      </c>
      <c r="DN191" s="7">
        <v>2</v>
      </c>
      <c r="DO191" s="7">
        <v>2</v>
      </c>
      <c r="DP191" s="7">
        <v>2</v>
      </c>
      <c r="DQ191" s="7">
        <v>2</v>
      </c>
      <c r="DR191" s="7">
        <v>2</v>
      </c>
      <c r="DS191" s="7">
        <v>2</v>
      </c>
      <c r="DT191" s="7">
        <v>2</v>
      </c>
      <c r="DU191" s="7">
        <v>2</v>
      </c>
      <c r="DV191" s="7">
        <v>2</v>
      </c>
      <c r="DW191" s="7">
        <v>2</v>
      </c>
      <c r="DX191" s="7">
        <v>2</v>
      </c>
      <c r="DY191" s="7">
        <v>2</v>
      </c>
      <c r="DZ191" s="7">
        <v>2</v>
      </c>
      <c r="EA191" s="7">
        <v>2</v>
      </c>
      <c r="EB191" s="7">
        <v>2</v>
      </c>
      <c r="EC191" s="7">
        <v>2</v>
      </c>
      <c r="ED191" s="7">
        <v>2</v>
      </c>
      <c r="EE191" s="7">
        <v>2</v>
      </c>
      <c r="EF191" s="7">
        <v>2</v>
      </c>
      <c r="EG191" s="7">
        <v>2</v>
      </c>
      <c r="EH191" s="7">
        <v>1</v>
      </c>
      <c r="EI191" s="7">
        <v>1</v>
      </c>
      <c r="EJ191" s="7">
        <v>1</v>
      </c>
      <c r="EK191" s="7">
        <v>1</v>
      </c>
      <c r="EL191" s="7">
        <v>1</v>
      </c>
      <c r="EM191" s="7">
        <v>1</v>
      </c>
      <c r="EN191" s="7">
        <v>1</v>
      </c>
      <c r="EO191" s="7">
        <v>1</v>
      </c>
      <c r="EP191" s="7">
        <v>1</v>
      </c>
      <c r="EQ191" s="7">
        <v>1</v>
      </c>
      <c r="ER191" s="7">
        <v>1</v>
      </c>
      <c r="ES191" s="7">
        <v>1</v>
      </c>
      <c r="ET191" s="7">
        <v>1</v>
      </c>
      <c r="EU191" s="7">
        <v>1</v>
      </c>
      <c r="EV191" s="7">
        <v>1</v>
      </c>
      <c r="EW191" s="7">
        <v>1</v>
      </c>
      <c r="EX191" s="7">
        <v>1</v>
      </c>
      <c r="EY191" s="7">
        <v>1</v>
      </c>
      <c r="EZ191" s="7">
        <v>1</v>
      </c>
      <c r="FB191" s="50">
        <f>HLOOKUP(M16,$AU$112:$EZ$213,80,TRUE)</f>
        <v>2</v>
      </c>
      <c r="FD191" s="50">
        <f>HLOOKUP(AL42,$AU$112:$EZ$213,80,TRUE)</f>
        <v>2</v>
      </c>
    </row>
    <row r="192" spans="46:160">
      <c r="AT192" s="112">
        <v>23.442</v>
      </c>
      <c r="AU192" s="7">
        <v>2</v>
      </c>
      <c r="AV192" s="7">
        <v>2</v>
      </c>
      <c r="AW192" s="7">
        <v>2</v>
      </c>
      <c r="AX192" s="7">
        <v>2</v>
      </c>
      <c r="AY192" s="7">
        <v>2</v>
      </c>
      <c r="AZ192" s="7">
        <v>2</v>
      </c>
      <c r="BA192" s="331">
        <v>2</v>
      </c>
      <c r="BB192" s="7">
        <v>2</v>
      </c>
      <c r="BC192" s="7">
        <v>2</v>
      </c>
      <c r="BD192" s="7">
        <v>2</v>
      </c>
      <c r="BE192" s="7">
        <v>2</v>
      </c>
      <c r="BF192" s="7">
        <v>2</v>
      </c>
      <c r="BG192" s="7">
        <v>2</v>
      </c>
      <c r="BH192" s="7">
        <v>2</v>
      </c>
      <c r="BI192" s="7">
        <v>2</v>
      </c>
      <c r="BJ192" s="7">
        <v>2</v>
      </c>
      <c r="BK192" s="7">
        <v>2</v>
      </c>
      <c r="BL192" s="7">
        <v>2</v>
      </c>
      <c r="BM192" s="7">
        <v>2</v>
      </c>
      <c r="BN192" s="7">
        <v>2</v>
      </c>
      <c r="BO192" s="7">
        <v>2</v>
      </c>
      <c r="BP192" s="7">
        <v>2</v>
      </c>
      <c r="BQ192" s="7">
        <v>2</v>
      </c>
      <c r="BR192" s="7">
        <v>2</v>
      </c>
      <c r="BS192" s="7">
        <v>2</v>
      </c>
      <c r="BT192" s="7">
        <v>2</v>
      </c>
      <c r="BU192" s="7">
        <v>2</v>
      </c>
      <c r="BV192" s="7">
        <v>2</v>
      </c>
      <c r="BW192" s="7">
        <v>2</v>
      </c>
      <c r="BX192" s="7">
        <v>2</v>
      </c>
      <c r="BY192" s="7">
        <v>2</v>
      </c>
      <c r="BZ192" s="7">
        <v>2</v>
      </c>
      <c r="CA192" s="7">
        <v>2</v>
      </c>
      <c r="CB192" s="7">
        <v>2</v>
      </c>
      <c r="CC192" s="7">
        <v>2</v>
      </c>
      <c r="CD192" s="7">
        <v>2</v>
      </c>
      <c r="CE192" s="7">
        <v>2</v>
      </c>
      <c r="CF192" s="7">
        <v>2</v>
      </c>
      <c r="CG192" s="7">
        <v>2</v>
      </c>
      <c r="CH192" s="7">
        <v>2</v>
      </c>
      <c r="CI192" s="7">
        <v>2</v>
      </c>
      <c r="CJ192" s="7">
        <v>2</v>
      </c>
      <c r="CK192" s="7">
        <v>2</v>
      </c>
      <c r="CL192" s="7">
        <v>2</v>
      </c>
      <c r="CM192" s="7">
        <v>2</v>
      </c>
      <c r="CN192" s="7">
        <v>2</v>
      </c>
      <c r="CO192" s="7">
        <v>2</v>
      </c>
      <c r="CP192" s="7">
        <v>2</v>
      </c>
      <c r="CQ192" s="7">
        <v>2</v>
      </c>
      <c r="CR192" s="7">
        <v>2</v>
      </c>
      <c r="CS192" s="7">
        <v>2</v>
      </c>
      <c r="CT192" s="7">
        <v>2</v>
      </c>
      <c r="CU192" s="7">
        <v>2</v>
      </c>
      <c r="CV192" s="7">
        <v>2</v>
      </c>
      <c r="CW192" s="7">
        <v>2</v>
      </c>
      <c r="CX192" s="7">
        <v>2</v>
      </c>
      <c r="CY192" s="7">
        <v>2</v>
      </c>
      <c r="CZ192" s="7">
        <v>2</v>
      </c>
      <c r="DA192" s="7">
        <v>2</v>
      </c>
      <c r="DB192" s="7">
        <v>2</v>
      </c>
      <c r="DC192" s="7">
        <v>2</v>
      </c>
      <c r="DD192" s="7">
        <v>2</v>
      </c>
      <c r="DE192" s="7">
        <v>2</v>
      </c>
      <c r="DF192" s="7">
        <v>2</v>
      </c>
      <c r="DG192" s="7">
        <v>2</v>
      </c>
      <c r="DH192" s="7">
        <v>2</v>
      </c>
      <c r="DI192" s="7">
        <v>2</v>
      </c>
      <c r="DJ192" s="7">
        <v>2</v>
      </c>
      <c r="DK192" s="7">
        <v>2</v>
      </c>
      <c r="DL192" s="7">
        <v>2</v>
      </c>
      <c r="DM192" s="7">
        <v>2</v>
      </c>
      <c r="DN192" s="7">
        <v>2</v>
      </c>
      <c r="DO192" s="7">
        <v>2</v>
      </c>
      <c r="DP192" s="7">
        <v>2</v>
      </c>
      <c r="DQ192" s="7">
        <v>2</v>
      </c>
      <c r="DR192" s="7">
        <v>2</v>
      </c>
      <c r="DS192" s="7">
        <v>2</v>
      </c>
      <c r="DT192" s="7">
        <v>2</v>
      </c>
      <c r="DU192" s="7">
        <v>2</v>
      </c>
      <c r="DV192" s="7">
        <v>2</v>
      </c>
      <c r="DW192" s="7">
        <v>2</v>
      </c>
      <c r="DX192" s="7">
        <v>2</v>
      </c>
      <c r="DY192" s="7">
        <v>2</v>
      </c>
      <c r="DZ192" s="7">
        <v>2</v>
      </c>
      <c r="EA192" s="7">
        <v>2</v>
      </c>
      <c r="EB192" s="7">
        <v>2</v>
      </c>
      <c r="EC192" s="7">
        <v>2</v>
      </c>
      <c r="ED192" s="7">
        <v>2</v>
      </c>
      <c r="EE192" s="7">
        <v>2</v>
      </c>
      <c r="EF192" s="7">
        <v>2</v>
      </c>
      <c r="EG192" s="7">
        <v>2</v>
      </c>
      <c r="EH192" s="7">
        <v>2</v>
      </c>
      <c r="EI192" s="7">
        <v>1</v>
      </c>
      <c r="EJ192" s="7">
        <v>1</v>
      </c>
      <c r="EK192" s="7">
        <v>1</v>
      </c>
      <c r="EL192" s="7">
        <v>1</v>
      </c>
      <c r="EM192" s="7">
        <v>1</v>
      </c>
      <c r="EN192" s="7">
        <v>1</v>
      </c>
      <c r="EO192" s="7">
        <v>1</v>
      </c>
      <c r="EP192" s="7">
        <v>1</v>
      </c>
      <c r="EQ192" s="7">
        <v>1</v>
      </c>
      <c r="ER192" s="7">
        <v>1</v>
      </c>
      <c r="ES192" s="7">
        <v>1</v>
      </c>
      <c r="ET192" s="7">
        <v>1</v>
      </c>
      <c r="EU192" s="7">
        <v>1</v>
      </c>
      <c r="EV192" s="7">
        <v>1</v>
      </c>
      <c r="EW192" s="7">
        <v>1</v>
      </c>
      <c r="EX192" s="7">
        <v>1</v>
      </c>
      <c r="EY192" s="7">
        <v>1</v>
      </c>
      <c r="EZ192" s="7">
        <v>1</v>
      </c>
      <c r="FB192" s="50">
        <f>HLOOKUP(M16,$AU$112:$EZ$213,81,TRUE)</f>
        <v>2</v>
      </c>
      <c r="FD192" s="50">
        <f>HLOOKUP(AL42,$AU$112:$EZ$213,81,TRUE)</f>
        <v>2</v>
      </c>
    </row>
    <row r="193" spans="46:160">
      <c r="AT193" s="112">
        <v>25.119</v>
      </c>
      <c r="AU193" s="7">
        <v>2</v>
      </c>
      <c r="AV193" s="7">
        <v>2</v>
      </c>
      <c r="AW193" s="7">
        <v>2</v>
      </c>
      <c r="AX193" s="7">
        <v>2</v>
      </c>
      <c r="AY193" s="7">
        <v>2</v>
      </c>
      <c r="AZ193" s="7">
        <v>2</v>
      </c>
      <c r="BA193" s="331">
        <v>2</v>
      </c>
      <c r="BB193" s="7">
        <v>2</v>
      </c>
      <c r="BC193" s="7">
        <v>2</v>
      </c>
      <c r="BD193" s="7">
        <v>2</v>
      </c>
      <c r="BE193" s="7">
        <v>2</v>
      </c>
      <c r="BF193" s="7">
        <v>2</v>
      </c>
      <c r="BG193" s="7">
        <v>2</v>
      </c>
      <c r="BH193" s="7">
        <v>2</v>
      </c>
      <c r="BI193" s="7">
        <v>2</v>
      </c>
      <c r="BJ193" s="7">
        <v>2</v>
      </c>
      <c r="BK193" s="7">
        <v>2</v>
      </c>
      <c r="BL193" s="7">
        <v>2</v>
      </c>
      <c r="BM193" s="7">
        <v>2</v>
      </c>
      <c r="BN193" s="7">
        <v>2</v>
      </c>
      <c r="BO193" s="7">
        <v>2</v>
      </c>
      <c r="BP193" s="7">
        <v>2</v>
      </c>
      <c r="BQ193" s="7">
        <v>2</v>
      </c>
      <c r="BR193" s="7">
        <v>2</v>
      </c>
      <c r="BS193" s="7">
        <v>2</v>
      </c>
      <c r="BT193" s="7">
        <v>2</v>
      </c>
      <c r="BU193" s="7">
        <v>2</v>
      </c>
      <c r="BV193" s="7">
        <v>2</v>
      </c>
      <c r="BW193" s="7">
        <v>2</v>
      </c>
      <c r="BX193" s="7">
        <v>2</v>
      </c>
      <c r="BY193" s="7">
        <v>2</v>
      </c>
      <c r="BZ193" s="7">
        <v>2</v>
      </c>
      <c r="CA193" s="7">
        <v>2</v>
      </c>
      <c r="CB193" s="7">
        <v>2</v>
      </c>
      <c r="CC193" s="7">
        <v>2</v>
      </c>
      <c r="CD193" s="7">
        <v>2</v>
      </c>
      <c r="CE193" s="7">
        <v>2</v>
      </c>
      <c r="CF193" s="7">
        <v>2</v>
      </c>
      <c r="CG193" s="7">
        <v>2</v>
      </c>
      <c r="CH193" s="7">
        <v>2</v>
      </c>
      <c r="CI193" s="7">
        <v>2</v>
      </c>
      <c r="CJ193" s="7">
        <v>2</v>
      </c>
      <c r="CK193" s="7">
        <v>2</v>
      </c>
      <c r="CL193" s="7">
        <v>2</v>
      </c>
      <c r="CM193" s="7">
        <v>2</v>
      </c>
      <c r="CN193" s="7">
        <v>2</v>
      </c>
      <c r="CO193" s="7">
        <v>2</v>
      </c>
      <c r="CP193" s="7">
        <v>2</v>
      </c>
      <c r="CQ193" s="7">
        <v>2</v>
      </c>
      <c r="CR193" s="7">
        <v>2</v>
      </c>
      <c r="CS193" s="7">
        <v>2</v>
      </c>
      <c r="CT193" s="7">
        <v>2</v>
      </c>
      <c r="CU193" s="7">
        <v>2</v>
      </c>
      <c r="CV193" s="7">
        <v>2</v>
      </c>
      <c r="CW193" s="7">
        <v>2</v>
      </c>
      <c r="CX193" s="7">
        <v>2</v>
      </c>
      <c r="CY193" s="7">
        <v>2</v>
      </c>
      <c r="CZ193" s="7">
        <v>2</v>
      </c>
      <c r="DA193" s="7">
        <v>2</v>
      </c>
      <c r="DB193" s="7">
        <v>2</v>
      </c>
      <c r="DC193" s="7">
        <v>2</v>
      </c>
      <c r="DD193" s="7">
        <v>2</v>
      </c>
      <c r="DE193" s="7">
        <v>2</v>
      </c>
      <c r="DF193" s="7">
        <v>2</v>
      </c>
      <c r="DG193" s="7">
        <v>2</v>
      </c>
      <c r="DH193" s="7">
        <v>2</v>
      </c>
      <c r="DI193" s="7">
        <v>2</v>
      </c>
      <c r="DJ193" s="7">
        <v>2</v>
      </c>
      <c r="DK193" s="7">
        <v>2</v>
      </c>
      <c r="DL193" s="7">
        <v>2</v>
      </c>
      <c r="DM193" s="7">
        <v>2</v>
      </c>
      <c r="DN193" s="7">
        <v>2</v>
      </c>
      <c r="DO193" s="7">
        <v>2</v>
      </c>
      <c r="DP193" s="7">
        <v>2</v>
      </c>
      <c r="DQ193" s="7">
        <v>2</v>
      </c>
      <c r="DR193" s="7">
        <v>2</v>
      </c>
      <c r="DS193" s="7">
        <v>2</v>
      </c>
      <c r="DT193" s="7">
        <v>2</v>
      </c>
      <c r="DU193" s="7">
        <v>2</v>
      </c>
      <c r="DV193" s="7">
        <v>2</v>
      </c>
      <c r="DW193" s="7">
        <v>2</v>
      </c>
      <c r="DX193" s="7">
        <v>2</v>
      </c>
      <c r="DY193" s="7">
        <v>2</v>
      </c>
      <c r="DZ193" s="7">
        <v>2</v>
      </c>
      <c r="EA193" s="7">
        <v>2</v>
      </c>
      <c r="EB193" s="7">
        <v>2</v>
      </c>
      <c r="EC193" s="7">
        <v>2</v>
      </c>
      <c r="ED193" s="7">
        <v>2</v>
      </c>
      <c r="EE193" s="7">
        <v>2</v>
      </c>
      <c r="EF193" s="7">
        <v>2</v>
      </c>
      <c r="EG193" s="7">
        <v>2</v>
      </c>
      <c r="EH193" s="7">
        <v>2</v>
      </c>
      <c r="EI193" s="7">
        <v>2</v>
      </c>
      <c r="EJ193" s="7">
        <v>1</v>
      </c>
      <c r="EK193" s="7">
        <v>1</v>
      </c>
      <c r="EL193" s="7">
        <v>1</v>
      </c>
      <c r="EM193" s="7">
        <v>1</v>
      </c>
      <c r="EN193" s="7">
        <v>1</v>
      </c>
      <c r="EO193" s="7">
        <v>1</v>
      </c>
      <c r="EP193" s="7">
        <v>1</v>
      </c>
      <c r="EQ193" s="7">
        <v>1</v>
      </c>
      <c r="ER193" s="7">
        <v>1</v>
      </c>
      <c r="ES193" s="7">
        <v>1</v>
      </c>
      <c r="ET193" s="7">
        <v>1</v>
      </c>
      <c r="EU193" s="7">
        <v>1</v>
      </c>
      <c r="EV193" s="7">
        <v>1</v>
      </c>
      <c r="EW193" s="7">
        <v>1</v>
      </c>
      <c r="EX193" s="7">
        <v>1</v>
      </c>
      <c r="EY193" s="7">
        <v>1</v>
      </c>
      <c r="EZ193" s="7">
        <v>1</v>
      </c>
      <c r="FB193" s="50">
        <f>HLOOKUP(M16,$AU$112:$EZ$213,82,TRUE)</f>
        <v>2</v>
      </c>
      <c r="FD193" s="50">
        <f>HLOOKUP(AL42,$AU$112:$EZ$213,82,TRUE)</f>
        <v>2</v>
      </c>
    </row>
    <row r="194" spans="46:160">
      <c r="AT194" s="112">
        <v>26.914999999999999</v>
      </c>
      <c r="AU194" s="7">
        <v>2</v>
      </c>
      <c r="AV194" s="7">
        <v>2</v>
      </c>
      <c r="AW194" s="7">
        <v>2</v>
      </c>
      <c r="AX194" s="7">
        <v>2</v>
      </c>
      <c r="AY194" s="7">
        <v>2</v>
      </c>
      <c r="AZ194" s="7">
        <v>2</v>
      </c>
      <c r="BA194" s="331">
        <v>2</v>
      </c>
      <c r="BB194" s="7">
        <v>2</v>
      </c>
      <c r="BC194" s="7">
        <v>2</v>
      </c>
      <c r="BD194" s="7">
        <v>2</v>
      </c>
      <c r="BE194" s="7">
        <v>2</v>
      </c>
      <c r="BF194" s="7">
        <v>2</v>
      </c>
      <c r="BG194" s="7">
        <v>2</v>
      </c>
      <c r="BH194" s="7">
        <v>2</v>
      </c>
      <c r="BI194" s="7">
        <v>2</v>
      </c>
      <c r="BJ194" s="7">
        <v>2</v>
      </c>
      <c r="BK194" s="7">
        <v>2</v>
      </c>
      <c r="BL194" s="7">
        <v>2</v>
      </c>
      <c r="BM194" s="7">
        <v>2</v>
      </c>
      <c r="BN194" s="7">
        <v>2</v>
      </c>
      <c r="BO194" s="7">
        <v>2</v>
      </c>
      <c r="BP194" s="7">
        <v>2</v>
      </c>
      <c r="BQ194" s="7">
        <v>2</v>
      </c>
      <c r="BR194" s="7">
        <v>2</v>
      </c>
      <c r="BS194" s="7">
        <v>2</v>
      </c>
      <c r="BT194" s="7">
        <v>2</v>
      </c>
      <c r="BU194" s="7">
        <v>2</v>
      </c>
      <c r="BV194" s="7">
        <v>2</v>
      </c>
      <c r="BW194" s="7">
        <v>2</v>
      </c>
      <c r="BX194" s="7">
        <v>2</v>
      </c>
      <c r="BY194" s="7">
        <v>2</v>
      </c>
      <c r="BZ194" s="7">
        <v>2</v>
      </c>
      <c r="CA194" s="7">
        <v>2</v>
      </c>
      <c r="CB194" s="7">
        <v>2</v>
      </c>
      <c r="CC194" s="7">
        <v>2</v>
      </c>
      <c r="CD194" s="7">
        <v>2</v>
      </c>
      <c r="CE194" s="7">
        <v>2</v>
      </c>
      <c r="CF194" s="7">
        <v>2</v>
      </c>
      <c r="CG194" s="7">
        <v>2</v>
      </c>
      <c r="CH194" s="7">
        <v>2</v>
      </c>
      <c r="CI194" s="7">
        <v>2</v>
      </c>
      <c r="CJ194" s="7">
        <v>2</v>
      </c>
      <c r="CK194" s="7">
        <v>2</v>
      </c>
      <c r="CL194" s="7">
        <v>2</v>
      </c>
      <c r="CM194" s="7">
        <v>2</v>
      </c>
      <c r="CN194" s="7">
        <v>2</v>
      </c>
      <c r="CO194" s="7">
        <v>2</v>
      </c>
      <c r="CP194" s="7">
        <v>2</v>
      </c>
      <c r="CQ194" s="7">
        <v>2</v>
      </c>
      <c r="CR194" s="7">
        <v>2</v>
      </c>
      <c r="CS194" s="7">
        <v>2</v>
      </c>
      <c r="CT194" s="7">
        <v>2</v>
      </c>
      <c r="CU194" s="7">
        <v>2</v>
      </c>
      <c r="CV194" s="7">
        <v>2</v>
      </c>
      <c r="CW194" s="7">
        <v>2</v>
      </c>
      <c r="CX194" s="7">
        <v>2</v>
      </c>
      <c r="CY194" s="7">
        <v>2</v>
      </c>
      <c r="CZ194" s="7">
        <v>2</v>
      </c>
      <c r="DA194" s="7">
        <v>2</v>
      </c>
      <c r="DB194" s="7">
        <v>2</v>
      </c>
      <c r="DC194" s="7">
        <v>2</v>
      </c>
      <c r="DD194" s="7">
        <v>2</v>
      </c>
      <c r="DE194" s="7">
        <v>2</v>
      </c>
      <c r="DF194" s="7">
        <v>2</v>
      </c>
      <c r="DG194" s="7">
        <v>2</v>
      </c>
      <c r="DH194" s="7">
        <v>2</v>
      </c>
      <c r="DI194" s="7">
        <v>2</v>
      </c>
      <c r="DJ194" s="7">
        <v>2</v>
      </c>
      <c r="DK194" s="7">
        <v>2</v>
      </c>
      <c r="DL194" s="7">
        <v>2</v>
      </c>
      <c r="DM194" s="7">
        <v>2</v>
      </c>
      <c r="DN194" s="7">
        <v>2</v>
      </c>
      <c r="DO194" s="7">
        <v>2</v>
      </c>
      <c r="DP194" s="7">
        <v>2</v>
      </c>
      <c r="DQ194" s="7">
        <v>2</v>
      </c>
      <c r="DR194" s="7">
        <v>2</v>
      </c>
      <c r="DS194" s="7">
        <v>2</v>
      </c>
      <c r="DT194" s="7">
        <v>2</v>
      </c>
      <c r="DU194" s="7">
        <v>2</v>
      </c>
      <c r="DV194" s="7">
        <v>2</v>
      </c>
      <c r="DW194" s="7">
        <v>2</v>
      </c>
      <c r="DX194" s="7">
        <v>2</v>
      </c>
      <c r="DY194" s="7">
        <v>2</v>
      </c>
      <c r="DZ194" s="7">
        <v>2</v>
      </c>
      <c r="EA194" s="7">
        <v>2</v>
      </c>
      <c r="EB194" s="7">
        <v>2</v>
      </c>
      <c r="EC194" s="7">
        <v>2</v>
      </c>
      <c r="ED194" s="7">
        <v>2</v>
      </c>
      <c r="EE194" s="7">
        <v>2</v>
      </c>
      <c r="EF194" s="7">
        <v>2</v>
      </c>
      <c r="EG194" s="7">
        <v>2</v>
      </c>
      <c r="EH194" s="7">
        <v>2</v>
      </c>
      <c r="EI194" s="7">
        <v>2</v>
      </c>
      <c r="EJ194" s="7">
        <v>1</v>
      </c>
      <c r="EK194" s="7">
        <v>1</v>
      </c>
      <c r="EL194" s="7">
        <v>1</v>
      </c>
      <c r="EM194" s="7">
        <v>1</v>
      </c>
      <c r="EN194" s="7">
        <v>1</v>
      </c>
      <c r="EO194" s="7">
        <v>1</v>
      </c>
      <c r="EP194" s="7">
        <v>1</v>
      </c>
      <c r="EQ194" s="7">
        <v>1</v>
      </c>
      <c r="ER194" s="7">
        <v>1</v>
      </c>
      <c r="ES194" s="7">
        <v>1</v>
      </c>
      <c r="ET194" s="7">
        <v>1</v>
      </c>
      <c r="EU194" s="7">
        <v>1</v>
      </c>
      <c r="EV194" s="7">
        <v>1</v>
      </c>
      <c r="EW194" s="7">
        <v>1</v>
      </c>
      <c r="EX194" s="7">
        <v>1</v>
      </c>
      <c r="EY194" s="7">
        <v>1</v>
      </c>
      <c r="EZ194" s="7">
        <v>1</v>
      </c>
      <c r="FB194" s="50">
        <f>HLOOKUP(M16,$AU$112:$EZ$213,83,TRUE)</f>
        <v>2</v>
      </c>
      <c r="FD194" s="50">
        <f>HLOOKUP(AL42,$AU$112:$EZ$213,83,TRUE)</f>
        <v>2</v>
      </c>
    </row>
    <row r="195" spans="46:160">
      <c r="AT195" s="112">
        <v>28.84</v>
      </c>
      <c r="AU195" s="7">
        <v>2</v>
      </c>
      <c r="AV195" s="7">
        <v>2</v>
      </c>
      <c r="AW195" s="7">
        <v>2</v>
      </c>
      <c r="AX195" s="7">
        <v>2</v>
      </c>
      <c r="AY195" s="7">
        <v>2</v>
      </c>
      <c r="AZ195" s="7">
        <v>2</v>
      </c>
      <c r="BA195" s="331">
        <v>2</v>
      </c>
      <c r="BB195" s="7">
        <v>2</v>
      </c>
      <c r="BC195" s="7">
        <v>2</v>
      </c>
      <c r="BD195" s="7">
        <v>2</v>
      </c>
      <c r="BE195" s="7">
        <v>2</v>
      </c>
      <c r="BF195" s="7">
        <v>2</v>
      </c>
      <c r="BG195" s="7">
        <v>2</v>
      </c>
      <c r="BH195" s="7">
        <v>2</v>
      </c>
      <c r="BI195" s="7">
        <v>2</v>
      </c>
      <c r="BJ195" s="7">
        <v>2</v>
      </c>
      <c r="BK195" s="7">
        <v>2</v>
      </c>
      <c r="BL195" s="7">
        <v>2</v>
      </c>
      <c r="BM195" s="7">
        <v>2</v>
      </c>
      <c r="BN195" s="7">
        <v>2</v>
      </c>
      <c r="BO195" s="7">
        <v>2</v>
      </c>
      <c r="BP195" s="7">
        <v>2</v>
      </c>
      <c r="BQ195" s="7">
        <v>2</v>
      </c>
      <c r="BR195" s="7">
        <v>2</v>
      </c>
      <c r="BS195" s="7">
        <v>2</v>
      </c>
      <c r="BT195" s="7">
        <v>2</v>
      </c>
      <c r="BU195" s="7">
        <v>2</v>
      </c>
      <c r="BV195" s="7">
        <v>2</v>
      </c>
      <c r="BW195" s="7">
        <v>2</v>
      </c>
      <c r="BX195" s="7">
        <v>2</v>
      </c>
      <c r="BY195" s="7">
        <v>2</v>
      </c>
      <c r="BZ195" s="7">
        <v>2</v>
      </c>
      <c r="CA195" s="7">
        <v>2</v>
      </c>
      <c r="CB195" s="7">
        <v>2</v>
      </c>
      <c r="CC195" s="7">
        <v>2</v>
      </c>
      <c r="CD195" s="7">
        <v>2</v>
      </c>
      <c r="CE195" s="7">
        <v>2</v>
      </c>
      <c r="CF195" s="7">
        <v>2</v>
      </c>
      <c r="CG195" s="7">
        <v>2</v>
      </c>
      <c r="CH195" s="7">
        <v>2</v>
      </c>
      <c r="CI195" s="7">
        <v>2</v>
      </c>
      <c r="CJ195" s="7">
        <v>2</v>
      </c>
      <c r="CK195" s="7">
        <v>2</v>
      </c>
      <c r="CL195" s="7">
        <v>2</v>
      </c>
      <c r="CM195" s="7">
        <v>2</v>
      </c>
      <c r="CN195" s="7">
        <v>2</v>
      </c>
      <c r="CO195" s="7">
        <v>2</v>
      </c>
      <c r="CP195" s="7">
        <v>2</v>
      </c>
      <c r="CQ195" s="7">
        <v>2</v>
      </c>
      <c r="CR195" s="7">
        <v>2</v>
      </c>
      <c r="CS195" s="7">
        <v>2</v>
      </c>
      <c r="CT195" s="7">
        <v>2</v>
      </c>
      <c r="CU195" s="7">
        <v>2</v>
      </c>
      <c r="CV195" s="7">
        <v>2</v>
      </c>
      <c r="CW195" s="7">
        <v>2</v>
      </c>
      <c r="CX195" s="7">
        <v>2</v>
      </c>
      <c r="CY195" s="7">
        <v>2</v>
      </c>
      <c r="CZ195" s="7">
        <v>2</v>
      </c>
      <c r="DA195" s="7">
        <v>2</v>
      </c>
      <c r="DB195" s="7">
        <v>2</v>
      </c>
      <c r="DC195" s="7">
        <v>2</v>
      </c>
      <c r="DD195" s="7">
        <v>2</v>
      </c>
      <c r="DE195" s="7">
        <v>2</v>
      </c>
      <c r="DF195" s="7">
        <v>2</v>
      </c>
      <c r="DG195" s="7">
        <v>2</v>
      </c>
      <c r="DH195" s="7">
        <v>2</v>
      </c>
      <c r="DI195" s="7">
        <v>2</v>
      </c>
      <c r="DJ195" s="7">
        <v>2</v>
      </c>
      <c r="DK195" s="7">
        <v>2</v>
      </c>
      <c r="DL195" s="7">
        <v>2</v>
      </c>
      <c r="DM195" s="7">
        <v>2</v>
      </c>
      <c r="DN195" s="7">
        <v>2</v>
      </c>
      <c r="DO195" s="7">
        <v>2</v>
      </c>
      <c r="DP195" s="7">
        <v>2</v>
      </c>
      <c r="DQ195" s="7">
        <v>2</v>
      </c>
      <c r="DR195" s="7">
        <v>2</v>
      </c>
      <c r="DS195" s="7">
        <v>2</v>
      </c>
      <c r="DT195" s="7">
        <v>2</v>
      </c>
      <c r="DU195" s="7">
        <v>2</v>
      </c>
      <c r="DV195" s="7">
        <v>2</v>
      </c>
      <c r="DW195" s="7">
        <v>2</v>
      </c>
      <c r="DX195" s="7">
        <v>2</v>
      </c>
      <c r="DY195" s="7">
        <v>2</v>
      </c>
      <c r="DZ195" s="7">
        <v>2</v>
      </c>
      <c r="EA195" s="7">
        <v>2</v>
      </c>
      <c r="EB195" s="7">
        <v>2</v>
      </c>
      <c r="EC195" s="7">
        <v>2</v>
      </c>
      <c r="ED195" s="7">
        <v>2</v>
      </c>
      <c r="EE195" s="7">
        <v>2</v>
      </c>
      <c r="EF195" s="7">
        <v>2</v>
      </c>
      <c r="EG195" s="7">
        <v>2</v>
      </c>
      <c r="EH195" s="7">
        <v>2</v>
      </c>
      <c r="EI195" s="7">
        <v>2</v>
      </c>
      <c r="EJ195" s="7">
        <v>2</v>
      </c>
      <c r="EK195" s="7">
        <v>1</v>
      </c>
      <c r="EL195" s="7">
        <v>1</v>
      </c>
      <c r="EM195" s="7">
        <v>1</v>
      </c>
      <c r="EN195" s="7">
        <v>1</v>
      </c>
      <c r="EO195" s="7">
        <v>1</v>
      </c>
      <c r="EP195" s="7">
        <v>1</v>
      </c>
      <c r="EQ195" s="7">
        <v>1</v>
      </c>
      <c r="ER195" s="7">
        <v>1</v>
      </c>
      <c r="ES195" s="7">
        <v>1</v>
      </c>
      <c r="ET195" s="7">
        <v>1</v>
      </c>
      <c r="EU195" s="7">
        <v>1</v>
      </c>
      <c r="EV195" s="7">
        <v>1</v>
      </c>
      <c r="EW195" s="7">
        <v>1</v>
      </c>
      <c r="EX195" s="7">
        <v>1</v>
      </c>
      <c r="EY195" s="7">
        <v>1</v>
      </c>
      <c r="EZ195" s="7">
        <v>1</v>
      </c>
      <c r="FB195" s="50">
        <f>HLOOKUP(M16,$AU$112:$EZ$213,84,TRUE)</f>
        <v>2</v>
      </c>
      <c r="FD195" s="50">
        <f>HLOOKUP(AL42,$AU$112:$EZ$213,84,TRUE)</f>
        <v>2</v>
      </c>
    </row>
    <row r="196" spans="46:160">
      <c r="AT196" s="112">
        <v>30.902999999999999</v>
      </c>
      <c r="AU196" s="7">
        <v>2</v>
      </c>
      <c r="AV196" s="7">
        <v>2</v>
      </c>
      <c r="AW196" s="7">
        <v>2</v>
      </c>
      <c r="AX196" s="7">
        <v>2</v>
      </c>
      <c r="AY196" s="7">
        <v>2</v>
      </c>
      <c r="AZ196" s="7">
        <v>2</v>
      </c>
      <c r="BA196" s="331">
        <v>2</v>
      </c>
      <c r="BB196" s="7">
        <v>2</v>
      </c>
      <c r="BC196" s="7">
        <v>2</v>
      </c>
      <c r="BD196" s="7">
        <v>2</v>
      </c>
      <c r="BE196" s="7">
        <v>2</v>
      </c>
      <c r="BF196" s="7">
        <v>2</v>
      </c>
      <c r="BG196" s="7">
        <v>2</v>
      </c>
      <c r="BH196" s="7">
        <v>2</v>
      </c>
      <c r="BI196" s="7">
        <v>2</v>
      </c>
      <c r="BJ196" s="7">
        <v>2</v>
      </c>
      <c r="BK196" s="7">
        <v>2</v>
      </c>
      <c r="BL196" s="7">
        <v>2</v>
      </c>
      <c r="BM196" s="7">
        <v>2</v>
      </c>
      <c r="BN196" s="7">
        <v>2</v>
      </c>
      <c r="BO196" s="7">
        <v>2</v>
      </c>
      <c r="BP196" s="7">
        <v>2</v>
      </c>
      <c r="BQ196" s="7">
        <v>2</v>
      </c>
      <c r="BR196" s="7">
        <v>2</v>
      </c>
      <c r="BS196" s="7">
        <v>2</v>
      </c>
      <c r="BT196" s="7">
        <v>2</v>
      </c>
      <c r="BU196" s="7">
        <v>2</v>
      </c>
      <c r="BV196" s="7">
        <v>2</v>
      </c>
      <c r="BW196" s="7">
        <v>2</v>
      </c>
      <c r="BX196" s="7">
        <v>2</v>
      </c>
      <c r="BY196" s="7">
        <v>2</v>
      </c>
      <c r="BZ196" s="7">
        <v>2</v>
      </c>
      <c r="CA196" s="7">
        <v>2</v>
      </c>
      <c r="CB196" s="7">
        <v>2</v>
      </c>
      <c r="CC196" s="7">
        <v>2</v>
      </c>
      <c r="CD196" s="7">
        <v>2</v>
      </c>
      <c r="CE196" s="7">
        <v>2</v>
      </c>
      <c r="CF196" s="7">
        <v>2</v>
      </c>
      <c r="CG196" s="7">
        <v>2</v>
      </c>
      <c r="CH196" s="7">
        <v>2</v>
      </c>
      <c r="CI196" s="7">
        <v>2</v>
      </c>
      <c r="CJ196" s="7">
        <v>2</v>
      </c>
      <c r="CK196" s="7">
        <v>2</v>
      </c>
      <c r="CL196" s="7">
        <v>2</v>
      </c>
      <c r="CM196" s="7">
        <v>2</v>
      </c>
      <c r="CN196" s="7">
        <v>2</v>
      </c>
      <c r="CO196" s="7">
        <v>2</v>
      </c>
      <c r="CP196" s="7">
        <v>2</v>
      </c>
      <c r="CQ196" s="7">
        <v>2</v>
      </c>
      <c r="CR196" s="7">
        <v>2</v>
      </c>
      <c r="CS196" s="7">
        <v>2</v>
      </c>
      <c r="CT196" s="7">
        <v>2</v>
      </c>
      <c r="CU196" s="7">
        <v>2</v>
      </c>
      <c r="CV196" s="7">
        <v>2</v>
      </c>
      <c r="CW196" s="7">
        <v>2</v>
      </c>
      <c r="CX196" s="7">
        <v>2</v>
      </c>
      <c r="CY196" s="7">
        <v>2</v>
      </c>
      <c r="CZ196" s="7">
        <v>2</v>
      </c>
      <c r="DA196" s="7">
        <v>2</v>
      </c>
      <c r="DB196" s="7">
        <v>2</v>
      </c>
      <c r="DC196" s="7">
        <v>2</v>
      </c>
      <c r="DD196" s="7">
        <v>2</v>
      </c>
      <c r="DE196" s="7">
        <v>2</v>
      </c>
      <c r="DF196" s="7">
        <v>2</v>
      </c>
      <c r="DG196" s="7">
        <v>2</v>
      </c>
      <c r="DH196" s="7">
        <v>2</v>
      </c>
      <c r="DI196" s="7">
        <v>2</v>
      </c>
      <c r="DJ196" s="7">
        <v>2</v>
      </c>
      <c r="DK196" s="7">
        <v>2</v>
      </c>
      <c r="DL196" s="7">
        <v>2</v>
      </c>
      <c r="DM196" s="7">
        <v>2</v>
      </c>
      <c r="DN196" s="7">
        <v>2</v>
      </c>
      <c r="DO196" s="7">
        <v>2</v>
      </c>
      <c r="DP196" s="7">
        <v>2</v>
      </c>
      <c r="DQ196" s="7">
        <v>2</v>
      </c>
      <c r="DR196" s="7">
        <v>2</v>
      </c>
      <c r="DS196" s="7">
        <v>2</v>
      </c>
      <c r="DT196" s="7">
        <v>2</v>
      </c>
      <c r="DU196" s="7">
        <v>2</v>
      </c>
      <c r="DV196" s="7">
        <v>2</v>
      </c>
      <c r="DW196" s="7">
        <v>2</v>
      </c>
      <c r="DX196" s="7">
        <v>2</v>
      </c>
      <c r="DY196" s="7">
        <v>2</v>
      </c>
      <c r="DZ196" s="7">
        <v>2</v>
      </c>
      <c r="EA196" s="7">
        <v>2</v>
      </c>
      <c r="EB196" s="7">
        <v>2</v>
      </c>
      <c r="EC196" s="7">
        <v>2</v>
      </c>
      <c r="ED196" s="7">
        <v>2</v>
      </c>
      <c r="EE196" s="7">
        <v>2</v>
      </c>
      <c r="EF196" s="7">
        <v>2</v>
      </c>
      <c r="EG196" s="7">
        <v>2</v>
      </c>
      <c r="EH196" s="7">
        <v>2</v>
      </c>
      <c r="EI196" s="7">
        <v>2</v>
      </c>
      <c r="EJ196" s="7">
        <v>2</v>
      </c>
      <c r="EK196" s="7">
        <v>2</v>
      </c>
      <c r="EL196" s="7">
        <v>1</v>
      </c>
      <c r="EM196" s="7">
        <v>1</v>
      </c>
      <c r="EN196" s="7">
        <v>1</v>
      </c>
      <c r="EO196" s="7">
        <v>1</v>
      </c>
      <c r="EP196" s="7">
        <v>1</v>
      </c>
      <c r="EQ196" s="7">
        <v>1</v>
      </c>
      <c r="ER196" s="7">
        <v>1</v>
      </c>
      <c r="ES196" s="7">
        <v>1</v>
      </c>
      <c r="ET196" s="7">
        <v>1</v>
      </c>
      <c r="EU196" s="7">
        <v>1</v>
      </c>
      <c r="EV196" s="7">
        <v>1</v>
      </c>
      <c r="EW196" s="7">
        <v>1</v>
      </c>
      <c r="EX196" s="7">
        <v>1</v>
      </c>
      <c r="EY196" s="7">
        <v>1</v>
      </c>
      <c r="EZ196" s="7">
        <v>1</v>
      </c>
      <c r="FB196" s="50">
        <f>HLOOKUP(M16,$AU$112:$EZ$213,85,TRUE)</f>
        <v>2</v>
      </c>
      <c r="FD196" s="50">
        <f>HLOOKUP(AL42,$AU$112:$EZ$213,85,TRUE)</f>
        <v>2</v>
      </c>
    </row>
    <row r="197" spans="46:160">
      <c r="AT197" s="112">
        <v>33.113</v>
      </c>
      <c r="AU197" s="7">
        <v>2</v>
      </c>
      <c r="AV197" s="7">
        <v>2</v>
      </c>
      <c r="AW197" s="7">
        <v>2</v>
      </c>
      <c r="AX197" s="7">
        <v>2</v>
      </c>
      <c r="AY197" s="7">
        <v>2</v>
      </c>
      <c r="AZ197" s="7">
        <v>2</v>
      </c>
      <c r="BA197" s="331">
        <v>2</v>
      </c>
      <c r="BB197" s="7">
        <v>2</v>
      </c>
      <c r="BC197" s="7">
        <v>2</v>
      </c>
      <c r="BD197" s="7">
        <v>2</v>
      </c>
      <c r="BE197" s="7">
        <v>2</v>
      </c>
      <c r="BF197" s="7">
        <v>2</v>
      </c>
      <c r="BG197" s="7">
        <v>2</v>
      </c>
      <c r="BH197" s="7">
        <v>2</v>
      </c>
      <c r="BI197" s="7">
        <v>2</v>
      </c>
      <c r="BJ197" s="7">
        <v>2</v>
      </c>
      <c r="BK197" s="7">
        <v>2</v>
      </c>
      <c r="BL197" s="7">
        <v>2</v>
      </c>
      <c r="BM197" s="7">
        <v>2</v>
      </c>
      <c r="BN197" s="7">
        <v>2</v>
      </c>
      <c r="BO197" s="7">
        <v>2</v>
      </c>
      <c r="BP197" s="7">
        <v>2</v>
      </c>
      <c r="BQ197" s="7">
        <v>2</v>
      </c>
      <c r="BR197" s="7">
        <v>2</v>
      </c>
      <c r="BS197" s="7">
        <v>2</v>
      </c>
      <c r="BT197" s="7">
        <v>2</v>
      </c>
      <c r="BU197" s="7">
        <v>2</v>
      </c>
      <c r="BV197" s="7">
        <v>2</v>
      </c>
      <c r="BW197" s="7">
        <v>2</v>
      </c>
      <c r="BX197" s="7">
        <v>2</v>
      </c>
      <c r="BY197" s="7">
        <v>2</v>
      </c>
      <c r="BZ197" s="7">
        <v>2</v>
      </c>
      <c r="CA197" s="7">
        <v>2</v>
      </c>
      <c r="CB197" s="7">
        <v>2</v>
      </c>
      <c r="CC197" s="7">
        <v>2</v>
      </c>
      <c r="CD197" s="7">
        <v>2</v>
      </c>
      <c r="CE197" s="7">
        <v>2</v>
      </c>
      <c r="CF197" s="7">
        <v>2</v>
      </c>
      <c r="CG197" s="7">
        <v>2</v>
      </c>
      <c r="CH197" s="7">
        <v>2</v>
      </c>
      <c r="CI197" s="7">
        <v>2</v>
      </c>
      <c r="CJ197" s="7">
        <v>2</v>
      </c>
      <c r="CK197" s="7">
        <v>2</v>
      </c>
      <c r="CL197" s="7">
        <v>2</v>
      </c>
      <c r="CM197" s="7">
        <v>2</v>
      </c>
      <c r="CN197" s="7">
        <v>2</v>
      </c>
      <c r="CO197" s="7">
        <v>2</v>
      </c>
      <c r="CP197" s="7">
        <v>2</v>
      </c>
      <c r="CQ197" s="7">
        <v>2</v>
      </c>
      <c r="CR197" s="7">
        <v>2</v>
      </c>
      <c r="CS197" s="7">
        <v>2</v>
      </c>
      <c r="CT197" s="7">
        <v>2</v>
      </c>
      <c r="CU197" s="7">
        <v>2</v>
      </c>
      <c r="CV197" s="7">
        <v>2</v>
      </c>
      <c r="CW197" s="7">
        <v>2</v>
      </c>
      <c r="CX197" s="7">
        <v>2</v>
      </c>
      <c r="CY197" s="7">
        <v>2</v>
      </c>
      <c r="CZ197" s="7">
        <v>2</v>
      </c>
      <c r="DA197" s="7">
        <v>2</v>
      </c>
      <c r="DB197" s="7">
        <v>2</v>
      </c>
      <c r="DC197" s="7">
        <v>2</v>
      </c>
      <c r="DD197" s="7">
        <v>2</v>
      </c>
      <c r="DE197" s="7">
        <v>2</v>
      </c>
      <c r="DF197" s="7">
        <v>2</v>
      </c>
      <c r="DG197" s="7">
        <v>2</v>
      </c>
      <c r="DH197" s="7">
        <v>2</v>
      </c>
      <c r="DI197" s="7">
        <v>2</v>
      </c>
      <c r="DJ197" s="7">
        <v>2</v>
      </c>
      <c r="DK197" s="7">
        <v>2</v>
      </c>
      <c r="DL197" s="7">
        <v>2</v>
      </c>
      <c r="DM197" s="7">
        <v>2</v>
      </c>
      <c r="DN197" s="7">
        <v>2</v>
      </c>
      <c r="DO197" s="7">
        <v>2</v>
      </c>
      <c r="DP197" s="7">
        <v>2</v>
      </c>
      <c r="DQ197" s="7">
        <v>2</v>
      </c>
      <c r="DR197" s="7">
        <v>2</v>
      </c>
      <c r="DS197" s="7">
        <v>2</v>
      </c>
      <c r="DT197" s="7">
        <v>2</v>
      </c>
      <c r="DU197" s="7">
        <v>2</v>
      </c>
      <c r="DV197" s="7">
        <v>2</v>
      </c>
      <c r="DW197" s="7">
        <v>2</v>
      </c>
      <c r="DX197" s="7">
        <v>2</v>
      </c>
      <c r="DY197" s="7">
        <v>2</v>
      </c>
      <c r="DZ197" s="7">
        <v>2</v>
      </c>
      <c r="EA197" s="7">
        <v>2</v>
      </c>
      <c r="EB197" s="7">
        <v>2</v>
      </c>
      <c r="EC197" s="7">
        <v>2</v>
      </c>
      <c r="ED197" s="7">
        <v>2</v>
      </c>
      <c r="EE197" s="7">
        <v>2</v>
      </c>
      <c r="EF197" s="7">
        <v>2</v>
      </c>
      <c r="EG197" s="7">
        <v>2</v>
      </c>
      <c r="EH197" s="7">
        <v>2</v>
      </c>
      <c r="EI197" s="7">
        <v>2</v>
      </c>
      <c r="EJ197" s="7">
        <v>2</v>
      </c>
      <c r="EK197" s="7">
        <v>2</v>
      </c>
      <c r="EL197" s="7">
        <v>2</v>
      </c>
      <c r="EM197" s="7">
        <v>1</v>
      </c>
      <c r="EN197" s="7">
        <v>1</v>
      </c>
      <c r="EO197" s="7">
        <v>1</v>
      </c>
      <c r="EP197" s="7">
        <v>1</v>
      </c>
      <c r="EQ197" s="7">
        <v>1</v>
      </c>
      <c r="ER197" s="7">
        <v>1</v>
      </c>
      <c r="ES197" s="7">
        <v>1</v>
      </c>
      <c r="ET197" s="7">
        <v>1</v>
      </c>
      <c r="EU197" s="7">
        <v>1</v>
      </c>
      <c r="EV197" s="7">
        <v>1</v>
      </c>
      <c r="EW197" s="7">
        <v>1</v>
      </c>
      <c r="EX197" s="7">
        <v>1</v>
      </c>
      <c r="EY197" s="7">
        <v>1</v>
      </c>
      <c r="EZ197" s="7">
        <v>1</v>
      </c>
      <c r="FB197" s="50">
        <f>HLOOKUP(M16,$AU$112:$EZ$213,86,TRUE)</f>
        <v>2</v>
      </c>
      <c r="FD197" s="50">
        <f>HLOOKUP(AL42,$AU$112:$EZ$213,86,TRUE)</f>
        <v>2</v>
      </c>
    </row>
    <row r="198" spans="46:160">
      <c r="AT198" s="112">
        <v>35.481000000000002</v>
      </c>
      <c r="AU198" s="7">
        <v>2</v>
      </c>
      <c r="AV198" s="7">
        <v>2</v>
      </c>
      <c r="AW198" s="7">
        <v>2</v>
      </c>
      <c r="AX198" s="7">
        <v>2</v>
      </c>
      <c r="AY198" s="7">
        <v>2</v>
      </c>
      <c r="AZ198" s="7">
        <v>2</v>
      </c>
      <c r="BA198" s="331">
        <v>2</v>
      </c>
      <c r="BB198" s="7">
        <v>2</v>
      </c>
      <c r="BC198" s="7">
        <v>2</v>
      </c>
      <c r="BD198" s="7">
        <v>2</v>
      </c>
      <c r="BE198" s="7">
        <v>2</v>
      </c>
      <c r="BF198" s="7">
        <v>2</v>
      </c>
      <c r="BG198" s="7">
        <v>2</v>
      </c>
      <c r="BH198" s="7">
        <v>2</v>
      </c>
      <c r="BI198" s="7">
        <v>2</v>
      </c>
      <c r="BJ198" s="7">
        <v>2</v>
      </c>
      <c r="BK198" s="7">
        <v>2</v>
      </c>
      <c r="BL198" s="7">
        <v>2</v>
      </c>
      <c r="BM198" s="7">
        <v>2</v>
      </c>
      <c r="BN198" s="7">
        <v>2</v>
      </c>
      <c r="BO198" s="7">
        <v>2</v>
      </c>
      <c r="BP198" s="7">
        <v>2</v>
      </c>
      <c r="BQ198" s="7">
        <v>2</v>
      </c>
      <c r="BR198" s="7">
        <v>2</v>
      </c>
      <c r="BS198" s="7">
        <v>2</v>
      </c>
      <c r="BT198" s="7">
        <v>2</v>
      </c>
      <c r="BU198" s="7">
        <v>2</v>
      </c>
      <c r="BV198" s="7">
        <v>2</v>
      </c>
      <c r="BW198" s="7">
        <v>2</v>
      </c>
      <c r="BX198" s="7">
        <v>2</v>
      </c>
      <c r="BY198" s="7">
        <v>2</v>
      </c>
      <c r="BZ198" s="7">
        <v>2</v>
      </c>
      <c r="CA198" s="7">
        <v>2</v>
      </c>
      <c r="CB198" s="7">
        <v>2</v>
      </c>
      <c r="CC198" s="7">
        <v>2</v>
      </c>
      <c r="CD198" s="7">
        <v>2</v>
      </c>
      <c r="CE198" s="7">
        <v>2</v>
      </c>
      <c r="CF198" s="7">
        <v>2</v>
      </c>
      <c r="CG198" s="7">
        <v>2</v>
      </c>
      <c r="CH198" s="7">
        <v>2</v>
      </c>
      <c r="CI198" s="7">
        <v>2</v>
      </c>
      <c r="CJ198" s="7">
        <v>2</v>
      </c>
      <c r="CK198" s="7">
        <v>2</v>
      </c>
      <c r="CL198" s="7">
        <v>2</v>
      </c>
      <c r="CM198" s="7">
        <v>2</v>
      </c>
      <c r="CN198" s="7">
        <v>2</v>
      </c>
      <c r="CO198" s="7">
        <v>2</v>
      </c>
      <c r="CP198" s="7">
        <v>2</v>
      </c>
      <c r="CQ198" s="7">
        <v>2</v>
      </c>
      <c r="CR198" s="7">
        <v>2</v>
      </c>
      <c r="CS198" s="7">
        <v>2</v>
      </c>
      <c r="CT198" s="7">
        <v>2</v>
      </c>
      <c r="CU198" s="7">
        <v>2</v>
      </c>
      <c r="CV198" s="7">
        <v>2</v>
      </c>
      <c r="CW198" s="7">
        <v>2</v>
      </c>
      <c r="CX198" s="7">
        <v>2</v>
      </c>
      <c r="CY198" s="7">
        <v>2</v>
      </c>
      <c r="CZ198" s="7">
        <v>2</v>
      </c>
      <c r="DA198" s="7">
        <v>2</v>
      </c>
      <c r="DB198" s="7">
        <v>2</v>
      </c>
      <c r="DC198" s="7">
        <v>2</v>
      </c>
      <c r="DD198" s="7">
        <v>2</v>
      </c>
      <c r="DE198" s="7">
        <v>2</v>
      </c>
      <c r="DF198" s="7">
        <v>2</v>
      </c>
      <c r="DG198" s="7">
        <v>2</v>
      </c>
      <c r="DH198" s="7">
        <v>2</v>
      </c>
      <c r="DI198" s="7">
        <v>2</v>
      </c>
      <c r="DJ198" s="7">
        <v>2</v>
      </c>
      <c r="DK198" s="7">
        <v>2</v>
      </c>
      <c r="DL198" s="7">
        <v>2</v>
      </c>
      <c r="DM198" s="7">
        <v>2</v>
      </c>
      <c r="DN198" s="7">
        <v>2</v>
      </c>
      <c r="DO198" s="7">
        <v>2</v>
      </c>
      <c r="DP198" s="7">
        <v>2</v>
      </c>
      <c r="DQ198" s="7">
        <v>2</v>
      </c>
      <c r="DR198" s="7">
        <v>2</v>
      </c>
      <c r="DS198" s="7">
        <v>2</v>
      </c>
      <c r="DT198" s="7">
        <v>2</v>
      </c>
      <c r="DU198" s="7">
        <v>2</v>
      </c>
      <c r="DV198" s="7">
        <v>2</v>
      </c>
      <c r="DW198" s="7">
        <v>2</v>
      </c>
      <c r="DX198" s="7">
        <v>2</v>
      </c>
      <c r="DY198" s="7">
        <v>2</v>
      </c>
      <c r="DZ198" s="7">
        <v>2</v>
      </c>
      <c r="EA198" s="7">
        <v>2</v>
      </c>
      <c r="EB198" s="7">
        <v>2</v>
      </c>
      <c r="EC198" s="7">
        <v>2</v>
      </c>
      <c r="ED198" s="7">
        <v>2</v>
      </c>
      <c r="EE198" s="7">
        <v>2</v>
      </c>
      <c r="EF198" s="7">
        <v>2</v>
      </c>
      <c r="EG198" s="7">
        <v>2</v>
      </c>
      <c r="EH198" s="7">
        <v>2</v>
      </c>
      <c r="EI198" s="7">
        <v>2</v>
      </c>
      <c r="EJ198" s="7">
        <v>2</v>
      </c>
      <c r="EK198" s="7">
        <v>2</v>
      </c>
      <c r="EL198" s="7">
        <v>2</v>
      </c>
      <c r="EM198" s="7">
        <v>2</v>
      </c>
      <c r="EN198" s="7">
        <v>1</v>
      </c>
      <c r="EO198" s="7">
        <v>1</v>
      </c>
      <c r="EP198" s="7">
        <v>1</v>
      </c>
      <c r="EQ198" s="7">
        <v>1</v>
      </c>
      <c r="ER198" s="7">
        <v>1</v>
      </c>
      <c r="ES198" s="7">
        <v>1</v>
      </c>
      <c r="ET198" s="7">
        <v>1</v>
      </c>
      <c r="EU198" s="7">
        <v>1</v>
      </c>
      <c r="EV198" s="7">
        <v>1</v>
      </c>
      <c r="EW198" s="7">
        <v>1</v>
      </c>
      <c r="EX198" s="7">
        <v>1</v>
      </c>
      <c r="EY198" s="7">
        <v>1</v>
      </c>
      <c r="EZ198" s="7">
        <v>1</v>
      </c>
      <c r="FB198" s="50">
        <f>HLOOKUP(M16,$AU$112:$EZ$213,87,TRUE)</f>
        <v>2</v>
      </c>
      <c r="FD198" s="50">
        <f>HLOOKUP(AL42,$AU$112:$EZ$213,87,TRUE)</f>
        <v>2</v>
      </c>
    </row>
    <row r="199" spans="46:160">
      <c r="AT199" s="112">
        <v>38.018999999999998</v>
      </c>
      <c r="AU199" s="7">
        <v>2</v>
      </c>
      <c r="AV199" s="7">
        <v>2</v>
      </c>
      <c r="AW199" s="7">
        <v>2</v>
      </c>
      <c r="AX199" s="7">
        <v>2</v>
      </c>
      <c r="AY199" s="7">
        <v>2</v>
      </c>
      <c r="AZ199" s="7">
        <v>2</v>
      </c>
      <c r="BA199" s="331">
        <v>2</v>
      </c>
      <c r="BB199" s="7">
        <v>2</v>
      </c>
      <c r="BC199" s="7">
        <v>2</v>
      </c>
      <c r="BD199" s="7">
        <v>2</v>
      </c>
      <c r="BE199" s="7">
        <v>2</v>
      </c>
      <c r="BF199" s="7">
        <v>2</v>
      </c>
      <c r="BG199" s="7">
        <v>2</v>
      </c>
      <c r="BH199" s="7">
        <v>2</v>
      </c>
      <c r="BI199" s="7">
        <v>2</v>
      </c>
      <c r="BJ199" s="7">
        <v>2</v>
      </c>
      <c r="BK199" s="7">
        <v>2</v>
      </c>
      <c r="BL199" s="7">
        <v>2</v>
      </c>
      <c r="BM199" s="7">
        <v>2</v>
      </c>
      <c r="BN199" s="7">
        <v>2</v>
      </c>
      <c r="BO199" s="7">
        <v>2</v>
      </c>
      <c r="BP199" s="7">
        <v>2</v>
      </c>
      <c r="BQ199" s="7">
        <v>2</v>
      </c>
      <c r="BR199" s="7">
        <v>2</v>
      </c>
      <c r="BS199" s="7">
        <v>2</v>
      </c>
      <c r="BT199" s="7">
        <v>2</v>
      </c>
      <c r="BU199" s="7">
        <v>2</v>
      </c>
      <c r="BV199" s="7">
        <v>2</v>
      </c>
      <c r="BW199" s="7">
        <v>2</v>
      </c>
      <c r="BX199" s="7">
        <v>2</v>
      </c>
      <c r="BY199" s="7">
        <v>2</v>
      </c>
      <c r="BZ199" s="7">
        <v>2</v>
      </c>
      <c r="CA199" s="7">
        <v>2</v>
      </c>
      <c r="CB199" s="7">
        <v>2</v>
      </c>
      <c r="CC199" s="7">
        <v>2</v>
      </c>
      <c r="CD199" s="7">
        <v>2</v>
      </c>
      <c r="CE199" s="7">
        <v>2</v>
      </c>
      <c r="CF199" s="7">
        <v>2</v>
      </c>
      <c r="CG199" s="7">
        <v>2</v>
      </c>
      <c r="CH199" s="7">
        <v>2</v>
      </c>
      <c r="CI199" s="7">
        <v>2</v>
      </c>
      <c r="CJ199" s="7">
        <v>2</v>
      </c>
      <c r="CK199" s="7">
        <v>2</v>
      </c>
      <c r="CL199" s="7">
        <v>2</v>
      </c>
      <c r="CM199" s="7">
        <v>2</v>
      </c>
      <c r="CN199" s="7">
        <v>2</v>
      </c>
      <c r="CO199" s="7">
        <v>2</v>
      </c>
      <c r="CP199" s="7">
        <v>2</v>
      </c>
      <c r="CQ199" s="7">
        <v>2</v>
      </c>
      <c r="CR199" s="7">
        <v>2</v>
      </c>
      <c r="CS199" s="7">
        <v>2</v>
      </c>
      <c r="CT199" s="7">
        <v>2</v>
      </c>
      <c r="CU199" s="7">
        <v>2</v>
      </c>
      <c r="CV199" s="7">
        <v>2</v>
      </c>
      <c r="CW199" s="7">
        <v>2</v>
      </c>
      <c r="CX199" s="7">
        <v>2</v>
      </c>
      <c r="CY199" s="7">
        <v>2</v>
      </c>
      <c r="CZ199" s="7">
        <v>2</v>
      </c>
      <c r="DA199" s="7">
        <v>2</v>
      </c>
      <c r="DB199" s="7">
        <v>2</v>
      </c>
      <c r="DC199" s="7">
        <v>2</v>
      </c>
      <c r="DD199" s="7">
        <v>2</v>
      </c>
      <c r="DE199" s="7">
        <v>2</v>
      </c>
      <c r="DF199" s="7">
        <v>2</v>
      </c>
      <c r="DG199" s="7">
        <v>2</v>
      </c>
      <c r="DH199" s="7">
        <v>2</v>
      </c>
      <c r="DI199" s="7">
        <v>2</v>
      </c>
      <c r="DJ199" s="7">
        <v>2</v>
      </c>
      <c r="DK199" s="7">
        <v>2</v>
      </c>
      <c r="DL199" s="7">
        <v>2</v>
      </c>
      <c r="DM199" s="7">
        <v>2</v>
      </c>
      <c r="DN199" s="7">
        <v>2</v>
      </c>
      <c r="DO199" s="7">
        <v>2</v>
      </c>
      <c r="DP199" s="7">
        <v>2</v>
      </c>
      <c r="DQ199" s="7">
        <v>2</v>
      </c>
      <c r="DR199" s="7">
        <v>2</v>
      </c>
      <c r="DS199" s="7">
        <v>2</v>
      </c>
      <c r="DT199" s="7">
        <v>2</v>
      </c>
      <c r="DU199" s="7">
        <v>2</v>
      </c>
      <c r="DV199" s="7">
        <v>2</v>
      </c>
      <c r="DW199" s="7">
        <v>2</v>
      </c>
      <c r="DX199" s="7">
        <v>2</v>
      </c>
      <c r="DY199" s="7">
        <v>2</v>
      </c>
      <c r="DZ199" s="7">
        <v>2</v>
      </c>
      <c r="EA199" s="7">
        <v>2</v>
      </c>
      <c r="EB199" s="7">
        <v>2</v>
      </c>
      <c r="EC199" s="7">
        <v>2</v>
      </c>
      <c r="ED199" s="7">
        <v>2</v>
      </c>
      <c r="EE199" s="7">
        <v>2</v>
      </c>
      <c r="EF199" s="7">
        <v>2</v>
      </c>
      <c r="EG199" s="7">
        <v>2</v>
      </c>
      <c r="EH199" s="7">
        <v>2</v>
      </c>
      <c r="EI199" s="7">
        <v>2</v>
      </c>
      <c r="EJ199" s="7">
        <v>2</v>
      </c>
      <c r="EK199" s="7">
        <v>2</v>
      </c>
      <c r="EL199" s="7">
        <v>2</v>
      </c>
      <c r="EM199" s="7">
        <v>2</v>
      </c>
      <c r="EN199" s="7">
        <v>2</v>
      </c>
      <c r="EO199" s="7">
        <v>1</v>
      </c>
      <c r="EP199" s="7">
        <v>1</v>
      </c>
      <c r="EQ199" s="7">
        <v>1</v>
      </c>
      <c r="ER199" s="7">
        <v>1</v>
      </c>
      <c r="ES199" s="7">
        <v>1</v>
      </c>
      <c r="ET199" s="7">
        <v>1</v>
      </c>
      <c r="EU199" s="7">
        <v>1</v>
      </c>
      <c r="EV199" s="7">
        <v>1</v>
      </c>
      <c r="EW199" s="7">
        <v>1</v>
      </c>
      <c r="EX199" s="7">
        <v>1</v>
      </c>
      <c r="EY199" s="7">
        <v>1</v>
      </c>
      <c r="EZ199" s="7">
        <v>1</v>
      </c>
      <c r="FB199" s="50">
        <f>HLOOKUP(M16,$AU$112:$EZ$213,88,TRUE)</f>
        <v>2</v>
      </c>
      <c r="FD199" s="50">
        <f>HLOOKUP(AL42,$AU$112:$EZ$213,88,TRUE)</f>
        <v>2</v>
      </c>
    </row>
    <row r="200" spans="46:160">
      <c r="AT200" s="112">
        <v>40.738</v>
      </c>
      <c r="AU200" s="7">
        <v>2</v>
      </c>
      <c r="AV200" s="7">
        <v>2</v>
      </c>
      <c r="AW200" s="7">
        <v>2</v>
      </c>
      <c r="AX200" s="7">
        <v>2</v>
      </c>
      <c r="AY200" s="7">
        <v>2</v>
      </c>
      <c r="AZ200" s="7">
        <v>2</v>
      </c>
      <c r="BA200" s="331">
        <v>2</v>
      </c>
      <c r="BB200" s="7">
        <v>2</v>
      </c>
      <c r="BC200" s="7">
        <v>2</v>
      </c>
      <c r="BD200" s="7">
        <v>2</v>
      </c>
      <c r="BE200" s="7">
        <v>2</v>
      </c>
      <c r="BF200" s="7">
        <v>2</v>
      </c>
      <c r="BG200" s="7">
        <v>2</v>
      </c>
      <c r="BH200" s="7">
        <v>2</v>
      </c>
      <c r="BI200" s="7">
        <v>2</v>
      </c>
      <c r="BJ200" s="7">
        <v>2</v>
      </c>
      <c r="BK200" s="7">
        <v>2</v>
      </c>
      <c r="BL200" s="7">
        <v>2</v>
      </c>
      <c r="BM200" s="7">
        <v>2</v>
      </c>
      <c r="BN200" s="7">
        <v>2</v>
      </c>
      <c r="BO200" s="7">
        <v>2</v>
      </c>
      <c r="BP200" s="7">
        <v>2</v>
      </c>
      <c r="BQ200" s="7">
        <v>2</v>
      </c>
      <c r="BR200" s="7">
        <v>2</v>
      </c>
      <c r="BS200" s="7">
        <v>2</v>
      </c>
      <c r="BT200" s="7">
        <v>2</v>
      </c>
      <c r="BU200" s="7">
        <v>2</v>
      </c>
      <c r="BV200" s="7">
        <v>2</v>
      </c>
      <c r="BW200" s="7">
        <v>2</v>
      </c>
      <c r="BX200" s="7">
        <v>2</v>
      </c>
      <c r="BY200" s="7">
        <v>2</v>
      </c>
      <c r="BZ200" s="7">
        <v>2</v>
      </c>
      <c r="CA200" s="7">
        <v>2</v>
      </c>
      <c r="CB200" s="7">
        <v>2</v>
      </c>
      <c r="CC200" s="7">
        <v>2</v>
      </c>
      <c r="CD200" s="7">
        <v>2</v>
      </c>
      <c r="CE200" s="7">
        <v>2</v>
      </c>
      <c r="CF200" s="7">
        <v>2</v>
      </c>
      <c r="CG200" s="7">
        <v>2</v>
      </c>
      <c r="CH200" s="7">
        <v>2</v>
      </c>
      <c r="CI200" s="7">
        <v>2</v>
      </c>
      <c r="CJ200" s="7">
        <v>2</v>
      </c>
      <c r="CK200" s="7">
        <v>2</v>
      </c>
      <c r="CL200" s="7">
        <v>2</v>
      </c>
      <c r="CM200" s="7">
        <v>2</v>
      </c>
      <c r="CN200" s="7">
        <v>2</v>
      </c>
      <c r="CO200" s="7">
        <v>2</v>
      </c>
      <c r="CP200" s="7">
        <v>2</v>
      </c>
      <c r="CQ200" s="7">
        <v>2</v>
      </c>
      <c r="CR200" s="7">
        <v>2</v>
      </c>
      <c r="CS200" s="7">
        <v>2</v>
      </c>
      <c r="CT200" s="7">
        <v>2</v>
      </c>
      <c r="CU200" s="7">
        <v>2</v>
      </c>
      <c r="CV200" s="7">
        <v>2</v>
      </c>
      <c r="CW200" s="7">
        <v>2</v>
      </c>
      <c r="CX200" s="7">
        <v>2</v>
      </c>
      <c r="CY200" s="7">
        <v>2</v>
      </c>
      <c r="CZ200" s="7">
        <v>2</v>
      </c>
      <c r="DA200" s="7">
        <v>2</v>
      </c>
      <c r="DB200" s="7">
        <v>2</v>
      </c>
      <c r="DC200" s="7">
        <v>2</v>
      </c>
      <c r="DD200" s="7">
        <v>2</v>
      </c>
      <c r="DE200" s="7">
        <v>2</v>
      </c>
      <c r="DF200" s="7">
        <v>2</v>
      </c>
      <c r="DG200" s="7">
        <v>2</v>
      </c>
      <c r="DH200" s="7">
        <v>2</v>
      </c>
      <c r="DI200" s="7">
        <v>2</v>
      </c>
      <c r="DJ200" s="7">
        <v>2</v>
      </c>
      <c r="DK200" s="7">
        <v>2</v>
      </c>
      <c r="DL200" s="7">
        <v>2</v>
      </c>
      <c r="DM200" s="7">
        <v>2</v>
      </c>
      <c r="DN200" s="7">
        <v>2</v>
      </c>
      <c r="DO200" s="7">
        <v>2</v>
      </c>
      <c r="DP200" s="7">
        <v>2</v>
      </c>
      <c r="DQ200" s="7">
        <v>2</v>
      </c>
      <c r="DR200" s="7">
        <v>2</v>
      </c>
      <c r="DS200" s="7">
        <v>2</v>
      </c>
      <c r="DT200" s="7">
        <v>2</v>
      </c>
      <c r="DU200" s="7">
        <v>2</v>
      </c>
      <c r="DV200" s="7">
        <v>2</v>
      </c>
      <c r="DW200" s="7">
        <v>2</v>
      </c>
      <c r="DX200" s="7">
        <v>2</v>
      </c>
      <c r="DY200" s="7">
        <v>2</v>
      </c>
      <c r="DZ200" s="7">
        <v>2</v>
      </c>
      <c r="EA200" s="7">
        <v>2</v>
      </c>
      <c r="EB200" s="7">
        <v>2</v>
      </c>
      <c r="EC200" s="7">
        <v>2</v>
      </c>
      <c r="ED200" s="7">
        <v>2</v>
      </c>
      <c r="EE200" s="7">
        <v>2</v>
      </c>
      <c r="EF200" s="7">
        <v>2</v>
      </c>
      <c r="EG200" s="7">
        <v>2</v>
      </c>
      <c r="EH200" s="7">
        <v>2</v>
      </c>
      <c r="EI200" s="7">
        <v>2</v>
      </c>
      <c r="EJ200" s="7">
        <v>2</v>
      </c>
      <c r="EK200" s="7">
        <v>2</v>
      </c>
      <c r="EL200" s="7">
        <v>2</v>
      </c>
      <c r="EM200" s="7">
        <v>2</v>
      </c>
      <c r="EN200" s="7">
        <v>2</v>
      </c>
      <c r="EO200" s="7">
        <v>2</v>
      </c>
      <c r="EP200" s="7">
        <v>1</v>
      </c>
      <c r="EQ200" s="7">
        <v>1</v>
      </c>
      <c r="ER200" s="7">
        <v>1</v>
      </c>
      <c r="ES200" s="7">
        <v>1</v>
      </c>
      <c r="ET200" s="7">
        <v>1</v>
      </c>
      <c r="EU200" s="7">
        <v>1</v>
      </c>
      <c r="EV200" s="7">
        <v>1</v>
      </c>
      <c r="EW200" s="7">
        <v>1</v>
      </c>
      <c r="EX200" s="7">
        <v>1</v>
      </c>
      <c r="EY200" s="7">
        <v>1</v>
      </c>
      <c r="EZ200" s="7">
        <v>1</v>
      </c>
      <c r="FB200" s="50">
        <f>HLOOKUP(M16,$AU$112:$EZ$213,89,TRUE)</f>
        <v>2</v>
      </c>
      <c r="FD200" s="50">
        <f>HLOOKUP(AL42,$AU$112:$EZ$213,89,TRUE)</f>
        <v>2</v>
      </c>
    </row>
    <row r="201" spans="46:160">
      <c r="AT201" s="112">
        <v>43.652000000000001</v>
      </c>
      <c r="AU201" s="7">
        <v>2</v>
      </c>
      <c r="AV201" s="7">
        <v>2</v>
      </c>
      <c r="AW201" s="7">
        <v>2</v>
      </c>
      <c r="AX201" s="7">
        <v>2</v>
      </c>
      <c r="AY201" s="7">
        <v>2</v>
      </c>
      <c r="AZ201" s="7">
        <v>2</v>
      </c>
      <c r="BA201" s="331">
        <v>2</v>
      </c>
      <c r="BB201" s="7">
        <v>2</v>
      </c>
      <c r="BC201" s="7">
        <v>2</v>
      </c>
      <c r="BD201" s="7">
        <v>2</v>
      </c>
      <c r="BE201" s="7">
        <v>2</v>
      </c>
      <c r="BF201" s="7">
        <v>2</v>
      </c>
      <c r="BG201" s="7">
        <v>2</v>
      </c>
      <c r="BH201" s="7">
        <v>2</v>
      </c>
      <c r="BI201" s="7">
        <v>2</v>
      </c>
      <c r="BJ201" s="7">
        <v>2</v>
      </c>
      <c r="BK201" s="7">
        <v>2</v>
      </c>
      <c r="BL201" s="7">
        <v>2</v>
      </c>
      <c r="BM201" s="7">
        <v>2</v>
      </c>
      <c r="BN201" s="7">
        <v>2</v>
      </c>
      <c r="BO201" s="7">
        <v>2</v>
      </c>
      <c r="BP201" s="7">
        <v>2</v>
      </c>
      <c r="BQ201" s="7">
        <v>2</v>
      </c>
      <c r="BR201" s="7">
        <v>2</v>
      </c>
      <c r="BS201" s="7">
        <v>2</v>
      </c>
      <c r="BT201" s="7">
        <v>2</v>
      </c>
      <c r="BU201" s="7">
        <v>2</v>
      </c>
      <c r="BV201" s="7">
        <v>2</v>
      </c>
      <c r="BW201" s="7">
        <v>2</v>
      </c>
      <c r="BX201" s="7">
        <v>2</v>
      </c>
      <c r="BY201" s="7">
        <v>2</v>
      </c>
      <c r="BZ201" s="7">
        <v>2</v>
      </c>
      <c r="CA201" s="7">
        <v>2</v>
      </c>
      <c r="CB201" s="7">
        <v>2</v>
      </c>
      <c r="CC201" s="7">
        <v>2</v>
      </c>
      <c r="CD201" s="7">
        <v>2</v>
      </c>
      <c r="CE201" s="7">
        <v>2</v>
      </c>
      <c r="CF201" s="7">
        <v>2</v>
      </c>
      <c r="CG201" s="7">
        <v>2</v>
      </c>
      <c r="CH201" s="7">
        <v>2</v>
      </c>
      <c r="CI201" s="7">
        <v>2</v>
      </c>
      <c r="CJ201" s="7">
        <v>2</v>
      </c>
      <c r="CK201" s="7">
        <v>2</v>
      </c>
      <c r="CL201" s="7">
        <v>2</v>
      </c>
      <c r="CM201" s="7">
        <v>2</v>
      </c>
      <c r="CN201" s="7">
        <v>2</v>
      </c>
      <c r="CO201" s="7">
        <v>2</v>
      </c>
      <c r="CP201" s="7">
        <v>2</v>
      </c>
      <c r="CQ201" s="7">
        <v>2</v>
      </c>
      <c r="CR201" s="7">
        <v>2</v>
      </c>
      <c r="CS201" s="7">
        <v>2</v>
      </c>
      <c r="CT201" s="7">
        <v>2</v>
      </c>
      <c r="CU201" s="7">
        <v>2</v>
      </c>
      <c r="CV201" s="7">
        <v>2</v>
      </c>
      <c r="CW201" s="7">
        <v>2</v>
      </c>
      <c r="CX201" s="7">
        <v>2</v>
      </c>
      <c r="CY201" s="7">
        <v>2</v>
      </c>
      <c r="CZ201" s="7">
        <v>2</v>
      </c>
      <c r="DA201" s="7">
        <v>2</v>
      </c>
      <c r="DB201" s="7">
        <v>2</v>
      </c>
      <c r="DC201" s="7">
        <v>2</v>
      </c>
      <c r="DD201" s="7">
        <v>2</v>
      </c>
      <c r="DE201" s="7">
        <v>2</v>
      </c>
      <c r="DF201" s="7">
        <v>2</v>
      </c>
      <c r="DG201" s="7">
        <v>2</v>
      </c>
      <c r="DH201" s="7">
        <v>2</v>
      </c>
      <c r="DI201" s="7">
        <v>2</v>
      </c>
      <c r="DJ201" s="7">
        <v>2</v>
      </c>
      <c r="DK201" s="7">
        <v>2</v>
      </c>
      <c r="DL201" s="7">
        <v>2</v>
      </c>
      <c r="DM201" s="7">
        <v>2</v>
      </c>
      <c r="DN201" s="7">
        <v>2</v>
      </c>
      <c r="DO201" s="7">
        <v>2</v>
      </c>
      <c r="DP201" s="7">
        <v>2</v>
      </c>
      <c r="DQ201" s="7">
        <v>2</v>
      </c>
      <c r="DR201" s="7">
        <v>2</v>
      </c>
      <c r="DS201" s="7">
        <v>2</v>
      </c>
      <c r="DT201" s="7">
        <v>2</v>
      </c>
      <c r="DU201" s="7">
        <v>2</v>
      </c>
      <c r="DV201" s="7">
        <v>2</v>
      </c>
      <c r="DW201" s="7">
        <v>2</v>
      </c>
      <c r="DX201" s="7">
        <v>2</v>
      </c>
      <c r="DY201" s="7">
        <v>2</v>
      </c>
      <c r="DZ201" s="7">
        <v>2</v>
      </c>
      <c r="EA201" s="7">
        <v>2</v>
      </c>
      <c r="EB201" s="7">
        <v>2</v>
      </c>
      <c r="EC201" s="7">
        <v>2</v>
      </c>
      <c r="ED201" s="7">
        <v>2</v>
      </c>
      <c r="EE201" s="7">
        <v>2</v>
      </c>
      <c r="EF201" s="7">
        <v>2</v>
      </c>
      <c r="EG201" s="7">
        <v>2</v>
      </c>
      <c r="EH201" s="7">
        <v>2</v>
      </c>
      <c r="EI201" s="7">
        <v>2</v>
      </c>
      <c r="EJ201" s="7">
        <v>2</v>
      </c>
      <c r="EK201" s="7">
        <v>2</v>
      </c>
      <c r="EL201" s="7">
        <v>2</v>
      </c>
      <c r="EM201" s="7">
        <v>2</v>
      </c>
      <c r="EN201" s="7">
        <v>2</v>
      </c>
      <c r="EO201" s="7">
        <v>2</v>
      </c>
      <c r="EP201" s="7">
        <v>1</v>
      </c>
      <c r="EQ201" s="7">
        <v>1</v>
      </c>
      <c r="ER201" s="7">
        <v>1</v>
      </c>
      <c r="ES201" s="7">
        <v>1</v>
      </c>
      <c r="ET201" s="7">
        <v>1</v>
      </c>
      <c r="EU201" s="7">
        <v>1</v>
      </c>
      <c r="EV201" s="7">
        <v>1</v>
      </c>
      <c r="EW201" s="7">
        <v>1</v>
      </c>
      <c r="EX201" s="7">
        <v>1</v>
      </c>
      <c r="EY201" s="7">
        <v>1</v>
      </c>
      <c r="EZ201" s="7">
        <v>1</v>
      </c>
      <c r="FB201" s="50">
        <f>HLOOKUP(M16,$AU$112:$EZ$213,90,TRUE)</f>
        <v>2</v>
      </c>
      <c r="FD201" s="50">
        <f>HLOOKUP(AL42,$AU$112:$EZ$213,90,TRUE)</f>
        <v>2</v>
      </c>
    </row>
    <row r="202" spans="46:160">
      <c r="AT202" s="112">
        <v>46.774000000000001</v>
      </c>
      <c r="AU202" s="7">
        <v>2</v>
      </c>
      <c r="AV202" s="7">
        <v>2</v>
      </c>
      <c r="AW202" s="7">
        <v>2</v>
      </c>
      <c r="AX202" s="7">
        <v>2</v>
      </c>
      <c r="AY202" s="7">
        <v>2</v>
      </c>
      <c r="AZ202" s="7">
        <v>2</v>
      </c>
      <c r="BA202" s="331">
        <v>2</v>
      </c>
      <c r="BB202" s="7">
        <v>2</v>
      </c>
      <c r="BC202" s="7">
        <v>2</v>
      </c>
      <c r="BD202" s="7">
        <v>2</v>
      </c>
      <c r="BE202" s="7">
        <v>2</v>
      </c>
      <c r="BF202" s="7">
        <v>2</v>
      </c>
      <c r="BG202" s="7">
        <v>2</v>
      </c>
      <c r="BH202" s="7">
        <v>2</v>
      </c>
      <c r="BI202" s="7">
        <v>2</v>
      </c>
      <c r="BJ202" s="7">
        <v>2</v>
      </c>
      <c r="BK202" s="7">
        <v>2</v>
      </c>
      <c r="BL202" s="7">
        <v>2</v>
      </c>
      <c r="BM202" s="7">
        <v>2</v>
      </c>
      <c r="BN202" s="7">
        <v>2</v>
      </c>
      <c r="BO202" s="7">
        <v>2</v>
      </c>
      <c r="BP202" s="7">
        <v>2</v>
      </c>
      <c r="BQ202" s="7">
        <v>2</v>
      </c>
      <c r="BR202" s="7">
        <v>2</v>
      </c>
      <c r="BS202" s="7">
        <v>2</v>
      </c>
      <c r="BT202" s="7">
        <v>2</v>
      </c>
      <c r="BU202" s="7">
        <v>2</v>
      </c>
      <c r="BV202" s="7">
        <v>2</v>
      </c>
      <c r="BW202" s="7">
        <v>2</v>
      </c>
      <c r="BX202" s="7">
        <v>2</v>
      </c>
      <c r="BY202" s="7">
        <v>2</v>
      </c>
      <c r="BZ202" s="7">
        <v>2</v>
      </c>
      <c r="CA202" s="7">
        <v>2</v>
      </c>
      <c r="CB202" s="7">
        <v>2</v>
      </c>
      <c r="CC202" s="7">
        <v>2</v>
      </c>
      <c r="CD202" s="7">
        <v>2</v>
      </c>
      <c r="CE202" s="7">
        <v>2</v>
      </c>
      <c r="CF202" s="7">
        <v>2</v>
      </c>
      <c r="CG202" s="7">
        <v>2</v>
      </c>
      <c r="CH202" s="7">
        <v>2</v>
      </c>
      <c r="CI202" s="7">
        <v>2</v>
      </c>
      <c r="CJ202" s="7">
        <v>2</v>
      </c>
      <c r="CK202" s="7">
        <v>2</v>
      </c>
      <c r="CL202" s="7">
        <v>2</v>
      </c>
      <c r="CM202" s="7">
        <v>2</v>
      </c>
      <c r="CN202" s="7">
        <v>2</v>
      </c>
      <c r="CO202" s="7">
        <v>2</v>
      </c>
      <c r="CP202" s="7">
        <v>2</v>
      </c>
      <c r="CQ202" s="7">
        <v>2</v>
      </c>
      <c r="CR202" s="7">
        <v>2</v>
      </c>
      <c r="CS202" s="7">
        <v>2</v>
      </c>
      <c r="CT202" s="7">
        <v>2</v>
      </c>
      <c r="CU202" s="7">
        <v>2</v>
      </c>
      <c r="CV202" s="7">
        <v>2</v>
      </c>
      <c r="CW202" s="7">
        <v>2</v>
      </c>
      <c r="CX202" s="7">
        <v>2</v>
      </c>
      <c r="CY202" s="7">
        <v>2</v>
      </c>
      <c r="CZ202" s="7">
        <v>2</v>
      </c>
      <c r="DA202" s="7">
        <v>2</v>
      </c>
      <c r="DB202" s="7">
        <v>2</v>
      </c>
      <c r="DC202" s="7">
        <v>2</v>
      </c>
      <c r="DD202" s="7">
        <v>2</v>
      </c>
      <c r="DE202" s="7">
        <v>2</v>
      </c>
      <c r="DF202" s="7">
        <v>2</v>
      </c>
      <c r="DG202" s="7">
        <v>2</v>
      </c>
      <c r="DH202" s="7">
        <v>2</v>
      </c>
      <c r="DI202" s="7">
        <v>2</v>
      </c>
      <c r="DJ202" s="7">
        <v>2</v>
      </c>
      <c r="DK202" s="7">
        <v>2</v>
      </c>
      <c r="DL202" s="7">
        <v>2</v>
      </c>
      <c r="DM202" s="7">
        <v>2</v>
      </c>
      <c r="DN202" s="7">
        <v>2</v>
      </c>
      <c r="DO202" s="7">
        <v>2</v>
      </c>
      <c r="DP202" s="7">
        <v>2</v>
      </c>
      <c r="DQ202" s="7">
        <v>2</v>
      </c>
      <c r="DR202" s="7">
        <v>2</v>
      </c>
      <c r="DS202" s="7">
        <v>2</v>
      </c>
      <c r="DT202" s="7">
        <v>2</v>
      </c>
      <c r="DU202" s="7">
        <v>2</v>
      </c>
      <c r="DV202" s="7">
        <v>2</v>
      </c>
      <c r="DW202" s="7">
        <v>2</v>
      </c>
      <c r="DX202" s="7">
        <v>2</v>
      </c>
      <c r="DY202" s="7">
        <v>2</v>
      </c>
      <c r="DZ202" s="7">
        <v>2</v>
      </c>
      <c r="EA202" s="7">
        <v>2</v>
      </c>
      <c r="EB202" s="7">
        <v>2</v>
      </c>
      <c r="EC202" s="7">
        <v>2</v>
      </c>
      <c r="ED202" s="7">
        <v>2</v>
      </c>
      <c r="EE202" s="7">
        <v>2</v>
      </c>
      <c r="EF202" s="7">
        <v>2</v>
      </c>
      <c r="EG202" s="7">
        <v>2</v>
      </c>
      <c r="EH202" s="7">
        <v>2</v>
      </c>
      <c r="EI202" s="7">
        <v>2</v>
      </c>
      <c r="EJ202" s="7">
        <v>2</v>
      </c>
      <c r="EK202" s="7">
        <v>2</v>
      </c>
      <c r="EL202" s="7">
        <v>2</v>
      </c>
      <c r="EM202" s="7">
        <v>2</v>
      </c>
      <c r="EN202" s="7">
        <v>2</v>
      </c>
      <c r="EO202" s="7">
        <v>2</v>
      </c>
      <c r="EP202" s="7">
        <v>2</v>
      </c>
      <c r="EQ202" s="7">
        <v>1</v>
      </c>
      <c r="ER202" s="7">
        <v>1</v>
      </c>
      <c r="ES202" s="7">
        <v>1</v>
      </c>
      <c r="ET202" s="7">
        <v>1</v>
      </c>
      <c r="EU202" s="7">
        <v>1</v>
      </c>
      <c r="EV202" s="7">
        <v>1</v>
      </c>
      <c r="EW202" s="7">
        <v>1</v>
      </c>
      <c r="EX202" s="7">
        <v>1</v>
      </c>
      <c r="EY202" s="7">
        <v>1</v>
      </c>
      <c r="EZ202" s="7">
        <v>1</v>
      </c>
      <c r="FB202" s="50">
        <f>HLOOKUP(M16,$AU$112:$EZ$213,91,TRUE)</f>
        <v>2</v>
      </c>
      <c r="FD202" s="50">
        <f>HLOOKUP(AL42,$AU$112:$EZ$213,91,TRUE)</f>
        <v>2</v>
      </c>
    </row>
    <row r="203" spans="46:160">
      <c r="AT203" s="112">
        <v>50.119</v>
      </c>
      <c r="AU203" s="7">
        <v>2</v>
      </c>
      <c r="AV203" s="7">
        <v>2</v>
      </c>
      <c r="AW203" s="7">
        <v>2</v>
      </c>
      <c r="AX203" s="7">
        <v>2</v>
      </c>
      <c r="AY203" s="7">
        <v>2</v>
      </c>
      <c r="AZ203" s="7">
        <v>2</v>
      </c>
      <c r="BA203" s="331">
        <v>2</v>
      </c>
      <c r="BB203" s="7">
        <v>2</v>
      </c>
      <c r="BC203" s="7">
        <v>2</v>
      </c>
      <c r="BD203" s="7">
        <v>2</v>
      </c>
      <c r="BE203" s="7">
        <v>2</v>
      </c>
      <c r="BF203" s="7">
        <v>2</v>
      </c>
      <c r="BG203" s="7">
        <v>2</v>
      </c>
      <c r="BH203" s="7">
        <v>2</v>
      </c>
      <c r="BI203" s="7">
        <v>2</v>
      </c>
      <c r="BJ203" s="7">
        <v>2</v>
      </c>
      <c r="BK203" s="7">
        <v>2</v>
      </c>
      <c r="BL203" s="7">
        <v>2</v>
      </c>
      <c r="BM203" s="7">
        <v>2</v>
      </c>
      <c r="BN203" s="7">
        <v>2</v>
      </c>
      <c r="BO203" s="7">
        <v>2</v>
      </c>
      <c r="BP203" s="7">
        <v>2</v>
      </c>
      <c r="BQ203" s="7">
        <v>2</v>
      </c>
      <c r="BR203" s="7">
        <v>2</v>
      </c>
      <c r="BS203" s="7">
        <v>2</v>
      </c>
      <c r="BT203" s="7">
        <v>2</v>
      </c>
      <c r="BU203" s="7">
        <v>2</v>
      </c>
      <c r="BV203" s="7">
        <v>2</v>
      </c>
      <c r="BW203" s="7">
        <v>2</v>
      </c>
      <c r="BX203" s="7">
        <v>2</v>
      </c>
      <c r="BY203" s="7">
        <v>2</v>
      </c>
      <c r="BZ203" s="7">
        <v>2</v>
      </c>
      <c r="CA203" s="7">
        <v>2</v>
      </c>
      <c r="CB203" s="7">
        <v>2</v>
      </c>
      <c r="CC203" s="7">
        <v>2</v>
      </c>
      <c r="CD203" s="7">
        <v>2</v>
      </c>
      <c r="CE203" s="7">
        <v>2</v>
      </c>
      <c r="CF203" s="7">
        <v>2</v>
      </c>
      <c r="CG203" s="7">
        <v>2</v>
      </c>
      <c r="CH203" s="7">
        <v>2</v>
      </c>
      <c r="CI203" s="7">
        <v>2</v>
      </c>
      <c r="CJ203" s="7">
        <v>2</v>
      </c>
      <c r="CK203" s="7">
        <v>2</v>
      </c>
      <c r="CL203" s="7">
        <v>2</v>
      </c>
      <c r="CM203" s="7">
        <v>2</v>
      </c>
      <c r="CN203" s="7">
        <v>2</v>
      </c>
      <c r="CO203" s="7">
        <v>2</v>
      </c>
      <c r="CP203" s="7">
        <v>2</v>
      </c>
      <c r="CQ203" s="7">
        <v>2</v>
      </c>
      <c r="CR203" s="7">
        <v>2</v>
      </c>
      <c r="CS203" s="7">
        <v>2</v>
      </c>
      <c r="CT203" s="7">
        <v>2</v>
      </c>
      <c r="CU203" s="7">
        <v>2</v>
      </c>
      <c r="CV203" s="7">
        <v>2</v>
      </c>
      <c r="CW203" s="7">
        <v>2</v>
      </c>
      <c r="CX203" s="7">
        <v>2</v>
      </c>
      <c r="CY203" s="7">
        <v>2</v>
      </c>
      <c r="CZ203" s="7">
        <v>2</v>
      </c>
      <c r="DA203" s="7">
        <v>2</v>
      </c>
      <c r="DB203" s="7">
        <v>2</v>
      </c>
      <c r="DC203" s="7">
        <v>2</v>
      </c>
      <c r="DD203" s="7">
        <v>2</v>
      </c>
      <c r="DE203" s="7">
        <v>2</v>
      </c>
      <c r="DF203" s="7">
        <v>2</v>
      </c>
      <c r="DG203" s="7">
        <v>2</v>
      </c>
      <c r="DH203" s="7">
        <v>2</v>
      </c>
      <c r="DI203" s="7">
        <v>2</v>
      </c>
      <c r="DJ203" s="7">
        <v>2</v>
      </c>
      <c r="DK203" s="7">
        <v>2</v>
      </c>
      <c r="DL203" s="7">
        <v>2</v>
      </c>
      <c r="DM203" s="7">
        <v>2</v>
      </c>
      <c r="DN203" s="7">
        <v>2</v>
      </c>
      <c r="DO203" s="7">
        <v>2</v>
      </c>
      <c r="DP203" s="7">
        <v>2</v>
      </c>
      <c r="DQ203" s="7">
        <v>2</v>
      </c>
      <c r="DR203" s="7">
        <v>2</v>
      </c>
      <c r="DS203" s="7">
        <v>2</v>
      </c>
      <c r="DT203" s="7">
        <v>2</v>
      </c>
      <c r="DU203" s="7">
        <v>2</v>
      </c>
      <c r="DV203" s="7">
        <v>2</v>
      </c>
      <c r="DW203" s="7">
        <v>2</v>
      </c>
      <c r="DX203" s="7">
        <v>2</v>
      </c>
      <c r="DY203" s="7">
        <v>2</v>
      </c>
      <c r="DZ203" s="7">
        <v>2</v>
      </c>
      <c r="EA203" s="7">
        <v>2</v>
      </c>
      <c r="EB203" s="7">
        <v>2</v>
      </c>
      <c r="EC203" s="7">
        <v>2</v>
      </c>
      <c r="ED203" s="7">
        <v>2</v>
      </c>
      <c r="EE203" s="7">
        <v>2</v>
      </c>
      <c r="EF203" s="7">
        <v>2</v>
      </c>
      <c r="EG203" s="7">
        <v>2</v>
      </c>
      <c r="EH203" s="7">
        <v>2</v>
      </c>
      <c r="EI203" s="7">
        <v>2</v>
      </c>
      <c r="EJ203" s="7">
        <v>2</v>
      </c>
      <c r="EK203" s="7">
        <v>2</v>
      </c>
      <c r="EL203" s="7">
        <v>2</v>
      </c>
      <c r="EM203" s="7">
        <v>2</v>
      </c>
      <c r="EN203" s="7">
        <v>2</v>
      </c>
      <c r="EO203" s="7">
        <v>2</v>
      </c>
      <c r="EP203" s="7">
        <v>2</v>
      </c>
      <c r="EQ203" s="7">
        <v>2</v>
      </c>
      <c r="ER203" s="7">
        <v>1</v>
      </c>
      <c r="ES203" s="7">
        <v>1</v>
      </c>
      <c r="ET203" s="7">
        <v>1</v>
      </c>
      <c r="EU203" s="7">
        <v>1</v>
      </c>
      <c r="EV203" s="7">
        <v>1</v>
      </c>
      <c r="EW203" s="7">
        <v>1</v>
      </c>
      <c r="EX203" s="7">
        <v>1</v>
      </c>
      <c r="EY203" s="7">
        <v>1</v>
      </c>
      <c r="EZ203" s="7">
        <v>1</v>
      </c>
      <c r="FB203" s="50">
        <f>HLOOKUP(M16,$AU$112:$EZ$213,92,TRUE)</f>
        <v>2</v>
      </c>
      <c r="FD203" s="50">
        <f>HLOOKUP(AL42,$AU$112:$EZ$213,92,TRUE)</f>
        <v>2</v>
      </c>
    </row>
    <row r="204" spans="46:160">
      <c r="AT204" s="112">
        <v>53.703000000000003</v>
      </c>
      <c r="AU204" s="7">
        <v>2</v>
      </c>
      <c r="AV204" s="7">
        <v>2</v>
      </c>
      <c r="AW204" s="7">
        <v>2</v>
      </c>
      <c r="AX204" s="7">
        <v>2</v>
      </c>
      <c r="AY204" s="7">
        <v>2</v>
      </c>
      <c r="AZ204" s="7">
        <v>2</v>
      </c>
      <c r="BA204" s="331">
        <v>2</v>
      </c>
      <c r="BB204" s="7">
        <v>2</v>
      </c>
      <c r="BC204" s="7">
        <v>2</v>
      </c>
      <c r="BD204" s="7">
        <v>2</v>
      </c>
      <c r="BE204" s="7">
        <v>2</v>
      </c>
      <c r="BF204" s="7">
        <v>2</v>
      </c>
      <c r="BG204" s="7">
        <v>2</v>
      </c>
      <c r="BH204" s="7">
        <v>2</v>
      </c>
      <c r="BI204" s="7">
        <v>2</v>
      </c>
      <c r="BJ204" s="7">
        <v>2</v>
      </c>
      <c r="BK204" s="7">
        <v>2</v>
      </c>
      <c r="BL204" s="7">
        <v>2</v>
      </c>
      <c r="BM204" s="7">
        <v>2</v>
      </c>
      <c r="BN204" s="7">
        <v>2</v>
      </c>
      <c r="BO204" s="7">
        <v>2</v>
      </c>
      <c r="BP204" s="7">
        <v>2</v>
      </c>
      <c r="BQ204" s="7">
        <v>2</v>
      </c>
      <c r="BR204" s="7">
        <v>2</v>
      </c>
      <c r="BS204" s="7">
        <v>2</v>
      </c>
      <c r="BT204" s="7">
        <v>2</v>
      </c>
      <c r="BU204" s="7">
        <v>2</v>
      </c>
      <c r="BV204" s="7">
        <v>2</v>
      </c>
      <c r="BW204" s="7">
        <v>2</v>
      </c>
      <c r="BX204" s="7">
        <v>2</v>
      </c>
      <c r="BY204" s="7">
        <v>2</v>
      </c>
      <c r="BZ204" s="7">
        <v>2</v>
      </c>
      <c r="CA204" s="7">
        <v>2</v>
      </c>
      <c r="CB204" s="7">
        <v>2</v>
      </c>
      <c r="CC204" s="7">
        <v>2</v>
      </c>
      <c r="CD204" s="7">
        <v>2</v>
      </c>
      <c r="CE204" s="7">
        <v>2</v>
      </c>
      <c r="CF204" s="7">
        <v>2</v>
      </c>
      <c r="CG204" s="7">
        <v>2</v>
      </c>
      <c r="CH204" s="7">
        <v>2</v>
      </c>
      <c r="CI204" s="7">
        <v>2</v>
      </c>
      <c r="CJ204" s="7">
        <v>2</v>
      </c>
      <c r="CK204" s="7">
        <v>2</v>
      </c>
      <c r="CL204" s="7">
        <v>2</v>
      </c>
      <c r="CM204" s="7">
        <v>2</v>
      </c>
      <c r="CN204" s="7">
        <v>2</v>
      </c>
      <c r="CO204" s="7">
        <v>2</v>
      </c>
      <c r="CP204" s="7">
        <v>2</v>
      </c>
      <c r="CQ204" s="7">
        <v>2</v>
      </c>
      <c r="CR204" s="7">
        <v>2</v>
      </c>
      <c r="CS204" s="7">
        <v>2</v>
      </c>
      <c r="CT204" s="7">
        <v>2</v>
      </c>
      <c r="CU204" s="7">
        <v>2</v>
      </c>
      <c r="CV204" s="7">
        <v>2</v>
      </c>
      <c r="CW204" s="7">
        <v>2</v>
      </c>
      <c r="CX204" s="7">
        <v>2</v>
      </c>
      <c r="CY204" s="7">
        <v>2</v>
      </c>
      <c r="CZ204" s="7">
        <v>2</v>
      </c>
      <c r="DA204" s="7">
        <v>2</v>
      </c>
      <c r="DB204" s="7">
        <v>2</v>
      </c>
      <c r="DC204" s="7">
        <v>2</v>
      </c>
      <c r="DD204" s="7">
        <v>2</v>
      </c>
      <c r="DE204" s="7">
        <v>2</v>
      </c>
      <c r="DF204" s="7">
        <v>2</v>
      </c>
      <c r="DG204" s="7">
        <v>2</v>
      </c>
      <c r="DH204" s="7">
        <v>2</v>
      </c>
      <c r="DI204" s="7">
        <v>2</v>
      </c>
      <c r="DJ204" s="7">
        <v>2</v>
      </c>
      <c r="DK204" s="7">
        <v>2</v>
      </c>
      <c r="DL204" s="7">
        <v>2</v>
      </c>
      <c r="DM204" s="7">
        <v>2</v>
      </c>
      <c r="DN204" s="7">
        <v>2</v>
      </c>
      <c r="DO204" s="7">
        <v>2</v>
      </c>
      <c r="DP204" s="7">
        <v>2</v>
      </c>
      <c r="DQ204" s="7">
        <v>2</v>
      </c>
      <c r="DR204" s="7">
        <v>2</v>
      </c>
      <c r="DS204" s="7">
        <v>2</v>
      </c>
      <c r="DT204" s="7">
        <v>2</v>
      </c>
      <c r="DU204" s="7">
        <v>2</v>
      </c>
      <c r="DV204" s="7">
        <v>2</v>
      </c>
      <c r="DW204" s="7">
        <v>2</v>
      </c>
      <c r="DX204" s="7">
        <v>2</v>
      </c>
      <c r="DY204" s="7">
        <v>2</v>
      </c>
      <c r="DZ204" s="7">
        <v>2</v>
      </c>
      <c r="EA204" s="7">
        <v>2</v>
      </c>
      <c r="EB204" s="7">
        <v>2</v>
      </c>
      <c r="EC204" s="7">
        <v>2</v>
      </c>
      <c r="ED204" s="7">
        <v>2</v>
      </c>
      <c r="EE204" s="7">
        <v>2</v>
      </c>
      <c r="EF204" s="7">
        <v>2</v>
      </c>
      <c r="EG204" s="7">
        <v>2</v>
      </c>
      <c r="EH204" s="7">
        <v>2</v>
      </c>
      <c r="EI204" s="7">
        <v>2</v>
      </c>
      <c r="EJ204" s="7">
        <v>2</v>
      </c>
      <c r="EK204" s="7">
        <v>2</v>
      </c>
      <c r="EL204" s="7">
        <v>2</v>
      </c>
      <c r="EM204" s="7">
        <v>2</v>
      </c>
      <c r="EN204" s="7">
        <v>2</v>
      </c>
      <c r="EO204" s="7">
        <v>2</v>
      </c>
      <c r="EP204" s="7">
        <v>2</v>
      </c>
      <c r="EQ204" s="7">
        <v>2</v>
      </c>
      <c r="ER204" s="7">
        <v>2</v>
      </c>
      <c r="ES204" s="7">
        <v>1</v>
      </c>
      <c r="ET204" s="7">
        <v>1</v>
      </c>
      <c r="EU204" s="7">
        <v>1</v>
      </c>
      <c r="EV204" s="7">
        <v>1</v>
      </c>
      <c r="EW204" s="7">
        <v>1</v>
      </c>
      <c r="EX204" s="7">
        <v>1</v>
      </c>
      <c r="EY204" s="7">
        <v>1</v>
      </c>
      <c r="EZ204" s="7">
        <v>1</v>
      </c>
      <c r="FB204" s="50">
        <f>HLOOKUP(M16,$AU$112:$EZ$213,93,TRUE)</f>
        <v>2</v>
      </c>
      <c r="FD204" s="50">
        <f>HLOOKUP(AL42,$AU$112:$EZ$213,93,TRUE)</f>
        <v>2</v>
      </c>
    </row>
    <row r="205" spans="46:160">
      <c r="AT205" s="112">
        <v>57.543999999999997</v>
      </c>
      <c r="AU205" s="7">
        <v>2</v>
      </c>
      <c r="AV205" s="7">
        <v>2</v>
      </c>
      <c r="AW205" s="7">
        <v>2</v>
      </c>
      <c r="AX205" s="7">
        <v>2</v>
      </c>
      <c r="AY205" s="7">
        <v>2</v>
      </c>
      <c r="AZ205" s="7">
        <v>2</v>
      </c>
      <c r="BA205" s="331">
        <v>2</v>
      </c>
      <c r="BB205" s="7">
        <v>2</v>
      </c>
      <c r="BC205" s="7">
        <v>2</v>
      </c>
      <c r="BD205" s="7">
        <v>2</v>
      </c>
      <c r="BE205" s="7">
        <v>2</v>
      </c>
      <c r="BF205" s="7">
        <v>2</v>
      </c>
      <c r="BG205" s="7">
        <v>2</v>
      </c>
      <c r="BH205" s="7">
        <v>2</v>
      </c>
      <c r="BI205" s="7">
        <v>2</v>
      </c>
      <c r="BJ205" s="7">
        <v>2</v>
      </c>
      <c r="BK205" s="7">
        <v>2</v>
      </c>
      <c r="BL205" s="7">
        <v>2</v>
      </c>
      <c r="BM205" s="7">
        <v>2</v>
      </c>
      <c r="BN205" s="7">
        <v>2</v>
      </c>
      <c r="BO205" s="7">
        <v>2</v>
      </c>
      <c r="BP205" s="7">
        <v>2</v>
      </c>
      <c r="BQ205" s="7">
        <v>2</v>
      </c>
      <c r="BR205" s="7">
        <v>2</v>
      </c>
      <c r="BS205" s="7">
        <v>2</v>
      </c>
      <c r="BT205" s="7">
        <v>2</v>
      </c>
      <c r="BU205" s="7">
        <v>2</v>
      </c>
      <c r="BV205" s="7">
        <v>2</v>
      </c>
      <c r="BW205" s="7">
        <v>2</v>
      </c>
      <c r="BX205" s="7">
        <v>2</v>
      </c>
      <c r="BY205" s="7">
        <v>2</v>
      </c>
      <c r="BZ205" s="7">
        <v>2</v>
      </c>
      <c r="CA205" s="7">
        <v>2</v>
      </c>
      <c r="CB205" s="7">
        <v>2</v>
      </c>
      <c r="CC205" s="7">
        <v>2</v>
      </c>
      <c r="CD205" s="7">
        <v>2</v>
      </c>
      <c r="CE205" s="7">
        <v>2</v>
      </c>
      <c r="CF205" s="7">
        <v>2</v>
      </c>
      <c r="CG205" s="7">
        <v>2</v>
      </c>
      <c r="CH205" s="7">
        <v>2</v>
      </c>
      <c r="CI205" s="7">
        <v>2</v>
      </c>
      <c r="CJ205" s="7">
        <v>2</v>
      </c>
      <c r="CK205" s="7">
        <v>2</v>
      </c>
      <c r="CL205" s="7">
        <v>2</v>
      </c>
      <c r="CM205" s="7">
        <v>2</v>
      </c>
      <c r="CN205" s="7">
        <v>2</v>
      </c>
      <c r="CO205" s="7">
        <v>2</v>
      </c>
      <c r="CP205" s="7">
        <v>2</v>
      </c>
      <c r="CQ205" s="7">
        <v>2</v>
      </c>
      <c r="CR205" s="7">
        <v>2</v>
      </c>
      <c r="CS205" s="7">
        <v>2</v>
      </c>
      <c r="CT205" s="7">
        <v>2</v>
      </c>
      <c r="CU205" s="7">
        <v>2</v>
      </c>
      <c r="CV205" s="7">
        <v>2</v>
      </c>
      <c r="CW205" s="7">
        <v>2</v>
      </c>
      <c r="CX205" s="7">
        <v>2</v>
      </c>
      <c r="CY205" s="7">
        <v>2</v>
      </c>
      <c r="CZ205" s="7">
        <v>2</v>
      </c>
      <c r="DA205" s="7">
        <v>2</v>
      </c>
      <c r="DB205" s="7">
        <v>2</v>
      </c>
      <c r="DC205" s="7">
        <v>2</v>
      </c>
      <c r="DD205" s="7">
        <v>2</v>
      </c>
      <c r="DE205" s="7">
        <v>2</v>
      </c>
      <c r="DF205" s="7">
        <v>2</v>
      </c>
      <c r="DG205" s="7">
        <v>2</v>
      </c>
      <c r="DH205" s="7">
        <v>2</v>
      </c>
      <c r="DI205" s="7">
        <v>2</v>
      </c>
      <c r="DJ205" s="7">
        <v>2</v>
      </c>
      <c r="DK205" s="7">
        <v>2</v>
      </c>
      <c r="DL205" s="7">
        <v>2</v>
      </c>
      <c r="DM205" s="7">
        <v>2</v>
      </c>
      <c r="DN205" s="7">
        <v>2</v>
      </c>
      <c r="DO205" s="7">
        <v>2</v>
      </c>
      <c r="DP205" s="7">
        <v>2</v>
      </c>
      <c r="DQ205" s="7">
        <v>2</v>
      </c>
      <c r="DR205" s="7">
        <v>2</v>
      </c>
      <c r="DS205" s="7">
        <v>2</v>
      </c>
      <c r="DT205" s="7">
        <v>2</v>
      </c>
      <c r="DU205" s="7">
        <v>2</v>
      </c>
      <c r="DV205" s="7">
        <v>2</v>
      </c>
      <c r="DW205" s="7">
        <v>2</v>
      </c>
      <c r="DX205" s="7">
        <v>2</v>
      </c>
      <c r="DY205" s="7">
        <v>2</v>
      </c>
      <c r="DZ205" s="7">
        <v>2</v>
      </c>
      <c r="EA205" s="7">
        <v>2</v>
      </c>
      <c r="EB205" s="7">
        <v>2</v>
      </c>
      <c r="EC205" s="7">
        <v>2</v>
      </c>
      <c r="ED205" s="7">
        <v>2</v>
      </c>
      <c r="EE205" s="7">
        <v>2</v>
      </c>
      <c r="EF205" s="7">
        <v>2</v>
      </c>
      <c r="EG205" s="7">
        <v>2</v>
      </c>
      <c r="EH205" s="7">
        <v>2</v>
      </c>
      <c r="EI205" s="7">
        <v>2</v>
      </c>
      <c r="EJ205" s="7">
        <v>2</v>
      </c>
      <c r="EK205" s="7">
        <v>2</v>
      </c>
      <c r="EL205" s="7">
        <v>2</v>
      </c>
      <c r="EM205" s="7">
        <v>2</v>
      </c>
      <c r="EN205" s="7">
        <v>2</v>
      </c>
      <c r="EO205" s="7">
        <v>2</v>
      </c>
      <c r="EP205" s="7">
        <v>2</v>
      </c>
      <c r="EQ205" s="7">
        <v>2</v>
      </c>
      <c r="ER205" s="7">
        <v>2</v>
      </c>
      <c r="ES205" s="7">
        <v>2</v>
      </c>
      <c r="ET205" s="7">
        <v>1</v>
      </c>
      <c r="EU205" s="7">
        <v>1</v>
      </c>
      <c r="EV205" s="7">
        <v>1</v>
      </c>
      <c r="EW205" s="7">
        <v>1</v>
      </c>
      <c r="EX205" s="7">
        <v>1</v>
      </c>
      <c r="EY205" s="7">
        <v>1</v>
      </c>
      <c r="EZ205" s="7">
        <v>1</v>
      </c>
      <c r="FB205" s="50">
        <f>HLOOKUP(M16,$AU$112:$EZ$213,94,TRUE)</f>
        <v>2</v>
      </c>
      <c r="FD205" s="50">
        <f>HLOOKUP(AL42,$AU$112:$EZ$213,94,TRUE)</f>
        <v>2</v>
      </c>
    </row>
    <row r="206" spans="46:160">
      <c r="AT206" s="112">
        <v>61.66</v>
      </c>
      <c r="AU206" s="7">
        <v>2</v>
      </c>
      <c r="AV206" s="7">
        <v>2</v>
      </c>
      <c r="AW206" s="7">
        <v>2</v>
      </c>
      <c r="AX206" s="7">
        <v>2</v>
      </c>
      <c r="AY206" s="7">
        <v>2</v>
      </c>
      <c r="AZ206" s="7">
        <v>2</v>
      </c>
      <c r="BA206" s="331">
        <v>2</v>
      </c>
      <c r="BB206" s="7">
        <v>2</v>
      </c>
      <c r="BC206" s="7">
        <v>2</v>
      </c>
      <c r="BD206" s="7">
        <v>2</v>
      </c>
      <c r="BE206" s="7">
        <v>2</v>
      </c>
      <c r="BF206" s="7">
        <v>2</v>
      </c>
      <c r="BG206" s="7">
        <v>2</v>
      </c>
      <c r="BH206" s="7">
        <v>2</v>
      </c>
      <c r="BI206" s="7">
        <v>2</v>
      </c>
      <c r="BJ206" s="7">
        <v>2</v>
      </c>
      <c r="BK206" s="7">
        <v>2</v>
      </c>
      <c r="BL206" s="7">
        <v>2</v>
      </c>
      <c r="BM206" s="7">
        <v>2</v>
      </c>
      <c r="BN206" s="7">
        <v>2</v>
      </c>
      <c r="BO206" s="7">
        <v>2</v>
      </c>
      <c r="BP206" s="7">
        <v>2</v>
      </c>
      <c r="BQ206" s="7">
        <v>2</v>
      </c>
      <c r="BR206" s="7">
        <v>2</v>
      </c>
      <c r="BS206" s="7">
        <v>2</v>
      </c>
      <c r="BT206" s="7">
        <v>2</v>
      </c>
      <c r="BU206" s="7">
        <v>2</v>
      </c>
      <c r="BV206" s="7">
        <v>2</v>
      </c>
      <c r="BW206" s="7">
        <v>2</v>
      </c>
      <c r="BX206" s="7">
        <v>2</v>
      </c>
      <c r="BY206" s="7">
        <v>2</v>
      </c>
      <c r="BZ206" s="7">
        <v>2</v>
      </c>
      <c r="CA206" s="7">
        <v>2</v>
      </c>
      <c r="CB206" s="7">
        <v>2</v>
      </c>
      <c r="CC206" s="7">
        <v>2</v>
      </c>
      <c r="CD206" s="7">
        <v>2</v>
      </c>
      <c r="CE206" s="7">
        <v>2</v>
      </c>
      <c r="CF206" s="7">
        <v>2</v>
      </c>
      <c r="CG206" s="7">
        <v>2</v>
      </c>
      <c r="CH206" s="7">
        <v>2</v>
      </c>
      <c r="CI206" s="7">
        <v>2</v>
      </c>
      <c r="CJ206" s="7">
        <v>2</v>
      </c>
      <c r="CK206" s="7">
        <v>2</v>
      </c>
      <c r="CL206" s="7">
        <v>2</v>
      </c>
      <c r="CM206" s="7">
        <v>2</v>
      </c>
      <c r="CN206" s="7">
        <v>2</v>
      </c>
      <c r="CO206" s="7">
        <v>2</v>
      </c>
      <c r="CP206" s="7">
        <v>2</v>
      </c>
      <c r="CQ206" s="7">
        <v>2</v>
      </c>
      <c r="CR206" s="7">
        <v>2</v>
      </c>
      <c r="CS206" s="7">
        <v>2</v>
      </c>
      <c r="CT206" s="7">
        <v>2</v>
      </c>
      <c r="CU206" s="7">
        <v>2</v>
      </c>
      <c r="CV206" s="7">
        <v>2</v>
      </c>
      <c r="CW206" s="7">
        <v>2</v>
      </c>
      <c r="CX206" s="7">
        <v>2</v>
      </c>
      <c r="CY206" s="7">
        <v>2</v>
      </c>
      <c r="CZ206" s="7">
        <v>2</v>
      </c>
      <c r="DA206" s="7">
        <v>2</v>
      </c>
      <c r="DB206" s="7">
        <v>2</v>
      </c>
      <c r="DC206" s="7">
        <v>2</v>
      </c>
      <c r="DD206" s="7">
        <v>2</v>
      </c>
      <c r="DE206" s="7">
        <v>2</v>
      </c>
      <c r="DF206" s="7">
        <v>2</v>
      </c>
      <c r="DG206" s="7">
        <v>2</v>
      </c>
      <c r="DH206" s="7">
        <v>2</v>
      </c>
      <c r="DI206" s="7">
        <v>2</v>
      </c>
      <c r="DJ206" s="7">
        <v>2</v>
      </c>
      <c r="DK206" s="7">
        <v>2</v>
      </c>
      <c r="DL206" s="7">
        <v>2</v>
      </c>
      <c r="DM206" s="7">
        <v>2</v>
      </c>
      <c r="DN206" s="7">
        <v>2</v>
      </c>
      <c r="DO206" s="7">
        <v>2</v>
      </c>
      <c r="DP206" s="7">
        <v>2</v>
      </c>
      <c r="DQ206" s="7">
        <v>2</v>
      </c>
      <c r="DR206" s="7">
        <v>2</v>
      </c>
      <c r="DS206" s="7">
        <v>2</v>
      </c>
      <c r="DT206" s="7">
        <v>2</v>
      </c>
      <c r="DU206" s="7">
        <v>2</v>
      </c>
      <c r="DV206" s="7">
        <v>2</v>
      </c>
      <c r="DW206" s="7">
        <v>2</v>
      </c>
      <c r="DX206" s="7">
        <v>2</v>
      </c>
      <c r="DY206" s="7">
        <v>2</v>
      </c>
      <c r="DZ206" s="7">
        <v>2</v>
      </c>
      <c r="EA206" s="7">
        <v>2</v>
      </c>
      <c r="EB206" s="7">
        <v>2</v>
      </c>
      <c r="EC206" s="7">
        <v>2</v>
      </c>
      <c r="ED206" s="7">
        <v>2</v>
      </c>
      <c r="EE206" s="7">
        <v>2</v>
      </c>
      <c r="EF206" s="7">
        <v>2</v>
      </c>
      <c r="EG206" s="7">
        <v>2</v>
      </c>
      <c r="EH206" s="7">
        <v>2</v>
      </c>
      <c r="EI206" s="7">
        <v>2</v>
      </c>
      <c r="EJ206" s="7">
        <v>2</v>
      </c>
      <c r="EK206" s="7">
        <v>2</v>
      </c>
      <c r="EL206" s="7">
        <v>2</v>
      </c>
      <c r="EM206" s="7">
        <v>2</v>
      </c>
      <c r="EN206" s="7">
        <v>2</v>
      </c>
      <c r="EO206" s="7">
        <v>2</v>
      </c>
      <c r="EP206" s="7">
        <v>2</v>
      </c>
      <c r="EQ206" s="7">
        <v>2</v>
      </c>
      <c r="ER206" s="7">
        <v>2</v>
      </c>
      <c r="ES206" s="7">
        <v>2</v>
      </c>
      <c r="ET206" s="7">
        <v>2</v>
      </c>
      <c r="EU206" s="7">
        <v>1</v>
      </c>
      <c r="EV206" s="7">
        <v>1</v>
      </c>
      <c r="EW206" s="7">
        <v>1</v>
      </c>
      <c r="EX206" s="7">
        <v>1</v>
      </c>
      <c r="EY206" s="7">
        <v>1</v>
      </c>
      <c r="EZ206" s="7">
        <v>1</v>
      </c>
      <c r="FB206" s="50">
        <f>HLOOKUP(M16,$AU$112:$EZ$213,95,TRUE)</f>
        <v>2</v>
      </c>
      <c r="FD206" s="50">
        <f>HLOOKUP(AL42,$AU$112:$EZ$213,95,TRUE)</f>
        <v>2</v>
      </c>
    </row>
    <row r="207" spans="46:160">
      <c r="AT207" s="112">
        <v>66.069000000000003</v>
      </c>
      <c r="AU207" s="7">
        <v>2</v>
      </c>
      <c r="AV207" s="7">
        <v>2</v>
      </c>
      <c r="AW207" s="7">
        <v>2</v>
      </c>
      <c r="AX207" s="7">
        <v>2</v>
      </c>
      <c r="AY207" s="7">
        <v>2</v>
      </c>
      <c r="AZ207" s="7">
        <v>2</v>
      </c>
      <c r="BA207" s="331">
        <v>2</v>
      </c>
      <c r="BB207" s="7">
        <v>2</v>
      </c>
      <c r="BC207" s="7">
        <v>2</v>
      </c>
      <c r="BD207" s="7">
        <v>2</v>
      </c>
      <c r="BE207" s="7">
        <v>2</v>
      </c>
      <c r="BF207" s="7">
        <v>2</v>
      </c>
      <c r="BG207" s="7">
        <v>2</v>
      </c>
      <c r="BH207" s="7">
        <v>2</v>
      </c>
      <c r="BI207" s="7">
        <v>2</v>
      </c>
      <c r="BJ207" s="7">
        <v>2</v>
      </c>
      <c r="BK207" s="7">
        <v>2</v>
      </c>
      <c r="BL207" s="7">
        <v>2</v>
      </c>
      <c r="BM207" s="7">
        <v>2</v>
      </c>
      <c r="BN207" s="7">
        <v>2</v>
      </c>
      <c r="BO207" s="7">
        <v>2</v>
      </c>
      <c r="BP207" s="7">
        <v>2</v>
      </c>
      <c r="BQ207" s="7">
        <v>2</v>
      </c>
      <c r="BR207" s="7">
        <v>2</v>
      </c>
      <c r="BS207" s="7">
        <v>2</v>
      </c>
      <c r="BT207" s="7">
        <v>2</v>
      </c>
      <c r="BU207" s="7">
        <v>2</v>
      </c>
      <c r="BV207" s="7">
        <v>2</v>
      </c>
      <c r="BW207" s="7">
        <v>2</v>
      </c>
      <c r="BX207" s="7">
        <v>2</v>
      </c>
      <c r="BY207" s="7">
        <v>2</v>
      </c>
      <c r="BZ207" s="7">
        <v>2</v>
      </c>
      <c r="CA207" s="7">
        <v>2</v>
      </c>
      <c r="CB207" s="7">
        <v>2</v>
      </c>
      <c r="CC207" s="7">
        <v>2</v>
      </c>
      <c r="CD207" s="7">
        <v>2</v>
      </c>
      <c r="CE207" s="7">
        <v>2</v>
      </c>
      <c r="CF207" s="7">
        <v>2</v>
      </c>
      <c r="CG207" s="7">
        <v>2</v>
      </c>
      <c r="CH207" s="7">
        <v>2</v>
      </c>
      <c r="CI207" s="7">
        <v>2</v>
      </c>
      <c r="CJ207" s="7">
        <v>2</v>
      </c>
      <c r="CK207" s="7">
        <v>2</v>
      </c>
      <c r="CL207" s="7">
        <v>2</v>
      </c>
      <c r="CM207" s="7">
        <v>2</v>
      </c>
      <c r="CN207" s="7">
        <v>2</v>
      </c>
      <c r="CO207" s="7">
        <v>2</v>
      </c>
      <c r="CP207" s="7">
        <v>2</v>
      </c>
      <c r="CQ207" s="7">
        <v>2</v>
      </c>
      <c r="CR207" s="7">
        <v>2</v>
      </c>
      <c r="CS207" s="7">
        <v>2</v>
      </c>
      <c r="CT207" s="7">
        <v>2</v>
      </c>
      <c r="CU207" s="7">
        <v>2</v>
      </c>
      <c r="CV207" s="7">
        <v>2</v>
      </c>
      <c r="CW207" s="7">
        <v>2</v>
      </c>
      <c r="CX207" s="7">
        <v>2</v>
      </c>
      <c r="CY207" s="7">
        <v>2</v>
      </c>
      <c r="CZ207" s="7">
        <v>2</v>
      </c>
      <c r="DA207" s="7">
        <v>2</v>
      </c>
      <c r="DB207" s="7">
        <v>2</v>
      </c>
      <c r="DC207" s="7">
        <v>2</v>
      </c>
      <c r="DD207" s="7">
        <v>2</v>
      </c>
      <c r="DE207" s="7">
        <v>2</v>
      </c>
      <c r="DF207" s="7">
        <v>2</v>
      </c>
      <c r="DG207" s="7">
        <v>2</v>
      </c>
      <c r="DH207" s="7">
        <v>2</v>
      </c>
      <c r="DI207" s="7">
        <v>2</v>
      </c>
      <c r="DJ207" s="7">
        <v>2</v>
      </c>
      <c r="DK207" s="7">
        <v>2</v>
      </c>
      <c r="DL207" s="7">
        <v>2</v>
      </c>
      <c r="DM207" s="7">
        <v>2</v>
      </c>
      <c r="DN207" s="7">
        <v>2</v>
      </c>
      <c r="DO207" s="7">
        <v>2</v>
      </c>
      <c r="DP207" s="7">
        <v>2</v>
      </c>
      <c r="DQ207" s="7">
        <v>2</v>
      </c>
      <c r="DR207" s="7">
        <v>2</v>
      </c>
      <c r="DS207" s="7">
        <v>2</v>
      </c>
      <c r="DT207" s="7">
        <v>2</v>
      </c>
      <c r="DU207" s="7">
        <v>2</v>
      </c>
      <c r="DV207" s="7">
        <v>2</v>
      </c>
      <c r="DW207" s="7">
        <v>2</v>
      </c>
      <c r="DX207" s="7">
        <v>2</v>
      </c>
      <c r="DY207" s="7">
        <v>2</v>
      </c>
      <c r="DZ207" s="7">
        <v>2</v>
      </c>
      <c r="EA207" s="7">
        <v>2</v>
      </c>
      <c r="EB207" s="7">
        <v>2</v>
      </c>
      <c r="EC207" s="7">
        <v>2</v>
      </c>
      <c r="ED207" s="7">
        <v>2</v>
      </c>
      <c r="EE207" s="7">
        <v>2</v>
      </c>
      <c r="EF207" s="7">
        <v>2</v>
      </c>
      <c r="EG207" s="7">
        <v>2</v>
      </c>
      <c r="EH207" s="7">
        <v>2</v>
      </c>
      <c r="EI207" s="7">
        <v>2</v>
      </c>
      <c r="EJ207" s="7">
        <v>2</v>
      </c>
      <c r="EK207" s="7">
        <v>2</v>
      </c>
      <c r="EL207" s="7">
        <v>2</v>
      </c>
      <c r="EM207" s="7">
        <v>2</v>
      </c>
      <c r="EN207" s="7">
        <v>2</v>
      </c>
      <c r="EO207" s="7">
        <v>2</v>
      </c>
      <c r="EP207" s="7">
        <v>2</v>
      </c>
      <c r="EQ207" s="7">
        <v>2</v>
      </c>
      <c r="ER207" s="7">
        <v>2</v>
      </c>
      <c r="ES207" s="7">
        <v>2</v>
      </c>
      <c r="ET207" s="7">
        <v>2</v>
      </c>
      <c r="EU207" s="7">
        <v>2</v>
      </c>
      <c r="EV207" s="7">
        <v>1</v>
      </c>
      <c r="EW207" s="7">
        <v>1</v>
      </c>
      <c r="EX207" s="7">
        <v>1</v>
      </c>
      <c r="EY207" s="7">
        <v>1</v>
      </c>
      <c r="EZ207" s="7">
        <v>1</v>
      </c>
      <c r="FB207" s="50">
        <f>HLOOKUP(M16,$AU$112:$EZ$213,96,TRUE)</f>
        <v>2</v>
      </c>
      <c r="FD207" s="50">
        <f>HLOOKUP(AL42,$AU$112:$EZ$213,96,TRUE)</f>
        <v>2</v>
      </c>
    </row>
    <row r="208" spans="46:160">
      <c r="AT208" s="112">
        <v>70.795000000000002</v>
      </c>
      <c r="AU208" s="7">
        <v>2</v>
      </c>
      <c r="AV208" s="7">
        <v>2</v>
      </c>
      <c r="AW208" s="7">
        <v>2</v>
      </c>
      <c r="AX208" s="7">
        <v>2</v>
      </c>
      <c r="AY208" s="7">
        <v>2</v>
      </c>
      <c r="AZ208" s="7">
        <v>2</v>
      </c>
      <c r="BA208" s="331">
        <v>2</v>
      </c>
      <c r="BB208" s="7">
        <v>2</v>
      </c>
      <c r="BC208" s="7">
        <v>2</v>
      </c>
      <c r="BD208" s="7">
        <v>2</v>
      </c>
      <c r="BE208" s="7">
        <v>2</v>
      </c>
      <c r="BF208" s="7">
        <v>2</v>
      </c>
      <c r="BG208" s="7">
        <v>2</v>
      </c>
      <c r="BH208" s="7">
        <v>2</v>
      </c>
      <c r="BI208" s="7">
        <v>2</v>
      </c>
      <c r="BJ208" s="7">
        <v>2</v>
      </c>
      <c r="BK208" s="7">
        <v>2</v>
      </c>
      <c r="BL208" s="7">
        <v>2</v>
      </c>
      <c r="BM208" s="7">
        <v>2</v>
      </c>
      <c r="BN208" s="7">
        <v>2</v>
      </c>
      <c r="BO208" s="7">
        <v>2</v>
      </c>
      <c r="BP208" s="7">
        <v>2</v>
      </c>
      <c r="BQ208" s="7">
        <v>2</v>
      </c>
      <c r="BR208" s="7">
        <v>2</v>
      </c>
      <c r="BS208" s="7">
        <v>2</v>
      </c>
      <c r="BT208" s="7">
        <v>2</v>
      </c>
      <c r="BU208" s="7">
        <v>2</v>
      </c>
      <c r="BV208" s="7">
        <v>2</v>
      </c>
      <c r="BW208" s="7">
        <v>2</v>
      </c>
      <c r="BX208" s="7">
        <v>2</v>
      </c>
      <c r="BY208" s="7">
        <v>2</v>
      </c>
      <c r="BZ208" s="7">
        <v>2</v>
      </c>
      <c r="CA208" s="7">
        <v>2</v>
      </c>
      <c r="CB208" s="7">
        <v>2</v>
      </c>
      <c r="CC208" s="7">
        <v>2</v>
      </c>
      <c r="CD208" s="7">
        <v>2</v>
      </c>
      <c r="CE208" s="7">
        <v>2</v>
      </c>
      <c r="CF208" s="7">
        <v>2</v>
      </c>
      <c r="CG208" s="7">
        <v>2</v>
      </c>
      <c r="CH208" s="7">
        <v>2</v>
      </c>
      <c r="CI208" s="7">
        <v>2</v>
      </c>
      <c r="CJ208" s="7">
        <v>2</v>
      </c>
      <c r="CK208" s="7">
        <v>2</v>
      </c>
      <c r="CL208" s="7">
        <v>2</v>
      </c>
      <c r="CM208" s="7">
        <v>2</v>
      </c>
      <c r="CN208" s="7">
        <v>2</v>
      </c>
      <c r="CO208" s="7">
        <v>2</v>
      </c>
      <c r="CP208" s="7">
        <v>2</v>
      </c>
      <c r="CQ208" s="7">
        <v>2</v>
      </c>
      <c r="CR208" s="7">
        <v>2</v>
      </c>
      <c r="CS208" s="7">
        <v>2</v>
      </c>
      <c r="CT208" s="7">
        <v>2</v>
      </c>
      <c r="CU208" s="7">
        <v>2</v>
      </c>
      <c r="CV208" s="7">
        <v>2</v>
      </c>
      <c r="CW208" s="7">
        <v>2</v>
      </c>
      <c r="CX208" s="7">
        <v>2</v>
      </c>
      <c r="CY208" s="7">
        <v>2</v>
      </c>
      <c r="CZ208" s="7">
        <v>2</v>
      </c>
      <c r="DA208" s="7">
        <v>2</v>
      </c>
      <c r="DB208" s="7">
        <v>2</v>
      </c>
      <c r="DC208" s="7">
        <v>2</v>
      </c>
      <c r="DD208" s="7">
        <v>2</v>
      </c>
      <c r="DE208" s="7">
        <v>2</v>
      </c>
      <c r="DF208" s="7">
        <v>2</v>
      </c>
      <c r="DG208" s="7">
        <v>2</v>
      </c>
      <c r="DH208" s="7">
        <v>2</v>
      </c>
      <c r="DI208" s="7">
        <v>2</v>
      </c>
      <c r="DJ208" s="7">
        <v>2</v>
      </c>
      <c r="DK208" s="7">
        <v>2</v>
      </c>
      <c r="DL208" s="7">
        <v>2</v>
      </c>
      <c r="DM208" s="7">
        <v>2</v>
      </c>
      <c r="DN208" s="7">
        <v>2</v>
      </c>
      <c r="DO208" s="7">
        <v>2</v>
      </c>
      <c r="DP208" s="7">
        <v>2</v>
      </c>
      <c r="DQ208" s="7">
        <v>2</v>
      </c>
      <c r="DR208" s="7">
        <v>2</v>
      </c>
      <c r="DS208" s="7">
        <v>2</v>
      </c>
      <c r="DT208" s="7">
        <v>2</v>
      </c>
      <c r="DU208" s="7">
        <v>2</v>
      </c>
      <c r="DV208" s="7">
        <v>2</v>
      </c>
      <c r="DW208" s="7">
        <v>2</v>
      </c>
      <c r="DX208" s="7">
        <v>2</v>
      </c>
      <c r="DY208" s="7">
        <v>2</v>
      </c>
      <c r="DZ208" s="7">
        <v>2</v>
      </c>
      <c r="EA208" s="7">
        <v>2</v>
      </c>
      <c r="EB208" s="7">
        <v>2</v>
      </c>
      <c r="EC208" s="7">
        <v>2</v>
      </c>
      <c r="ED208" s="7">
        <v>2</v>
      </c>
      <c r="EE208" s="7">
        <v>2</v>
      </c>
      <c r="EF208" s="7">
        <v>2</v>
      </c>
      <c r="EG208" s="7">
        <v>2</v>
      </c>
      <c r="EH208" s="7">
        <v>2</v>
      </c>
      <c r="EI208" s="7">
        <v>2</v>
      </c>
      <c r="EJ208" s="7">
        <v>2</v>
      </c>
      <c r="EK208" s="7">
        <v>2</v>
      </c>
      <c r="EL208" s="7">
        <v>2</v>
      </c>
      <c r="EM208" s="7">
        <v>2</v>
      </c>
      <c r="EN208" s="7">
        <v>2</v>
      </c>
      <c r="EO208" s="7">
        <v>2</v>
      </c>
      <c r="EP208" s="7">
        <v>2</v>
      </c>
      <c r="EQ208" s="7">
        <v>2</v>
      </c>
      <c r="ER208" s="7">
        <v>2</v>
      </c>
      <c r="ES208" s="7">
        <v>2</v>
      </c>
      <c r="ET208" s="7">
        <v>2</v>
      </c>
      <c r="EU208" s="7">
        <v>2</v>
      </c>
      <c r="EV208" s="7">
        <v>2</v>
      </c>
      <c r="EW208" s="7">
        <v>2</v>
      </c>
      <c r="EX208" s="7">
        <v>1</v>
      </c>
      <c r="EY208" s="7">
        <v>1</v>
      </c>
      <c r="EZ208" s="7">
        <v>1</v>
      </c>
      <c r="FB208" s="50">
        <f>HLOOKUP(M16,$AU$112:$EZ$213,97,TRUE)</f>
        <v>2</v>
      </c>
      <c r="FD208" s="50">
        <f>HLOOKUP(AL42,$AU$112:$EZ$213,97,TRUE)</f>
        <v>2</v>
      </c>
    </row>
    <row r="209" spans="46:160">
      <c r="AT209" s="112">
        <v>75.858000000000004</v>
      </c>
      <c r="AU209" s="7">
        <v>2</v>
      </c>
      <c r="AV209" s="7">
        <v>2</v>
      </c>
      <c r="AW209" s="7">
        <v>2</v>
      </c>
      <c r="AX209" s="7">
        <v>2</v>
      </c>
      <c r="AY209" s="7">
        <v>2</v>
      </c>
      <c r="AZ209" s="7">
        <v>2</v>
      </c>
      <c r="BA209" s="331">
        <v>2</v>
      </c>
      <c r="BB209" s="7">
        <v>2</v>
      </c>
      <c r="BC209" s="7">
        <v>2</v>
      </c>
      <c r="BD209" s="7">
        <v>2</v>
      </c>
      <c r="BE209" s="7">
        <v>2</v>
      </c>
      <c r="BF209" s="7">
        <v>2</v>
      </c>
      <c r="BG209" s="7">
        <v>2</v>
      </c>
      <c r="BH209" s="7">
        <v>2</v>
      </c>
      <c r="BI209" s="7">
        <v>2</v>
      </c>
      <c r="BJ209" s="7">
        <v>2</v>
      </c>
      <c r="BK209" s="7">
        <v>2</v>
      </c>
      <c r="BL209" s="7">
        <v>2</v>
      </c>
      <c r="BM209" s="7">
        <v>2</v>
      </c>
      <c r="BN209" s="7">
        <v>2</v>
      </c>
      <c r="BO209" s="7">
        <v>2</v>
      </c>
      <c r="BP209" s="7">
        <v>2</v>
      </c>
      <c r="BQ209" s="7">
        <v>2</v>
      </c>
      <c r="BR209" s="7">
        <v>2</v>
      </c>
      <c r="BS209" s="7">
        <v>2</v>
      </c>
      <c r="BT209" s="7">
        <v>2</v>
      </c>
      <c r="BU209" s="7">
        <v>2</v>
      </c>
      <c r="BV209" s="7">
        <v>2</v>
      </c>
      <c r="BW209" s="7">
        <v>2</v>
      </c>
      <c r="BX209" s="7">
        <v>2</v>
      </c>
      <c r="BY209" s="7">
        <v>2</v>
      </c>
      <c r="BZ209" s="7">
        <v>2</v>
      </c>
      <c r="CA209" s="7">
        <v>2</v>
      </c>
      <c r="CB209" s="7">
        <v>2</v>
      </c>
      <c r="CC209" s="7">
        <v>2</v>
      </c>
      <c r="CD209" s="7">
        <v>2</v>
      </c>
      <c r="CE209" s="7">
        <v>2</v>
      </c>
      <c r="CF209" s="7">
        <v>2</v>
      </c>
      <c r="CG209" s="7">
        <v>2</v>
      </c>
      <c r="CH209" s="7">
        <v>2</v>
      </c>
      <c r="CI209" s="7">
        <v>2</v>
      </c>
      <c r="CJ209" s="7">
        <v>2</v>
      </c>
      <c r="CK209" s="7">
        <v>2</v>
      </c>
      <c r="CL209" s="7">
        <v>2</v>
      </c>
      <c r="CM209" s="7">
        <v>2</v>
      </c>
      <c r="CN209" s="7">
        <v>2</v>
      </c>
      <c r="CO209" s="7">
        <v>2</v>
      </c>
      <c r="CP209" s="7">
        <v>2</v>
      </c>
      <c r="CQ209" s="7">
        <v>2</v>
      </c>
      <c r="CR209" s="7">
        <v>2</v>
      </c>
      <c r="CS209" s="7">
        <v>2</v>
      </c>
      <c r="CT209" s="7">
        <v>2</v>
      </c>
      <c r="CU209" s="7">
        <v>2</v>
      </c>
      <c r="CV209" s="7">
        <v>2</v>
      </c>
      <c r="CW209" s="7">
        <v>2</v>
      </c>
      <c r="CX209" s="7">
        <v>2</v>
      </c>
      <c r="CY209" s="7">
        <v>2</v>
      </c>
      <c r="CZ209" s="7">
        <v>2</v>
      </c>
      <c r="DA209" s="7">
        <v>2</v>
      </c>
      <c r="DB209" s="7">
        <v>2</v>
      </c>
      <c r="DC209" s="7">
        <v>2</v>
      </c>
      <c r="DD209" s="7">
        <v>2</v>
      </c>
      <c r="DE209" s="7">
        <v>2</v>
      </c>
      <c r="DF209" s="7">
        <v>2</v>
      </c>
      <c r="DG209" s="7">
        <v>2</v>
      </c>
      <c r="DH209" s="7">
        <v>2</v>
      </c>
      <c r="DI209" s="7">
        <v>2</v>
      </c>
      <c r="DJ209" s="7">
        <v>2</v>
      </c>
      <c r="DK209" s="7">
        <v>2</v>
      </c>
      <c r="DL209" s="7">
        <v>2</v>
      </c>
      <c r="DM209" s="7">
        <v>2</v>
      </c>
      <c r="DN209" s="7">
        <v>2</v>
      </c>
      <c r="DO209" s="7">
        <v>2</v>
      </c>
      <c r="DP209" s="7">
        <v>2</v>
      </c>
      <c r="DQ209" s="7">
        <v>2</v>
      </c>
      <c r="DR209" s="7">
        <v>2</v>
      </c>
      <c r="DS209" s="7">
        <v>2</v>
      </c>
      <c r="DT209" s="7">
        <v>2</v>
      </c>
      <c r="DU209" s="7">
        <v>2</v>
      </c>
      <c r="DV209" s="7">
        <v>2</v>
      </c>
      <c r="DW209" s="7">
        <v>2</v>
      </c>
      <c r="DX209" s="7">
        <v>2</v>
      </c>
      <c r="DY209" s="7">
        <v>2</v>
      </c>
      <c r="DZ209" s="7">
        <v>2</v>
      </c>
      <c r="EA209" s="7">
        <v>2</v>
      </c>
      <c r="EB209" s="7">
        <v>2</v>
      </c>
      <c r="EC209" s="7">
        <v>2</v>
      </c>
      <c r="ED209" s="7">
        <v>2</v>
      </c>
      <c r="EE209" s="7">
        <v>2</v>
      </c>
      <c r="EF209" s="7">
        <v>2</v>
      </c>
      <c r="EG209" s="7">
        <v>2</v>
      </c>
      <c r="EH209" s="7">
        <v>2</v>
      </c>
      <c r="EI209" s="7">
        <v>2</v>
      </c>
      <c r="EJ209" s="7">
        <v>2</v>
      </c>
      <c r="EK209" s="7">
        <v>2</v>
      </c>
      <c r="EL209" s="7">
        <v>2</v>
      </c>
      <c r="EM209" s="7">
        <v>2</v>
      </c>
      <c r="EN209" s="7">
        <v>2</v>
      </c>
      <c r="EO209" s="7">
        <v>2</v>
      </c>
      <c r="EP209" s="7">
        <v>2</v>
      </c>
      <c r="EQ209" s="7">
        <v>2</v>
      </c>
      <c r="ER209" s="7">
        <v>2</v>
      </c>
      <c r="ES209" s="7">
        <v>2</v>
      </c>
      <c r="ET209" s="7">
        <v>2</v>
      </c>
      <c r="EU209" s="7">
        <v>2</v>
      </c>
      <c r="EV209" s="7">
        <v>2</v>
      </c>
      <c r="EW209" s="7">
        <v>2</v>
      </c>
      <c r="EX209" s="7">
        <v>2</v>
      </c>
      <c r="EY209" s="7">
        <v>1</v>
      </c>
      <c r="EZ209" s="7">
        <v>1</v>
      </c>
      <c r="FB209" s="50">
        <f>HLOOKUP(M16,$AU$112:$EZ$213,98,TRUE)</f>
        <v>2</v>
      </c>
      <c r="FD209" s="50">
        <f>HLOOKUP(AL42,$AU$112:$EZ$213,98,TRUE)</f>
        <v>2</v>
      </c>
    </row>
    <row r="210" spans="46:160">
      <c r="AT210" s="112">
        <v>81.283000000000001</v>
      </c>
      <c r="AU210" s="7">
        <v>2</v>
      </c>
      <c r="AV210" s="7">
        <v>2</v>
      </c>
      <c r="AW210" s="7">
        <v>2</v>
      </c>
      <c r="AX210" s="7">
        <v>2</v>
      </c>
      <c r="AY210" s="7">
        <v>2</v>
      </c>
      <c r="AZ210" s="7">
        <v>2</v>
      </c>
      <c r="BA210" s="331">
        <v>2</v>
      </c>
      <c r="BB210" s="7">
        <v>2</v>
      </c>
      <c r="BC210" s="7">
        <v>2</v>
      </c>
      <c r="BD210" s="7">
        <v>2</v>
      </c>
      <c r="BE210" s="7">
        <v>2</v>
      </c>
      <c r="BF210" s="7">
        <v>2</v>
      </c>
      <c r="BG210" s="7">
        <v>2</v>
      </c>
      <c r="BH210" s="7">
        <v>2</v>
      </c>
      <c r="BI210" s="7">
        <v>2</v>
      </c>
      <c r="BJ210" s="7">
        <v>2</v>
      </c>
      <c r="BK210" s="7">
        <v>2</v>
      </c>
      <c r="BL210" s="7">
        <v>2</v>
      </c>
      <c r="BM210" s="7">
        <v>2</v>
      </c>
      <c r="BN210" s="7">
        <v>2</v>
      </c>
      <c r="BO210" s="7">
        <v>2</v>
      </c>
      <c r="BP210" s="7">
        <v>2</v>
      </c>
      <c r="BQ210" s="7">
        <v>2</v>
      </c>
      <c r="BR210" s="7">
        <v>2</v>
      </c>
      <c r="BS210" s="7">
        <v>2</v>
      </c>
      <c r="BT210" s="7">
        <v>2</v>
      </c>
      <c r="BU210" s="7">
        <v>2</v>
      </c>
      <c r="BV210" s="7">
        <v>2</v>
      </c>
      <c r="BW210" s="7">
        <v>2</v>
      </c>
      <c r="BX210" s="7">
        <v>2</v>
      </c>
      <c r="BY210" s="7">
        <v>2</v>
      </c>
      <c r="BZ210" s="7">
        <v>2</v>
      </c>
      <c r="CA210" s="7">
        <v>2</v>
      </c>
      <c r="CB210" s="7">
        <v>2</v>
      </c>
      <c r="CC210" s="7">
        <v>2</v>
      </c>
      <c r="CD210" s="7">
        <v>2</v>
      </c>
      <c r="CE210" s="7">
        <v>2</v>
      </c>
      <c r="CF210" s="7">
        <v>2</v>
      </c>
      <c r="CG210" s="7">
        <v>2</v>
      </c>
      <c r="CH210" s="7">
        <v>2</v>
      </c>
      <c r="CI210" s="7">
        <v>2</v>
      </c>
      <c r="CJ210" s="7">
        <v>2</v>
      </c>
      <c r="CK210" s="7">
        <v>2</v>
      </c>
      <c r="CL210" s="7">
        <v>2</v>
      </c>
      <c r="CM210" s="7">
        <v>2</v>
      </c>
      <c r="CN210" s="7">
        <v>2</v>
      </c>
      <c r="CO210" s="7">
        <v>2</v>
      </c>
      <c r="CP210" s="7">
        <v>2</v>
      </c>
      <c r="CQ210" s="7">
        <v>2</v>
      </c>
      <c r="CR210" s="7">
        <v>2</v>
      </c>
      <c r="CS210" s="7">
        <v>2</v>
      </c>
      <c r="CT210" s="7">
        <v>2</v>
      </c>
      <c r="CU210" s="7">
        <v>2</v>
      </c>
      <c r="CV210" s="7">
        <v>2</v>
      </c>
      <c r="CW210" s="7">
        <v>2</v>
      </c>
      <c r="CX210" s="7">
        <v>2</v>
      </c>
      <c r="CY210" s="7">
        <v>2</v>
      </c>
      <c r="CZ210" s="7">
        <v>2</v>
      </c>
      <c r="DA210" s="7">
        <v>2</v>
      </c>
      <c r="DB210" s="7">
        <v>2</v>
      </c>
      <c r="DC210" s="7">
        <v>2</v>
      </c>
      <c r="DD210" s="7">
        <v>2</v>
      </c>
      <c r="DE210" s="7">
        <v>2</v>
      </c>
      <c r="DF210" s="7">
        <v>2</v>
      </c>
      <c r="DG210" s="7">
        <v>2</v>
      </c>
      <c r="DH210" s="7">
        <v>2</v>
      </c>
      <c r="DI210" s="7">
        <v>2</v>
      </c>
      <c r="DJ210" s="7">
        <v>2</v>
      </c>
      <c r="DK210" s="7">
        <v>2</v>
      </c>
      <c r="DL210" s="7">
        <v>2</v>
      </c>
      <c r="DM210" s="7">
        <v>2</v>
      </c>
      <c r="DN210" s="7">
        <v>2</v>
      </c>
      <c r="DO210" s="7">
        <v>2</v>
      </c>
      <c r="DP210" s="7">
        <v>2</v>
      </c>
      <c r="DQ210" s="7">
        <v>2</v>
      </c>
      <c r="DR210" s="7">
        <v>2</v>
      </c>
      <c r="DS210" s="7">
        <v>2</v>
      </c>
      <c r="DT210" s="7">
        <v>2</v>
      </c>
      <c r="DU210" s="7">
        <v>2</v>
      </c>
      <c r="DV210" s="7">
        <v>2</v>
      </c>
      <c r="DW210" s="7">
        <v>2</v>
      </c>
      <c r="DX210" s="7">
        <v>2</v>
      </c>
      <c r="DY210" s="7">
        <v>2</v>
      </c>
      <c r="DZ210" s="7">
        <v>2</v>
      </c>
      <c r="EA210" s="7">
        <v>2</v>
      </c>
      <c r="EB210" s="7">
        <v>2</v>
      </c>
      <c r="EC210" s="7">
        <v>2</v>
      </c>
      <c r="ED210" s="7">
        <v>2</v>
      </c>
      <c r="EE210" s="7">
        <v>2</v>
      </c>
      <c r="EF210" s="7">
        <v>2</v>
      </c>
      <c r="EG210" s="7">
        <v>2</v>
      </c>
      <c r="EH210" s="7">
        <v>2</v>
      </c>
      <c r="EI210" s="7">
        <v>2</v>
      </c>
      <c r="EJ210" s="7">
        <v>2</v>
      </c>
      <c r="EK210" s="7">
        <v>2</v>
      </c>
      <c r="EL210" s="7">
        <v>2</v>
      </c>
      <c r="EM210" s="7">
        <v>2</v>
      </c>
      <c r="EN210" s="7">
        <v>2</v>
      </c>
      <c r="EO210" s="7">
        <v>2</v>
      </c>
      <c r="EP210" s="7">
        <v>2</v>
      </c>
      <c r="EQ210" s="7">
        <v>2</v>
      </c>
      <c r="ER210" s="7">
        <v>2</v>
      </c>
      <c r="ES210" s="7">
        <v>2</v>
      </c>
      <c r="ET210" s="7">
        <v>2</v>
      </c>
      <c r="EU210" s="7">
        <v>2</v>
      </c>
      <c r="EV210" s="7">
        <v>2</v>
      </c>
      <c r="EW210" s="7">
        <v>2</v>
      </c>
      <c r="EX210" s="7">
        <v>2</v>
      </c>
      <c r="EY210" s="7">
        <v>2</v>
      </c>
      <c r="EZ210" s="7">
        <v>1</v>
      </c>
      <c r="FB210" s="50">
        <f>HLOOKUP(M16,$AU$112:$EZ$213,99,TRUE)</f>
        <v>2</v>
      </c>
      <c r="FD210" s="50">
        <f>HLOOKUP(AL42,$AU$112:$EZ$213,99,TRUE)</f>
        <v>2</v>
      </c>
    </row>
    <row r="211" spans="46:160">
      <c r="AT211" s="112">
        <v>87.096000000000004</v>
      </c>
      <c r="AU211" s="7">
        <v>2</v>
      </c>
      <c r="AV211" s="7">
        <v>2</v>
      </c>
      <c r="AW211" s="7">
        <v>2</v>
      </c>
      <c r="AX211" s="7">
        <v>2</v>
      </c>
      <c r="AY211" s="7">
        <v>2</v>
      </c>
      <c r="AZ211" s="7">
        <v>2</v>
      </c>
      <c r="BA211" s="331">
        <v>2</v>
      </c>
      <c r="BB211" s="7">
        <v>2</v>
      </c>
      <c r="BC211" s="7">
        <v>2</v>
      </c>
      <c r="BD211" s="7">
        <v>2</v>
      </c>
      <c r="BE211" s="7">
        <v>2</v>
      </c>
      <c r="BF211" s="7">
        <v>2</v>
      </c>
      <c r="BG211" s="7">
        <v>2</v>
      </c>
      <c r="BH211" s="7">
        <v>2</v>
      </c>
      <c r="BI211" s="7">
        <v>2</v>
      </c>
      <c r="BJ211" s="7">
        <v>2</v>
      </c>
      <c r="BK211" s="7">
        <v>2</v>
      </c>
      <c r="BL211" s="7">
        <v>2</v>
      </c>
      <c r="BM211" s="7">
        <v>2</v>
      </c>
      <c r="BN211" s="7">
        <v>2</v>
      </c>
      <c r="BO211" s="7">
        <v>2</v>
      </c>
      <c r="BP211" s="7">
        <v>2</v>
      </c>
      <c r="BQ211" s="7">
        <v>2</v>
      </c>
      <c r="BR211" s="7">
        <v>2</v>
      </c>
      <c r="BS211" s="7">
        <v>2</v>
      </c>
      <c r="BT211" s="7">
        <v>2</v>
      </c>
      <c r="BU211" s="7">
        <v>2</v>
      </c>
      <c r="BV211" s="7">
        <v>2</v>
      </c>
      <c r="BW211" s="7">
        <v>2</v>
      </c>
      <c r="BX211" s="7">
        <v>2</v>
      </c>
      <c r="BY211" s="7">
        <v>2</v>
      </c>
      <c r="BZ211" s="7">
        <v>2</v>
      </c>
      <c r="CA211" s="7">
        <v>2</v>
      </c>
      <c r="CB211" s="7">
        <v>2</v>
      </c>
      <c r="CC211" s="7">
        <v>2</v>
      </c>
      <c r="CD211" s="7">
        <v>2</v>
      </c>
      <c r="CE211" s="7">
        <v>2</v>
      </c>
      <c r="CF211" s="7">
        <v>2</v>
      </c>
      <c r="CG211" s="7">
        <v>2</v>
      </c>
      <c r="CH211" s="7">
        <v>2</v>
      </c>
      <c r="CI211" s="7">
        <v>2</v>
      </c>
      <c r="CJ211" s="7">
        <v>2</v>
      </c>
      <c r="CK211" s="7">
        <v>2</v>
      </c>
      <c r="CL211" s="7">
        <v>2</v>
      </c>
      <c r="CM211" s="7">
        <v>2</v>
      </c>
      <c r="CN211" s="7">
        <v>2</v>
      </c>
      <c r="CO211" s="7">
        <v>2</v>
      </c>
      <c r="CP211" s="7">
        <v>2</v>
      </c>
      <c r="CQ211" s="7">
        <v>2</v>
      </c>
      <c r="CR211" s="7">
        <v>2</v>
      </c>
      <c r="CS211" s="7">
        <v>2</v>
      </c>
      <c r="CT211" s="7">
        <v>2</v>
      </c>
      <c r="CU211" s="7">
        <v>2</v>
      </c>
      <c r="CV211" s="7">
        <v>2</v>
      </c>
      <c r="CW211" s="7">
        <v>2</v>
      </c>
      <c r="CX211" s="7">
        <v>2</v>
      </c>
      <c r="CY211" s="7">
        <v>2</v>
      </c>
      <c r="CZ211" s="7">
        <v>2</v>
      </c>
      <c r="DA211" s="7">
        <v>2</v>
      </c>
      <c r="DB211" s="7">
        <v>2</v>
      </c>
      <c r="DC211" s="7">
        <v>2</v>
      </c>
      <c r="DD211" s="7">
        <v>2</v>
      </c>
      <c r="DE211" s="7">
        <v>2</v>
      </c>
      <c r="DF211" s="7">
        <v>2</v>
      </c>
      <c r="DG211" s="7">
        <v>2</v>
      </c>
      <c r="DH211" s="7">
        <v>2</v>
      </c>
      <c r="DI211" s="7">
        <v>2</v>
      </c>
      <c r="DJ211" s="7">
        <v>2</v>
      </c>
      <c r="DK211" s="7">
        <v>2</v>
      </c>
      <c r="DL211" s="7">
        <v>2</v>
      </c>
      <c r="DM211" s="7">
        <v>2</v>
      </c>
      <c r="DN211" s="7">
        <v>2</v>
      </c>
      <c r="DO211" s="7">
        <v>2</v>
      </c>
      <c r="DP211" s="7">
        <v>2</v>
      </c>
      <c r="DQ211" s="7">
        <v>2</v>
      </c>
      <c r="DR211" s="7">
        <v>2</v>
      </c>
      <c r="DS211" s="7">
        <v>2</v>
      </c>
      <c r="DT211" s="7">
        <v>2</v>
      </c>
      <c r="DU211" s="7">
        <v>2</v>
      </c>
      <c r="DV211" s="7">
        <v>2</v>
      </c>
      <c r="DW211" s="7">
        <v>2</v>
      </c>
      <c r="DX211" s="7">
        <v>2</v>
      </c>
      <c r="DY211" s="7">
        <v>2</v>
      </c>
      <c r="DZ211" s="7">
        <v>2</v>
      </c>
      <c r="EA211" s="7">
        <v>2</v>
      </c>
      <c r="EB211" s="7">
        <v>2</v>
      </c>
      <c r="EC211" s="7">
        <v>2</v>
      </c>
      <c r="ED211" s="7">
        <v>2</v>
      </c>
      <c r="EE211" s="7">
        <v>2</v>
      </c>
      <c r="EF211" s="7">
        <v>2</v>
      </c>
      <c r="EG211" s="7">
        <v>2</v>
      </c>
      <c r="EH211" s="7">
        <v>2</v>
      </c>
      <c r="EI211" s="7">
        <v>2</v>
      </c>
      <c r="EJ211" s="7">
        <v>2</v>
      </c>
      <c r="EK211" s="7">
        <v>2</v>
      </c>
      <c r="EL211" s="7">
        <v>2</v>
      </c>
      <c r="EM211" s="7">
        <v>2</v>
      </c>
      <c r="EN211" s="7">
        <v>2</v>
      </c>
      <c r="EO211" s="7">
        <v>2</v>
      </c>
      <c r="EP211" s="7">
        <v>2</v>
      </c>
      <c r="EQ211" s="7">
        <v>2</v>
      </c>
      <c r="ER211" s="7">
        <v>2</v>
      </c>
      <c r="ES211" s="7">
        <v>2</v>
      </c>
      <c r="ET211" s="7">
        <v>2</v>
      </c>
      <c r="EU211" s="7">
        <v>2</v>
      </c>
      <c r="EV211" s="7">
        <v>2</v>
      </c>
      <c r="EW211" s="7">
        <v>2</v>
      </c>
      <c r="EX211" s="7">
        <v>2</v>
      </c>
      <c r="EY211" s="7">
        <v>2</v>
      </c>
      <c r="EZ211" s="7">
        <v>2</v>
      </c>
      <c r="FB211" s="50">
        <f>HLOOKUP(M16,$AU$112:$EZ$213,100,TRUE)</f>
        <v>2</v>
      </c>
      <c r="FD211" s="50">
        <f>HLOOKUP(AL42,$AU$112:$EZ$213,100,TRUE)</f>
        <v>2</v>
      </c>
    </row>
    <row r="212" spans="46:160">
      <c r="AT212" s="112">
        <v>93.325000000000003</v>
      </c>
      <c r="AU212" s="7">
        <v>2</v>
      </c>
      <c r="AV212" s="7">
        <v>2</v>
      </c>
      <c r="AW212" s="7">
        <v>2</v>
      </c>
      <c r="AX212" s="7">
        <v>2</v>
      </c>
      <c r="AY212" s="7">
        <v>2</v>
      </c>
      <c r="AZ212" s="7">
        <v>2</v>
      </c>
      <c r="BA212" s="331">
        <v>2</v>
      </c>
      <c r="BB212" s="7">
        <v>2</v>
      </c>
      <c r="BC212" s="7">
        <v>2</v>
      </c>
      <c r="BD212" s="7">
        <v>2</v>
      </c>
      <c r="BE212" s="7">
        <v>2</v>
      </c>
      <c r="BF212" s="7">
        <v>2</v>
      </c>
      <c r="BG212" s="7">
        <v>2</v>
      </c>
      <c r="BH212" s="7">
        <v>2</v>
      </c>
      <c r="BI212" s="7">
        <v>2</v>
      </c>
      <c r="BJ212" s="7">
        <v>2</v>
      </c>
      <c r="BK212" s="7">
        <v>2</v>
      </c>
      <c r="BL212" s="7">
        <v>2</v>
      </c>
      <c r="BM212" s="7">
        <v>2</v>
      </c>
      <c r="BN212" s="7">
        <v>2</v>
      </c>
      <c r="BO212" s="7">
        <v>2</v>
      </c>
      <c r="BP212" s="7">
        <v>2</v>
      </c>
      <c r="BQ212" s="7">
        <v>2</v>
      </c>
      <c r="BR212" s="7">
        <v>2</v>
      </c>
      <c r="BS212" s="7">
        <v>2</v>
      </c>
      <c r="BT212" s="7">
        <v>2</v>
      </c>
      <c r="BU212" s="7">
        <v>2</v>
      </c>
      <c r="BV212" s="7">
        <v>2</v>
      </c>
      <c r="BW212" s="7">
        <v>2</v>
      </c>
      <c r="BX212" s="7">
        <v>2</v>
      </c>
      <c r="BY212" s="7">
        <v>2</v>
      </c>
      <c r="BZ212" s="7">
        <v>2</v>
      </c>
      <c r="CA212" s="7">
        <v>2</v>
      </c>
      <c r="CB212" s="7">
        <v>2</v>
      </c>
      <c r="CC212" s="7">
        <v>2</v>
      </c>
      <c r="CD212" s="7">
        <v>2</v>
      </c>
      <c r="CE212" s="7">
        <v>2</v>
      </c>
      <c r="CF212" s="7">
        <v>2</v>
      </c>
      <c r="CG212" s="7">
        <v>2</v>
      </c>
      <c r="CH212" s="7">
        <v>2</v>
      </c>
      <c r="CI212" s="7">
        <v>2</v>
      </c>
      <c r="CJ212" s="7">
        <v>2</v>
      </c>
      <c r="CK212" s="7">
        <v>2</v>
      </c>
      <c r="CL212" s="7">
        <v>2</v>
      </c>
      <c r="CM212" s="7">
        <v>2</v>
      </c>
      <c r="CN212" s="7">
        <v>2</v>
      </c>
      <c r="CO212" s="7">
        <v>2</v>
      </c>
      <c r="CP212" s="7">
        <v>2</v>
      </c>
      <c r="CQ212" s="7">
        <v>2</v>
      </c>
      <c r="CR212" s="7">
        <v>2</v>
      </c>
      <c r="CS212" s="7">
        <v>2</v>
      </c>
      <c r="CT212" s="7">
        <v>2</v>
      </c>
      <c r="CU212" s="7">
        <v>2</v>
      </c>
      <c r="CV212" s="7">
        <v>2</v>
      </c>
      <c r="CW212" s="7">
        <v>2</v>
      </c>
      <c r="CX212" s="7">
        <v>2</v>
      </c>
      <c r="CY212" s="7">
        <v>2</v>
      </c>
      <c r="CZ212" s="7">
        <v>2</v>
      </c>
      <c r="DA212" s="7">
        <v>2</v>
      </c>
      <c r="DB212" s="7">
        <v>2</v>
      </c>
      <c r="DC212" s="7">
        <v>2</v>
      </c>
      <c r="DD212" s="7">
        <v>2</v>
      </c>
      <c r="DE212" s="7">
        <v>2</v>
      </c>
      <c r="DF212" s="7">
        <v>2</v>
      </c>
      <c r="DG212" s="7">
        <v>2</v>
      </c>
      <c r="DH212" s="7">
        <v>2</v>
      </c>
      <c r="DI212" s="7">
        <v>2</v>
      </c>
      <c r="DJ212" s="7">
        <v>2</v>
      </c>
      <c r="DK212" s="7">
        <v>2</v>
      </c>
      <c r="DL212" s="7">
        <v>2</v>
      </c>
      <c r="DM212" s="7">
        <v>2</v>
      </c>
      <c r="DN212" s="7">
        <v>2</v>
      </c>
      <c r="DO212" s="7">
        <v>2</v>
      </c>
      <c r="DP212" s="7">
        <v>2</v>
      </c>
      <c r="DQ212" s="7">
        <v>2</v>
      </c>
      <c r="DR212" s="7">
        <v>2</v>
      </c>
      <c r="DS212" s="7">
        <v>2</v>
      </c>
      <c r="DT212" s="7">
        <v>2</v>
      </c>
      <c r="DU212" s="7">
        <v>2</v>
      </c>
      <c r="DV212" s="7">
        <v>2</v>
      </c>
      <c r="DW212" s="7">
        <v>2</v>
      </c>
      <c r="DX212" s="7">
        <v>2</v>
      </c>
      <c r="DY212" s="7">
        <v>2</v>
      </c>
      <c r="DZ212" s="7">
        <v>2</v>
      </c>
      <c r="EA212" s="7">
        <v>2</v>
      </c>
      <c r="EB212" s="7">
        <v>2</v>
      </c>
      <c r="EC212" s="7">
        <v>2</v>
      </c>
      <c r="ED212" s="7">
        <v>2</v>
      </c>
      <c r="EE212" s="7">
        <v>2</v>
      </c>
      <c r="EF212" s="7">
        <v>2</v>
      </c>
      <c r="EG212" s="7">
        <v>2</v>
      </c>
      <c r="EH212" s="7">
        <v>2</v>
      </c>
      <c r="EI212" s="7">
        <v>2</v>
      </c>
      <c r="EJ212" s="7">
        <v>2</v>
      </c>
      <c r="EK212" s="7">
        <v>2</v>
      </c>
      <c r="EL212" s="7">
        <v>2</v>
      </c>
      <c r="EM212" s="7">
        <v>2</v>
      </c>
      <c r="EN212" s="7">
        <v>2</v>
      </c>
      <c r="EO212" s="7">
        <v>2</v>
      </c>
      <c r="EP212" s="7">
        <v>2</v>
      </c>
      <c r="EQ212" s="7">
        <v>2</v>
      </c>
      <c r="ER212" s="7">
        <v>2</v>
      </c>
      <c r="ES212" s="7">
        <v>2</v>
      </c>
      <c r="ET212" s="7">
        <v>2</v>
      </c>
      <c r="EU212" s="7">
        <v>2</v>
      </c>
      <c r="EV212" s="7">
        <v>2</v>
      </c>
      <c r="EW212" s="7">
        <v>2</v>
      </c>
      <c r="EX212" s="7">
        <v>2</v>
      </c>
      <c r="EY212" s="7">
        <v>2</v>
      </c>
      <c r="EZ212" s="7">
        <v>2</v>
      </c>
      <c r="FB212" s="50">
        <f>HLOOKUP(M16,$AU$112:$EZ$213,101,TRUE)</f>
        <v>2</v>
      </c>
      <c r="FD212" s="50">
        <f>HLOOKUP(AL42,$AU$112:$EZ$213,101,TRUE)</f>
        <v>2</v>
      </c>
    </row>
    <row r="213" spans="46:160">
      <c r="AT213" s="112">
        <v>100</v>
      </c>
      <c r="AU213" s="7">
        <v>2</v>
      </c>
      <c r="AV213" s="7">
        <v>2</v>
      </c>
      <c r="AW213" s="7">
        <v>2</v>
      </c>
      <c r="AX213" s="7">
        <v>2</v>
      </c>
      <c r="AY213" s="7">
        <v>2</v>
      </c>
      <c r="AZ213" s="7">
        <v>2</v>
      </c>
      <c r="BA213" s="331">
        <v>2</v>
      </c>
      <c r="BB213" s="7">
        <v>2</v>
      </c>
      <c r="BC213" s="7">
        <v>2</v>
      </c>
      <c r="BD213" s="7">
        <v>2</v>
      </c>
      <c r="BE213" s="7">
        <v>2</v>
      </c>
      <c r="BF213" s="7">
        <v>2</v>
      </c>
      <c r="BG213" s="7">
        <v>2</v>
      </c>
      <c r="BH213" s="7">
        <v>2</v>
      </c>
      <c r="BI213" s="7">
        <v>2</v>
      </c>
      <c r="BJ213" s="7">
        <v>2</v>
      </c>
      <c r="BK213" s="7">
        <v>2</v>
      </c>
      <c r="BL213" s="7">
        <v>2</v>
      </c>
      <c r="BM213" s="7">
        <v>2</v>
      </c>
      <c r="BN213" s="7">
        <v>2</v>
      </c>
      <c r="BO213" s="7">
        <v>2</v>
      </c>
      <c r="BP213" s="7">
        <v>2</v>
      </c>
      <c r="BQ213" s="7">
        <v>2</v>
      </c>
      <c r="BR213" s="7">
        <v>2</v>
      </c>
      <c r="BS213" s="7">
        <v>2</v>
      </c>
      <c r="BT213" s="7">
        <v>2</v>
      </c>
      <c r="BU213" s="7">
        <v>2</v>
      </c>
      <c r="BV213" s="7">
        <v>2</v>
      </c>
      <c r="BW213" s="7">
        <v>2</v>
      </c>
      <c r="BX213" s="7">
        <v>2</v>
      </c>
      <c r="BY213" s="7">
        <v>2</v>
      </c>
      <c r="BZ213" s="7">
        <v>2</v>
      </c>
      <c r="CA213" s="7">
        <v>2</v>
      </c>
      <c r="CB213" s="7">
        <v>2</v>
      </c>
      <c r="CC213" s="7">
        <v>2</v>
      </c>
      <c r="CD213" s="7">
        <v>2</v>
      </c>
      <c r="CE213" s="7">
        <v>2</v>
      </c>
      <c r="CF213" s="7">
        <v>2</v>
      </c>
      <c r="CG213" s="7">
        <v>2</v>
      </c>
      <c r="CH213" s="7">
        <v>2</v>
      </c>
      <c r="CI213" s="7">
        <v>2</v>
      </c>
      <c r="CJ213" s="7">
        <v>2</v>
      </c>
      <c r="CK213" s="7">
        <v>2</v>
      </c>
      <c r="CL213" s="7">
        <v>2</v>
      </c>
      <c r="CM213" s="7">
        <v>2</v>
      </c>
      <c r="CN213" s="7">
        <v>2</v>
      </c>
      <c r="CO213" s="7">
        <v>2</v>
      </c>
      <c r="CP213" s="7">
        <v>2</v>
      </c>
      <c r="CQ213" s="7">
        <v>2</v>
      </c>
      <c r="CR213" s="7">
        <v>2</v>
      </c>
      <c r="CS213" s="7">
        <v>2</v>
      </c>
      <c r="CT213" s="7">
        <v>2</v>
      </c>
      <c r="CU213" s="7">
        <v>2</v>
      </c>
      <c r="CV213" s="7">
        <v>2</v>
      </c>
      <c r="CW213" s="7">
        <v>2</v>
      </c>
      <c r="CX213" s="7">
        <v>2</v>
      </c>
      <c r="CY213" s="7">
        <v>2</v>
      </c>
      <c r="CZ213" s="7">
        <v>2</v>
      </c>
      <c r="DA213" s="7">
        <v>2</v>
      </c>
      <c r="DB213" s="7">
        <v>2</v>
      </c>
      <c r="DC213" s="7">
        <v>2</v>
      </c>
      <c r="DD213" s="7">
        <v>2</v>
      </c>
      <c r="DE213" s="7">
        <v>2</v>
      </c>
      <c r="DF213" s="7">
        <v>2</v>
      </c>
      <c r="DG213" s="7">
        <v>2</v>
      </c>
      <c r="DH213" s="7">
        <v>2</v>
      </c>
      <c r="DI213" s="7">
        <v>2</v>
      </c>
      <c r="DJ213" s="7">
        <v>2</v>
      </c>
      <c r="DK213" s="7">
        <v>2</v>
      </c>
      <c r="DL213" s="7">
        <v>2</v>
      </c>
      <c r="DM213" s="7">
        <v>2</v>
      </c>
      <c r="DN213" s="7">
        <v>2</v>
      </c>
      <c r="DO213" s="7">
        <v>2</v>
      </c>
      <c r="DP213" s="7">
        <v>2</v>
      </c>
      <c r="DQ213" s="7">
        <v>2</v>
      </c>
      <c r="DR213" s="7">
        <v>2</v>
      </c>
      <c r="DS213" s="7">
        <v>2</v>
      </c>
      <c r="DT213" s="7">
        <v>2</v>
      </c>
      <c r="DU213" s="7">
        <v>2</v>
      </c>
      <c r="DV213" s="7">
        <v>2</v>
      </c>
      <c r="DW213" s="7">
        <v>2</v>
      </c>
      <c r="DX213" s="7">
        <v>2</v>
      </c>
      <c r="DY213" s="7">
        <v>2</v>
      </c>
      <c r="DZ213" s="7">
        <v>2</v>
      </c>
      <c r="EA213" s="7">
        <v>2</v>
      </c>
      <c r="EB213" s="7">
        <v>2</v>
      </c>
      <c r="EC213" s="7">
        <v>2</v>
      </c>
      <c r="ED213" s="7">
        <v>2</v>
      </c>
      <c r="EE213" s="7">
        <v>2</v>
      </c>
      <c r="EF213" s="7">
        <v>2</v>
      </c>
      <c r="EG213" s="7">
        <v>2</v>
      </c>
      <c r="EH213" s="7">
        <v>2</v>
      </c>
      <c r="EI213" s="7">
        <v>2</v>
      </c>
      <c r="EJ213" s="7">
        <v>2</v>
      </c>
      <c r="EK213" s="7">
        <v>2</v>
      </c>
      <c r="EL213" s="7">
        <v>2</v>
      </c>
      <c r="EM213" s="7">
        <v>2</v>
      </c>
      <c r="EN213" s="7">
        <v>2</v>
      </c>
      <c r="EO213" s="7">
        <v>2</v>
      </c>
      <c r="EP213" s="7">
        <v>2</v>
      </c>
      <c r="EQ213" s="7">
        <v>2</v>
      </c>
      <c r="ER213" s="7">
        <v>2</v>
      </c>
      <c r="ES213" s="7">
        <v>2</v>
      </c>
      <c r="ET213" s="7">
        <v>2</v>
      </c>
      <c r="EU213" s="7">
        <v>2</v>
      </c>
      <c r="EV213" s="7">
        <v>2</v>
      </c>
      <c r="EW213" s="7">
        <v>2</v>
      </c>
      <c r="EX213" s="7">
        <v>2</v>
      </c>
      <c r="EY213" s="7">
        <v>2</v>
      </c>
      <c r="EZ213" s="7">
        <v>2</v>
      </c>
      <c r="FB213" s="50">
        <f>HLOOKUP(M16,$AU$112:$EZ$213,102,TRUE)</f>
        <v>2</v>
      </c>
      <c r="FD213" s="50">
        <f>HLOOKUP(AL42,$AU$112:$EZ$213,102,TRUE)</f>
        <v>2</v>
      </c>
    </row>
    <row r="214" spans="46:160">
      <c r="AT214" s="112"/>
      <c r="AU214" s="7"/>
      <c r="AV214" s="7"/>
      <c r="AW214" s="7"/>
      <c r="AX214" s="7"/>
      <c r="AY214" s="7"/>
      <c r="AZ214" s="7"/>
      <c r="BA214" s="331"/>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c r="DX214" s="7"/>
      <c r="DY214" s="7"/>
      <c r="DZ214" s="7"/>
      <c r="EA214" s="7"/>
      <c r="EB214" s="7"/>
      <c r="EC214" s="7"/>
      <c r="ED214" s="7"/>
      <c r="EE214" s="7"/>
      <c r="EF214" s="7"/>
      <c r="EG214" s="7"/>
      <c r="EH214" s="7"/>
      <c r="EI214" s="7"/>
      <c r="EJ214" s="7"/>
      <c r="EK214" s="7"/>
      <c r="EL214" s="7"/>
      <c r="EM214" s="7"/>
      <c r="EN214" s="7"/>
      <c r="EO214" s="7"/>
      <c r="EP214" s="7"/>
      <c r="EQ214" s="7"/>
      <c r="ER214" s="7"/>
      <c r="ES214" s="7"/>
      <c r="ET214" s="7"/>
      <c r="EU214" s="7"/>
      <c r="EV214" s="7"/>
      <c r="EW214" s="7"/>
      <c r="EX214" s="7"/>
      <c r="EY214" s="7"/>
      <c r="EZ214" s="7"/>
      <c r="FB214" s="50"/>
    </row>
    <row r="215" spans="46:160">
      <c r="AT215" s="112"/>
      <c r="AU215" s="7"/>
      <c r="AV215" s="7"/>
      <c r="AW215" s="7"/>
      <c r="AX215" s="7"/>
      <c r="AY215" s="7"/>
      <c r="AZ215" s="7"/>
      <c r="BA215" s="331"/>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c r="DX215" s="7"/>
      <c r="DY215" s="7"/>
      <c r="DZ215" s="7"/>
      <c r="EA215" s="7"/>
      <c r="EB215" s="7"/>
      <c r="EC215" s="7"/>
      <c r="ED215" s="7"/>
      <c r="EE215" s="7"/>
      <c r="EF215" s="7"/>
      <c r="EG215" s="7"/>
      <c r="EH215" s="7"/>
      <c r="EI215" s="7"/>
      <c r="EJ215" s="7"/>
      <c r="EK215" s="7"/>
      <c r="EL215" s="7"/>
      <c r="EM215" s="7"/>
      <c r="EN215" s="7"/>
      <c r="EO215" s="7"/>
      <c r="EP215" s="7"/>
      <c r="EQ215" s="7"/>
      <c r="ER215" s="7"/>
      <c r="ES215" s="7"/>
      <c r="ET215" s="7"/>
      <c r="EU215" s="7"/>
      <c r="EV215" s="7"/>
      <c r="EW215" s="7"/>
      <c r="EX215" s="7"/>
      <c r="EY215" s="7"/>
      <c r="EZ215" s="7"/>
      <c r="FB215" s="50"/>
    </row>
    <row r="216" spans="46:160">
      <c r="AT216" s="112" t="s">
        <v>218</v>
      </c>
      <c r="AU216" s="7"/>
      <c r="AV216" s="7"/>
      <c r="AW216" s="7"/>
      <c r="AX216" s="7"/>
      <c r="AY216" s="7"/>
      <c r="AZ216" s="7"/>
      <c r="BA216" s="331"/>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c r="DX216" s="7"/>
      <c r="DY216" s="7"/>
      <c r="DZ216" s="7"/>
      <c r="EA216" s="7"/>
      <c r="EB216" s="7"/>
      <c r="EC216" s="7"/>
      <c r="ED216" s="7"/>
      <c r="EE216" s="7"/>
      <c r="EF216" s="7"/>
      <c r="EG216" s="7"/>
      <c r="EH216" s="7"/>
      <c r="EI216" s="7"/>
      <c r="EJ216" s="7"/>
      <c r="EK216" s="7"/>
      <c r="EL216" s="7"/>
      <c r="EM216" s="7"/>
      <c r="EN216" s="7"/>
      <c r="EO216" s="7"/>
      <c r="EP216" s="7"/>
      <c r="EQ216" s="7"/>
      <c r="ER216" s="7"/>
      <c r="ES216" s="7"/>
      <c r="ET216" s="7"/>
      <c r="EU216" s="7"/>
      <c r="EV216" s="7"/>
      <c r="EW216" s="7"/>
      <c r="EX216" s="7"/>
      <c r="EY216" s="7"/>
      <c r="EZ216" s="7"/>
      <c r="FB216" s="50"/>
    </row>
    <row r="217" spans="46:160">
      <c r="AU217" s="709" t="s">
        <v>76</v>
      </c>
      <c r="AV217" s="709"/>
      <c r="AW217" s="709"/>
      <c r="AX217" s="709"/>
      <c r="AY217" s="709"/>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c r="DX217" s="7"/>
      <c r="DY217" s="7"/>
      <c r="DZ217" s="7"/>
      <c r="EA217" s="7"/>
      <c r="EB217" s="7"/>
      <c r="EC217" s="7"/>
      <c r="ED217" s="7"/>
      <c r="EE217" s="7"/>
      <c r="EF217" s="7"/>
      <c r="EG217" s="7"/>
      <c r="EH217" s="7"/>
      <c r="EI217" s="7"/>
      <c r="EJ217" s="7"/>
      <c r="EK217" s="7"/>
      <c r="EL217" s="7"/>
      <c r="EM217" s="7"/>
      <c r="EN217" s="7"/>
      <c r="EO217" s="7"/>
      <c r="EP217" s="7"/>
      <c r="EQ217" s="7"/>
      <c r="ER217" s="7"/>
      <c r="ES217" s="7"/>
      <c r="ET217" s="7"/>
      <c r="EU217" s="7"/>
      <c r="EV217" s="7"/>
      <c r="EW217" s="7"/>
      <c r="EX217" s="7"/>
      <c r="EY217" s="7"/>
      <c r="EZ217" s="7"/>
      <c r="FB217" s="50"/>
    </row>
    <row r="218" spans="46:160">
      <c r="AT218" s="112"/>
      <c r="AU218" s="710" t="s">
        <v>221</v>
      </c>
      <c r="AV218" s="710"/>
      <c r="AW218" s="710"/>
      <c r="AX218" s="710"/>
      <c r="AY218" s="710"/>
      <c r="BA218" s="192" t="s">
        <v>647</v>
      </c>
      <c r="BE218" s="7"/>
      <c r="BF218" s="7"/>
      <c r="BG218" s="7"/>
      <c r="BH218" s="7"/>
      <c r="BI218" s="7"/>
      <c r="BJ218" s="7"/>
      <c r="BK218" s="7"/>
      <c r="BL218" s="446" t="s">
        <v>642</v>
      </c>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c r="DX218" s="7"/>
      <c r="DY218" s="7"/>
      <c r="DZ218" s="7"/>
      <c r="EA218" s="7"/>
      <c r="EB218" s="7"/>
      <c r="EC218" s="7"/>
      <c r="ED218" s="7"/>
      <c r="EE218" s="7"/>
      <c r="EF218" s="7"/>
      <c r="EG218" s="7"/>
      <c r="EH218" s="7"/>
      <c r="EI218" s="7"/>
      <c r="EJ218" s="7"/>
      <c r="EK218" s="7"/>
      <c r="EL218" s="7"/>
      <c r="EM218" s="7"/>
      <c r="EN218" s="7"/>
      <c r="EO218" s="7"/>
      <c r="EP218" s="7"/>
      <c r="EQ218" s="7"/>
      <c r="ER218" s="7"/>
      <c r="ES218" s="7"/>
      <c r="ET218" s="7"/>
      <c r="EU218" s="7"/>
      <c r="EV218" s="7"/>
      <c r="EW218" s="7"/>
      <c r="EX218" s="7"/>
      <c r="EY218" s="7"/>
      <c r="EZ218" s="7"/>
      <c r="FB218" s="50"/>
    </row>
    <row r="219" spans="46:160">
      <c r="AT219" s="334" t="s">
        <v>219</v>
      </c>
      <c r="AU219" s="335">
        <v>1E-3</v>
      </c>
      <c r="AV219" s="335">
        <v>6</v>
      </c>
      <c r="AW219" s="335">
        <v>10</v>
      </c>
      <c r="AX219" s="335">
        <v>30</v>
      </c>
      <c r="AY219" s="335">
        <v>50</v>
      </c>
      <c r="AZ219" s="335">
        <v>200</v>
      </c>
      <c r="BA219" s="448">
        <f>10/12+AZ219</f>
        <v>200.83333333333334</v>
      </c>
      <c r="BB219" s="448">
        <f t="shared" ref="BB219:BK219" si="0">10/12+BA219</f>
        <v>201.66666666666669</v>
      </c>
      <c r="BC219" s="448">
        <f t="shared" si="0"/>
        <v>202.50000000000003</v>
      </c>
      <c r="BD219" s="448">
        <f t="shared" si="0"/>
        <v>203.33333333333337</v>
      </c>
      <c r="BE219" s="448">
        <f t="shared" si="0"/>
        <v>204.16666666666671</v>
      </c>
      <c r="BF219" s="448">
        <f t="shared" si="0"/>
        <v>205.00000000000006</v>
      </c>
      <c r="BG219" s="448">
        <f t="shared" si="0"/>
        <v>205.8333333333334</v>
      </c>
      <c r="BH219" s="448">
        <f t="shared" si="0"/>
        <v>206.66666666666674</v>
      </c>
      <c r="BI219" s="448">
        <f t="shared" si="0"/>
        <v>207.50000000000009</v>
      </c>
      <c r="BJ219" s="448">
        <f t="shared" si="0"/>
        <v>208.33333333333343</v>
      </c>
      <c r="BK219" s="448">
        <f t="shared" si="0"/>
        <v>209.16666666666677</v>
      </c>
      <c r="BL219" s="448">
        <f>10/12+BK219</f>
        <v>210.00000000000011</v>
      </c>
      <c r="BM219" s="45"/>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c r="DX219" s="7"/>
      <c r="DY219" s="7"/>
      <c r="DZ219" s="7"/>
      <c r="EA219" s="7"/>
      <c r="EB219" s="7"/>
      <c r="EC219" s="7"/>
      <c r="ED219" s="7"/>
      <c r="EE219" s="7"/>
      <c r="EF219" s="7"/>
      <c r="EG219" s="7"/>
      <c r="EH219" s="7"/>
      <c r="EI219" s="7"/>
      <c r="EJ219" s="7"/>
      <c r="EK219" s="7"/>
      <c r="EL219" s="7"/>
      <c r="EM219" s="7"/>
      <c r="EN219" s="7"/>
      <c r="EO219" s="7"/>
      <c r="EP219" s="7"/>
      <c r="EQ219" s="7"/>
      <c r="ER219" s="7"/>
      <c r="ES219" s="7"/>
      <c r="ET219" s="7"/>
      <c r="EU219" s="7"/>
      <c r="EV219" s="7"/>
      <c r="EW219" s="7"/>
      <c r="EX219" s="7"/>
      <c r="EY219" s="7"/>
      <c r="EZ219" s="7"/>
      <c r="FB219" s="50"/>
    </row>
    <row r="220" spans="46:160">
      <c r="AT220" s="334">
        <v>0</v>
      </c>
      <c r="AU220" s="336">
        <v>1</v>
      </c>
      <c r="AV220" s="337">
        <v>1</v>
      </c>
      <c r="AW220" s="337">
        <v>1</v>
      </c>
      <c r="AX220" s="337">
        <v>1</v>
      </c>
      <c r="AY220" s="336">
        <v>1</v>
      </c>
      <c r="AZ220" s="337">
        <v>1</v>
      </c>
      <c r="BA220" s="337">
        <f t="shared" ref="BA220:BF220" si="1">AZ220</f>
        <v>1</v>
      </c>
      <c r="BB220" s="337">
        <f t="shared" si="1"/>
        <v>1</v>
      </c>
      <c r="BC220" s="337">
        <f t="shared" si="1"/>
        <v>1</v>
      </c>
      <c r="BD220" s="337">
        <f t="shared" si="1"/>
        <v>1</v>
      </c>
      <c r="BE220" s="337">
        <f t="shared" si="1"/>
        <v>1</v>
      </c>
      <c r="BF220" s="337">
        <f t="shared" si="1"/>
        <v>1</v>
      </c>
      <c r="BG220" s="337">
        <f t="shared" ref="BG220:BL220" si="2">BF220</f>
        <v>1</v>
      </c>
      <c r="BH220" s="337">
        <f t="shared" si="2"/>
        <v>1</v>
      </c>
      <c r="BI220" s="337">
        <f t="shared" si="2"/>
        <v>1</v>
      </c>
      <c r="BJ220" s="337">
        <f t="shared" si="2"/>
        <v>1</v>
      </c>
      <c r="BK220" s="337">
        <f t="shared" si="2"/>
        <v>1</v>
      </c>
      <c r="BL220" s="337">
        <f t="shared" si="2"/>
        <v>1</v>
      </c>
      <c r="BM220" s="336">
        <f t="shared" ref="BM220:BM244" ca="1" si="3">FORECAST($M$16,OFFSET($AU220,0,MATCH($M$16,$AU$219:$BK$219,1)-1,1,2),OFFSET($AU$219,0,MATCH($M$16,$AU$219:$BK$219,1)-1,1,2))</f>
        <v>1</v>
      </c>
      <c r="BN220" s="7"/>
      <c r="BO220" s="336">
        <f t="shared" ref="BO220:BO244" ca="1" si="4">FORECAST($AL$42,OFFSET($AU220,0,MATCH($AL$42,$AU$219:$BK$219,1)-1,1,2),OFFSET($AU$219,0,MATCH($AL$42,$AU$219:$BK$219,1)-1,1,2))</f>
        <v>1</v>
      </c>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c r="DX220" s="7"/>
      <c r="DY220" s="7"/>
      <c r="DZ220" s="7"/>
      <c r="EA220" s="7"/>
      <c r="EB220" s="7"/>
      <c r="EC220" s="7"/>
      <c r="ED220" s="7"/>
      <c r="EE220" s="7"/>
      <c r="EF220" s="7"/>
      <c r="EG220" s="7"/>
      <c r="EH220" s="7"/>
      <c r="EI220" s="7"/>
      <c r="EJ220" s="7"/>
      <c r="EK220" s="7"/>
      <c r="EL220" s="7"/>
      <c r="EM220" s="7"/>
      <c r="EN220" s="7"/>
      <c r="EO220" s="7"/>
      <c r="EP220" s="7"/>
      <c r="EQ220" s="7"/>
      <c r="ER220" s="7"/>
      <c r="ES220" s="7"/>
      <c r="ET220" s="7"/>
      <c r="EU220" s="7"/>
      <c r="EV220" s="7"/>
      <c r="EW220" s="7"/>
      <c r="EX220" s="7"/>
      <c r="EY220" s="7"/>
      <c r="EZ220" s="7"/>
      <c r="FB220" s="50"/>
    </row>
    <row r="221" spans="46:160">
      <c r="AT221" s="334">
        <v>5</v>
      </c>
      <c r="AU221" s="458">
        <v>1</v>
      </c>
      <c r="AV221" s="450">
        <v>1</v>
      </c>
      <c r="AW221" s="450">
        <v>1</v>
      </c>
      <c r="AX221" s="450">
        <v>1</v>
      </c>
      <c r="AY221" s="451">
        <v>1</v>
      </c>
      <c r="AZ221" s="452">
        <v>1</v>
      </c>
      <c r="BA221" s="337">
        <f t="shared" ref="BA221:BB244" si="5">AZ221</f>
        <v>1</v>
      </c>
      <c r="BB221" s="337">
        <f t="shared" si="5"/>
        <v>1</v>
      </c>
      <c r="BC221" s="337">
        <f t="shared" ref="BC221:BL221" si="6">BB221</f>
        <v>1</v>
      </c>
      <c r="BD221" s="337">
        <f t="shared" si="6"/>
        <v>1</v>
      </c>
      <c r="BE221" s="337">
        <f t="shared" si="6"/>
        <v>1</v>
      </c>
      <c r="BF221" s="337">
        <f t="shared" si="6"/>
        <v>1</v>
      </c>
      <c r="BG221" s="337">
        <f t="shared" si="6"/>
        <v>1</v>
      </c>
      <c r="BH221" s="337">
        <f t="shared" si="6"/>
        <v>1</v>
      </c>
      <c r="BI221" s="337">
        <f t="shared" si="6"/>
        <v>1</v>
      </c>
      <c r="BJ221" s="337">
        <f t="shared" si="6"/>
        <v>1</v>
      </c>
      <c r="BK221" s="337">
        <f t="shared" si="6"/>
        <v>1</v>
      </c>
      <c r="BL221" s="337">
        <f t="shared" si="6"/>
        <v>1</v>
      </c>
      <c r="BM221" s="336">
        <f t="shared" ca="1" si="3"/>
        <v>1</v>
      </c>
      <c r="BN221" s="7"/>
      <c r="BO221" s="336">
        <f t="shared" ca="1" si="4"/>
        <v>1</v>
      </c>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c r="DX221" s="7"/>
      <c r="DY221" s="7"/>
      <c r="DZ221" s="7"/>
      <c r="EA221" s="7"/>
      <c r="EB221" s="7"/>
      <c r="EC221" s="7"/>
      <c r="ED221" s="7"/>
      <c r="EE221" s="7"/>
      <c r="EF221" s="7"/>
      <c r="EG221" s="7"/>
      <c r="EH221" s="7"/>
      <c r="EI221" s="7"/>
      <c r="EJ221" s="7"/>
      <c r="EK221" s="7"/>
      <c r="EL221" s="7"/>
      <c r="EM221" s="7"/>
      <c r="EN221" s="7"/>
      <c r="EO221" s="7"/>
      <c r="EP221" s="7"/>
      <c r="EQ221" s="7"/>
      <c r="ER221" s="7"/>
      <c r="ES221" s="7"/>
      <c r="ET221" s="7"/>
      <c r="EU221" s="7"/>
      <c r="EV221" s="7"/>
      <c r="EW221" s="7"/>
      <c r="EX221" s="7"/>
      <c r="EY221" s="7"/>
      <c r="EZ221" s="7"/>
      <c r="FB221" s="50"/>
    </row>
    <row r="222" spans="46:160">
      <c r="AT222" s="334">
        <v>10</v>
      </c>
      <c r="AU222" s="458">
        <v>0.95</v>
      </c>
      <c r="AV222" s="90">
        <v>0.95</v>
      </c>
      <c r="AW222" s="90">
        <v>0.95</v>
      </c>
      <c r="AX222" s="90">
        <v>0.96</v>
      </c>
      <c r="AY222" s="453">
        <v>0.97</v>
      </c>
      <c r="AZ222" s="454">
        <v>0.98</v>
      </c>
      <c r="BA222" s="337">
        <f t="shared" si="5"/>
        <v>0.98</v>
      </c>
      <c r="BB222" s="337">
        <f t="shared" si="5"/>
        <v>0.98</v>
      </c>
      <c r="BC222" s="337">
        <f t="shared" ref="BC222:BL222" si="7">BB222</f>
        <v>0.98</v>
      </c>
      <c r="BD222" s="337">
        <f t="shared" si="7"/>
        <v>0.98</v>
      </c>
      <c r="BE222" s="337">
        <f t="shared" si="7"/>
        <v>0.98</v>
      </c>
      <c r="BF222" s="337">
        <f t="shared" si="7"/>
        <v>0.98</v>
      </c>
      <c r="BG222" s="337">
        <f t="shared" si="7"/>
        <v>0.98</v>
      </c>
      <c r="BH222" s="337">
        <f t="shared" si="7"/>
        <v>0.98</v>
      </c>
      <c r="BI222" s="337">
        <f t="shared" si="7"/>
        <v>0.98</v>
      </c>
      <c r="BJ222" s="337">
        <f t="shared" si="7"/>
        <v>0.98</v>
      </c>
      <c r="BK222" s="337">
        <f t="shared" si="7"/>
        <v>0.98</v>
      </c>
      <c r="BL222" s="337">
        <f t="shared" si="7"/>
        <v>0.98</v>
      </c>
      <c r="BM222" s="336">
        <f t="shared" ca="1" si="3"/>
        <v>0.97133333333333338</v>
      </c>
      <c r="BN222" s="7"/>
      <c r="BO222" s="336">
        <f t="shared" ca="1" si="4"/>
        <v>0.97120000000000006</v>
      </c>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c r="DX222" s="7"/>
      <c r="DY222" s="7"/>
      <c r="DZ222" s="7"/>
      <c r="EA222" s="7"/>
      <c r="EB222" s="7"/>
      <c r="EC222" s="7"/>
      <c r="ED222" s="7"/>
      <c r="EE222" s="7"/>
      <c r="EF222" s="7"/>
      <c r="EG222" s="7"/>
      <c r="EH222" s="7"/>
      <c r="EI222" s="7"/>
      <c r="EJ222" s="7"/>
      <c r="EK222" s="7"/>
      <c r="EL222" s="7"/>
      <c r="EM222" s="7"/>
      <c r="EN222" s="7"/>
      <c r="EO222" s="7"/>
      <c r="EP222" s="7"/>
      <c r="EQ222" s="7"/>
      <c r="ER222" s="7"/>
      <c r="ES222" s="7"/>
      <c r="ET222" s="7"/>
      <c r="EU222" s="7"/>
      <c r="EV222" s="7"/>
      <c r="EW222" s="7"/>
      <c r="EX222" s="7"/>
      <c r="EY222" s="7"/>
      <c r="EZ222" s="7"/>
      <c r="FB222" s="50"/>
    </row>
    <row r="223" spans="46:160">
      <c r="AT223" s="334">
        <v>20</v>
      </c>
      <c r="AU223" s="458">
        <v>0.93</v>
      </c>
      <c r="AV223" s="90">
        <v>0.93</v>
      </c>
      <c r="AW223" s="90">
        <v>0.93</v>
      </c>
      <c r="AX223" s="90">
        <v>0.95</v>
      </c>
      <c r="AY223" s="453">
        <v>0.95</v>
      </c>
      <c r="AZ223" s="454">
        <v>0.96</v>
      </c>
      <c r="BA223" s="337">
        <f t="shared" si="5"/>
        <v>0.96</v>
      </c>
      <c r="BB223" s="337">
        <f t="shared" si="5"/>
        <v>0.96</v>
      </c>
      <c r="BC223" s="337">
        <f t="shared" ref="BC223:BL223" si="8">BB223</f>
        <v>0.96</v>
      </c>
      <c r="BD223" s="337">
        <f t="shared" si="8"/>
        <v>0.96</v>
      </c>
      <c r="BE223" s="337">
        <f t="shared" si="8"/>
        <v>0.96</v>
      </c>
      <c r="BF223" s="337">
        <f t="shared" si="8"/>
        <v>0.96</v>
      </c>
      <c r="BG223" s="337">
        <f t="shared" si="8"/>
        <v>0.96</v>
      </c>
      <c r="BH223" s="337">
        <f t="shared" si="8"/>
        <v>0.96</v>
      </c>
      <c r="BI223" s="337">
        <f t="shared" si="8"/>
        <v>0.96</v>
      </c>
      <c r="BJ223" s="337">
        <f t="shared" si="8"/>
        <v>0.96</v>
      </c>
      <c r="BK223" s="337">
        <f t="shared" si="8"/>
        <v>0.96</v>
      </c>
      <c r="BL223" s="337">
        <f t="shared" si="8"/>
        <v>0.96</v>
      </c>
      <c r="BM223" s="336">
        <f t="shared" ca="1" si="3"/>
        <v>0.95133333333333336</v>
      </c>
      <c r="BN223" s="7"/>
      <c r="BO223" s="336">
        <f t="shared" ca="1" si="4"/>
        <v>0.95120000000000005</v>
      </c>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c r="DX223" s="7"/>
      <c r="DY223" s="7"/>
      <c r="DZ223" s="7"/>
      <c r="EA223" s="7"/>
      <c r="EB223" s="7"/>
      <c r="EC223" s="7"/>
      <c r="ED223" s="7"/>
      <c r="EE223" s="7"/>
      <c r="EF223" s="7"/>
      <c r="EG223" s="7"/>
      <c r="EH223" s="7"/>
      <c r="EI223" s="7"/>
      <c r="EJ223" s="7"/>
      <c r="EK223" s="7"/>
      <c r="EL223" s="7"/>
      <c r="EM223" s="7"/>
      <c r="EN223" s="7"/>
      <c r="EO223" s="7"/>
      <c r="EP223" s="7"/>
      <c r="EQ223" s="7"/>
      <c r="ER223" s="7"/>
      <c r="ES223" s="7"/>
      <c r="ET223" s="7"/>
      <c r="EU223" s="7"/>
      <c r="EV223" s="7"/>
      <c r="EW223" s="7"/>
      <c r="EX223" s="7"/>
      <c r="EY223" s="7"/>
      <c r="EZ223" s="7"/>
      <c r="FB223" s="50"/>
    </row>
    <row r="224" spans="46:160">
      <c r="AT224" s="334">
        <v>30</v>
      </c>
      <c r="AU224" s="458">
        <v>0.91</v>
      </c>
      <c r="AV224" s="90">
        <v>0.91</v>
      </c>
      <c r="AW224" s="90">
        <v>0.92</v>
      </c>
      <c r="AX224" s="90">
        <v>0.94</v>
      </c>
      <c r="AY224" s="453">
        <v>0.94</v>
      </c>
      <c r="AZ224" s="454">
        <v>0.96</v>
      </c>
      <c r="BA224" s="337">
        <f t="shared" si="5"/>
        <v>0.96</v>
      </c>
      <c r="BB224" s="337">
        <f t="shared" si="5"/>
        <v>0.96</v>
      </c>
      <c r="BC224" s="337">
        <f t="shared" ref="BC224:BL224" si="9">BB224</f>
        <v>0.96</v>
      </c>
      <c r="BD224" s="337">
        <f t="shared" si="9"/>
        <v>0.96</v>
      </c>
      <c r="BE224" s="337">
        <f t="shared" si="9"/>
        <v>0.96</v>
      </c>
      <c r="BF224" s="337">
        <f t="shared" si="9"/>
        <v>0.96</v>
      </c>
      <c r="BG224" s="337">
        <f t="shared" si="9"/>
        <v>0.96</v>
      </c>
      <c r="BH224" s="337">
        <f t="shared" si="9"/>
        <v>0.96</v>
      </c>
      <c r="BI224" s="337">
        <f t="shared" si="9"/>
        <v>0.96</v>
      </c>
      <c r="BJ224" s="337">
        <f t="shared" si="9"/>
        <v>0.96</v>
      </c>
      <c r="BK224" s="337">
        <f t="shared" si="9"/>
        <v>0.96</v>
      </c>
      <c r="BL224" s="337">
        <f t="shared" si="9"/>
        <v>0.96</v>
      </c>
      <c r="BM224" s="336">
        <f t="shared" ca="1" si="3"/>
        <v>0.94266666666666654</v>
      </c>
      <c r="BN224" s="7"/>
      <c r="BO224" s="336">
        <f t="shared" ca="1" si="4"/>
        <v>0.9423999999999999</v>
      </c>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c r="DX224" s="7"/>
      <c r="DY224" s="7"/>
      <c r="DZ224" s="7"/>
      <c r="EA224" s="7"/>
      <c r="EB224" s="7"/>
      <c r="EC224" s="7"/>
      <c r="ED224" s="7"/>
      <c r="EE224" s="7"/>
      <c r="EF224" s="7"/>
      <c r="EG224" s="7"/>
      <c r="EH224" s="7"/>
      <c r="EI224" s="7"/>
      <c r="EJ224" s="7"/>
      <c r="EK224" s="7"/>
      <c r="EL224" s="7"/>
      <c r="EM224" s="7"/>
      <c r="EN224" s="7"/>
      <c r="EO224" s="7"/>
      <c r="EP224" s="7"/>
      <c r="EQ224" s="7"/>
      <c r="ER224" s="7"/>
      <c r="ES224" s="7"/>
      <c r="ET224" s="7"/>
      <c r="EU224" s="7"/>
      <c r="EV224" s="7"/>
      <c r="EW224" s="7"/>
      <c r="EX224" s="7"/>
      <c r="EY224" s="7"/>
      <c r="EZ224" s="7"/>
      <c r="FB224" s="50"/>
    </row>
    <row r="225" spans="45:158">
      <c r="AT225" s="334">
        <v>40</v>
      </c>
      <c r="AU225" s="458">
        <v>0.9</v>
      </c>
      <c r="AV225" s="90">
        <v>0.9</v>
      </c>
      <c r="AW225" s="90">
        <v>0.91</v>
      </c>
      <c r="AX225" s="90">
        <v>0.93</v>
      </c>
      <c r="AY225" s="453">
        <v>0.93</v>
      </c>
      <c r="AZ225" s="454">
        <v>0.95</v>
      </c>
      <c r="BA225" s="337">
        <f t="shared" si="5"/>
        <v>0.95</v>
      </c>
      <c r="BB225" s="337">
        <f t="shared" si="5"/>
        <v>0.95</v>
      </c>
      <c r="BC225" s="337">
        <f t="shared" ref="BC225:BL225" si="10">BB225</f>
        <v>0.95</v>
      </c>
      <c r="BD225" s="337">
        <f t="shared" si="10"/>
        <v>0.95</v>
      </c>
      <c r="BE225" s="337">
        <f t="shared" si="10"/>
        <v>0.95</v>
      </c>
      <c r="BF225" s="337">
        <f t="shared" si="10"/>
        <v>0.95</v>
      </c>
      <c r="BG225" s="337">
        <f t="shared" si="10"/>
        <v>0.95</v>
      </c>
      <c r="BH225" s="337">
        <f t="shared" si="10"/>
        <v>0.95</v>
      </c>
      <c r="BI225" s="337">
        <f t="shared" si="10"/>
        <v>0.95</v>
      </c>
      <c r="BJ225" s="337">
        <f t="shared" si="10"/>
        <v>0.95</v>
      </c>
      <c r="BK225" s="337">
        <f t="shared" si="10"/>
        <v>0.95</v>
      </c>
      <c r="BL225" s="337">
        <f t="shared" si="10"/>
        <v>0.95</v>
      </c>
      <c r="BM225" s="336">
        <f t="shared" ca="1" si="3"/>
        <v>0.93266666666666664</v>
      </c>
      <c r="BN225" s="7"/>
      <c r="BO225" s="336">
        <f t="shared" ca="1" si="4"/>
        <v>0.93240000000000001</v>
      </c>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c r="DX225" s="7"/>
      <c r="DY225" s="7"/>
      <c r="DZ225" s="7"/>
      <c r="EA225" s="7"/>
      <c r="EB225" s="7"/>
      <c r="EC225" s="7"/>
      <c r="ED225" s="7"/>
      <c r="EE225" s="7"/>
      <c r="EF225" s="7"/>
      <c r="EG225" s="7"/>
      <c r="EH225" s="7"/>
      <c r="EI225" s="7"/>
      <c r="EJ225" s="7"/>
      <c r="EK225" s="7"/>
      <c r="EL225" s="7"/>
      <c r="EM225" s="7"/>
      <c r="EN225" s="7"/>
      <c r="EO225" s="7"/>
      <c r="EP225" s="7"/>
      <c r="EQ225" s="7"/>
      <c r="ER225" s="7"/>
      <c r="ES225" s="7"/>
      <c r="ET225" s="7"/>
      <c r="EU225" s="7"/>
      <c r="EV225" s="7"/>
      <c r="EW225" s="7"/>
      <c r="EX225" s="7"/>
      <c r="EY225" s="7"/>
      <c r="EZ225" s="7"/>
      <c r="FB225" s="50"/>
    </row>
    <row r="226" spans="45:158">
      <c r="AT226" s="334">
        <v>50</v>
      </c>
      <c r="AU226" s="458">
        <v>0.89</v>
      </c>
      <c r="AV226" s="90">
        <v>0.89</v>
      </c>
      <c r="AW226" s="90">
        <v>0.9</v>
      </c>
      <c r="AX226" s="90">
        <v>0.92</v>
      </c>
      <c r="AY226" s="453">
        <v>0.92</v>
      </c>
      <c r="AZ226" s="454">
        <v>0.94</v>
      </c>
      <c r="BA226" s="337">
        <f t="shared" si="5"/>
        <v>0.94</v>
      </c>
      <c r="BB226" s="337">
        <f t="shared" si="5"/>
        <v>0.94</v>
      </c>
      <c r="BC226" s="337">
        <f t="shared" ref="BC226:BL226" si="11">BB226</f>
        <v>0.94</v>
      </c>
      <c r="BD226" s="337">
        <f t="shared" si="11"/>
        <v>0.94</v>
      </c>
      <c r="BE226" s="337">
        <f t="shared" si="11"/>
        <v>0.94</v>
      </c>
      <c r="BF226" s="337">
        <f t="shared" si="11"/>
        <v>0.94</v>
      </c>
      <c r="BG226" s="337">
        <f t="shared" si="11"/>
        <v>0.94</v>
      </c>
      <c r="BH226" s="337">
        <f t="shared" si="11"/>
        <v>0.94</v>
      </c>
      <c r="BI226" s="337">
        <f t="shared" si="11"/>
        <v>0.94</v>
      </c>
      <c r="BJ226" s="337">
        <f t="shared" si="11"/>
        <v>0.94</v>
      </c>
      <c r="BK226" s="337">
        <f t="shared" si="11"/>
        <v>0.94</v>
      </c>
      <c r="BL226" s="337">
        <f t="shared" si="11"/>
        <v>0.94</v>
      </c>
      <c r="BM226" s="336">
        <f t="shared" ca="1" si="3"/>
        <v>0.92266666666666663</v>
      </c>
      <c r="BN226" s="7"/>
      <c r="BO226" s="336">
        <f t="shared" ca="1" si="4"/>
        <v>0.9224</v>
      </c>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c r="DX226" s="7"/>
      <c r="DY226" s="7"/>
      <c r="DZ226" s="7"/>
      <c r="EA226" s="7"/>
      <c r="EB226" s="7"/>
      <c r="EC226" s="7"/>
      <c r="ED226" s="7"/>
      <c r="EE226" s="7"/>
      <c r="EF226" s="7"/>
      <c r="EG226" s="7"/>
      <c r="EH226" s="7"/>
      <c r="EI226" s="7"/>
      <c r="EJ226" s="7"/>
      <c r="EK226" s="7"/>
      <c r="EL226" s="7"/>
      <c r="EM226" s="7"/>
      <c r="EN226" s="7"/>
      <c r="EO226" s="7"/>
      <c r="EP226" s="7"/>
      <c r="EQ226" s="7"/>
      <c r="ER226" s="7"/>
      <c r="ES226" s="7"/>
      <c r="ET226" s="7"/>
      <c r="EU226" s="7"/>
      <c r="EV226" s="7"/>
      <c r="EW226" s="7"/>
      <c r="EX226" s="7"/>
      <c r="EY226" s="7"/>
      <c r="EZ226" s="7"/>
      <c r="FB226" s="50"/>
    </row>
    <row r="227" spans="45:158">
      <c r="AT227" s="334">
        <v>70</v>
      </c>
      <c r="AU227" s="458">
        <v>0.87</v>
      </c>
      <c r="AV227" s="90">
        <v>0.87</v>
      </c>
      <c r="AW227" s="90">
        <v>0.88</v>
      </c>
      <c r="AX227" s="90">
        <v>0.9</v>
      </c>
      <c r="AY227" s="453">
        <v>0.91</v>
      </c>
      <c r="AZ227" s="454">
        <v>0.93</v>
      </c>
      <c r="BA227" s="337">
        <f t="shared" si="5"/>
        <v>0.93</v>
      </c>
      <c r="BB227" s="337">
        <f t="shared" si="5"/>
        <v>0.93</v>
      </c>
      <c r="BC227" s="337">
        <f t="shared" ref="BC227:BL227" si="12">BB227</f>
        <v>0.93</v>
      </c>
      <c r="BD227" s="337">
        <f t="shared" si="12"/>
        <v>0.93</v>
      </c>
      <c r="BE227" s="337">
        <f t="shared" si="12"/>
        <v>0.93</v>
      </c>
      <c r="BF227" s="337">
        <f t="shared" si="12"/>
        <v>0.93</v>
      </c>
      <c r="BG227" s="337">
        <f t="shared" si="12"/>
        <v>0.93</v>
      </c>
      <c r="BH227" s="337">
        <f t="shared" si="12"/>
        <v>0.93</v>
      </c>
      <c r="BI227" s="337">
        <f t="shared" si="12"/>
        <v>0.93</v>
      </c>
      <c r="BJ227" s="337">
        <f t="shared" si="12"/>
        <v>0.93</v>
      </c>
      <c r="BK227" s="337">
        <f t="shared" si="12"/>
        <v>0.93</v>
      </c>
      <c r="BL227" s="337">
        <f t="shared" si="12"/>
        <v>0.93</v>
      </c>
      <c r="BM227" s="336">
        <f t="shared" ca="1" si="3"/>
        <v>0.91266666666666663</v>
      </c>
      <c r="BN227" s="7"/>
      <c r="BO227" s="336">
        <f t="shared" ca="1" si="4"/>
        <v>0.91239999999999999</v>
      </c>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c r="DX227" s="7"/>
      <c r="DY227" s="7"/>
      <c r="DZ227" s="7"/>
      <c r="EA227" s="7"/>
      <c r="EB227" s="7"/>
      <c r="EC227" s="7"/>
      <c r="ED227" s="7"/>
      <c r="EE227" s="7"/>
      <c r="EF227" s="7"/>
      <c r="EG227" s="7"/>
      <c r="EH227" s="7"/>
      <c r="EI227" s="7"/>
      <c r="EJ227" s="7"/>
      <c r="EK227" s="7"/>
      <c r="EL227" s="7"/>
      <c r="EM227" s="7"/>
      <c r="EN227" s="7"/>
      <c r="EO227" s="7"/>
      <c r="EP227" s="7"/>
      <c r="EQ227" s="7"/>
      <c r="ER227" s="7"/>
      <c r="ES227" s="7"/>
      <c r="ET227" s="7"/>
      <c r="EU227" s="7"/>
      <c r="EV227" s="7"/>
      <c r="EW227" s="7"/>
      <c r="EX227" s="7"/>
      <c r="EY227" s="7"/>
      <c r="EZ227" s="7"/>
      <c r="FB227" s="50"/>
    </row>
    <row r="228" spans="45:158">
      <c r="AT228" s="334">
        <v>100</v>
      </c>
      <c r="AU228" s="458">
        <v>0.85</v>
      </c>
      <c r="AV228" s="90">
        <v>0.85</v>
      </c>
      <c r="AW228" s="90">
        <v>0.86</v>
      </c>
      <c r="AX228" s="90">
        <v>0.89</v>
      </c>
      <c r="AY228" s="453">
        <v>0.9</v>
      </c>
      <c r="AZ228" s="454">
        <v>0.92</v>
      </c>
      <c r="BA228" s="337">
        <f t="shared" si="5"/>
        <v>0.92</v>
      </c>
      <c r="BB228" s="337">
        <f t="shared" si="5"/>
        <v>0.92</v>
      </c>
      <c r="BC228" s="337">
        <f t="shared" ref="BC228:BL228" si="13">BB228</f>
        <v>0.92</v>
      </c>
      <c r="BD228" s="337">
        <f t="shared" si="13"/>
        <v>0.92</v>
      </c>
      <c r="BE228" s="337">
        <f t="shared" si="13"/>
        <v>0.92</v>
      </c>
      <c r="BF228" s="337">
        <f t="shared" si="13"/>
        <v>0.92</v>
      </c>
      <c r="BG228" s="337">
        <f t="shared" si="13"/>
        <v>0.92</v>
      </c>
      <c r="BH228" s="337">
        <f t="shared" si="13"/>
        <v>0.92</v>
      </c>
      <c r="BI228" s="337">
        <f t="shared" si="13"/>
        <v>0.92</v>
      </c>
      <c r="BJ228" s="337">
        <f t="shared" si="13"/>
        <v>0.92</v>
      </c>
      <c r="BK228" s="337">
        <f t="shared" si="13"/>
        <v>0.92</v>
      </c>
      <c r="BL228" s="337">
        <f t="shared" si="13"/>
        <v>0.92</v>
      </c>
      <c r="BM228" s="336">
        <f t="shared" ca="1" si="3"/>
        <v>0.90266666666666662</v>
      </c>
      <c r="BN228" s="7"/>
      <c r="BO228" s="336">
        <f t="shared" ca="1" si="4"/>
        <v>0.90239999999999998</v>
      </c>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c r="DX228" s="7"/>
      <c r="DY228" s="7"/>
      <c r="DZ228" s="7"/>
      <c r="EA228" s="7"/>
      <c r="EB228" s="7"/>
      <c r="EC228" s="7"/>
      <c r="ED228" s="7"/>
      <c r="EE228" s="7"/>
      <c r="EF228" s="7"/>
      <c r="EG228" s="7"/>
      <c r="EH228" s="7"/>
      <c r="EI228" s="7"/>
      <c r="EJ228" s="7"/>
      <c r="EK228" s="7"/>
      <c r="EL228" s="7"/>
      <c r="EM228" s="7"/>
      <c r="EN228" s="7"/>
      <c r="EO228" s="7"/>
      <c r="EP228" s="7"/>
      <c r="EQ228" s="7"/>
      <c r="ER228" s="7"/>
      <c r="ES228" s="7"/>
      <c r="ET228" s="7"/>
      <c r="EU228" s="7"/>
      <c r="EV228" s="7"/>
      <c r="EW228" s="7"/>
      <c r="EX228" s="7"/>
      <c r="EY228" s="7"/>
      <c r="EZ228" s="7"/>
      <c r="FB228" s="50"/>
    </row>
    <row r="229" spans="45:158">
      <c r="AT229" s="334">
        <v>150</v>
      </c>
      <c r="AU229" s="458">
        <v>0.83</v>
      </c>
      <c r="AV229" s="90">
        <v>0.83</v>
      </c>
      <c r="AW229" s="90">
        <v>0.84</v>
      </c>
      <c r="AX229" s="90">
        <v>0.87</v>
      </c>
      <c r="AY229" s="453">
        <v>0.88</v>
      </c>
      <c r="AZ229" s="454">
        <v>0.9</v>
      </c>
      <c r="BA229" s="337">
        <f t="shared" si="5"/>
        <v>0.9</v>
      </c>
      <c r="BB229" s="337">
        <f t="shared" si="5"/>
        <v>0.9</v>
      </c>
      <c r="BC229" s="337">
        <f t="shared" ref="BC229:BL229" si="14">BB229</f>
        <v>0.9</v>
      </c>
      <c r="BD229" s="337">
        <f t="shared" si="14"/>
        <v>0.9</v>
      </c>
      <c r="BE229" s="337">
        <f t="shared" si="14"/>
        <v>0.9</v>
      </c>
      <c r="BF229" s="337">
        <f t="shared" si="14"/>
        <v>0.9</v>
      </c>
      <c r="BG229" s="337">
        <f t="shared" si="14"/>
        <v>0.9</v>
      </c>
      <c r="BH229" s="337">
        <f t="shared" si="14"/>
        <v>0.9</v>
      </c>
      <c r="BI229" s="337">
        <f t="shared" si="14"/>
        <v>0.9</v>
      </c>
      <c r="BJ229" s="337">
        <f t="shared" si="14"/>
        <v>0.9</v>
      </c>
      <c r="BK229" s="337">
        <f t="shared" si="14"/>
        <v>0.9</v>
      </c>
      <c r="BL229" s="337">
        <f t="shared" si="14"/>
        <v>0.9</v>
      </c>
      <c r="BM229" s="336">
        <f t="shared" ca="1" si="3"/>
        <v>0.8826666666666666</v>
      </c>
      <c r="BN229" s="7"/>
      <c r="BO229" s="336">
        <f t="shared" ca="1" si="4"/>
        <v>0.88239999999999996</v>
      </c>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c r="DX229" s="7"/>
      <c r="DY229" s="7"/>
      <c r="DZ229" s="7"/>
      <c r="EA229" s="7"/>
      <c r="EB229" s="7"/>
      <c r="EC229" s="7"/>
      <c r="ED229" s="7"/>
      <c r="EE229" s="7"/>
      <c r="EF229" s="7"/>
      <c r="EG229" s="7"/>
      <c r="EH229" s="7"/>
      <c r="EI229" s="7"/>
      <c r="EJ229" s="7"/>
      <c r="EK229" s="7"/>
      <c r="EL229" s="7"/>
      <c r="EM229" s="7"/>
      <c r="EN229" s="7"/>
      <c r="EO229" s="7"/>
      <c r="EP229" s="7"/>
      <c r="EQ229" s="7"/>
      <c r="ER229" s="7"/>
      <c r="ES229" s="7"/>
      <c r="ET229" s="7"/>
      <c r="EU229" s="7"/>
      <c r="EV229" s="7"/>
      <c r="EW229" s="7"/>
      <c r="EX229" s="7"/>
      <c r="EY229" s="7"/>
      <c r="EZ229" s="7"/>
      <c r="FB229" s="50"/>
    </row>
    <row r="230" spans="45:158">
      <c r="AT230" s="334">
        <v>200</v>
      </c>
      <c r="AU230" s="458">
        <v>0.81</v>
      </c>
      <c r="AV230" s="90">
        <v>0.81</v>
      </c>
      <c r="AW230" s="90">
        <v>0.83</v>
      </c>
      <c r="AX230" s="90">
        <v>0.85</v>
      </c>
      <c r="AY230" s="453">
        <v>0.86</v>
      </c>
      <c r="AZ230" s="454">
        <v>0.89</v>
      </c>
      <c r="BA230" s="337">
        <f t="shared" si="5"/>
        <v>0.89</v>
      </c>
      <c r="BB230" s="337">
        <f t="shared" si="5"/>
        <v>0.89</v>
      </c>
      <c r="BC230" s="337">
        <f t="shared" ref="BC230:BL230" si="15">BB230</f>
        <v>0.89</v>
      </c>
      <c r="BD230" s="337">
        <f t="shared" si="15"/>
        <v>0.89</v>
      </c>
      <c r="BE230" s="337">
        <f t="shared" si="15"/>
        <v>0.89</v>
      </c>
      <c r="BF230" s="337">
        <f t="shared" si="15"/>
        <v>0.89</v>
      </c>
      <c r="BG230" s="337">
        <f t="shared" si="15"/>
        <v>0.89</v>
      </c>
      <c r="BH230" s="337">
        <f t="shared" si="15"/>
        <v>0.89</v>
      </c>
      <c r="BI230" s="337">
        <f t="shared" si="15"/>
        <v>0.89</v>
      </c>
      <c r="BJ230" s="337">
        <f t="shared" si="15"/>
        <v>0.89</v>
      </c>
      <c r="BK230" s="337">
        <f t="shared" si="15"/>
        <v>0.89</v>
      </c>
      <c r="BL230" s="337">
        <f t="shared" si="15"/>
        <v>0.89</v>
      </c>
      <c r="BM230" s="336">
        <f t="shared" ca="1" si="3"/>
        <v>0.86399999999999999</v>
      </c>
      <c r="BN230" s="7"/>
      <c r="BO230" s="336">
        <f t="shared" ca="1" si="4"/>
        <v>0.86360000000000003</v>
      </c>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c r="DX230" s="7"/>
      <c r="DY230" s="7"/>
      <c r="DZ230" s="7"/>
      <c r="EA230" s="7"/>
      <c r="EB230" s="7"/>
      <c r="EC230" s="7"/>
      <c r="ED230" s="7"/>
      <c r="EE230" s="7"/>
      <c r="EF230" s="7"/>
      <c r="EG230" s="7"/>
      <c r="EH230" s="7"/>
      <c r="EI230" s="7"/>
      <c r="EJ230" s="7"/>
      <c r="EK230" s="7"/>
      <c r="EL230" s="7"/>
      <c r="EM230" s="7"/>
      <c r="EN230" s="7"/>
      <c r="EO230" s="7"/>
      <c r="EP230" s="7"/>
      <c r="EQ230" s="7"/>
      <c r="ER230" s="7"/>
      <c r="ES230" s="7"/>
      <c r="ET230" s="7"/>
      <c r="EU230" s="7"/>
      <c r="EV230" s="7"/>
      <c r="EW230" s="7"/>
      <c r="EX230" s="7"/>
      <c r="EY230" s="7"/>
      <c r="EZ230" s="7"/>
      <c r="FB230" s="50"/>
    </row>
    <row r="231" spans="45:158">
      <c r="AT231" s="334">
        <v>300</v>
      </c>
      <c r="AU231" s="458">
        <v>0.79</v>
      </c>
      <c r="AV231" s="455">
        <v>0.79</v>
      </c>
      <c r="AW231" s="455">
        <v>0.8</v>
      </c>
      <c r="AX231" s="455">
        <v>0.83</v>
      </c>
      <c r="AY231" s="456">
        <v>0.84</v>
      </c>
      <c r="AZ231" s="457">
        <v>0.87</v>
      </c>
      <c r="BA231" s="337">
        <f t="shared" si="5"/>
        <v>0.87</v>
      </c>
      <c r="BB231" s="337">
        <f t="shared" si="5"/>
        <v>0.87</v>
      </c>
      <c r="BC231" s="337">
        <f t="shared" ref="BC231:BL231" si="16">BB231</f>
        <v>0.87</v>
      </c>
      <c r="BD231" s="337">
        <f t="shared" si="16"/>
        <v>0.87</v>
      </c>
      <c r="BE231" s="337">
        <f t="shared" si="16"/>
        <v>0.87</v>
      </c>
      <c r="BF231" s="337">
        <f t="shared" si="16"/>
        <v>0.87</v>
      </c>
      <c r="BG231" s="337">
        <f t="shared" si="16"/>
        <v>0.87</v>
      </c>
      <c r="BH231" s="337">
        <f t="shared" si="16"/>
        <v>0.87</v>
      </c>
      <c r="BI231" s="337">
        <f t="shared" si="16"/>
        <v>0.87</v>
      </c>
      <c r="BJ231" s="337">
        <f t="shared" si="16"/>
        <v>0.87</v>
      </c>
      <c r="BK231" s="337">
        <f t="shared" si="16"/>
        <v>0.87</v>
      </c>
      <c r="BL231" s="337">
        <f t="shared" si="16"/>
        <v>0.87</v>
      </c>
      <c r="BM231" s="336">
        <f t="shared" ca="1" si="3"/>
        <v>0.84399999999999997</v>
      </c>
      <c r="BN231" s="7"/>
      <c r="BO231" s="336">
        <f t="shared" ca="1" si="4"/>
        <v>0.84360000000000002</v>
      </c>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c r="DX231" s="7"/>
      <c r="DY231" s="7"/>
      <c r="DZ231" s="7"/>
      <c r="EA231" s="7"/>
      <c r="EB231" s="7"/>
      <c r="EC231" s="7"/>
      <c r="ED231" s="7"/>
      <c r="EE231" s="7"/>
      <c r="EF231" s="7"/>
      <c r="EG231" s="7"/>
      <c r="EH231" s="7"/>
      <c r="EI231" s="7"/>
      <c r="EJ231" s="7"/>
      <c r="EK231" s="7"/>
      <c r="EL231" s="7"/>
      <c r="EM231" s="7"/>
      <c r="EN231" s="7"/>
      <c r="EO231" s="7"/>
      <c r="EP231" s="7"/>
      <c r="EQ231" s="7"/>
      <c r="ER231" s="7"/>
      <c r="ES231" s="7"/>
      <c r="ET231" s="7"/>
      <c r="EU231" s="7"/>
      <c r="EV231" s="7"/>
      <c r="EW231" s="7"/>
      <c r="EX231" s="7"/>
      <c r="EY231" s="7"/>
      <c r="EZ231" s="7"/>
      <c r="FB231" s="50"/>
    </row>
    <row r="232" spans="45:158">
      <c r="AS232" s="192" t="s">
        <v>647</v>
      </c>
      <c r="AT232" s="449">
        <f>5/13+AT231</f>
        <v>300.38461538461536</v>
      </c>
      <c r="AU232" s="336">
        <f>AU231</f>
        <v>0.79</v>
      </c>
      <c r="AV232" s="336">
        <f t="shared" ref="AV232:AZ232" si="17">AV231</f>
        <v>0.79</v>
      </c>
      <c r="AW232" s="336">
        <f t="shared" si="17"/>
        <v>0.8</v>
      </c>
      <c r="AX232" s="336">
        <f t="shared" si="17"/>
        <v>0.83</v>
      </c>
      <c r="AY232" s="336">
        <f t="shared" si="17"/>
        <v>0.84</v>
      </c>
      <c r="AZ232" s="336">
        <f t="shared" si="17"/>
        <v>0.87</v>
      </c>
      <c r="BA232" s="337">
        <f t="shared" si="5"/>
        <v>0.87</v>
      </c>
      <c r="BB232" s="337">
        <f t="shared" si="5"/>
        <v>0.87</v>
      </c>
      <c r="BC232" s="337">
        <f t="shared" ref="BC232:BL232" si="18">BB232</f>
        <v>0.87</v>
      </c>
      <c r="BD232" s="337">
        <f t="shared" si="18"/>
        <v>0.87</v>
      </c>
      <c r="BE232" s="337">
        <f t="shared" si="18"/>
        <v>0.87</v>
      </c>
      <c r="BF232" s="337">
        <f t="shared" si="18"/>
        <v>0.87</v>
      </c>
      <c r="BG232" s="337">
        <f t="shared" si="18"/>
        <v>0.87</v>
      </c>
      <c r="BH232" s="337">
        <f t="shared" si="18"/>
        <v>0.87</v>
      </c>
      <c r="BI232" s="337">
        <f t="shared" si="18"/>
        <v>0.87</v>
      </c>
      <c r="BJ232" s="337">
        <f t="shared" si="18"/>
        <v>0.87</v>
      </c>
      <c r="BK232" s="337">
        <f t="shared" si="18"/>
        <v>0.87</v>
      </c>
      <c r="BL232" s="337">
        <f t="shared" si="18"/>
        <v>0.87</v>
      </c>
      <c r="BM232" s="336">
        <f t="shared" ca="1" si="3"/>
        <v>0.84399999999999997</v>
      </c>
      <c r="BN232" s="7"/>
      <c r="BO232" s="336">
        <f t="shared" ca="1" si="4"/>
        <v>0.84360000000000002</v>
      </c>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c r="DX232" s="7"/>
      <c r="DY232" s="7"/>
      <c r="DZ232" s="7"/>
      <c r="EA232" s="7"/>
      <c r="EB232" s="7"/>
      <c r="EC232" s="7"/>
      <c r="ED232" s="7"/>
      <c r="EE232" s="7"/>
      <c r="EF232" s="7"/>
      <c r="EG232" s="7"/>
      <c r="EH232" s="7"/>
      <c r="EI232" s="7"/>
      <c r="EJ232" s="7"/>
      <c r="EK232" s="7"/>
      <c r="EL232" s="7"/>
      <c r="EM232" s="7"/>
      <c r="EN232" s="7"/>
      <c r="EO232" s="7"/>
      <c r="EP232" s="7"/>
      <c r="EQ232" s="7"/>
      <c r="ER232" s="7"/>
      <c r="ES232" s="7"/>
      <c r="ET232" s="7"/>
      <c r="EU232" s="7"/>
      <c r="EV232" s="7"/>
      <c r="EW232" s="7"/>
      <c r="EX232" s="7"/>
      <c r="EY232" s="7"/>
      <c r="EZ232" s="7"/>
      <c r="FB232" s="50"/>
    </row>
    <row r="233" spans="45:158">
      <c r="AT233" s="449">
        <f t="shared" ref="AT233:AT244" si="19">5/13+AT232</f>
        <v>300.76923076923072</v>
      </c>
      <c r="AU233" s="336">
        <f t="shared" ref="AU233:AU244" si="20">AU232</f>
        <v>0.79</v>
      </c>
      <c r="AV233" s="336">
        <f t="shared" ref="AV233:AV244" si="21">AV232</f>
        <v>0.79</v>
      </c>
      <c r="AW233" s="336">
        <f t="shared" ref="AW233:AW244" si="22">AW232</f>
        <v>0.8</v>
      </c>
      <c r="AX233" s="336">
        <f t="shared" ref="AX233:AX244" si="23">AX232</f>
        <v>0.83</v>
      </c>
      <c r="AY233" s="336">
        <f t="shared" ref="AY233:AY244" si="24">AY232</f>
        <v>0.84</v>
      </c>
      <c r="AZ233" s="336">
        <f t="shared" ref="AZ233:AZ244" si="25">AZ232</f>
        <v>0.87</v>
      </c>
      <c r="BA233" s="337">
        <f t="shared" si="5"/>
        <v>0.87</v>
      </c>
      <c r="BB233" s="337">
        <f t="shared" si="5"/>
        <v>0.87</v>
      </c>
      <c r="BC233" s="337">
        <f t="shared" ref="BC233:BL233" si="26">BB233</f>
        <v>0.87</v>
      </c>
      <c r="BD233" s="337">
        <f t="shared" si="26"/>
        <v>0.87</v>
      </c>
      <c r="BE233" s="337">
        <f t="shared" si="26"/>
        <v>0.87</v>
      </c>
      <c r="BF233" s="337">
        <f t="shared" si="26"/>
        <v>0.87</v>
      </c>
      <c r="BG233" s="337">
        <f t="shared" si="26"/>
        <v>0.87</v>
      </c>
      <c r="BH233" s="337">
        <f t="shared" si="26"/>
        <v>0.87</v>
      </c>
      <c r="BI233" s="337">
        <f t="shared" si="26"/>
        <v>0.87</v>
      </c>
      <c r="BJ233" s="337">
        <f t="shared" si="26"/>
        <v>0.87</v>
      </c>
      <c r="BK233" s="337">
        <f t="shared" si="26"/>
        <v>0.87</v>
      </c>
      <c r="BL233" s="337">
        <f t="shared" si="26"/>
        <v>0.87</v>
      </c>
      <c r="BM233" s="336">
        <f t="shared" ca="1" si="3"/>
        <v>0.84399999999999997</v>
      </c>
      <c r="BN233" s="7"/>
      <c r="BO233" s="336">
        <f t="shared" ca="1" si="4"/>
        <v>0.84360000000000002</v>
      </c>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c r="DX233" s="7"/>
      <c r="DY233" s="7"/>
      <c r="DZ233" s="7"/>
      <c r="EA233" s="7"/>
      <c r="EB233" s="7"/>
      <c r="EC233" s="7"/>
      <c r="ED233" s="7"/>
      <c r="EE233" s="7"/>
      <c r="EF233" s="7"/>
      <c r="EG233" s="7"/>
      <c r="EH233" s="7"/>
      <c r="EI233" s="7"/>
      <c r="EJ233" s="7"/>
      <c r="EK233" s="7"/>
      <c r="EL233" s="7"/>
      <c r="EM233" s="7"/>
      <c r="EN233" s="7"/>
      <c r="EO233" s="7"/>
      <c r="EP233" s="7"/>
      <c r="EQ233" s="7"/>
      <c r="ER233" s="7"/>
      <c r="ES233" s="7"/>
      <c r="ET233" s="7"/>
      <c r="EU233" s="7"/>
      <c r="EV233" s="7"/>
      <c r="EW233" s="7"/>
      <c r="EX233" s="7"/>
      <c r="EY233" s="7"/>
      <c r="EZ233" s="7"/>
      <c r="FB233" s="50"/>
    </row>
    <row r="234" spans="45:158">
      <c r="AT234" s="449">
        <f t="shared" si="19"/>
        <v>301.15384615384608</v>
      </c>
      <c r="AU234" s="336">
        <f t="shared" si="20"/>
        <v>0.79</v>
      </c>
      <c r="AV234" s="336">
        <f t="shared" si="21"/>
        <v>0.79</v>
      </c>
      <c r="AW234" s="336">
        <f t="shared" si="22"/>
        <v>0.8</v>
      </c>
      <c r="AX234" s="336">
        <f t="shared" si="23"/>
        <v>0.83</v>
      </c>
      <c r="AY234" s="336">
        <f t="shared" si="24"/>
        <v>0.84</v>
      </c>
      <c r="AZ234" s="336">
        <f t="shared" si="25"/>
        <v>0.87</v>
      </c>
      <c r="BA234" s="337">
        <f t="shared" si="5"/>
        <v>0.87</v>
      </c>
      <c r="BB234" s="337">
        <f t="shared" si="5"/>
        <v>0.87</v>
      </c>
      <c r="BC234" s="337">
        <f t="shared" ref="BC234:BL234" si="27">BB234</f>
        <v>0.87</v>
      </c>
      <c r="BD234" s="337">
        <f t="shared" si="27"/>
        <v>0.87</v>
      </c>
      <c r="BE234" s="337">
        <f t="shared" si="27"/>
        <v>0.87</v>
      </c>
      <c r="BF234" s="337">
        <f t="shared" si="27"/>
        <v>0.87</v>
      </c>
      <c r="BG234" s="337">
        <f t="shared" si="27"/>
        <v>0.87</v>
      </c>
      <c r="BH234" s="337">
        <f t="shared" si="27"/>
        <v>0.87</v>
      </c>
      <c r="BI234" s="337">
        <f t="shared" si="27"/>
        <v>0.87</v>
      </c>
      <c r="BJ234" s="337">
        <f t="shared" si="27"/>
        <v>0.87</v>
      </c>
      <c r="BK234" s="337">
        <f t="shared" si="27"/>
        <v>0.87</v>
      </c>
      <c r="BL234" s="337">
        <f t="shared" si="27"/>
        <v>0.87</v>
      </c>
      <c r="BM234" s="336">
        <f t="shared" ca="1" si="3"/>
        <v>0.84399999999999997</v>
      </c>
      <c r="BN234" s="7"/>
      <c r="BO234" s="336">
        <f t="shared" ca="1" si="4"/>
        <v>0.84360000000000002</v>
      </c>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c r="DX234" s="7"/>
      <c r="DY234" s="7"/>
      <c r="DZ234" s="7"/>
      <c r="EA234" s="7"/>
      <c r="EB234" s="7"/>
      <c r="EC234" s="7"/>
      <c r="ED234" s="7"/>
      <c r="EE234" s="7"/>
      <c r="EF234" s="7"/>
      <c r="EG234" s="7"/>
      <c r="EH234" s="7"/>
      <c r="EI234" s="7"/>
      <c r="EJ234" s="7"/>
      <c r="EK234" s="7"/>
      <c r="EL234" s="7"/>
      <c r="EM234" s="7"/>
      <c r="EN234" s="7"/>
      <c r="EO234" s="7"/>
      <c r="EP234" s="7"/>
      <c r="EQ234" s="7"/>
      <c r="ER234" s="7"/>
      <c r="ES234" s="7"/>
      <c r="ET234" s="7"/>
      <c r="EU234" s="7"/>
      <c r="EV234" s="7"/>
      <c r="EW234" s="7"/>
      <c r="EX234" s="7"/>
      <c r="EY234" s="7"/>
      <c r="EZ234" s="7"/>
      <c r="FB234" s="50"/>
    </row>
    <row r="235" spans="45:158">
      <c r="AT235" s="449">
        <f t="shared" si="19"/>
        <v>301.53846153846143</v>
      </c>
      <c r="AU235" s="336">
        <f t="shared" si="20"/>
        <v>0.79</v>
      </c>
      <c r="AV235" s="336">
        <f t="shared" si="21"/>
        <v>0.79</v>
      </c>
      <c r="AW235" s="336">
        <f t="shared" si="22"/>
        <v>0.8</v>
      </c>
      <c r="AX235" s="336">
        <f t="shared" si="23"/>
        <v>0.83</v>
      </c>
      <c r="AY235" s="336">
        <f t="shared" si="24"/>
        <v>0.84</v>
      </c>
      <c r="AZ235" s="336">
        <f t="shared" si="25"/>
        <v>0.87</v>
      </c>
      <c r="BA235" s="337">
        <f t="shared" si="5"/>
        <v>0.87</v>
      </c>
      <c r="BB235" s="337">
        <f t="shared" si="5"/>
        <v>0.87</v>
      </c>
      <c r="BC235" s="337">
        <f t="shared" ref="BC235:BL235" si="28">BB235</f>
        <v>0.87</v>
      </c>
      <c r="BD235" s="337">
        <f t="shared" si="28"/>
        <v>0.87</v>
      </c>
      <c r="BE235" s="337">
        <f t="shared" si="28"/>
        <v>0.87</v>
      </c>
      <c r="BF235" s="337">
        <f t="shared" si="28"/>
        <v>0.87</v>
      </c>
      <c r="BG235" s="337">
        <f t="shared" si="28"/>
        <v>0.87</v>
      </c>
      <c r="BH235" s="337">
        <f t="shared" si="28"/>
        <v>0.87</v>
      </c>
      <c r="BI235" s="337">
        <f t="shared" si="28"/>
        <v>0.87</v>
      </c>
      <c r="BJ235" s="337">
        <f t="shared" si="28"/>
        <v>0.87</v>
      </c>
      <c r="BK235" s="337">
        <f t="shared" si="28"/>
        <v>0.87</v>
      </c>
      <c r="BL235" s="337">
        <f t="shared" si="28"/>
        <v>0.87</v>
      </c>
      <c r="BM235" s="336">
        <f t="shared" ca="1" si="3"/>
        <v>0.84399999999999997</v>
      </c>
      <c r="BN235" s="7"/>
      <c r="BO235" s="336">
        <f t="shared" ca="1" si="4"/>
        <v>0.84360000000000002</v>
      </c>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c r="DX235" s="7"/>
      <c r="DY235" s="7"/>
      <c r="DZ235" s="7"/>
      <c r="EA235" s="7"/>
      <c r="EB235" s="7"/>
      <c r="EC235" s="7"/>
      <c r="ED235" s="7"/>
      <c r="EE235" s="7"/>
      <c r="EF235" s="7"/>
      <c r="EG235" s="7"/>
      <c r="EH235" s="7"/>
      <c r="EI235" s="7"/>
      <c r="EJ235" s="7"/>
      <c r="EK235" s="7"/>
      <c r="EL235" s="7"/>
      <c r="EM235" s="7"/>
      <c r="EN235" s="7"/>
      <c r="EO235" s="7"/>
      <c r="EP235" s="7"/>
      <c r="EQ235" s="7"/>
      <c r="ER235" s="7"/>
      <c r="ES235" s="7"/>
      <c r="ET235" s="7"/>
      <c r="EU235" s="7"/>
      <c r="EV235" s="7"/>
      <c r="EW235" s="7"/>
      <c r="EX235" s="7"/>
      <c r="EY235" s="7"/>
      <c r="EZ235" s="7"/>
      <c r="FB235" s="50"/>
    </row>
    <row r="236" spans="45:158">
      <c r="AT236" s="449">
        <f t="shared" si="19"/>
        <v>301.92307692307679</v>
      </c>
      <c r="AU236" s="336">
        <f t="shared" si="20"/>
        <v>0.79</v>
      </c>
      <c r="AV236" s="336">
        <f t="shared" si="21"/>
        <v>0.79</v>
      </c>
      <c r="AW236" s="336">
        <f t="shared" si="22"/>
        <v>0.8</v>
      </c>
      <c r="AX236" s="336">
        <f t="shared" si="23"/>
        <v>0.83</v>
      </c>
      <c r="AY236" s="336">
        <f t="shared" si="24"/>
        <v>0.84</v>
      </c>
      <c r="AZ236" s="336">
        <f t="shared" si="25"/>
        <v>0.87</v>
      </c>
      <c r="BA236" s="337">
        <f t="shared" si="5"/>
        <v>0.87</v>
      </c>
      <c r="BB236" s="337">
        <f t="shared" si="5"/>
        <v>0.87</v>
      </c>
      <c r="BC236" s="337">
        <f t="shared" ref="BC236:BL236" si="29">BB236</f>
        <v>0.87</v>
      </c>
      <c r="BD236" s="337">
        <f t="shared" si="29"/>
        <v>0.87</v>
      </c>
      <c r="BE236" s="337">
        <f t="shared" si="29"/>
        <v>0.87</v>
      </c>
      <c r="BF236" s="337">
        <f t="shared" si="29"/>
        <v>0.87</v>
      </c>
      <c r="BG236" s="337">
        <f t="shared" si="29"/>
        <v>0.87</v>
      </c>
      <c r="BH236" s="337">
        <f t="shared" si="29"/>
        <v>0.87</v>
      </c>
      <c r="BI236" s="337">
        <f t="shared" si="29"/>
        <v>0.87</v>
      </c>
      <c r="BJ236" s="337">
        <f t="shared" si="29"/>
        <v>0.87</v>
      </c>
      <c r="BK236" s="337">
        <f t="shared" si="29"/>
        <v>0.87</v>
      </c>
      <c r="BL236" s="337">
        <f t="shared" si="29"/>
        <v>0.87</v>
      </c>
      <c r="BM236" s="336">
        <f t="shared" ca="1" si="3"/>
        <v>0.84399999999999997</v>
      </c>
      <c r="BN236" s="7"/>
      <c r="BO236" s="336">
        <f t="shared" ca="1" si="4"/>
        <v>0.84360000000000002</v>
      </c>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c r="DX236" s="7"/>
      <c r="DY236" s="7"/>
      <c r="DZ236" s="7"/>
      <c r="EA236" s="7"/>
      <c r="EB236" s="7"/>
      <c r="EC236" s="7"/>
      <c r="ED236" s="7"/>
      <c r="EE236" s="7"/>
      <c r="EF236" s="7"/>
      <c r="EG236" s="7"/>
      <c r="EH236" s="7"/>
      <c r="EI236" s="7"/>
      <c r="EJ236" s="7"/>
      <c r="EK236" s="7"/>
      <c r="EL236" s="7"/>
      <c r="EM236" s="7"/>
      <c r="EN236" s="7"/>
      <c r="EO236" s="7"/>
      <c r="EP236" s="7"/>
      <c r="EQ236" s="7"/>
      <c r="ER236" s="7"/>
      <c r="ES236" s="7"/>
      <c r="ET236" s="7"/>
      <c r="EU236" s="7"/>
      <c r="EV236" s="7"/>
      <c r="EW236" s="7"/>
      <c r="EX236" s="7"/>
      <c r="EY236" s="7"/>
      <c r="EZ236" s="7"/>
      <c r="FB236" s="50"/>
    </row>
    <row r="237" spans="45:158">
      <c r="AT237" s="449">
        <f t="shared" si="19"/>
        <v>302.30769230769215</v>
      </c>
      <c r="AU237" s="336">
        <f t="shared" si="20"/>
        <v>0.79</v>
      </c>
      <c r="AV237" s="336">
        <f t="shared" si="21"/>
        <v>0.79</v>
      </c>
      <c r="AW237" s="336">
        <f t="shared" si="22"/>
        <v>0.8</v>
      </c>
      <c r="AX237" s="336">
        <f t="shared" si="23"/>
        <v>0.83</v>
      </c>
      <c r="AY237" s="336">
        <f t="shared" si="24"/>
        <v>0.84</v>
      </c>
      <c r="AZ237" s="336">
        <f t="shared" si="25"/>
        <v>0.87</v>
      </c>
      <c r="BA237" s="337">
        <f t="shared" si="5"/>
        <v>0.87</v>
      </c>
      <c r="BB237" s="337">
        <f t="shared" si="5"/>
        <v>0.87</v>
      </c>
      <c r="BC237" s="337">
        <f t="shared" ref="BC237:BL237" si="30">BB237</f>
        <v>0.87</v>
      </c>
      <c r="BD237" s="337">
        <f t="shared" si="30"/>
        <v>0.87</v>
      </c>
      <c r="BE237" s="337">
        <f t="shared" si="30"/>
        <v>0.87</v>
      </c>
      <c r="BF237" s="337">
        <f t="shared" si="30"/>
        <v>0.87</v>
      </c>
      <c r="BG237" s="337">
        <f t="shared" si="30"/>
        <v>0.87</v>
      </c>
      <c r="BH237" s="337">
        <f t="shared" si="30"/>
        <v>0.87</v>
      </c>
      <c r="BI237" s="337">
        <f t="shared" si="30"/>
        <v>0.87</v>
      </c>
      <c r="BJ237" s="337">
        <f t="shared" si="30"/>
        <v>0.87</v>
      </c>
      <c r="BK237" s="337">
        <f t="shared" si="30"/>
        <v>0.87</v>
      </c>
      <c r="BL237" s="337">
        <f t="shared" si="30"/>
        <v>0.87</v>
      </c>
      <c r="BM237" s="336">
        <f t="shared" ca="1" si="3"/>
        <v>0.84399999999999997</v>
      </c>
      <c r="BN237" s="7"/>
      <c r="BO237" s="336">
        <f t="shared" ca="1" si="4"/>
        <v>0.84360000000000002</v>
      </c>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c r="DX237" s="7"/>
      <c r="DY237" s="7"/>
      <c r="DZ237" s="7"/>
      <c r="EA237" s="7"/>
      <c r="EB237" s="7"/>
      <c r="EC237" s="7"/>
      <c r="ED237" s="7"/>
      <c r="EE237" s="7"/>
      <c r="EF237" s="7"/>
      <c r="EG237" s="7"/>
      <c r="EH237" s="7"/>
      <c r="EI237" s="7"/>
      <c r="EJ237" s="7"/>
      <c r="EK237" s="7"/>
      <c r="EL237" s="7"/>
      <c r="EM237" s="7"/>
      <c r="EN237" s="7"/>
      <c r="EO237" s="7"/>
      <c r="EP237" s="7"/>
      <c r="EQ237" s="7"/>
      <c r="ER237" s="7"/>
      <c r="ES237" s="7"/>
      <c r="ET237" s="7"/>
      <c r="EU237" s="7"/>
      <c r="EV237" s="7"/>
      <c r="EW237" s="7"/>
      <c r="EX237" s="7"/>
      <c r="EY237" s="7"/>
      <c r="EZ237" s="7"/>
      <c r="FB237" s="50"/>
    </row>
    <row r="238" spans="45:158">
      <c r="AT238" s="449">
        <f t="shared" si="19"/>
        <v>302.69230769230751</v>
      </c>
      <c r="AU238" s="336">
        <f t="shared" si="20"/>
        <v>0.79</v>
      </c>
      <c r="AV238" s="336">
        <f t="shared" si="21"/>
        <v>0.79</v>
      </c>
      <c r="AW238" s="336">
        <f t="shared" si="22"/>
        <v>0.8</v>
      </c>
      <c r="AX238" s="336">
        <f t="shared" si="23"/>
        <v>0.83</v>
      </c>
      <c r="AY238" s="336">
        <f t="shared" si="24"/>
        <v>0.84</v>
      </c>
      <c r="AZ238" s="336">
        <f t="shared" si="25"/>
        <v>0.87</v>
      </c>
      <c r="BA238" s="337">
        <f t="shared" si="5"/>
        <v>0.87</v>
      </c>
      <c r="BB238" s="337">
        <f t="shared" si="5"/>
        <v>0.87</v>
      </c>
      <c r="BC238" s="337">
        <f t="shared" ref="BC238:BL238" si="31">BB238</f>
        <v>0.87</v>
      </c>
      <c r="BD238" s="337">
        <f t="shared" si="31"/>
        <v>0.87</v>
      </c>
      <c r="BE238" s="337">
        <f t="shared" si="31"/>
        <v>0.87</v>
      </c>
      <c r="BF238" s="337">
        <f t="shared" si="31"/>
        <v>0.87</v>
      </c>
      <c r="BG238" s="337">
        <f t="shared" si="31"/>
        <v>0.87</v>
      </c>
      <c r="BH238" s="337">
        <f t="shared" si="31"/>
        <v>0.87</v>
      </c>
      <c r="BI238" s="337">
        <f t="shared" si="31"/>
        <v>0.87</v>
      </c>
      <c r="BJ238" s="337">
        <f t="shared" si="31"/>
        <v>0.87</v>
      </c>
      <c r="BK238" s="337">
        <f t="shared" si="31"/>
        <v>0.87</v>
      </c>
      <c r="BL238" s="337">
        <f t="shared" si="31"/>
        <v>0.87</v>
      </c>
      <c r="BM238" s="336">
        <f t="shared" ca="1" si="3"/>
        <v>0.84399999999999997</v>
      </c>
      <c r="BN238" s="7"/>
      <c r="BO238" s="336">
        <f t="shared" ca="1" si="4"/>
        <v>0.84360000000000002</v>
      </c>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c r="DX238" s="7"/>
      <c r="DY238" s="7"/>
      <c r="DZ238" s="7"/>
      <c r="EA238" s="7"/>
      <c r="EB238" s="7"/>
      <c r="EC238" s="7"/>
      <c r="ED238" s="7"/>
      <c r="EE238" s="7"/>
      <c r="EF238" s="7"/>
      <c r="EG238" s="7"/>
      <c r="EH238" s="7"/>
      <c r="EI238" s="7"/>
      <c r="EJ238" s="7"/>
      <c r="EK238" s="7"/>
      <c r="EL238" s="7"/>
      <c r="EM238" s="7"/>
      <c r="EN238" s="7"/>
      <c r="EO238" s="7"/>
      <c r="EP238" s="7"/>
      <c r="EQ238" s="7"/>
      <c r="ER238" s="7"/>
      <c r="ES238" s="7"/>
      <c r="ET238" s="7"/>
      <c r="EU238" s="7"/>
      <c r="EV238" s="7"/>
      <c r="EW238" s="7"/>
      <c r="EX238" s="7"/>
      <c r="EY238" s="7"/>
      <c r="EZ238" s="7"/>
      <c r="FB238" s="50"/>
    </row>
    <row r="239" spans="45:158">
      <c r="AT239" s="449">
        <f t="shared" si="19"/>
        <v>303.07692307692287</v>
      </c>
      <c r="AU239" s="336">
        <f t="shared" si="20"/>
        <v>0.79</v>
      </c>
      <c r="AV239" s="336">
        <f t="shared" si="21"/>
        <v>0.79</v>
      </c>
      <c r="AW239" s="336">
        <f t="shared" si="22"/>
        <v>0.8</v>
      </c>
      <c r="AX239" s="336">
        <f t="shared" si="23"/>
        <v>0.83</v>
      </c>
      <c r="AY239" s="336">
        <f t="shared" si="24"/>
        <v>0.84</v>
      </c>
      <c r="AZ239" s="336">
        <f t="shared" si="25"/>
        <v>0.87</v>
      </c>
      <c r="BA239" s="337">
        <f t="shared" si="5"/>
        <v>0.87</v>
      </c>
      <c r="BB239" s="337">
        <f t="shared" si="5"/>
        <v>0.87</v>
      </c>
      <c r="BC239" s="337">
        <f t="shared" ref="BC239:BL239" si="32">BB239</f>
        <v>0.87</v>
      </c>
      <c r="BD239" s="337">
        <f t="shared" si="32"/>
        <v>0.87</v>
      </c>
      <c r="BE239" s="337">
        <f t="shared" si="32"/>
        <v>0.87</v>
      </c>
      <c r="BF239" s="337">
        <f t="shared" si="32"/>
        <v>0.87</v>
      </c>
      <c r="BG239" s="337">
        <f t="shared" si="32"/>
        <v>0.87</v>
      </c>
      <c r="BH239" s="337">
        <f t="shared" si="32"/>
        <v>0.87</v>
      </c>
      <c r="BI239" s="337">
        <f t="shared" si="32"/>
        <v>0.87</v>
      </c>
      <c r="BJ239" s="337">
        <f t="shared" si="32"/>
        <v>0.87</v>
      </c>
      <c r="BK239" s="337">
        <f t="shared" si="32"/>
        <v>0.87</v>
      </c>
      <c r="BL239" s="337">
        <f t="shared" si="32"/>
        <v>0.87</v>
      </c>
      <c r="BM239" s="336">
        <f t="shared" ca="1" si="3"/>
        <v>0.84399999999999997</v>
      </c>
      <c r="BN239" s="7"/>
      <c r="BO239" s="336">
        <f t="shared" ca="1" si="4"/>
        <v>0.84360000000000002</v>
      </c>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c r="DX239" s="7"/>
      <c r="DY239" s="7"/>
      <c r="DZ239" s="7"/>
      <c r="EA239" s="7"/>
      <c r="EB239" s="7"/>
      <c r="EC239" s="7"/>
      <c r="ED239" s="7"/>
      <c r="EE239" s="7"/>
      <c r="EF239" s="7"/>
      <c r="EG239" s="7"/>
      <c r="EH239" s="7"/>
      <c r="EI239" s="7"/>
      <c r="EJ239" s="7"/>
      <c r="EK239" s="7"/>
      <c r="EL239" s="7"/>
      <c r="EM239" s="7"/>
      <c r="EN239" s="7"/>
      <c r="EO239" s="7"/>
      <c r="EP239" s="7"/>
      <c r="EQ239" s="7"/>
      <c r="ER239" s="7"/>
      <c r="ES239" s="7"/>
      <c r="ET239" s="7"/>
      <c r="EU239" s="7"/>
      <c r="EV239" s="7"/>
      <c r="EW239" s="7"/>
      <c r="EX239" s="7"/>
      <c r="EY239" s="7"/>
      <c r="EZ239" s="7"/>
      <c r="FB239" s="50"/>
    </row>
    <row r="240" spans="45:158">
      <c r="AT240" s="449">
        <f t="shared" si="19"/>
        <v>303.46153846153823</v>
      </c>
      <c r="AU240" s="336">
        <f t="shared" si="20"/>
        <v>0.79</v>
      </c>
      <c r="AV240" s="336">
        <f t="shared" si="21"/>
        <v>0.79</v>
      </c>
      <c r="AW240" s="336">
        <f t="shared" si="22"/>
        <v>0.8</v>
      </c>
      <c r="AX240" s="336">
        <f t="shared" si="23"/>
        <v>0.83</v>
      </c>
      <c r="AY240" s="336">
        <f t="shared" si="24"/>
        <v>0.84</v>
      </c>
      <c r="AZ240" s="336">
        <f t="shared" si="25"/>
        <v>0.87</v>
      </c>
      <c r="BA240" s="337">
        <f t="shared" si="5"/>
        <v>0.87</v>
      </c>
      <c r="BB240" s="337">
        <f t="shared" si="5"/>
        <v>0.87</v>
      </c>
      <c r="BC240" s="337">
        <f t="shared" ref="BC240:BL240" si="33">BB240</f>
        <v>0.87</v>
      </c>
      <c r="BD240" s="337">
        <f t="shared" si="33"/>
        <v>0.87</v>
      </c>
      <c r="BE240" s="337">
        <f t="shared" si="33"/>
        <v>0.87</v>
      </c>
      <c r="BF240" s="337">
        <f t="shared" si="33"/>
        <v>0.87</v>
      </c>
      <c r="BG240" s="337">
        <f t="shared" si="33"/>
        <v>0.87</v>
      </c>
      <c r="BH240" s="337">
        <f t="shared" si="33"/>
        <v>0.87</v>
      </c>
      <c r="BI240" s="337">
        <f t="shared" si="33"/>
        <v>0.87</v>
      </c>
      <c r="BJ240" s="337">
        <f t="shared" si="33"/>
        <v>0.87</v>
      </c>
      <c r="BK240" s="337">
        <f t="shared" si="33"/>
        <v>0.87</v>
      </c>
      <c r="BL240" s="337">
        <f t="shared" si="33"/>
        <v>0.87</v>
      </c>
      <c r="BM240" s="336">
        <f t="shared" ca="1" si="3"/>
        <v>0.84399999999999997</v>
      </c>
      <c r="BN240" s="7"/>
      <c r="BO240" s="336">
        <f t="shared" ca="1" si="4"/>
        <v>0.84360000000000002</v>
      </c>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c r="DX240" s="7"/>
      <c r="DY240" s="7"/>
      <c r="DZ240" s="7"/>
      <c r="EA240" s="7"/>
      <c r="EB240" s="7"/>
      <c r="EC240" s="7"/>
      <c r="ED240" s="7"/>
      <c r="EE240" s="7"/>
      <c r="EF240" s="7"/>
      <c r="EG240" s="7"/>
      <c r="EH240" s="7"/>
      <c r="EI240" s="7"/>
      <c r="EJ240" s="7"/>
      <c r="EK240" s="7"/>
      <c r="EL240" s="7"/>
      <c r="EM240" s="7"/>
      <c r="EN240" s="7"/>
      <c r="EO240" s="7"/>
      <c r="EP240" s="7"/>
      <c r="EQ240" s="7"/>
      <c r="ER240" s="7"/>
      <c r="ES240" s="7"/>
      <c r="ET240" s="7"/>
      <c r="EU240" s="7"/>
      <c r="EV240" s="7"/>
      <c r="EW240" s="7"/>
      <c r="EX240" s="7"/>
      <c r="EY240" s="7"/>
      <c r="EZ240" s="7"/>
      <c r="FB240" s="50"/>
    </row>
    <row r="241" spans="46:158">
      <c r="AT241" s="449">
        <f t="shared" si="19"/>
        <v>303.84615384615358</v>
      </c>
      <c r="AU241" s="336">
        <f t="shared" si="20"/>
        <v>0.79</v>
      </c>
      <c r="AV241" s="336">
        <f t="shared" si="21"/>
        <v>0.79</v>
      </c>
      <c r="AW241" s="336">
        <f t="shared" si="22"/>
        <v>0.8</v>
      </c>
      <c r="AX241" s="336">
        <f t="shared" si="23"/>
        <v>0.83</v>
      </c>
      <c r="AY241" s="336">
        <f t="shared" si="24"/>
        <v>0.84</v>
      </c>
      <c r="AZ241" s="336">
        <f t="shared" si="25"/>
        <v>0.87</v>
      </c>
      <c r="BA241" s="337">
        <f t="shared" si="5"/>
        <v>0.87</v>
      </c>
      <c r="BB241" s="337">
        <f t="shared" si="5"/>
        <v>0.87</v>
      </c>
      <c r="BC241" s="337">
        <f t="shared" ref="BC241:BL241" si="34">BB241</f>
        <v>0.87</v>
      </c>
      <c r="BD241" s="337">
        <f t="shared" si="34"/>
        <v>0.87</v>
      </c>
      <c r="BE241" s="337">
        <f t="shared" si="34"/>
        <v>0.87</v>
      </c>
      <c r="BF241" s="337">
        <f t="shared" si="34"/>
        <v>0.87</v>
      </c>
      <c r="BG241" s="337">
        <f t="shared" si="34"/>
        <v>0.87</v>
      </c>
      <c r="BH241" s="337">
        <f t="shared" si="34"/>
        <v>0.87</v>
      </c>
      <c r="BI241" s="337">
        <f t="shared" si="34"/>
        <v>0.87</v>
      </c>
      <c r="BJ241" s="337">
        <f t="shared" si="34"/>
        <v>0.87</v>
      </c>
      <c r="BK241" s="337">
        <f t="shared" si="34"/>
        <v>0.87</v>
      </c>
      <c r="BL241" s="337">
        <f t="shared" si="34"/>
        <v>0.87</v>
      </c>
      <c r="BM241" s="336">
        <f t="shared" ca="1" si="3"/>
        <v>0.84399999999999997</v>
      </c>
      <c r="BN241" s="7"/>
      <c r="BO241" s="336">
        <f t="shared" ca="1" si="4"/>
        <v>0.84360000000000002</v>
      </c>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c r="DX241" s="7"/>
      <c r="DY241" s="7"/>
      <c r="DZ241" s="7"/>
      <c r="EA241" s="7"/>
      <c r="EB241" s="7"/>
      <c r="EC241" s="7"/>
      <c r="ED241" s="7"/>
      <c r="EE241" s="7"/>
      <c r="EF241" s="7"/>
      <c r="EG241" s="7"/>
      <c r="EH241" s="7"/>
      <c r="EI241" s="7"/>
      <c r="EJ241" s="7"/>
      <c r="EK241" s="7"/>
      <c r="EL241" s="7"/>
      <c r="EM241" s="7"/>
      <c r="EN241" s="7"/>
      <c r="EO241" s="7"/>
      <c r="EP241" s="7"/>
      <c r="EQ241" s="7"/>
      <c r="ER241" s="7"/>
      <c r="ES241" s="7"/>
      <c r="ET241" s="7"/>
      <c r="EU241" s="7"/>
      <c r="EV241" s="7"/>
      <c r="EW241" s="7"/>
      <c r="EX241" s="7"/>
      <c r="EY241" s="7"/>
      <c r="EZ241" s="7"/>
      <c r="FB241" s="50"/>
    </row>
    <row r="242" spans="46:158">
      <c r="AT242" s="449">
        <f t="shared" si="19"/>
        <v>304.23076923076894</v>
      </c>
      <c r="AU242" s="336">
        <f t="shared" si="20"/>
        <v>0.79</v>
      </c>
      <c r="AV242" s="336">
        <f t="shared" si="21"/>
        <v>0.79</v>
      </c>
      <c r="AW242" s="336">
        <f t="shared" si="22"/>
        <v>0.8</v>
      </c>
      <c r="AX242" s="336">
        <f t="shared" si="23"/>
        <v>0.83</v>
      </c>
      <c r="AY242" s="336">
        <f t="shared" si="24"/>
        <v>0.84</v>
      </c>
      <c r="AZ242" s="336">
        <f t="shared" si="25"/>
        <v>0.87</v>
      </c>
      <c r="BA242" s="337">
        <f t="shared" si="5"/>
        <v>0.87</v>
      </c>
      <c r="BB242" s="337">
        <f t="shared" si="5"/>
        <v>0.87</v>
      </c>
      <c r="BC242" s="337">
        <f t="shared" ref="BC242:BL242" si="35">BB242</f>
        <v>0.87</v>
      </c>
      <c r="BD242" s="337">
        <f t="shared" si="35"/>
        <v>0.87</v>
      </c>
      <c r="BE242" s="337">
        <f t="shared" si="35"/>
        <v>0.87</v>
      </c>
      <c r="BF242" s="337">
        <f t="shared" si="35"/>
        <v>0.87</v>
      </c>
      <c r="BG242" s="337">
        <f t="shared" si="35"/>
        <v>0.87</v>
      </c>
      <c r="BH242" s="337">
        <f t="shared" si="35"/>
        <v>0.87</v>
      </c>
      <c r="BI242" s="337">
        <f t="shared" si="35"/>
        <v>0.87</v>
      </c>
      <c r="BJ242" s="337">
        <f t="shared" si="35"/>
        <v>0.87</v>
      </c>
      <c r="BK242" s="337">
        <f t="shared" si="35"/>
        <v>0.87</v>
      </c>
      <c r="BL242" s="337">
        <f t="shared" si="35"/>
        <v>0.87</v>
      </c>
      <c r="BM242" s="336">
        <f t="shared" ca="1" si="3"/>
        <v>0.84399999999999997</v>
      </c>
      <c r="BN242" s="7"/>
      <c r="BO242" s="336">
        <f t="shared" ca="1" si="4"/>
        <v>0.84360000000000002</v>
      </c>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c r="DX242" s="7"/>
      <c r="DY242" s="7"/>
      <c r="DZ242" s="7"/>
      <c r="EA242" s="7"/>
      <c r="EB242" s="7"/>
      <c r="EC242" s="7"/>
      <c r="ED242" s="7"/>
      <c r="EE242" s="7"/>
      <c r="EF242" s="7"/>
      <c r="EG242" s="7"/>
      <c r="EH242" s="7"/>
      <c r="EI242" s="7"/>
      <c r="EJ242" s="7"/>
      <c r="EK242" s="7"/>
      <c r="EL242" s="7"/>
      <c r="EM242" s="7"/>
      <c r="EN242" s="7"/>
      <c r="EO242" s="7"/>
      <c r="EP242" s="7"/>
      <c r="EQ242" s="7"/>
      <c r="ER242" s="7"/>
      <c r="ES242" s="7"/>
      <c r="ET242" s="7"/>
      <c r="EU242" s="7"/>
      <c r="EV242" s="7"/>
      <c r="EW242" s="7"/>
      <c r="EX242" s="7"/>
      <c r="EY242" s="7"/>
      <c r="EZ242" s="7"/>
      <c r="FB242" s="50"/>
    </row>
    <row r="243" spans="46:158">
      <c r="AT243" s="449">
        <f t="shared" si="19"/>
        <v>304.6153846153843</v>
      </c>
      <c r="AU243" s="336">
        <f t="shared" si="20"/>
        <v>0.79</v>
      </c>
      <c r="AV243" s="336">
        <f t="shared" si="21"/>
        <v>0.79</v>
      </c>
      <c r="AW243" s="336">
        <f t="shared" si="22"/>
        <v>0.8</v>
      </c>
      <c r="AX243" s="336">
        <f t="shared" si="23"/>
        <v>0.83</v>
      </c>
      <c r="AY243" s="336">
        <f t="shared" si="24"/>
        <v>0.84</v>
      </c>
      <c r="AZ243" s="336">
        <f t="shared" si="25"/>
        <v>0.87</v>
      </c>
      <c r="BA243" s="337">
        <f t="shared" si="5"/>
        <v>0.87</v>
      </c>
      <c r="BB243" s="337">
        <f t="shared" si="5"/>
        <v>0.87</v>
      </c>
      <c r="BC243" s="337">
        <f t="shared" ref="BC243:BL243" si="36">BB243</f>
        <v>0.87</v>
      </c>
      <c r="BD243" s="337">
        <f t="shared" si="36"/>
        <v>0.87</v>
      </c>
      <c r="BE243" s="337">
        <f t="shared" si="36"/>
        <v>0.87</v>
      </c>
      <c r="BF243" s="337">
        <f t="shared" si="36"/>
        <v>0.87</v>
      </c>
      <c r="BG243" s="337">
        <f t="shared" si="36"/>
        <v>0.87</v>
      </c>
      <c r="BH243" s="337">
        <f t="shared" si="36"/>
        <v>0.87</v>
      </c>
      <c r="BI243" s="337">
        <f t="shared" si="36"/>
        <v>0.87</v>
      </c>
      <c r="BJ243" s="337">
        <f t="shared" si="36"/>
        <v>0.87</v>
      </c>
      <c r="BK243" s="337">
        <f t="shared" si="36"/>
        <v>0.87</v>
      </c>
      <c r="BL243" s="337">
        <f t="shared" si="36"/>
        <v>0.87</v>
      </c>
      <c r="BM243" s="336">
        <f t="shared" ca="1" si="3"/>
        <v>0.84399999999999997</v>
      </c>
      <c r="BN243" s="7"/>
      <c r="BO243" s="336">
        <f t="shared" ca="1" si="4"/>
        <v>0.84360000000000002</v>
      </c>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c r="DX243" s="7"/>
      <c r="DY243" s="7"/>
      <c r="DZ243" s="7"/>
      <c r="EA243" s="7"/>
      <c r="EB243" s="7"/>
      <c r="EC243" s="7"/>
      <c r="ED243" s="7"/>
      <c r="EE243" s="7"/>
      <c r="EF243" s="7"/>
      <c r="EG243" s="7"/>
      <c r="EH243" s="7"/>
      <c r="EI243" s="7"/>
      <c r="EJ243" s="7"/>
      <c r="EK243" s="7"/>
      <c r="EL243" s="7"/>
      <c r="EM243" s="7"/>
      <c r="EN243" s="7"/>
      <c r="EO243" s="7"/>
      <c r="EP243" s="7"/>
      <c r="EQ243" s="7"/>
      <c r="ER243" s="7"/>
      <c r="ES243" s="7"/>
      <c r="ET243" s="7"/>
      <c r="EU243" s="7"/>
      <c r="EV243" s="7"/>
      <c r="EW243" s="7"/>
      <c r="EX243" s="7"/>
      <c r="EY243" s="7"/>
      <c r="EZ243" s="7"/>
      <c r="FB243" s="50"/>
    </row>
    <row r="244" spans="46:158">
      <c r="AT244" s="432">
        <f t="shared" si="19"/>
        <v>304.99999999999966</v>
      </c>
      <c r="AU244" s="336">
        <f t="shared" si="20"/>
        <v>0.79</v>
      </c>
      <c r="AV244" s="336">
        <f t="shared" si="21"/>
        <v>0.79</v>
      </c>
      <c r="AW244" s="336">
        <f t="shared" si="22"/>
        <v>0.8</v>
      </c>
      <c r="AX244" s="336">
        <f t="shared" si="23"/>
        <v>0.83</v>
      </c>
      <c r="AY244" s="336">
        <f t="shared" si="24"/>
        <v>0.84</v>
      </c>
      <c r="AZ244" s="336">
        <f t="shared" si="25"/>
        <v>0.87</v>
      </c>
      <c r="BA244" s="337">
        <f t="shared" si="5"/>
        <v>0.87</v>
      </c>
      <c r="BB244" s="337">
        <f t="shared" si="5"/>
        <v>0.87</v>
      </c>
      <c r="BC244" s="337">
        <f t="shared" ref="BC244:BL244" si="37">BB244</f>
        <v>0.87</v>
      </c>
      <c r="BD244" s="337">
        <f t="shared" si="37"/>
        <v>0.87</v>
      </c>
      <c r="BE244" s="337">
        <f t="shared" si="37"/>
        <v>0.87</v>
      </c>
      <c r="BF244" s="337">
        <f t="shared" si="37"/>
        <v>0.87</v>
      </c>
      <c r="BG244" s="337">
        <f t="shared" si="37"/>
        <v>0.87</v>
      </c>
      <c r="BH244" s="337">
        <f t="shared" si="37"/>
        <v>0.87</v>
      </c>
      <c r="BI244" s="337">
        <f t="shared" si="37"/>
        <v>0.87</v>
      </c>
      <c r="BJ244" s="337">
        <f t="shared" si="37"/>
        <v>0.87</v>
      </c>
      <c r="BK244" s="337">
        <f t="shared" si="37"/>
        <v>0.87</v>
      </c>
      <c r="BL244" s="337">
        <f t="shared" si="37"/>
        <v>0.87</v>
      </c>
      <c r="BM244" s="336">
        <f t="shared" ca="1" si="3"/>
        <v>0.84399999999999997</v>
      </c>
      <c r="BN244" s="7"/>
      <c r="BO244" s="336">
        <f t="shared" ca="1" si="4"/>
        <v>0.84360000000000002</v>
      </c>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c r="DX244" s="7"/>
      <c r="DY244" s="7"/>
      <c r="DZ244" s="7"/>
      <c r="EA244" s="7"/>
      <c r="EB244" s="7"/>
      <c r="EC244" s="7"/>
      <c r="ED244" s="7"/>
      <c r="EE244" s="7"/>
      <c r="EF244" s="7"/>
      <c r="EG244" s="7"/>
      <c r="EH244" s="7"/>
      <c r="EI244" s="7"/>
      <c r="EJ244" s="7"/>
      <c r="EK244" s="7"/>
      <c r="EL244" s="7"/>
      <c r="EM244" s="7"/>
      <c r="EN244" s="7"/>
      <c r="EO244" s="7"/>
      <c r="EP244" s="7"/>
      <c r="EQ244" s="7"/>
      <c r="ER244" s="7"/>
      <c r="ES244" s="7"/>
      <c r="ET244" s="7"/>
      <c r="EU244" s="7"/>
      <c r="EV244" s="7"/>
      <c r="EW244" s="7"/>
      <c r="EX244" s="7"/>
      <c r="EY244" s="7"/>
      <c r="EZ244" s="7"/>
      <c r="FB244" s="50"/>
    </row>
    <row r="245" spans="46:158">
      <c r="AU245" s="331"/>
      <c r="AV245" s="331"/>
      <c r="AW245" s="331"/>
      <c r="AX245" s="331"/>
      <c r="AY245" s="331"/>
      <c r="AZ245" s="331"/>
      <c r="BA245" s="331"/>
      <c r="BB245" s="331"/>
      <c r="BC245" s="331"/>
      <c r="BD245" s="331"/>
      <c r="BE245" s="331"/>
      <c r="BF245" s="331"/>
      <c r="BG245" s="7"/>
      <c r="BH245" s="7"/>
      <c r="BI245" s="7"/>
      <c r="BJ245" s="7"/>
      <c r="BK245" s="7"/>
      <c r="BL245" s="44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c r="DX245" s="7"/>
      <c r="DY245" s="7"/>
      <c r="DZ245" s="7"/>
      <c r="EA245" s="7"/>
      <c r="EB245" s="7"/>
      <c r="EC245" s="7"/>
      <c r="ED245" s="7"/>
      <c r="EE245" s="7"/>
      <c r="EF245" s="7"/>
      <c r="EG245" s="7"/>
      <c r="EH245" s="7"/>
      <c r="EI245" s="7"/>
      <c r="EJ245" s="7"/>
      <c r="EK245" s="7"/>
      <c r="EL245" s="7"/>
      <c r="EM245" s="7"/>
      <c r="EN245" s="7"/>
      <c r="EO245" s="7"/>
      <c r="EP245" s="7"/>
      <c r="EQ245" s="7"/>
      <c r="ER245" s="7"/>
      <c r="ES245" s="7"/>
      <c r="ET245" s="7"/>
      <c r="EU245" s="7"/>
      <c r="EV245" s="7"/>
      <c r="EW245" s="7"/>
      <c r="EX245" s="7"/>
      <c r="EY245" s="7"/>
      <c r="EZ245" s="7"/>
      <c r="FB245" s="50"/>
    </row>
    <row r="246" spans="46:158">
      <c r="AU246" s="709" t="s">
        <v>77</v>
      </c>
      <c r="AV246" s="709"/>
      <c r="AW246" s="709"/>
      <c r="AX246" s="709"/>
      <c r="AY246" s="709"/>
      <c r="AZ246" s="331"/>
      <c r="BA246" s="331"/>
      <c r="BB246" s="331"/>
      <c r="BC246" s="331"/>
      <c r="BD246" s="331"/>
      <c r="BE246" s="331"/>
      <c r="BF246" s="331"/>
      <c r="BG246" s="7"/>
      <c r="BH246" s="7"/>
      <c r="BI246" s="7"/>
      <c r="BJ246" s="7"/>
      <c r="BK246" s="7"/>
      <c r="BL246" s="44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c r="DX246" s="7"/>
      <c r="DY246" s="7"/>
      <c r="DZ246" s="7"/>
      <c r="EA246" s="7"/>
      <c r="EB246" s="7"/>
      <c r="EC246" s="7"/>
      <c r="ED246" s="7"/>
      <c r="EE246" s="7"/>
      <c r="EF246" s="7"/>
      <c r="EG246" s="7"/>
      <c r="EH246" s="7"/>
      <c r="EI246" s="7"/>
      <c r="EJ246" s="7"/>
      <c r="EK246" s="7"/>
      <c r="EL246" s="7"/>
      <c r="EM246" s="7"/>
      <c r="EN246" s="7"/>
      <c r="EO246" s="7"/>
      <c r="EP246" s="7"/>
      <c r="EQ246" s="7"/>
      <c r="ER246" s="7"/>
      <c r="ES246" s="7"/>
      <c r="ET246" s="7"/>
      <c r="EU246" s="7"/>
      <c r="EV246" s="7"/>
      <c r="EW246" s="7"/>
      <c r="EX246" s="7"/>
      <c r="EY246" s="7"/>
      <c r="EZ246" s="7"/>
      <c r="FB246" s="50"/>
    </row>
    <row r="247" spans="46:158">
      <c r="AU247" s="710" t="s">
        <v>221</v>
      </c>
      <c r="AV247" s="710"/>
      <c r="AW247" s="710"/>
      <c r="AX247" s="710"/>
      <c r="AY247" s="710"/>
      <c r="AZ247" s="331"/>
      <c r="BA247" s="331"/>
      <c r="BB247" s="331"/>
      <c r="BC247" s="331"/>
      <c r="BD247" s="331"/>
      <c r="BE247" s="331"/>
      <c r="BF247" s="331"/>
      <c r="BG247" s="7"/>
      <c r="BH247" s="7"/>
      <c r="BI247" s="7"/>
      <c r="BJ247" s="7"/>
      <c r="BK247" s="7"/>
      <c r="BL247" s="44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c r="DX247" s="7"/>
      <c r="DY247" s="7"/>
      <c r="DZ247" s="7"/>
      <c r="EA247" s="7"/>
      <c r="EB247" s="7"/>
      <c r="EC247" s="7"/>
      <c r="ED247" s="7"/>
      <c r="EE247" s="7"/>
      <c r="EF247" s="7"/>
      <c r="EG247" s="7"/>
      <c r="EH247" s="7"/>
      <c r="EI247" s="7"/>
      <c r="EJ247" s="7"/>
      <c r="EK247" s="7"/>
      <c r="EL247" s="7"/>
      <c r="EM247" s="7"/>
      <c r="EN247" s="7"/>
      <c r="EO247" s="7"/>
      <c r="EP247" s="7"/>
      <c r="EQ247" s="7"/>
      <c r="ER247" s="7"/>
      <c r="ES247" s="7"/>
      <c r="ET247" s="7"/>
      <c r="EU247" s="7"/>
      <c r="EV247" s="7"/>
      <c r="EW247" s="7"/>
      <c r="EX247" s="7"/>
      <c r="EY247" s="7"/>
      <c r="EZ247" s="7"/>
      <c r="FB247" s="50"/>
    </row>
    <row r="248" spans="46:158">
      <c r="AT248" s="334" t="s">
        <v>219</v>
      </c>
      <c r="AU248" s="335">
        <v>1E-3</v>
      </c>
      <c r="AV248" s="335">
        <v>6</v>
      </c>
      <c r="AW248" s="335">
        <v>10</v>
      </c>
      <c r="AX248" s="335">
        <v>30</v>
      </c>
      <c r="AY248" s="335">
        <v>50</v>
      </c>
      <c r="AZ248" s="335">
        <v>200</v>
      </c>
      <c r="BA248" s="448">
        <f>10/12+AZ248</f>
        <v>200.83333333333334</v>
      </c>
      <c r="BB248" s="448">
        <f t="shared" ref="BB248:BK248" si="38">10/12+BA248</f>
        <v>201.66666666666669</v>
      </c>
      <c r="BC248" s="448">
        <f t="shared" si="38"/>
        <v>202.50000000000003</v>
      </c>
      <c r="BD248" s="448">
        <f t="shared" si="38"/>
        <v>203.33333333333337</v>
      </c>
      <c r="BE248" s="448">
        <f t="shared" si="38"/>
        <v>204.16666666666671</v>
      </c>
      <c r="BF248" s="448">
        <f t="shared" si="38"/>
        <v>205.00000000000006</v>
      </c>
      <c r="BG248" s="448">
        <f t="shared" si="38"/>
        <v>205.8333333333334</v>
      </c>
      <c r="BH248" s="448">
        <f t="shared" si="38"/>
        <v>206.66666666666674</v>
      </c>
      <c r="BI248" s="448">
        <f t="shared" si="38"/>
        <v>207.50000000000009</v>
      </c>
      <c r="BJ248" s="448">
        <f t="shared" si="38"/>
        <v>208.33333333333343</v>
      </c>
      <c r="BK248" s="448">
        <f t="shared" si="38"/>
        <v>209.16666666666677</v>
      </c>
      <c r="BL248" s="448">
        <f>10/12+BK248</f>
        <v>210.00000000000011</v>
      </c>
      <c r="BM248" s="331"/>
      <c r="BN248" s="7"/>
      <c r="BO248" s="331"/>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c r="DX248" s="7"/>
      <c r="DY248" s="7"/>
      <c r="DZ248" s="7"/>
      <c r="EA248" s="7"/>
      <c r="EB248" s="7"/>
      <c r="EC248" s="7"/>
      <c r="ED248" s="7"/>
      <c r="EE248" s="7"/>
      <c r="EF248" s="7"/>
      <c r="EG248" s="7"/>
      <c r="EH248" s="7"/>
      <c r="EI248" s="7"/>
      <c r="EJ248" s="7"/>
      <c r="EK248" s="7"/>
      <c r="EL248" s="7"/>
      <c r="EM248" s="7"/>
      <c r="EN248" s="7"/>
      <c r="EO248" s="7"/>
      <c r="EP248" s="7"/>
      <c r="EQ248" s="7"/>
      <c r="ER248" s="7"/>
      <c r="ES248" s="7"/>
      <c r="ET248" s="7"/>
      <c r="EU248" s="7"/>
      <c r="EV248" s="7"/>
      <c r="EW248" s="7"/>
      <c r="EX248" s="7"/>
      <c r="EY248" s="7"/>
      <c r="EZ248" s="7"/>
      <c r="FB248" s="50"/>
    </row>
    <row r="249" spans="46:158">
      <c r="AT249" s="432">
        <v>0</v>
      </c>
      <c r="AU249" s="336">
        <v>1</v>
      </c>
      <c r="AV249" s="337">
        <v>1</v>
      </c>
      <c r="AW249" s="337">
        <v>1</v>
      </c>
      <c r="AX249" s="337">
        <v>1</v>
      </c>
      <c r="AY249" s="336">
        <v>1</v>
      </c>
      <c r="AZ249" s="337">
        <v>1</v>
      </c>
      <c r="BA249" s="337">
        <f t="shared" ref="BA249:BF249" si="39">AZ249</f>
        <v>1</v>
      </c>
      <c r="BB249" s="337">
        <f t="shared" si="39"/>
        <v>1</v>
      </c>
      <c r="BC249" s="337">
        <f t="shared" si="39"/>
        <v>1</v>
      </c>
      <c r="BD249" s="337">
        <f t="shared" si="39"/>
        <v>1</v>
      </c>
      <c r="BE249" s="337">
        <f t="shared" si="39"/>
        <v>1</v>
      </c>
      <c r="BF249" s="337">
        <f t="shared" si="39"/>
        <v>1</v>
      </c>
      <c r="BG249" s="337">
        <f t="shared" ref="BG249:BL249" si="40">BF249</f>
        <v>1</v>
      </c>
      <c r="BH249" s="337">
        <f t="shared" si="40"/>
        <v>1</v>
      </c>
      <c r="BI249" s="337">
        <f t="shared" si="40"/>
        <v>1</v>
      </c>
      <c r="BJ249" s="337">
        <f t="shared" si="40"/>
        <v>1</v>
      </c>
      <c r="BK249" s="337">
        <f t="shared" si="40"/>
        <v>1</v>
      </c>
      <c r="BL249" s="337">
        <f t="shared" si="40"/>
        <v>1</v>
      </c>
      <c r="BM249" s="336">
        <f t="shared" ref="BM249:BM273" ca="1" si="41">FORECAST($M$16,OFFSET($AU249,0,MATCH($M$16,$AU$248:$BK$248,1)-1,1,2),OFFSET($AU$248,0,MATCH($M$16,$AU$248:$BK$248,1)-1,1,2))</f>
        <v>1</v>
      </c>
      <c r="BN249" s="7"/>
      <c r="BO249" s="336">
        <f t="shared" ref="BO249:BO273" ca="1" si="42">FORECAST($AL$42,OFFSET($AU249,0,MATCH($AL$42,$AU$248:$BK$248,1)-1,1,2),OFFSET($AU$248,0,MATCH($AL$42,$AU$248:$BK$248,1)-1,1,2))</f>
        <v>1</v>
      </c>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c r="DX249" s="7"/>
      <c r="DY249" s="7"/>
      <c r="DZ249" s="7"/>
      <c r="EA249" s="7"/>
      <c r="EB249" s="7"/>
      <c r="EC249" s="7"/>
      <c r="ED249" s="7"/>
      <c r="EE249" s="7"/>
      <c r="EF249" s="7"/>
      <c r="EG249" s="7"/>
      <c r="EH249" s="7"/>
      <c r="EI249" s="7"/>
      <c r="EJ249" s="7"/>
      <c r="EK249" s="7"/>
      <c r="EL249" s="7"/>
      <c r="EM249" s="7"/>
      <c r="EN249" s="7"/>
      <c r="EO249" s="7"/>
      <c r="EP249" s="7"/>
      <c r="EQ249" s="7"/>
      <c r="ER249" s="7"/>
      <c r="ES249" s="7"/>
      <c r="ET249" s="7"/>
      <c r="EU249" s="7"/>
      <c r="EV249" s="7"/>
      <c r="EW249" s="7"/>
      <c r="EX249" s="7"/>
      <c r="EY249" s="7"/>
      <c r="EZ249" s="7"/>
      <c r="FB249" s="50"/>
    </row>
    <row r="250" spans="46:158">
      <c r="AT250" s="432">
        <v>5</v>
      </c>
      <c r="AU250" s="458">
        <v>1</v>
      </c>
      <c r="AV250" s="450">
        <v>1</v>
      </c>
      <c r="AW250" s="450">
        <v>1</v>
      </c>
      <c r="AX250" s="450">
        <v>1</v>
      </c>
      <c r="AY250" s="451">
        <v>1</v>
      </c>
      <c r="AZ250" s="452">
        <v>1</v>
      </c>
      <c r="BA250" s="337">
        <f t="shared" ref="BA250:BL250" si="43">AZ250</f>
        <v>1</v>
      </c>
      <c r="BB250" s="337">
        <f t="shared" si="43"/>
        <v>1</v>
      </c>
      <c r="BC250" s="337">
        <f t="shared" si="43"/>
        <v>1</v>
      </c>
      <c r="BD250" s="337">
        <f t="shared" si="43"/>
        <v>1</v>
      </c>
      <c r="BE250" s="337">
        <f t="shared" si="43"/>
        <v>1</v>
      </c>
      <c r="BF250" s="337">
        <f t="shared" si="43"/>
        <v>1</v>
      </c>
      <c r="BG250" s="337">
        <f t="shared" si="43"/>
        <v>1</v>
      </c>
      <c r="BH250" s="337">
        <f t="shared" si="43"/>
        <v>1</v>
      </c>
      <c r="BI250" s="337">
        <f t="shared" si="43"/>
        <v>1</v>
      </c>
      <c r="BJ250" s="337">
        <f t="shared" si="43"/>
        <v>1</v>
      </c>
      <c r="BK250" s="337">
        <f t="shared" si="43"/>
        <v>1</v>
      </c>
      <c r="BL250" s="337">
        <f t="shared" si="43"/>
        <v>1</v>
      </c>
      <c r="BM250" s="336">
        <f t="shared" ca="1" si="41"/>
        <v>1</v>
      </c>
      <c r="BN250" s="7"/>
      <c r="BO250" s="336">
        <f t="shared" ca="1" si="42"/>
        <v>1</v>
      </c>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c r="DX250" s="7"/>
      <c r="DY250" s="7"/>
      <c r="DZ250" s="7"/>
      <c r="EA250" s="7"/>
      <c r="EB250" s="7"/>
      <c r="EC250" s="7"/>
      <c r="ED250" s="7"/>
      <c r="EE250" s="7"/>
      <c r="EF250" s="7"/>
      <c r="EG250" s="7"/>
      <c r="EH250" s="7"/>
      <c r="EI250" s="7"/>
      <c r="EJ250" s="7"/>
      <c r="EK250" s="7"/>
      <c r="EL250" s="7"/>
      <c r="EM250" s="7"/>
      <c r="EN250" s="7"/>
      <c r="EO250" s="7"/>
      <c r="EP250" s="7"/>
      <c r="EQ250" s="7"/>
      <c r="ER250" s="7"/>
      <c r="ES250" s="7"/>
      <c r="ET250" s="7"/>
      <c r="EU250" s="7"/>
      <c r="EV250" s="7"/>
      <c r="EW250" s="7"/>
      <c r="EX250" s="7"/>
      <c r="EY250" s="7"/>
      <c r="EZ250" s="7"/>
      <c r="FB250" s="50"/>
    </row>
    <row r="251" spans="46:158">
      <c r="AT251" s="432">
        <v>10</v>
      </c>
      <c r="AU251" s="458">
        <v>0.94</v>
      </c>
      <c r="AV251" s="90">
        <v>0.94</v>
      </c>
      <c r="AW251" s="90">
        <v>0.95</v>
      </c>
      <c r="AX251" s="90">
        <v>0.96</v>
      </c>
      <c r="AY251" s="453">
        <v>0.96</v>
      </c>
      <c r="AZ251" s="454">
        <v>0.97</v>
      </c>
      <c r="BA251" s="337">
        <f t="shared" ref="BA251:BL251" si="44">AZ251</f>
        <v>0.97</v>
      </c>
      <c r="BB251" s="337">
        <f t="shared" si="44"/>
        <v>0.97</v>
      </c>
      <c r="BC251" s="337">
        <f t="shared" si="44"/>
        <v>0.97</v>
      </c>
      <c r="BD251" s="337">
        <f t="shared" si="44"/>
        <v>0.97</v>
      </c>
      <c r="BE251" s="337">
        <f t="shared" si="44"/>
        <v>0.97</v>
      </c>
      <c r="BF251" s="337">
        <f t="shared" si="44"/>
        <v>0.97</v>
      </c>
      <c r="BG251" s="337">
        <f t="shared" si="44"/>
        <v>0.97</v>
      </c>
      <c r="BH251" s="337">
        <f t="shared" si="44"/>
        <v>0.97</v>
      </c>
      <c r="BI251" s="337">
        <f t="shared" si="44"/>
        <v>0.97</v>
      </c>
      <c r="BJ251" s="337">
        <f t="shared" si="44"/>
        <v>0.97</v>
      </c>
      <c r="BK251" s="337">
        <f t="shared" si="44"/>
        <v>0.97</v>
      </c>
      <c r="BL251" s="337">
        <f t="shared" si="44"/>
        <v>0.97</v>
      </c>
      <c r="BM251" s="336">
        <f t="shared" ca="1" si="41"/>
        <v>0.96133333333333337</v>
      </c>
      <c r="BN251" s="7"/>
      <c r="BO251" s="336">
        <f t="shared" ca="1" si="42"/>
        <v>0.96120000000000005</v>
      </c>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c r="DX251" s="7"/>
      <c r="DY251" s="7"/>
      <c r="DZ251" s="7"/>
      <c r="EA251" s="7"/>
      <c r="EB251" s="7"/>
      <c r="EC251" s="7"/>
      <c r="ED251" s="7"/>
      <c r="EE251" s="7"/>
      <c r="EF251" s="7"/>
      <c r="EG251" s="7"/>
      <c r="EH251" s="7"/>
      <c r="EI251" s="7"/>
      <c r="EJ251" s="7"/>
      <c r="EK251" s="7"/>
      <c r="EL251" s="7"/>
      <c r="EM251" s="7"/>
      <c r="EN251" s="7"/>
      <c r="EO251" s="7"/>
      <c r="EP251" s="7"/>
      <c r="EQ251" s="7"/>
      <c r="ER251" s="7"/>
      <c r="ES251" s="7"/>
      <c r="ET251" s="7"/>
      <c r="EU251" s="7"/>
      <c r="EV251" s="7"/>
      <c r="EW251" s="7"/>
      <c r="EX251" s="7"/>
      <c r="EY251" s="7"/>
      <c r="EZ251" s="7"/>
      <c r="FB251" s="50"/>
    </row>
    <row r="252" spans="46:158">
      <c r="AT252" s="432">
        <v>20</v>
      </c>
      <c r="AU252" s="458">
        <v>0.91</v>
      </c>
      <c r="AV252" s="90">
        <v>0.91</v>
      </c>
      <c r="AW252" s="90">
        <v>0.92</v>
      </c>
      <c r="AX252" s="90">
        <v>0.94</v>
      </c>
      <c r="AY252" s="453">
        <v>0.95</v>
      </c>
      <c r="AZ252" s="454">
        <v>0.96</v>
      </c>
      <c r="BA252" s="337">
        <f t="shared" ref="BA252:BL252" si="45">AZ252</f>
        <v>0.96</v>
      </c>
      <c r="BB252" s="337">
        <f t="shared" si="45"/>
        <v>0.96</v>
      </c>
      <c r="BC252" s="337">
        <f t="shared" si="45"/>
        <v>0.96</v>
      </c>
      <c r="BD252" s="337">
        <f t="shared" si="45"/>
        <v>0.96</v>
      </c>
      <c r="BE252" s="337">
        <f t="shared" si="45"/>
        <v>0.96</v>
      </c>
      <c r="BF252" s="337">
        <f t="shared" si="45"/>
        <v>0.96</v>
      </c>
      <c r="BG252" s="337">
        <f t="shared" si="45"/>
        <v>0.96</v>
      </c>
      <c r="BH252" s="337">
        <f t="shared" si="45"/>
        <v>0.96</v>
      </c>
      <c r="BI252" s="337">
        <f t="shared" si="45"/>
        <v>0.96</v>
      </c>
      <c r="BJ252" s="337">
        <f t="shared" si="45"/>
        <v>0.96</v>
      </c>
      <c r="BK252" s="337">
        <f t="shared" si="45"/>
        <v>0.96</v>
      </c>
      <c r="BL252" s="337">
        <f t="shared" si="45"/>
        <v>0.96</v>
      </c>
      <c r="BM252" s="336">
        <f t="shared" ca="1" si="41"/>
        <v>0.95133333333333336</v>
      </c>
      <c r="BN252" s="7"/>
      <c r="BO252" s="336">
        <f t="shared" ca="1" si="42"/>
        <v>0.95120000000000005</v>
      </c>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c r="DX252" s="7"/>
      <c r="DY252" s="7"/>
      <c r="DZ252" s="7"/>
      <c r="EA252" s="7"/>
      <c r="EB252" s="7"/>
      <c r="EC252" s="7"/>
      <c r="ED252" s="7"/>
      <c r="EE252" s="7"/>
      <c r="EF252" s="7"/>
      <c r="EG252" s="7"/>
      <c r="EH252" s="7"/>
      <c r="EI252" s="7"/>
      <c r="EJ252" s="7"/>
      <c r="EK252" s="7"/>
      <c r="EL252" s="7"/>
      <c r="EM252" s="7"/>
      <c r="EN252" s="7"/>
      <c r="EO252" s="7"/>
      <c r="EP252" s="7"/>
      <c r="EQ252" s="7"/>
      <c r="ER252" s="7"/>
      <c r="ES252" s="7"/>
      <c r="ET252" s="7"/>
      <c r="EU252" s="7"/>
      <c r="EV252" s="7"/>
      <c r="EW252" s="7"/>
      <c r="EX252" s="7"/>
      <c r="EY252" s="7"/>
      <c r="EZ252" s="7"/>
      <c r="FB252" s="50"/>
    </row>
    <row r="253" spans="46:158">
      <c r="AT253" s="432">
        <v>30</v>
      </c>
      <c r="AU253" s="458">
        <v>0.89</v>
      </c>
      <c r="AV253" s="90">
        <v>0.89</v>
      </c>
      <c r="AW253" s="90">
        <v>0.91</v>
      </c>
      <c r="AX253" s="90">
        <v>0.93</v>
      </c>
      <c r="AY253" s="453">
        <v>0.93</v>
      </c>
      <c r="AZ253" s="454">
        <v>0.95</v>
      </c>
      <c r="BA253" s="337">
        <f t="shared" ref="BA253:BL253" si="46">AZ253</f>
        <v>0.95</v>
      </c>
      <c r="BB253" s="337">
        <f t="shared" si="46"/>
        <v>0.95</v>
      </c>
      <c r="BC253" s="337">
        <f t="shared" si="46"/>
        <v>0.95</v>
      </c>
      <c r="BD253" s="337">
        <f t="shared" si="46"/>
        <v>0.95</v>
      </c>
      <c r="BE253" s="337">
        <f t="shared" si="46"/>
        <v>0.95</v>
      </c>
      <c r="BF253" s="337">
        <f t="shared" si="46"/>
        <v>0.95</v>
      </c>
      <c r="BG253" s="337">
        <f t="shared" si="46"/>
        <v>0.95</v>
      </c>
      <c r="BH253" s="337">
        <f t="shared" si="46"/>
        <v>0.95</v>
      </c>
      <c r="BI253" s="337">
        <f t="shared" si="46"/>
        <v>0.95</v>
      </c>
      <c r="BJ253" s="337">
        <f t="shared" si="46"/>
        <v>0.95</v>
      </c>
      <c r="BK253" s="337">
        <f t="shared" si="46"/>
        <v>0.95</v>
      </c>
      <c r="BL253" s="337">
        <f t="shared" si="46"/>
        <v>0.95</v>
      </c>
      <c r="BM253" s="336">
        <f t="shared" ca="1" si="41"/>
        <v>0.93266666666666664</v>
      </c>
      <c r="BN253" s="7"/>
      <c r="BO253" s="336">
        <f t="shared" ca="1" si="42"/>
        <v>0.93240000000000001</v>
      </c>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c r="DX253" s="7"/>
      <c r="DY253" s="7"/>
      <c r="DZ253" s="7"/>
      <c r="EA253" s="7"/>
      <c r="EB253" s="7"/>
      <c r="EC253" s="7"/>
      <c r="ED253" s="7"/>
      <c r="EE253" s="7"/>
      <c r="EF253" s="7"/>
      <c r="EG253" s="7"/>
      <c r="EH253" s="7"/>
      <c r="EI253" s="7"/>
      <c r="EJ253" s="7"/>
      <c r="EK253" s="7"/>
      <c r="EL253" s="7"/>
      <c r="EM253" s="7"/>
      <c r="EN253" s="7"/>
      <c r="EO253" s="7"/>
      <c r="EP253" s="7"/>
      <c r="EQ253" s="7"/>
      <c r="ER253" s="7"/>
      <c r="ES253" s="7"/>
      <c r="ET253" s="7"/>
      <c r="EU253" s="7"/>
      <c r="EV253" s="7"/>
      <c r="EW253" s="7"/>
      <c r="EX253" s="7"/>
      <c r="EY253" s="7"/>
      <c r="EZ253" s="7"/>
      <c r="FB253" s="50"/>
    </row>
    <row r="254" spans="46:158">
      <c r="AT254" s="432">
        <v>40</v>
      </c>
      <c r="AU254" s="458">
        <v>0.88</v>
      </c>
      <c r="AV254" s="90">
        <v>0.88</v>
      </c>
      <c r="AW254" s="90">
        <v>0.89</v>
      </c>
      <c r="AX254" s="90">
        <v>0.91</v>
      </c>
      <c r="AY254" s="453">
        <v>0.92</v>
      </c>
      <c r="AZ254" s="454">
        <v>0.94</v>
      </c>
      <c r="BA254" s="337">
        <f t="shared" ref="BA254:BL254" si="47">AZ254</f>
        <v>0.94</v>
      </c>
      <c r="BB254" s="337">
        <f t="shared" si="47"/>
        <v>0.94</v>
      </c>
      <c r="BC254" s="337">
        <f t="shared" si="47"/>
        <v>0.94</v>
      </c>
      <c r="BD254" s="337">
        <f t="shared" si="47"/>
        <v>0.94</v>
      </c>
      <c r="BE254" s="337">
        <f t="shared" si="47"/>
        <v>0.94</v>
      </c>
      <c r="BF254" s="337">
        <f t="shared" si="47"/>
        <v>0.94</v>
      </c>
      <c r="BG254" s="337">
        <f t="shared" si="47"/>
        <v>0.94</v>
      </c>
      <c r="BH254" s="337">
        <f t="shared" si="47"/>
        <v>0.94</v>
      </c>
      <c r="BI254" s="337">
        <f t="shared" si="47"/>
        <v>0.94</v>
      </c>
      <c r="BJ254" s="337">
        <f t="shared" si="47"/>
        <v>0.94</v>
      </c>
      <c r="BK254" s="337">
        <f t="shared" si="47"/>
        <v>0.94</v>
      </c>
      <c r="BL254" s="337">
        <f t="shared" si="47"/>
        <v>0.94</v>
      </c>
      <c r="BM254" s="336">
        <f t="shared" ca="1" si="41"/>
        <v>0.92266666666666663</v>
      </c>
      <c r="BN254" s="7"/>
      <c r="BO254" s="336">
        <f t="shared" ca="1" si="42"/>
        <v>0.9224</v>
      </c>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c r="DX254" s="7"/>
      <c r="DY254" s="7"/>
      <c r="DZ254" s="7"/>
      <c r="EA254" s="7"/>
      <c r="EB254" s="7"/>
      <c r="EC254" s="7"/>
      <c r="ED254" s="7"/>
      <c r="EE254" s="7"/>
      <c r="EF254" s="7"/>
      <c r="EG254" s="7"/>
      <c r="EH254" s="7"/>
      <c r="EI254" s="7"/>
      <c r="EJ254" s="7"/>
      <c r="EK254" s="7"/>
      <c r="EL254" s="7"/>
      <c r="EM254" s="7"/>
      <c r="EN254" s="7"/>
      <c r="EO254" s="7"/>
      <c r="EP254" s="7"/>
      <c r="EQ254" s="7"/>
      <c r="ER254" s="7"/>
      <c r="ES254" s="7"/>
      <c r="ET254" s="7"/>
      <c r="EU254" s="7"/>
      <c r="EV254" s="7"/>
      <c r="EW254" s="7"/>
      <c r="EX254" s="7"/>
      <c r="EY254" s="7"/>
      <c r="EZ254" s="7"/>
      <c r="FB254" s="50"/>
    </row>
    <row r="255" spans="46:158">
      <c r="AT255" s="432">
        <v>50</v>
      </c>
      <c r="AU255" s="458">
        <v>0.86</v>
      </c>
      <c r="AV255" s="90">
        <v>0.86</v>
      </c>
      <c r="AW255" s="90">
        <v>0.88</v>
      </c>
      <c r="AX255" s="90">
        <v>0.9</v>
      </c>
      <c r="AY255" s="453">
        <v>0.91</v>
      </c>
      <c r="AZ255" s="454">
        <v>0.94</v>
      </c>
      <c r="BA255" s="337">
        <f t="shared" ref="BA255:BL255" si="48">AZ255</f>
        <v>0.94</v>
      </c>
      <c r="BB255" s="337">
        <f t="shared" si="48"/>
        <v>0.94</v>
      </c>
      <c r="BC255" s="337">
        <f t="shared" si="48"/>
        <v>0.94</v>
      </c>
      <c r="BD255" s="337">
        <f t="shared" si="48"/>
        <v>0.94</v>
      </c>
      <c r="BE255" s="337">
        <f t="shared" si="48"/>
        <v>0.94</v>
      </c>
      <c r="BF255" s="337">
        <f t="shared" si="48"/>
        <v>0.94</v>
      </c>
      <c r="BG255" s="337">
        <f t="shared" si="48"/>
        <v>0.94</v>
      </c>
      <c r="BH255" s="337">
        <f t="shared" si="48"/>
        <v>0.94</v>
      </c>
      <c r="BI255" s="337">
        <f t="shared" si="48"/>
        <v>0.94</v>
      </c>
      <c r="BJ255" s="337">
        <f t="shared" si="48"/>
        <v>0.94</v>
      </c>
      <c r="BK255" s="337">
        <f t="shared" si="48"/>
        <v>0.94</v>
      </c>
      <c r="BL255" s="337">
        <f t="shared" si="48"/>
        <v>0.94</v>
      </c>
      <c r="BM255" s="336">
        <f t="shared" ca="1" si="41"/>
        <v>0.91400000000000015</v>
      </c>
      <c r="BN255" s="7"/>
      <c r="BO255" s="336">
        <f t="shared" ca="1" si="42"/>
        <v>0.91360000000000008</v>
      </c>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c r="DX255" s="7"/>
      <c r="DY255" s="7"/>
      <c r="DZ255" s="7"/>
      <c r="EA255" s="7"/>
      <c r="EB255" s="7"/>
      <c r="EC255" s="7"/>
      <c r="ED255" s="7"/>
      <c r="EE255" s="7"/>
      <c r="EF255" s="7"/>
      <c r="EG255" s="7"/>
      <c r="EH255" s="7"/>
      <c r="EI255" s="7"/>
      <c r="EJ255" s="7"/>
      <c r="EK255" s="7"/>
      <c r="EL255" s="7"/>
      <c r="EM255" s="7"/>
      <c r="EN255" s="7"/>
      <c r="EO255" s="7"/>
      <c r="EP255" s="7"/>
      <c r="EQ255" s="7"/>
      <c r="ER255" s="7"/>
      <c r="ES255" s="7"/>
      <c r="ET255" s="7"/>
      <c r="EU255" s="7"/>
      <c r="EV255" s="7"/>
      <c r="EW255" s="7"/>
      <c r="EX255" s="7"/>
      <c r="EY255" s="7"/>
      <c r="EZ255" s="7"/>
      <c r="FB255" s="50"/>
    </row>
    <row r="256" spans="46:158">
      <c r="AT256" s="432">
        <v>70</v>
      </c>
      <c r="AU256" s="458">
        <v>0.84</v>
      </c>
      <c r="AV256" s="90">
        <v>0.84</v>
      </c>
      <c r="AW256" s="90">
        <v>0.86</v>
      </c>
      <c r="AX256" s="90">
        <v>0.89</v>
      </c>
      <c r="AY256" s="453">
        <v>0.9</v>
      </c>
      <c r="AZ256" s="454">
        <v>0.92</v>
      </c>
      <c r="BA256" s="337">
        <f t="shared" ref="BA256:BL256" si="49">AZ256</f>
        <v>0.92</v>
      </c>
      <c r="BB256" s="337">
        <f t="shared" si="49"/>
        <v>0.92</v>
      </c>
      <c r="BC256" s="337">
        <f t="shared" si="49"/>
        <v>0.92</v>
      </c>
      <c r="BD256" s="337">
        <f t="shared" si="49"/>
        <v>0.92</v>
      </c>
      <c r="BE256" s="337">
        <f t="shared" si="49"/>
        <v>0.92</v>
      </c>
      <c r="BF256" s="337">
        <f t="shared" si="49"/>
        <v>0.92</v>
      </c>
      <c r="BG256" s="337">
        <f t="shared" si="49"/>
        <v>0.92</v>
      </c>
      <c r="BH256" s="337">
        <f t="shared" si="49"/>
        <v>0.92</v>
      </c>
      <c r="BI256" s="337">
        <f t="shared" si="49"/>
        <v>0.92</v>
      </c>
      <c r="BJ256" s="337">
        <f t="shared" si="49"/>
        <v>0.92</v>
      </c>
      <c r="BK256" s="337">
        <f t="shared" si="49"/>
        <v>0.92</v>
      </c>
      <c r="BL256" s="337">
        <f t="shared" si="49"/>
        <v>0.92</v>
      </c>
      <c r="BM256" s="336">
        <f t="shared" ca="1" si="41"/>
        <v>0.90266666666666662</v>
      </c>
      <c r="BN256" s="7"/>
      <c r="BO256" s="336">
        <f t="shared" ca="1" si="42"/>
        <v>0.90239999999999998</v>
      </c>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c r="DX256" s="7"/>
      <c r="DY256" s="7"/>
      <c r="DZ256" s="7"/>
      <c r="EA256" s="7"/>
      <c r="EB256" s="7"/>
      <c r="EC256" s="7"/>
      <c r="ED256" s="7"/>
      <c r="EE256" s="7"/>
      <c r="EF256" s="7"/>
      <c r="EG256" s="7"/>
      <c r="EH256" s="7"/>
      <c r="EI256" s="7"/>
      <c r="EJ256" s="7"/>
      <c r="EK256" s="7"/>
      <c r="EL256" s="7"/>
      <c r="EM256" s="7"/>
      <c r="EN256" s="7"/>
      <c r="EO256" s="7"/>
      <c r="EP256" s="7"/>
      <c r="EQ256" s="7"/>
      <c r="ER256" s="7"/>
      <c r="ES256" s="7"/>
      <c r="ET256" s="7"/>
      <c r="EU256" s="7"/>
      <c r="EV256" s="7"/>
      <c r="EW256" s="7"/>
      <c r="EX256" s="7"/>
      <c r="EY256" s="7"/>
      <c r="EZ256" s="7"/>
      <c r="FB256" s="50"/>
    </row>
    <row r="257" spans="46:158">
      <c r="AT257" s="432">
        <v>100</v>
      </c>
      <c r="AU257" s="458">
        <v>0.82</v>
      </c>
      <c r="AV257" s="90">
        <v>0.82</v>
      </c>
      <c r="AW257" s="90">
        <v>0.84</v>
      </c>
      <c r="AX257" s="90">
        <v>0.87</v>
      </c>
      <c r="AY257" s="453">
        <v>0.88</v>
      </c>
      <c r="AZ257" s="454">
        <v>0.91</v>
      </c>
      <c r="BA257" s="337">
        <f t="shared" ref="BA257:BL257" si="50">AZ257</f>
        <v>0.91</v>
      </c>
      <c r="BB257" s="337">
        <f t="shared" si="50"/>
        <v>0.91</v>
      </c>
      <c r="BC257" s="337">
        <f t="shared" si="50"/>
        <v>0.91</v>
      </c>
      <c r="BD257" s="337">
        <f t="shared" si="50"/>
        <v>0.91</v>
      </c>
      <c r="BE257" s="337">
        <f t="shared" si="50"/>
        <v>0.91</v>
      </c>
      <c r="BF257" s="337">
        <f t="shared" si="50"/>
        <v>0.91</v>
      </c>
      <c r="BG257" s="337">
        <f t="shared" si="50"/>
        <v>0.91</v>
      </c>
      <c r="BH257" s="337">
        <f t="shared" si="50"/>
        <v>0.91</v>
      </c>
      <c r="BI257" s="337">
        <f t="shared" si="50"/>
        <v>0.91</v>
      </c>
      <c r="BJ257" s="337">
        <f t="shared" si="50"/>
        <v>0.91</v>
      </c>
      <c r="BK257" s="337">
        <f t="shared" si="50"/>
        <v>0.91</v>
      </c>
      <c r="BL257" s="337">
        <f t="shared" si="50"/>
        <v>0.91</v>
      </c>
      <c r="BM257" s="336">
        <f t="shared" ca="1" si="41"/>
        <v>0.88400000000000001</v>
      </c>
      <c r="BN257" s="7"/>
      <c r="BO257" s="336">
        <f t="shared" ca="1" si="42"/>
        <v>0.88360000000000005</v>
      </c>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c r="DX257" s="7"/>
      <c r="DY257" s="7"/>
      <c r="DZ257" s="7"/>
      <c r="EA257" s="7"/>
      <c r="EB257" s="7"/>
      <c r="EC257" s="7"/>
      <c r="ED257" s="7"/>
      <c r="EE257" s="7"/>
      <c r="EF257" s="7"/>
      <c r="EG257" s="7"/>
      <c r="EH257" s="7"/>
      <c r="EI257" s="7"/>
      <c r="EJ257" s="7"/>
      <c r="EK257" s="7"/>
      <c r="EL257" s="7"/>
      <c r="EM257" s="7"/>
      <c r="EN257" s="7"/>
      <c r="EO257" s="7"/>
      <c r="EP257" s="7"/>
      <c r="EQ257" s="7"/>
      <c r="ER257" s="7"/>
      <c r="ES257" s="7"/>
      <c r="ET257" s="7"/>
      <c r="EU257" s="7"/>
      <c r="EV257" s="7"/>
      <c r="EW257" s="7"/>
      <c r="EX257" s="7"/>
      <c r="EY257" s="7"/>
      <c r="EZ257" s="7"/>
      <c r="FB257" s="50"/>
    </row>
    <row r="258" spans="46:158">
      <c r="AT258" s="432">
        <v>150</v>
      </c>
      <c r="AU258" s="458">
        <v>0.8</v>
      </c>
      <c r="AV258" s="90">
        <v>0.8</v>
      </c>
      <c r="AW258" s="90">
        <v>0.82</v>
      </c>
      <c r="AX258" s="90">
        <v>0.85</v>
      </c>
      <c r="AY258" s="453">
        <v>0.86</v>
      </c>
      <c r="AZ258" s="454">
        <v>0.89</v>
      </c>
      <c r="BA258" s="337">
        <f t="shared" ref="BA258:BL258" si="51">AZ258</f>
        <v>0.89</v>
      </c>
      <c r="BB258" s="337">
        <f t="shared" si="51"/>
        <v>0.89</v>
      </c>
      <c r="BC258" s="337">
        <f t="shared" si="51"/>
        <v>0.89</v>
      </c>
      <c r="BD258" s="337">
        <f t="shared" si="51"/>
        <v>0.89</v>
      </c>
      <c r="BE258" s="337">
        <f t="shared" si="51"/>
        <v>0.89</v>
      </c>
      <c r="BF258" s="337">
        <f t="shared" si="51"/>
        <v>0.89</v>
      </c>
      <c r="BG258" s="337">
        <f t="shared" si="51"/>
        <v>0.89</v>
      </c>
      <c r="BH258" s="337">
        <f t="shared" si="51"/>
        <v>0.89</v>
      </c>
      <c r="BI258" s="337">
        <f t="shared" si="51"/>
        <v>0.89</v>
      </c>
      <c r="BJ258" s="337">
        <f t="shared" si="51"/>
        <v>0.89</v>
      </c>
      <c r="BK258" s="337">
        <f t="shared" si="51"/>
        <v>0.89</v>
      </c>
      <c r="BL258" s="337">
        <f t="shared" si="51"/>
        <v>0.89</v>
      </c>
      <c r="BM258" s="336">
        <f t="shared" ca="1" si="41"/>
        <v>0.86399999999999999</v>
      </c>
      <c r="BN258" s="7"/>
      <c r="BO258" s="336">
        <f t="shared" ca="1" si="42"/>
        <v>0.86360000000000003</v>
      </c>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c r="DX258" s="7"/>
      <c r="DY258" s="7"/>
      <c r="DZ258" s="7"/>
      <c r="EA258" s="7"/>
      <c r="EB258" s="7"/>
      <c r="EC258" s="7"/>
      <c r="ED258" s="7"/>
      <c r="EE258" s="7"/>
      <c r="EF258" s="7"/>
      <c r="EG258" s="7"/>
      <c r="EH258" s="7"/>
      <c r="EI258" s="7"/>
      <c r="EJ258" s="7"/>
      <c r="EK258" s="7"/>
      <c r="EL258" s="7"/>
      <c r="EM258" s="7"/>
      <c r="EN258" s="7"/>
      <c r="EO258" s="7"/>
      <c r="EP258" s="7"/>
      <c r="EQ258" s="7"/>
      <c r="ER258" s="7"/>
      <c r="ES258" s="7"/>
      <c r="ET258" s="7"/>
      <c r="EU258" s="7"/>
      <c r="EV258" s="7"/>
      <c r="EW258" s="7"/>
      <c r="EX258" s="7"/>
      <c r="EY258" s="7"/>
      <c r="EZ258" s="7"/>
      <c r="FB258" s="50"/>
    </row>
    <row r="259" spans="46:158">
      <c r="AT259" s="432">
        <v>200</v>
      </c>
      <c r="AU259" s="458">
        <v>0.78</v>
      </c>
      <c r="AV259" s="90">
        <v>0.78</v>
      </c>
      <c r="AW259" s="90">
        <v>0.8</v>
      </c>
      <c r="AX259" s="90">
        <v>0.83</v>
      </c>
      <c r="AY259" s="453">
        <v>0.84</v>
      </c>
      <c r="AZ259" s="454">
        <v>0.88</v>
      </c>
      <c r="BA259" s="337">
        <f t="shared" ref="BA259:BL259" si="52">AZ259</f>
        <v>0.88</v>
      </c>
      <c r="BB259" s="337">
        <f t="shared" si="52"/>
        <v>0.88</v>
      </c>
      <c r="BC259" s="337">
        <f t="shared" si="52"/>
        <v>0.88</v>
      </c>
      <c r="BD259" s="337">
        <f t="shared" si="52"/>
        <v>0.88</v>
      </c>
      <c r="BE259" s="337">
        <f t="shared" si="52"/>
        <v>0.88</v>
      </c>
      <c r="BF259" s="337">
        <f t="shared" si="52"/>
        <v>0.88</v>
      </c>
      <c r="BG259" s="337">
        <f t="shared" si="52"/>
        <v>0.88</v>
      </c>
      <c r="BH259" s="337">
        <f t="shared" si="52"/>
        <v>0.88</v>
      </c>
      <c r="BI259" s="337">
        <f t="shared" si="52"/>
        <v>0.88</v>
      </c>
      <c r="BJ259" s="337">
        <f t="shared" si="52"/>
        <v>0.88</v>
      </c>
      <c r="BK259" s="337">
        <f t="shared" si="52"/>
        <v>0.88</v>
      </c>
      <c r="BL259" s="337">
        <f t="shared" si="52"/>
        <v>0.88</v>
      </c>
      <c r="BM259" s="336">
        <f t="shared" ca="1" si="41"/>
        <v>0.84533333333333338</v>
      </c>
      <c r="BN259" s="7"/>
      <c r="BO259" s="336">
        <f t="shared" ca="1" si="42"/>
        <v>0.8448</v>
      </c>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c r="DX259" s="7"/>
      <c r="DY259" s="7"/>
      <c r="DZ259" s="7"/>
      <c r="EA259" s="7"/>
      <c r="EB259" s="7"/>
      <c r="EC259" s="7"/>
      <c r="ED259" s="7"/>
      <c r="EE259" s="7"/>
      <c r="EF259" s="7"/>
      <c r="EG259" s="7"/>
      <c r="EH259" s="7"/>
      <c r="EI259" s="7"/>
      <c r="EJ259" s="7"/>
      <c r="EK259" s="7"/>
      <c r="EL259" s="7"/>
      <c r="EM259" s="7"/>
      <c r="EN259" s="7"/>
      <c r="EO259" s="7"/>
      <c r="EP259" s="7"/>
      <c r="EQ259" s="7"/>
      <c r="ER259" s="7"/>
      <c r="ES259" s="7"/>
      <c r="ET259" s="7"/>
      <c r="EU259" s="7"/>
      <c r="EV259" s="7"/>
      <c r="EW259" s="7"/>
      <c r="EX259" s="7"/>
      <c r="EY259" s="7"/>
      <c r="EZ259" s="7"/>
      <c r="FB259" s="50"/>
    </row>
    <row r="260" spans="46:158">
      <c r="AT260" s="432">
        <v>300</v>
      </c>
      <c r="AU260" s="458">
        <v>0.75</v>
      </c>
      <c r="AV260" s="455">
        <v>0.75</v>
      </c>
      <c r="AW260" s="455">
        <v>0.77</v>
      </c>
      <c r="AX260" s="455">
        <v>0.8</v>
      </c>
      <c r="AY260" s="456">
        <v>0.82</v>
      </c>
      <c r="AZ260" s="457">
        <v>0.85</v>
      </c>
      <c r="BA260" s="337">
        <f t="shared" ref="BA260:BL260" si="53">AZ260</f>
        <v>0.85</v>
      </c>
      <c r="BB260" s="337">
        <f t="shared" si="53"/>
        <v>0.85</v>
      </c>
      <c r="BC260" s="337">
        <f t="shared" si="53"/>
        <v>0.85</v>
      </c>
      <c r="BD260" s="337">
        <f t="shared" si="53"/>
        <v>0.85</v>
      </c>
      <c r="BE260" s="337">
        <f t="shared" si="53"/>
        <v>0.85</v>
      </c>
      <c r="BF260" s="337">
        <f t="shared" si="53"/>
        <v>0.85</v>
      </c>
      <c r="BG260" s="337">
        <f t="shared" si="53"/>
        <v>0.85</v>
      </c>
      <c r="BH260" s="337">
        <f t="shared" si="53"/>
        <v>0.85</v>
      </c>
      <c r="BI260" s="337">
        <f t="shared" si="53"/>
        <v>0.85</v>
      </c>
      <c r="BJ260" s="337">
        <f t="shared" si="53"/>
        <v>0.85</v>
      </c>
      <c r="BK260" s="337">
        <f t="shared" si="53"/>
        <v>0.85</v>
      </c>
      <c r="BL260" s="337">
        <f t="shared" si="53"/>
        <v>0.85</v>
      </c>
      <c r="BM260" s="336">
        <f t="shared" ca="1" si="41"/>
        <v>0.82399999999999995</v>
      </c>
      <c r="BN260" s="7"/>
      <c r="BO260" s="336">
        <f t="shared" ca="1" si="42"/>
        <v>0.8236</v>
      </c>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c r="DX260" s="7"/>
      <c r="DY260" s="7"/>
      <c r="DZ260" s="7"/>
      <c r="EA260" s="7"/>
      <c r="EB260" s="7"/>
      <c r="EC260" s="7"/>
      <c r="ED260" s="7"/>
      <c r="EE260" s="7"/>
      <c r="EF260" s="7"/>
      <c r="EG260" s="7"/>
      <c r="EH260" s="7"/>
      <c r="EI260" s="7"/>
      <c r="EJ260" s="7"/>
      <c r="EK260" s="7"/>
      <c r="EL260" s="7"/>
      <c r="EM260" s="7"/>
      <c r="EN260" s="7"/>
      <c r="EO260" s="7"/>
      <c r="EP260" s="7"/>
      <c r="EQ260" s="7"/>
      <c r="ER260" s="7"/>
      <c r="ES260" s="7"/>
      <c r="ET260" s="7"/>
      <c r="EU260" s="7"/>
      <c r="EV260" s="7"/>
      <c r="EW260" s="7"/>
      <c r="EX260" s="7"/>
      <c r="EY260" s="7"/>
      <c r="EZ260" s="7"/>
      <c r="FB260" s="50"/>
    </row>
    <row r="261" spans="46:158">
      <c r="AT261" s="449">
        <f>5/13+AT260</f>
        <v>300.38461538461536</v>
      </c>
      <c r="AU261" s="336">
        <f>AU260</f>
        <v>0.75</v>
      </c>
      <c r="AV261" s="336">
        <f t="shared" ref="AV261:AV273" si="54">AV260</f>
        <v>0.75</v>
      </c>
      <c r="AW261" s="336">
        <f t="shared" ref="AW261:AW273" si="55">AW260</f>
        <v>0.77</v>
      </c>
      <c r="AX261" s="336">
        <f t="shared" ref="AX261:AX273" si="56">AX260</f>
        <v>0.8</v>
      </c>
      <c r="AY261" s="336">
        <f t="shared" ref="AY261:AY273" si="57">AY260</f>
        <v>0.82</v>
      </c>
      <c r="AZ261" s="336">
        <f t="shared" ref="AZ261:AZ273" si="58">AZ260</f>
        <v>0.85</v>
      </c>
      <c r="BA261" s="337">
        <f t="shared" ref="BA261:BL261" si="59">AZ261</f>
        <v>0.85</v>
      </c>
      <c r="BB261" s="337">
        <f t="shared" si="59"/>
        <v>0.85</v>
      </c>
      <c r="BC261" s="337">
        <f t="shared" si="59"/>
        <v>0.85</v>
      </c>
      <c r="BD261" s="337">
        <f t="shared" si="59"/>
        <v>0.85</v>
      </c>
      <c r="BE261" s="337">
        <f t="shared" si="59"/>
        <v>0.85</v>
      </c>
      <c r="BF261" s="337">
        <f t="shared" si="59"/>
        <v>0.85</v>
      </c>
      <c r="BG261" s="337">
        <f t="shared" si="59"/>
        <v>0.85</v>
      </c>
      <c r="BH261" s="337">
        <f t="shared" si="59"/>
        <v>0.85</v>
      </c>
      <c r="BI261" s="337">
        <f t="shared" si="59"/>
        <v>0.85</v>
      </c>
      <c r="BJ261" s="337">
        <f t="shared" si="59"/>
        <v>0.85</v>
      </c>
      <c r="BK261" s="337">
        <f t="shared" si="59"/>
        <v>0.85</v>
      </c>
      <c r="BL261" s="337">
        <f t="shared" si="59"/>
        <v>0.85</v>
      </c>
      <c r="BM261" s="336">
        <f t="shared" ca="1" si="41"/>
        <v>0.82399999999999995</v>
      </c>
      <c r="BN261" s="7"/>
      <c r="BO261" s="336">
        <f t="shared" ca="1" si="42"/>
        <v>0.8236</v>
      </c>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c r="DX261" s="7"/>
      <c r="DY261" s="7"/>
      <c r="DZ261" s="7"/>
      <c r="EA261" s="7"/>
      <c r="EB261" s="7"/>
      <c r="EC261" s="7"/>
      <c r="ED261" s="7"/>
      <c r="EE261" s="7"/>
      <c r="EF261" s="7"/>
      <c r="EG261" s="7"/>
      <c r="EH261" s="7"/>
      <c r="EI261" s="7"/>
      <c r="EJ261" s="7"/>
      <c r="EK261" s="7"/>
      <c r="EL261" s="7"/>
      <c r="EM261" s="7"/>
      <c r="EN261" s="7"/>
      <c r="EO261" s="7"/>
      <c r="EP261" s="7"/>
      <c r="EQ261" s="7"/>
      <c r="ER261" s="7"/>
      <c r="ES261" s="7"/>
      <c r="ET261" s="7"/>
      <c r="EU261" s="7"/>
      <c r="EV261" s="7"/>
      <c r="EW261" s="7"/>
      <c r="EX261" s="7"/>
      <c r="EY261" s="7"/>
      <c r="EZ261" s="7"/>
      <c r="FB261" s="50"/>
    </row>
    <row r="262" spans="46:158">
      <c r="AT262" s="449">
        <f t="shared" ref="AT262:AT273" si="60">5/13+AT261</f>
        <v>300.76923076923072</v>
      </c>
      <c r="AU262" s="336">
        <f t="shared" ref="AU262:AU273" si="61">AU261</f>
        <v>0.75</v>
      </c>
      <c r="AV262" s="336">
        <f t="shared" si="54"/>
        <v>0.75</v>
      </c>
      <c r="AW262" s="336">
        <f t="shared" si="55"/>
        <v>0.77</v>
      </c>
      <c r="AX262" s="336">
        <f t="shared" si="56"/>
        <v>0.8</v>
      </c>
      <c r="AY262" s="336">
        <f t="shared" si="57"/>
        <v>0.82</v>
      </c>
      <c r="AZ262" s="336">
        <f t="shared" si="58"/>
        <v>0.85</v>
      </c>
      <c r="BA262" s="337">
        <f t="shared" ref="BA262:BL262" si="62">AZ262</f>
        <v>0.85</v>
      </c>
      <c r="BB262" s="337">
        <f t="shared" si="62"/>
        <v>0.85</v>
      </c>
      <c r="BC262" s="337">
        <f t="shared" si="62"/>
        <v>0.85</v>
      </c>
      <c r="BD262" s="337">
        <f t="shared" si="62"/>
        <v>0.85</v>
      </c>
      <c r="BE262" s="337">
        <f t="shared" si="62"/>
        <v>0.85</v>
      </c>
      <c r="BF262" s="337">
        <f t="shared" si="62"/>
        <v>0.85</v>
      </c>
      <c r="BG262" s="337">
        <f t="shared" si="62"/>
        <v>0.85</v>
      </c>
      <c r="BH262" s="337">
        <f t="shared" si="62"/>
        <v>0.85</v>
      </c>
      <c r="BI262" s="337">
        <f t="shared" si="62"/>
        <v>0.85</v>
      </c>
      <c r="BJ262" s="337">
        <f t="shared" si="62"/>
        <v>0.85</v>
      </c>
      <c r="BK262" s="337">
        <f t="shared" si="62"/>
        <v>0.85</v>
      </c>
      <c r="BL262" s="337">
        <f t="shared" si="62"/>
        <v>0.85</v>
      </c>
      <c r="BM262" s="336">
        <f t="shared" ca="1" si="41"/>
        <v>0.82399999999999995</v>
      </c>
      <c r="BN262" s="7"/>
      <c r="BO262" s="336">
        <f t="shared" ca="1" si="42"/>
        <v>0.8236</v>
      </c>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c r="DX262" s="7"/>
      <c r="DY262" s="7"/>
      <c r="DZ262" s="7"/>
      <c r="EA262" s="7"/>
      <c r="EB262" s="7"/>
      <c r="EC262" s="7"/>
      <c r="ED262" s="7"/>
      <c r="EE262" s="7"/>
      <c r="EF262" s="7"/>
      <c r="EG262" s="7"/>
      <c r="EH262" s="7"/>
      <c r="EI262" s="7"/>
      <c r="EJ262" s="7"/>
      <c r="EK262" s="7"/>
      <c r="EL262" s="7"/>
      <c r="EM262" s="7"/>
      <c r="EN262" s="7"/>
      <c r="EO262" s="7"/>
      <c r="EP262" s="7"/>
      <c r="EQ262" s="7"/>
      <c r="ER262" s="7"/>
      <c r="ES262" s="7"/>
      <c r="ET262" s="7"/>
      <c r="EU262" s="7"/>
      <c r="EV262" s="7"/>
      <c r="EW262" s="7"/>
      <c r="EX262" s="7"/>
      <c r="EY262" s="7"/>
      <c r="EZ262" s="7"/>
      <c r="FB262" s="50"/>
    </row>
    <row r="263" spans="46:158">
      <c r="AT263" s="449">
        <f t="shared" si="60"/>
        <v>301.15384615384608</v>
      </c>
      <c r="AU263" s="336">
        <f t="shared" si="61"/>
        <v>0.75</v>
      </c>
      <c r="AV263" s="336">
        <f t="shared" si="54"/>
        <v>0.75</v>
      </c>
      <c r="AW263" s="336">
        <f t="shared" si="55"/>
        <v>0.77</v>
      </c>
      <c r="AX263" s="336">
        <f t="shared" si="56"/>
        <v>0.8</v>
      </c>
      <c r="AY263" s="336">
        <f t="shared" si="57"/>
        <v>0.82</v>
      </c>
      <c r="AZ263" s="336">
        <f t="shared" si="58"/>
        <v>0.85</v>
      </c>
      <c r="BA263" s="337">
        <f t="shared" ref="BA263:BL263" si="63">AZ263</f>
        <v>0.85</v>
      </c>
      <c r="BB263" s="337">
        <f t="shared" si="63"/>
        <v>0.85</v>
      </c>
      <c r="BC263" s="337">
        <f t="shared" si="63"/>
        <v>0.85</v>
      </c>
      <c r="BD263" s="337">
        <f t="shared" si="63"/>
        <v>0.85</v>
      </c>
      <c r="BE263" s="337">
        <f t="shared" si="63"/>
        <v>0.85</v>
      </c>
      <c r="BF263" s="337">
        <f t="shared" si="63"/>
        <v>0.85</v>
      </c>
      <c r="BG263" s="337">
        <f t="shared" si="63"/>
        <v>0.85</v>
      </c>
      <c r="BH263" s="337">
        <f t="shared" si="63"/>
        <v>0.85</v>
      </c>
      <c r="BI263" s="337">
        <f t="shared" si="63"/>
        <v>0.85</v>
      </c>
      <c r="BJ263" s="337">
        <f t="shared" si="63"/>
        <v>0.85</v>
      </c>
      <c r="BK263" s="337">
        <f t="shared" si="63"/>
        <v>0.85</v>
      </c>
      <c r="BL263" s="337">
        <f t="shared" si="63"/>
        <v>0.85</v>
      </c>
      <c r="BM263" s="336">
        <f t="shared" ca="1" si="41"/>
        <v>0.82399999999999995</v>
      </c>
      <c r="BN263" s="7"/>
      <c r="BO263" s="336">
        <f t="shared" ca="1" si="42"/>
        <v>0.8236</v>
      </c>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c r="DX263" s="7"/>
      <c r="DY263" s="7"/>
      <c r="DZ263" s="7"/>
      <c r="EA263" s="7"/>
      <c r="EB263" s="7"/>
      <c r="EC263" s="7"/>
      <c r="ED263" s="7"/>
      <c r="EE263" s="7"/>
      <c r="EF263" s="7"/>
      <c r="EG263" s="7"/>
      <c r="EH263" s="7"/>
      <c r="EI263" s="7"/>
      <c r="EJ263" s="7"/>
      <c r="EK263" s="7"/>
      <c r="EL263" s="7"/>
      <c r="EM263" s="7"/>
      <c r="EN263" s="7"/>
      <c r="EO263" s="7"/>
      <c r="EP263" s="7"/>
      <c r="EQ263" s="7"/>
      <c r="ER263" s="7"/>
      <c r="ES263" s="7"/>
      <c r="ET263" s="7"/>
      <c r="EU263" s="7"/>
      <c r="EV263" s="7"/>
      <c r="EW263" s="7"/>
      <c r="EX263" s="7"/>
      <c r="EY263" s="7"/>
      <c r="EZ263" s="7"/>
      <c r="FB263" s="50"/>
    </row>
    <row r="264" spans="46:158">
      <c r="AT264" s="449">
        <f t="shared" si="60"/>
        <v>301.53846153846143</v>
      </c>
      <c r="AU264" s="336">
        <f t="shared" si="61"/>
        <v>0.75</v>
      </c>
      <c r="AV264" s="336">
        <f t="shared" si="54"/>
        <v>0.75</v>
      </c>
      <c r="AW264" s="336">
        <f t="shared" si="55"/>
        <v>0.77</v>
      </c>
      <c r="AX264" s="336">
        <f t="shared" si="56"/>
        <v>0.8</v>
      </c>
      <c r="AY264" s="336">
        <f t="shared" si="57"/>
        <v>0.82</v>
      </c>
      <c r="AZ264" s="336">
        <f t="shared" si="58"/>
        <v>0.85</v>
      </c>
      <c r="BA264" s="337">
        <f t="shared" ref="BA264:BL264" si="64">AZ264</f>
        <v>0.85</v>
      </c>
      <c r="BB264" s="337">
        <f t="shared" si="64"/>
        <v>0.85</v>
      </c>
      <c r="BC264" s="337">
        <f t="shared" si="64"/>
        <v>0.85</v>
      </c>
      <c r="BD264" s="337">
        <f t="shared" si="64"/>
        <v>0.85</v>
      </c>
      <c r="BE264" s="337">
        <f t="shared" si="64"/>
        <v>0.85</v>
      </c>
      <c r="BF264" s="337">
        <f t="shared" si="64"/>
        <v>0.85</v>
      </c>
      <c r="BG264" s="337">
        <f t="shared" si="64"/>
        <v>0.85</v>
      </c>
      <c r="BH264" s="337">
        <f t="shared" si="64"/>
        <v>0.85</v>
      </c>
      <c r="BI264" s="337">
        <f t="shared" si="64"/>
        <v>0.85</v>
      </c>
      <c r="BJ264" s="337">
        <f t="shared" si="64"/>
        <v>0.85</v>
      </c>
      <c r="BK264" s="337">
        <f t="shared" si="64"/>
        <v>0.85</v>
      </c>
      <c r="BL264" s="337">
        <f t="shared" si="64"/>
        <v>0.85</v>
      </c>
      <c r="BM264" s="336">
        <f t="shared" ca="1" si="41"/>
        <v>0.82399999999999995</v>
      </c>
      <c r="BN264" s="7"/>
      <c r="BO264" s="336">
        <f t="shared" ca="1" si="42"/>
        <v>0.8236</v>
      </c>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c r="DX264" s="7"/>
      <c r="DY264" s="7"/>
      <c r="DZ264" s="7"/>
      <c r="EA264" s="7"/>
      <c r="EB264" s="7"/>
      <c r="EC264" s="7"/>
      <c r="ED264" s="7"/>
      <c r="EE264" s="7"/>
      <c r="EF264" s="7"/>
      <c r="EG264" s="7"/>
      <c r="EH264" s="7"/>
      <c r="EI264" s="7"/>
      <c r="EJ264" s="7"/>
      <c r="EK264" s="7"/>
      <c r="EL264" s="7"/>
      <c r="EM264" s="7"/>
      <c r="EN264" s="7"/>
      <c r="EO264" s="7"/>
      <c r="EP264" s="7"/>
      <c r="EQ264" s="7"/>
      <c r="ER264" s="7"/>
      <c r="ES264" s="7"/>
      <c r="ET264" s="7"/>
      <c r="EU264" s="7"/>
      <c r="EV264" s="7"/>
      <c r="EW264" s="7"/>
      <c r="EX264" s="7"/>
      <c r="EY264" s="7"/>
      <c r="EZ264" s="7"/>
      <c r="FB264" s="50"/>
    </row>
    <row r="265" spans="46:158">
      <c r="AT265" s="449">
        <f t="shared" si="60"/>
        <v>301.92307692307679</v>
      </c>
      <c r="AU265" s="336">
        <f t="shared" si="61"/>
        <v>0.75</v>
      </c>
      <c r="AV265" s="336">
        <f t="shared" si="54"/>
        <v>0.75</v>
      </c>
      <c r="AW265" s="336">
        <f t="shared" si="55"/>
        <v>0.77</v>
      </c>
      <c r="AX265" s="336">
        <f t="shared" si="56"/>
        <v>0.8</v>
      </c>
      <c r="AY265" s="336">
        <f t="shared" si="57"/>
        <v>0.82</v>
      </c>
      <c r="AZ265" s="336">
        <f t="shared" si="58"/>
        <v>0.85</v>
      </c>
      <c r="BA265" s="337">
        <f t="shared" ref="BA265:BL265" si="65">AZ265</f>
        <v>0.85</v>
      </c>
      <c r="BB265" s="337">
        <f t="shared" si="65"/>
        <v>0.85</v>
      </c>
      <c r="BC265" s="337">
        <f t="shared" si="65"/>
        <v>0.85</v>
      </c>
      <c r="BD265" s="337">
        <f t="shared" si="65"/>
        <v>0.85</v>
      </c>
      <c r="BE265" s="337">
        <f t="shared" si="65"/>
        <v>0.85</v>
      </c>
      <c r="BF265" s="337">
        <f t="shared" si="65"/>
        <v>0.85</v>
      </c>
      <c r="BG265" s="337">
        <f t="shared" si="65"/>
        <v>0.85</v>
      </c>
      <c r="BH265" s="337">
        <f t="shared" si="65"/>
        <v>0.85</v>
      </c>
      <c r="BI265" s="337">
        <f t="shared" si="65"/>
        <v>0.85</v>
      </c>
      <c r="BJ265" s="337">
        <f t="shared" si="65"/>
        <v>0.85</v>
      </c>
      <c r="BK265" s="337">
        <f t="shared" si="65"/>
        <v>0.85</v>
      </c>
      <c r="BL265" s="337">
        <f t="shared" si="65"/>
        <v>0.85</v>
      </c>
      <c r="BM265" s="336">
        <f t="shared" ca="1" si="41"/>
        <v>0.82399999999999995</v>
      </c>
      <c r="BN265" s="7"/>
      <c r="BO265" s="336">
        <f t="shared" ca="1" si="42"/>
        <v>0.8236</v>
      </c>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c r="DX265" s="7"/>
      <c r="DY265" s="7"/>
      <c r="DZ265" s="7"/>
      <c r="EA265" s="7"/>
      <c r="EB265" s="7"/>
      <c r="EC265" s="7"/>
      <c r="ED265" s="7"/>
      <c r="EE265" s="7"/>
      <c r="EF265" s="7"/>
      <c r="EG265" s="7"/>
      <c r="EH265" s="7"/>
      <c r="EI265" s="7"/>
      <c r="EJ265" s="7"/>
      <c r="EK265" s="7"/>
      <c r="EL265" s="7"/>
      <c r="EM265" s="7"/>
      <c r="EN265" s="7"/>
      <c r="EO265" s="7"/>
      <c r="EP265" s="7"/>
      <c r="EQ265" s="7"/>
      <c r="ER265" s="7"/>
      <c r="ES265" s="7"/>
      <c r="ET265" s="7"/>
      <c r="EU265" s="7"/>
      <c r="EV265" s="7"/>
      <c r="EW265" s="7"/>
      <c r="EX265" s="7"/>
      <c r="EY265" s="7"/>
      <c r="EZ265" s="7"/>
      <c r="FB265" s="50"/>
    </row>
    <row r="266" spans="46:158">
      <c r="AT266" s="449">
        <f t="shared" si="60"/>
        <v>302.30769230769215</v>
      </c>
      <c r="AU266" s="336">
        <f t="shared" si="61"/>
        <v>0.75</v>
      </c>
      <c r="AV266" s="336">
        <f t="shared" si="54"/>
        <v>0.75</v>
      </c>
      <c r="AW266" s="336">
        <f t="shared" si="55"/>
        <v>0.77</v>
      </c>
      <c r="AX266" s="336">
        <f t="shared" si="56"/>
        <v>0.8</v>
      </c>
      <c r="AY266" s="336">
        <f t="shared" si="57"/>
        <v>0.82</v>
      </c>
      <c r="AZ266" s="336">
        <f t="shared" si="58"/>
        <v>0.85</v>
      </c>
      <c r="BA266" s="337">
        <f t="shared" ref="BA266:BL266" si="66">AZ266</f>
        <v>0.85</v>
      </c>
      <c r="BB266" s="337">
        <f t="shared" si="66"/>
        <v>0.85</v>
      </c>
      <c r="BC266" s="337">
        <f t="shared" si="66"/>
        <v>0.85</v>
      </c>
      <c r="BD266" s="337">
        <f t="shared" si="66"/>
        <v>0.85</v>
      </c>
      <c r="BE266" s="337">
        <f t="shared" si="66"/>
        <v>0.85</v>
      </c>
      <c r="BF266" s="337">
        <f t="shared" si="66"/>
        <v>0.85</v>
      </c>
      <c r="BG266" s="337">
        <f t="shared" si="66"/>
        <v>0.85</v>
      </c>
      <c r="BH266" s="337">
        <f t="shared" si="66"/>
        <v>0.85</v>
      </c>
      <c r="BI266" s="337">
        <f t="shared" si="66"/>
        <v>0.85</v>
      </c>
      <c r="BJ266" s="337">
        <f t="shared" si="66"/>
        <v>0.85</v>
      </c>
      <c r="BK266" s="337">
        <f t="shared" si="66"/>
        <v>0.85</v>
      </c>
      <c r="BL266" s="337">
        <f t="shared" si="66"/>
        <v>0.85</v>
      </c>
      <c r="BM266" s="336">
        <f t="shared" ca="1" si="41"/>
        <v>0.82399999999999995</v>
      </c>
      <c r="BN266" s="7"/>
      <c r="BO266" s="336">
        <f t="shared" ca="1" si="42"/>
        <v>0.8236</v>
      </c>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c r="DX266" s="7"/>
      <c r="DY266" s="7"/>
      <c r="DZ266" s="7"/>
      <c r="EA266" s="7"/>
      <c r="EB266" s="7"/>
      <c r="EC266" s="7"/>
      <c r="ED266" s="7"/>
      <c r="EE266" s="7"/>
      <c r="EF266" s="7"/>
      <c r="EG266" s="7"/>
      <c r="EH266" s="7"/>
      <c r="EI266" s="7"/>
      <c r="EJ266" s="7"/>
      <c r="EK266" s="7"/>
      <c r="EL266" s="7"/>
      <c r="EM266" s="7"/>
      <c r="EN266" s="7"/>
      <c r="EO266" s="7"/>
      <c r="EP266" s="7"/>
      <c r="EQ266" s="7"/>
      <c r="ER266" s="7"/>
      <c r="ES266" s="7"/>
      <c r="ET266" s="7"/>
      <c r="EU266" s="7"/>
      <c r="EV266" s="7"/>
      <c r="EW266" s="7"/>
      <c r="EX266" s="7"/>
      <c r="EY266" s="7"/>
      <c r="EZ266" s="7"/>
      <c r="FB266" s="50"/>
    </row>
    <row r="267" spans="46:158">
      <c r="AT267" s="449">
        <f t="shared" si="60"/>
        <v>302.69230769230751</v>
      </c>
      <c r="AU267" s="336">
        <f t="shared" si="61"/>
        <v>0.75</v>
      </c>
      <c r="AV267" s="336">
        <f t="shared" si="54"/>
        <v>0.75</v>
      </c>
      <c r="AW267" s="336">
        <f t="shared" si="55"/>
        <v>0.77</v>
      </c>
      <c r="AX267" s="336">
        <f t="shared" si="56"/>
        <v>0.8</v>
      </c>
      <c r="AY267" s="336">
        <f t="shared" si="57"/>
        <v>0.82</v>
      </c>
      <c r="AZ267" s="336">
        <f t="shared" si="58"/>
        <v>0.85</v>
      </c>
      <c r="BA267" s="337">
        <f t="shared" ref="BA267:BL267" si="67">AZ267</f>
        <v>0.85</v>
      </c>
      <c r="BB267" s="337">
        <f t="shared" si="67"/>
        <v>0.85</v>
      </c>
      <c r="BC267" s="337">
        <f t="shared" si="67"/>
        <v>0.85</v>
      </c>
      <c r="BD267" s="337">
        <f t="shared" si="67"/>
        <v>0.85</v>
      </c>
      <c r="BE267" s="337">
        <f t="shared" si="67"/>
        <v>0.85</v>
      </c>
      <c r="BF267" s="337">
        <f t="shared" si="67"/>
        <v>0.85</v>
      </c>
      <c r="BG267" s="337">
        <f t="shared" si="67"/>
        <v>0.85</v>
      </c>
      <c r="BH267" s="337">
        <f t="shared" si="67"/>
        <v>0.85</v>
      </c>
      <c r="BI267" s="337">
        <f t="shared" si="67"/>
        <v>0.85</v>
      </c>
      <c r="BJ267" s="337">
        <f t="shared" si="67"/>
        <v>0.85</v>
      </c>
      <c r="BK267" s="337">
        <f t="shared" si="67"/>
        <v>0.85</v>
      </c>
      <c r="BL267" s="337">
        <f t="shared" si="67"/>
        <v>0.85</v>
      </c>
      <c r="BM267" s="336">
        <f t="shared" ca="1" si="41"/>
        <v>0.82399999999999995</v>
      </c>
      <c r="BN267" s="7"/>
      <c r="BO267" s="336">
        <f t="shared" ca="1" si="42"/>
        <v>0.8236</v>
      </c>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c r="DX267" s="7"/>
      <c r="DY267" s="7"/>
      <c r="DZ267" s="7"/>
      <c r="EA267" s="7"/>
      <c r="EB267" s="7"/>
      <c r="EC267" s="7"/>
      <c r="ED267" s="7"/>
      <c r="EE267" s="7"/>
      <c r="EF267" s="7"/>
      <c r="EG267" s="7"/>
      <c r="EH267" s="7"/>
      <c r="EI267" s="7"/>
      <c r="EJ267" s="7"/>
      <c r="EK267" s="7"/>
      <c r="EL267" s="7"/>
      <c r="EM267" s="7"/>
      <c r="EN267" s="7"/>
      <c r="EO267" s="7"/>
      <c r="EP267" s="7"/>
      <c r="EQ267" s="7"/>
      <c r="ER267" s="7"/>
      <c r="ES267" s="7"/>
      <c r="ET267" s="7"/>
      <c r="EU267" s="7"/>
      <c r="EV267" s="7"/>
      <c r="EW267" s="7"/>
      <c r="EX267" s="7"/>
      <c r="EY267" s="7"/>
      <c r="EZ267" s="7"/>
      <c r="FB267" s="50"/>
    </row>
    <row r="268" spans="46:158">
      <c r="AT268" s="449">
        <f t="shared" si="60"/>
        <v>303.07692307692287</v>
      </c>
      <c r="AU268" s="336">
        <f t="shared" si="61"/>
        <v>0.75</v>
      </c>
      <c r="AV268" s="336">
        <f t="shared" si="54"/>
        <v>0.75</v>
      </c>
      <c r="AW268" s="336">
        <f t="shared" si="55"/>
        <v>0.77</v>
      </c>
      <c r="AX268" s="336">
        <f t="shared" si="56"/>
        <v>0.8</v>
      </c>
      <c r="AY268" s="336">
        <f t="shared" si="57"/>
        <v>0.82</v>
      </c>
      <c r="AZ268" s="336">
        <f t="shared" si="58"/>
        <v>0.85</v>
      </c>
      <c r="BA268" s="337">
        <f t="shared" ref="BA268:BL268" si="68">AZ268</f>
        <v>0.85</v>
      </c>
      <c r="BB268" s="337">
        <f t="shared" si="68"/>
        <v>0.85</v>
      </c>
      <c r="BC268" s="337">
        <f t="shared" si="68"/>
        <v>0.85</v>
      </c>
      <c r="BD268" s="337">
        <f t="shared" si="68"/>
        <v>0.85</v>
      </c>
      <c r="BE268" s="337">
        <f t="shared" si="68"/>
        <v>0.85</v>
      </c>
      <c r="BF268" s="337">
        <f t="shared" si="68"/>
        <v>0.85</v>
      </c>
      <c r="BG268" s="337">
        <f t="shared" si="68"/>
        <v>0.85</v>
      </c>
      <c r="BH268" s="337">
        <f t="shared" si="68"/>
        <v>0.85</v>
      </c>
      <c r="BI268" s="337">
        <f t="shared" si="68"/>
        <v>0.85</v>
      </c>
      <c r="BJ268" s="337">
        <f t="shared" si="68"/>
        <v>0.85</v>
      </c>
      <c r="BK268" s="337">
        <f t="shared" si="68"/>
        <v>0.85</v>
      </c>
      <c r="BL268" s="337">
        <f t="shared" si="68"/>
        <v>0.85</v>
      </c>
      <c r="BM268" s="336">
        <f t="shared" ca="1" si="41"/>
        <v>0.82399999999999995</v>
      </c>
      <c r="BN268" s="7"/>
      <c r="BO268" s="336">
        <f t="shared" ca="1" si="42"/>
        <v>0.8236</v>
      </c>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c r="DX268" s="7"/>
      <c r="DY268" s="7"/>
      <c r="DZ268" s="7"/>
      <c r="EA268" s="7"/>
      <c r="EB268" s="7"/>
      <c r="EC268" s="7"/>
      <c r="ED268" s="7"/>
      <c r="EE268" s="7"/>
      <c r="EF268" s="7"/>
      <c r="EG268" s="7"/>
      <c r="EH268" s="7"/>
      <c r="EI268" s="7"/>
      <c r="EJ268" s="7"/>
      <c r="EK268" s="7"/>
      <c r="EL268" s="7"/>
      <c r="EM268" s="7"/>
      <c r="EN268" s="7"/>
      <c r="EO268" s="7"/>
      <c r="EP268" s="7"/>
      <c r="EQ268" s="7"/>
      <c r="ER268" s="7"/>
      <c r="ES268" s="7"/>
      <c r="ET268" s="7"/>
      <c r="EU268" s="7"/>
      <c r="EV268" s="7"/>
      <c r="EW268" s="7"/>
      <c r="EX268" s="7"/>
      <c r="EY268" s="7"/>
      <c r="EZ268" s="7"/>
      <c r="FB268" s="50"/>
    </row>
    <row r="269" spans="46:158">
      <c r="AT269" s="449">
        <f t="shared" si="60"/>
        <v>303.46153846153823</v>
      </c>
      <c r="AU269" s="336">
        <f t="shared" si="61"/>
        <v>0.75</v>
      </c>
      <c r="AV269" s="336">
        <f t="shared" si="54"/>
        <v>0.75</v>
      </c>
      <c r="AW269" s="336">
        <f t="shared" si="55"/>
        <v>0.77</v>
      </c>
      <c r="AX269" s="336">
        <f t="shared" si="56"/>
        <v>0.8</v>
      </c>
      <c r="AY269" s="336">
        <f t="shared" si="57"/>
        <v>0.82</v>
      </c>
      <c r="AZ269" s="336">
        <f t="shared" si="58"/>
        <v>0.85</v>
      </c>
      <c r="BA269" s="337">
        <f t="shared" ref="BA269:BL269" si="69">AZ269</f>
        <v>0.85</v>
      </c>
      <c r="BB269" s="337">
        <f t="shared" si="69"/>
        <v>0.85</v>
      </c>
      <c r="BC269" s="337">
        <f t="shared" si="69"/>
        <v>0.85</v>
      </c>
      <c r="BD269" s="337">
        <f t="shared" si="69"/>
        <v>0.85</v>
      </c>
      <c r="BE269" s="337">
        <f t="shared" si="69"/>
        <v>0.85</v>
      </c>
      <c r="BF269" s="337">
        <f t="shared" si="69"/>
        <v>0.85</v>
      </c>
      <c r="BG269" s="337">
        <f t="shared" si="69"/>
        <v>0.85</v>
      </c>
      <c r="BH269" s="337">
        <f t="shared" si="69"/>
        <v>0.85</v>
      </c>
      <c r="BI269" s="337">
        <f t="shared" si="69"/>
        <v>0.85</v>
      </c>
      <c r="BJ269" s="337">
        <f t="shared" si="69"/>
        <v>0.85</v>
      </c>
      <c r="BK269" s="337">
        <f t="shared" si="69"/>
        <v>0.85</v>
      </c>
      <c r="BL269" s="337">
        <f t="shared" si="69"/>
        <v>0.85</v>
      </c>
      <c r="BM269" s="336">
        <f t="shared" ca="1" si="41"/>
        <v>0.82399999999999995</v>
      </c>
      <c r="BN269" s="7"/>
      <c r="BO269" s="336">
        <f t="shared" ca="1" si="42"/>
        <v>0.8236</v>
      </c>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c r="DX269" s="7"/>
      <c r="DY269" s="7"/>
      <c r="DZ269" s="7"/>
      <c r="EA269" s="7"/>
      <c r="EB269" s="7"/>
      <c r="EC269" s="7"/>
      <c r="ED269" s="7"/>
      <c r="EE269" s="7"/>
      <c r="EF269" s="7"/>
      <c r="EG269" s="7"/>
      <c r="EH269" s="7"/>
      <c r="EI269" s="7"/>
      <c r="EJ269" s="7"/>
      <c r="EK269" s="7"/>
      <c r="EL269" s="7"/>
      <c r="EM269" s="7"/>
      <c r="EN269" s="7"/>
      <c r="EO269" s="7"/>
      <c r="EP269" s="7"/>
      <c r="EQ269" s="7"/>
      <c r="ER269" s="7"/>
      <c r="ES269" s="7"/>
      <c r="ET269" s="7"/>
      <c r="EU269" s="7"/>
      <c r="EV269" s="7"/>
      <c r="EW269" s="7"/>
      <c r="EX269" s="7"/>
      <c r="EY269" s="7"/>
      <c r="EZ269" s="7"/>
      <c r="FB269" s="50"/>
    </row>
    <row r="270" spans="46:158">
      <c r="AT270" s="449">
        <f t="shared" si="60"/>
        <v>303.84615384615358</v>
      </c>
      <c r="AU270" s="336">
        <f t="shared" si="61"/>
        <v>0.75</v>
      </c>
      <c r="AV270" s="336">
        <f t="shared" si="54"/>
        <v>0.75</v>
      </c>
      <c r="AW270" s="336">
        <f t="shared" si="55"/>
        <v>0.77</v>
      </c>
      <c r="AX270" s="336">
        <f t="shared" si="56"/>
        <v>0.8</v>
      </c>
      <c r="AY270" s="336">
        <f t="shared" si="57"/>
        <v>0.82</v>
      </c>
      <c r="AZ270" s="336">
        <f t="shared" si="58"/>
        <v>0.85</v>
      </c>
      <c r="BA270" s="337">
        <f t="shared" ref="BA270:BL270" si="70">AZ270</f>
        <v>0.85</v>
      </c>
      <c r="BB270" s="337">
        <f t="shared" si="70"/>
        <v>0.85</v>
      </c>
      <c r="BC270" s="337">
        <f t="shared" si="70"/>
        <v>0.85</v>
      </c>
      <c r="BD270" s="337">
        <f t="shared" si="70"/>
        <v>0.85</v>
      </c>
      <c r="BE270" s="337">
        <f t="shared" si="70"/>
        <v>0.85</v>
      </c>
      <c r="BF270" s="337">
        <f t="shared" si="70"/>
        <v>0.85</v>
      </c>
      <c r="BG270" s="337">
        <f t="shared" si="70"/>
        <v>0.85</v>
      </c>
      <c r="BH270" s="337">
        <f t="shared" si="70"/>
        <v>0.85</v>
      </c>
      <c r="BI270" s="337">
        <f t="shared" si="70"/>
        <v>0.85</v>
      </c>
      <c r="BJ270" s="337">
        <f t="shared" si="70"/>
        <v>0.85</v>
      </c>
      <c r="BK270" s="337">
        <f t="shared" si="70"/>
        <v>0.85</v>
      </c>
      <c r="BL270" s="337">
        <f t="shared" si="70"/>
        <v>0.85</v>
      </c>
      <c r="BM270" s="336">
        <f t="shared" ca="1" si="41"/>
        <v>0.82399999999999995</v>
      </c>
      <c r="BN270" s="7"/>
      <c r="BO270" s="336">
        <f t="shared" ca="1" si="42"/>
        <v>0.8236</v>
      </c>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c r="DX270" s="7"/>
      <c r="DY270" s="7"/>
      <c r="DZ270" s="7"/>
      <c r="EA270" s="7"/>
      <c r="EB270" s="7"/>
      <c r="EC270" s="7"/>
      <c r="ED270" s="7"/>
      <c r="EE270" s="7"/>
      <c r="EF270" s="7"/>
      <c r="EG270" s="7"/>
      <c r="EH270" s="7"/>
      <c r="EI270" s="7"/>
      <c r="EJ270" s="7"/>
      <c r="EK270" s="7"/>
      <c r="EL270" s="7"/>
      <c r="EM270" s="7"/>
      <c r="EN270" s="7"/>
      <c r="EO270" s="7"/>
      <c r="EP270" s="7"/>
      <c r="EQ270" s="7"/>
      <c r="ER270" s="7"/>
      <c r="ES270" s="7"/>
      <c r="ET270" s="7"/>
      <c r="EU270" s="7"/>
      <c r="EV270" s="7"/>
      <c r="EW270" s="7"/>
      <c r="EX270" s="7"/>
      <c r="EY270" s="7"/>
      <c r="EZ270" s="7"/>
      <c r="FB270" s="50"/>
    </row>
    <row r="271" spans="46:158">
      <c r="AT271" s="449">
        <f t="shared" si="60"/>
        <v>304.23076923076894</v>
      </c>
      <c r="AU271" s="336">
        <f t="shared" si="61"/>
        <v>0.75</v>
      </c>
      <c r="AV271" s="336">
        <f t="shared" si="54"/>
        <v>0.75</v>
      </c>
      <c r="AW271" s="336">
        <f t="shared" si="55"/>
        <v>0.77</v>
      </c>
      <c r="AX271" s="336">
        <f t="shared" si="56"/>
        <v>0.8</v>
      </c>
      <c r="AY271" s="336">
        <f t="shared" si="57"/>
        <v>0.82</v>
      </c>
      <c r="AZ271" s="336">
        <f t="shared" si="58"/>
        <v>0.85</v>
      </c>
      <c r="BA271" s="337">
        <f t="shared" ref="BA271:BL271" si="71">AZ271</f>
        <v>0.85</v>
      </c>
      <c r="BB271" s="337">
        <f t="shared" si="71"/>
        <v>0.85</v>
      </c>
      <c r="BC271" s="337">
        <f t="shared" si="71"/>
        <v>0.85</v>
      </c>
      <c r="BD271" s="337">
        <f t="shared" si="71"/>
        <v>0.85</v>
      </c>
      <c r="BE271" s="337">
        <f t="shared" si="71"/>
        <v>0.85</v>
      </c>
      <c r="BF271" s="337">
        <f t="shared" si="71"/>
        <v>0.85</v>
      </c>
      <c r="BG271" s="337">
        <f t="shared" si="71"/>
        <v>0.85</v>
      </c>
      <c r="BH271" s="337">
        <f t="shared" si="71"/>
        <v>0.85</v>
      </c>
      <c r="BI271" s="337">
        <f t="shared" si="71"/>
        <v>0.85</v>
      </c>
      <c r="BJ271" s="337">
        <f t="shared" si="71"/>
        <v>0.85</v>
      </c>
      <c r="BK271" s="337">
        <f t="shared" si="71"/>
        <v>0.85</v>
      </c>
      <c r="BL271" s="337">
        <f t="shared" si="71"/>
        <v>0.85</v>
      </c>
      <c r="BM271" s="336">
        <f t="shared" ca="1" si="41"/>
        <v>0.82399999999999995</v>
      </c>
      <c r="BN271" s="7"/>
      <c r="BO271" s="336">
        <f t="shared" ca="1" si="42"/>
        <v>0.8236</v>
      </c>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c r="DX271" s="7"/>
      <c r="DY271" s="7"/>
      <c r="DZ271" s="7"/>
      <c r="EA271" s="7"/>
      <c r="EB271" s="7"/>
      <c r="EC271" s="7"/>
      <c r="ED271" s="7"/>
      <c r="EE271" s="7"/>
      <c r="EF271" s="7"/>
      <c r="EG271" s="7"/>
      <c r="EH271" s="7"/>
      <c r="EI271" s="7"/>
      <c r="EJ271" s="7"/>
      <c r="EK271" s="7"/>
      <c r="EL271" s="7"/>
      <c r="EM271" s="7"/>
      <c r="EN271" s="7"/>
      <c r="EO271" s="7"/>
      <c r="EP271" s="7"/>
      <c r="EQ271" s="7"/>
      <c r="ER271" s="7"/>
      <c r="ES271" s="7"/>
      <c r="ET271" s="7"/>
      <c r="EU271" s="7"/>
      <c r="EV271" s="7"/>
      <c r="EW271" s="7"/>
      <c r="EX271" s="7"/>
      <c r="EY271" s="7"/>
      <c r="EZ271" s="7"/>
      <c r="FB271" s="50"/>
    </row>
    <row r="272" spans="46:158">
      <c r="AT272" s="449">
        <f t="shared" si="60"/>
        <v>304.6153846153843</v>
      </c>
      <c r="AU272" s="336">
        <f t="shared" si="61"/>
        <v>0.75</v>
      </c>
      <c r="AV272" s="336">
        <f t="shared" si="54"/>
        <v>0.75</v>
      </c>
      <c r="AW272" s="336">
        <f t="shared" si="55"/>
        <v>0.77</v>
      </c>
      <c r="AX272" s="336">
        <f t="shared" si="56"/>
        <v>0.8</v>
      </c>
      <c r="AY272" s="336">
        <f t="shared" si="57"/>
        <v>0.82</v>
      </c>
      <c r="AZ272" s="336">
        <f t="shared" si="58"/>
        <v>0.85</v>
      </c>
      <c r="BA272" s="337">
        <f t="shared" ref="BA272:BL272" si="72">AZ272</f>
        <v>0.85</v>
      </c>
      <c r="BB272" s="337">
        <f t="shared" si="72"/>
        <v>0.85</v>
      </c>
      <c r="BC272" s="337">
        <f t="shared" si="72"/>
        <v>0.85</v>
      </c>
      <c r="BD272" s="337">
        <f t="shared" si="72"/>
        <v>0.85</v>
      </c>
      <c r="BE272" s="337">
        <f t="shared" si="72"/>
        <v>0.85</v>
      </c>
      <c r="BF272" s="337">
        <f t="shared" si="72"/>
        <v>0.85</v>
      </c>
      <c r="BG272" s="337">
        <f t="shared" si="72"/>
        <v>0.85</v>
      </c>
      <c r="BH272" s="337">
        <f t="shared" si="72"/>
        <v>0.85</v>
      </c>
      <c r="BI272" s="337">
        <f t="shared" si="72"/>
        <v>0.85</v>
      </c>
      <c r="BJ272" s="337">
        <f t="shared" si="72"/>
        <v>0.85</v>
      </c>
      <c r="BK272" s="337">
        <f t="shared" si="72"/>
        <v>0.85</v>
      </c>
      <c r="BL272" s="337">
        <f t="shared" si="72"/>
        <v>0.85</v>
      </c>
      <c r="BM272" s="336">
        <f t="shared" ca="1" si="41"/>
        <v>0.82399999999999995</v>
      </c>
      <c r="BN272" s="7"/>
      <c r="BO272" s="336">
        <f t="shared" ca="1" si="42"/>
        <v>0.8236</v>
      </c>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c r="DX272" s="7"/>
      <c r="DY272" s="7"/>
      <c r="DZ272" s="7"/>
      <c r="EA272" s="7"/>
      <c r="EB272" s="7"/>
      <c r="EC272" s="7"/>
      <c r="ED272" s="7"/>
      <c r="EE272" s="7"/>
      <c r="EF272" s="7"/>
      <c r="EG272" s="7"/>
      <c r="EH272" s="7"/>
      <c r="EI272" s="7"/>
      <c r="EJ272" s="7"/>
      <c r="EK272" s="7"/>
      <c r="EL272" s="7"/>
      <c r="EM272" s="7"/>
      <c r="EN272" s="7"/>
      <c r="EO272" s="7"/>
      <c r="EP272" s="7"/>
      <c r="EQ272" s="7"/>
      <c r="ER272" s="7"/>
      <c r="ES272" s="7"/>
      <c r="ET272" s="7"/>
      <c r="EU272" s="7"/>
      <c r="EV272" s="7"/>
      <c r="EW272" s="7"/>
      <c r="EX272" s="7"/>
      <c r="EY272" s="7"/>
      <c r="EZ272" s="7"/>
      <c r="FB272" s="50"/>
    </row>
    <row r="273" spans="46:158">
      <c r="AT273" s="432">
        <f t="shared" si="60"/>
        <v>304.99999999999966</v>
      </c>
      <c r="AU273" s="336">
        <f t="shared" si="61"/>
        <v>0.75</v>
      </c>
      <c r="AV273" s="336">
        <f t="shared" si="54"/>
        <v>0.75</v>
      </c>
      <c r="AW273" s="336">
        <f t="shared" si="55"/>
        <v>0.77</v>
      </c>
      <c r="AX273" s="336">
        <f t="shared" si="56"/>
        <v>0.8</v>
      </c>
      <c r="AY273" s="336">
        <f t="shared" si="57"/>
        <v>0.82</v>
      </c>
      <c r="AZ273" s="336">
        <f t="shared" si="58"/>
        <v>0.85</v>
      </c>
      <c r="BA273" s="337">
        <f t="shared" ref="BA273:BL273" si="73">AZ273</f>
        <v>0.85</v>
      </c>
      <c r="BB273" s="337">
        <f t="shared" si="73"/>
        <v>0.85</v>
      </c>
      <c r="BC273" s="337">
        <f t="shared" si="73"/>
        <v>0.85</v>
      </c>
      <c r="BD273" s="337">
        <f t="shared" si="73"/>
        <v>0.85</v>
      </c>
      <c r="BE273" s="337">
        <f t="shared" si="73"/>
        <v>0.85</v>
      </c>
      <c r="BF273" s="337">
        <f t="shared" si="73"/>
        <v>0.85</v>
      </c>
      <c r="BG273" s="337">
        <f t="shared" si="73"/>
        <v>0.85</v>
      </c>
      <c r="BH273" s="337">
        <f t="shared" si="73"/>
        <v>0.85</v>
      </c>
      <c r="BI273" s="337">
        <f t="shared" si="73"/>
        <v>0.85</v>
      </c>
      <c r="BJ273" s="337">
        <f t="shared" si="73"/>
        <v>0.85</v>
      </c>
      <c r="BK273" s="337">
        <f t="shared" si="73"/>
        <v>0.85</v>
      </c>
      <c r="BL273" s="337">
        <f t="shared" si="73"/>
        <v>0.85</v>
      </c>
      <c r="BM273" s="336">
        <f t="shared" ca="1" si="41"/>
        <v>0.82399999999999995</v>
      </c>
      <c r="BN273" s="7"/>
      <c r="BO273" s="336">
        <f t="shared" ca="1" si="42"/>
        <v>0.8236</v>
      </c>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c r="DX273" s="7"/>
      <c r="DY273" s="7"/>
      <c r="DZ273" s="7"/>
      <c r="EA273" s="7"/>
      <c r="EB273" s="7"/>
      <c r="EC273" s="7"/>
      <c r="ED273" s="7"/>
      <c r="EE273" s="7"/>
      <c r="EF273" s="7"/>
      <c r="EG273" s="7"/>
      <c r="EH273" s="7"/>
      <c r="EI273" s="7"/>
      <c r="EJ273" s="7"/>
      <c r="EK273" s="7"/>
      <c r="EL273" s="7"/>
      <c r="EM273" s="7"/>
      <c r="EN273" s="7"/>
      <c r="EO273" s="7"/>
      <c r="EP273" s="7"/>
      <c r="EQ273" s="7"/>
      <c r="ER273" s="7"/>
      <c r="ES273" s="7"/>
      <c r="ET273" s="7"/>
      <c r="EU273" s="7"/>
      <c r="EV273" s="7"/>
      <c r="EW273" s="7"/>
      <c r="EX273" s="7"/>
      <c r="EY273" s="7"/>
      <c r="EZ273" s="7"/>
      <c r="FB273" s="50"/>
    </row>
    <row r="274" spans="46:158">
      <c r="AT274" s="112"/>
      <c r="AU274" s="7"/>
      <c r="AV274" s="7"/>
      <c r="AW274" s="7"/>
      <c r="AX274" s="7"/>
      <c r="AY274" s="7"/>
      <c r="AZ274" s="7"/>
      <c r="BA274" s="331"/>
      <c r="BB274" s="7"/>
      <c r="BC274" s="7"/>
      <c r="BD274" s="7"/>
      <c r="BE274" s="7"/>
      <c r="BF274" s="7"/>
      <c r="BG274" s="7"/>
      <c r="BH274" s="7"/>
      <c r="BI274" s="7"/>
      <c r="BJ274" s="7"/>
      <c r="BK274" s="7"/>
      <c r="BL274" s="44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c r="DX274" s="7"/>
      <c r="DY274" s="7"/>
      <c r="DZ274" s="7"/>
      <c r="EA274" s="7"/>
      <c r="EB274" s="7"/>
      <c r="EC274" s="7"/>
      <c r="ED274" s="7"/>
      <c r="EE274" s="7"/>
      <c r="EF274" s="7"/>
      <c r="EG274" s="7"/>
      <c r="EH274" s="7"/>
      <c r="EI274" s="7"/>
      <c r="EJ274" s="7"/>
      <c r="EK274" s="7"/>
      <c r="EL274" s="7"/>
      <c r="EM274" s="7"/>
      <c r="EN274" s="7"/>
      <c r="EO274" s="7"/>
      <c r="EP274" s="7"/>
      <c r="EQ274" s="7"/>
      <c r="ER274" s="7"/>
      <c r="ES274" s="7"/>
      <c r="ET274" s="7"/>
      <c r="EU274" s="7"/>
      <c r="EV274" s="7"/>
      <c r="EW274" s="7"/>
      <c r="EX274" s="7"/>
      <c r="EY274" s="7"/>
      <c r="EZ274" s="7"/>
      <c r="FB274" s="50"/>
    </row>
    <row r="275" spans="46:158">
      <c r="AU275" s="709" t="s">
        <v>80</v>
      </c>
      <c r="AV275" s="709"/>
      <c r="AW275" s="709"/>
      <c r="AX275" s="709"/>
      <c r="AY275" s="709"/>
      <c r="AZ275" s="7"/>
      <c r="BA275" s="331"/>
      <c r="BB275" s="7"/>
      <c r="BC275" s="7"/>
      <c r="BD275" s="7"/>
      <c r="BE275" s="7"/>
      <c r="BF275" s="7"/>
      <c r="BG275" s="7"/>
      <c r="BH275" s="7"/>
      <c r="BI275" s="7"/>
      <c r="BJ275" s="7"/>
      <c r="BK275" s="7"/>
      <c r="BL275" s="44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c r="DX275" s="7"/>
      <c r="DY275" s="7"/>
      <c r="DZ275" s="7"/>
      <c r="EA275" s="7"/>
      <c r="EB275" s="7"/>
      <c r="EC275" s="7"/>
      <c r="ED275" s="7"/>
      <c r="EE275" s="7"/>
      <c r="EF275" s="7"/>
      <c r="EG275" s="7"/>
      <c r="EH275" s="7"/>
      <c r="EI275" s="7"/>
      <c r="EJ275" s="7"/>
      <c r="EK275" s="7"/>
      <c r="EL275" s="7"/>
      <c r="EM275" s="7"/>
      <c r="EN275" s="7"/>
      <c r="EO275" s="7"/>
      <c r="EP275" s="7"/>
      <c r="EQ275" s="7"/>
      <c r="ER275" s="7"/>
      <c r="ES275" s="7"/>
      <c r="ET275" s="7"/>
      <c r="EU275" s="7"/>
      <c r="EV275" s="7"/>
      <c r="EW275" s="7"/>
      <c r="EX275" s="7"/>
      <c r="EY275" s="7"/>
      <c r="EZ275" s="7"/>
      <c r="FB275" s="50"/>
    </row>
    <row r="276" spans="46:158">
      <c r="AU276" s="710" t="s">
        <v>221</v>
      </c>
      <c r="AV276" s="710"/>
      <c r="AW276" s="710"/>
      <c r="AX276" s="710"/>
      <c r="AY276" s="710"/>
      <c r="AZ276" s="7"/>
      <c r="BA276" s="331"/>
      <c r="BB276" s="7"/>
      <c r="BC276" s="7"/>
      <c r="BD276" s="7"/>
      <c r="BE276" s="7"/>
      <c r="BF276" s="7"/>
      <c r="BG276" s="7"/>
      <c r="BH276" s="7"/>
      <c r="BI276" s="7"/>
      <c r="BJ276" s="7"/>
      <c r="BK276" s="7"/>
      <c r="BL276" s="44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c r="DX276" s="7"/>
      <c r="DY276" s="7"/>
      <c r="DZ276" s="7"/>
      <c r="EA276" s="7"/>
      <c r="EB276" s="7"/>
      <c r="EC276" s="7"/>
      <c r="ED276" s="7"/>
      <c r="EE276" s="7"/>
      <c r="EF276" s="7"/>
      <c r="EG276" s="7"/>
      <c r="EH276" s="7"/>
      <c r="EI276" s="7"/>
      <c r="EJ276" s="7"/>
      <c r="EK276" s="7"/>
      <c r="EL276" s="7"/>
      <c r="EM276" s="7"/>
      <c r="EN276" s="7"/>
      <c r="EO276" s="7"/>
      <c r="EP276" s="7"/>
      <c r="EQ276" s="7"/>
      <c r="ER276" s="7"/>
      <c r="ES276" s="7"/>
      <c r="ET276" s="7"/>
      <c r="EU276" s="7"/>
      <c r="EV276" s="7"/>
      <c r="EW276" s="7"/>
      <c r="EX276" s="7"/>
      <c r="EY276" s="7"/>
      <c r="EZ276" s="7"/>
      <c r="FB276" s="50"/>
    </row>
    <row r="277" spans="46:158">
      <c r="AT277" s="334" t="s">
        <v>219</v>
      </c>
      <c r="AU277" s="335">
        <v>1E-3</v>
      </c>
      <c r="AV277" s="335">
        <v>6</v>
      </c>
      <c r="AW277" s="335">
        <v>10</v>
      </c>
      <c r="AX277" s="335">
        <v>30</v>
      </c>
      <c r="AY277" s="335">
        <v>50</v>
      </c>
      <c r="AZ277" s="335">
        <v>200</v>
      </c>
      <c r="BA277" s="448">
        <f>10/12+AZ277</f>
        <v>200.83333333333334</v>
      </c>
      <c r="BB277" s="448">
        <f t="shared" ref="BB277:BK277" si="74">10/12+BA277</f>
        <v>201.66666666666669</v>
      </c>
      <c r="BC277" s="448">
        <f t="shared" si="74"/>
        <v>202.50000000000003</v>
      </c>
      <c r="BD277" s="448">
        <f t="shared" si="74"/>
        <v>203.33333333333337</v>
      </c>
      <c r="BE277" s="448">
        <f t="shared" si="74"/>
        <v>204.16666666666671</v>
      </c>
      <c r="BF277" s="448">
        <f t="shared" si="74"/>
        <v>205.00000000000006</v>
      </c>
      <c r="BG277" s="448">
        <f t="shared" si="74"/>
        <v>205.8333333333334</v>
      </c>
      <c r="BH277" s="448">
        <f t="shared" si="74"/>
        <v>206.66666666666674</v>
      </c>
      <c r="BI277" s="448">
        <f t="shared" si="74"/>
        <v>207.50000000000009</v>
      </c>
      <c r="BJ277" s="448">
        <f t="shared" si="74"/>
        <v>208.33333333333343</v>
      </c>
      <c r="BK277" s="448">
        <f t="shared" si="74"/>
        <v>209.16666666666677</v>
      </c>
      <c r="BL277" s="448">
        <f>10/12+BK277</f>
        <v>210.00000000000011</v>
      </c>
      <c r="BM277" s="331"/>
      <c r="BN277" s="7"/>
      <c r="BO277" s="331"/>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c r="DX277" s="7"/>
      <c r="DY277" s="7"/>
      <c r="DZ277" s="7"/>
      <c r="EA277" s="7"/>
      <c r="EB277" s="7"/>
      <c r="EC277" s="7"/>
      <c r="ED277" s="7"/>
      <c r="EE277" s="7"/>
      <c r="EF277" s="7"/>
      <c r="EG277" s="7"/>
      <c r="EH277" s="7"/>
      <c r="EI277" s="7"/>
      <c r="EJ277" s="7"/>
      <c r="EK277" s="7"/>
      <c r="EL277" s="7"/>
      <c r="EM277" s="7"/>
      <c r="EN277" s="7"/>
      <c r="EO277" s="7"/>
      <c r="EP277" s="7"/>
      <c r="EQ277" s="7"/>
      <c r="ER277" s="7"/>
      <c r="ES277" s="7"/>
      <c r="ET277" s="7"/>
      <c r="EU277" s="7"/>
      <c r="EV277" s="7"/>
      <c r="EW277" s="7"/>
      <c r="EX277" s="7"/>
      <c r="EY277" s="7"/>
      <c r="EZ277" s="7"/>
      <c r="FB277" s="50"/>
    </row>
    <row r="278" spans="46:158">
      <c r="AT278" s="432">
        <v>0</v>
      </c>
      <c r="AU278" s="336">
        <v>1</v>
      </c>
      <c r="AV278" s="337">
        <v>1</v>
      </c>
      <c r="AW278" s="337">
        <v>1</v>
      </c>
      <c r="AX278" s="337">
        <v>1</v>
      </c>
      <c r="AY278" s="336">
        <v>1</v>
      </c>
      <c r="AZ278" s="337">
        <v>1</v>
      </c>
      <c r="BA278" s="337">
        <f t="shared" ref="BA278:BF278" si="75">AZ278</f>
        <v>1</v>
      </c>
      <c r="BB278" s="337">
        <f t="shared" si="75"/>
        <v>1</v>
      </c>
      <c r="BC278" s="337">
        <f t="shared" si="75"/>
        <v>1</v>
      </c>
      <c r="BD278" s="337">
        <f t="shared" si="75"/>
        <v>1</v>
      </c>
      <c r="BE278" s="337">
        <f t="shared" si="75"/>
        <v>1</v>
      </c>
      <c r="BF278" s="337">
        <f t="shared" si="75"/>
        <v>1</v>
      </c>
      <c r="BG278" s="337">
        <f t="shared" ref="BG278:BL278" si="76">BF278</f>
        <v>1</v>
      </c>
      <c r="BH278" s="337">
        <f t="shared" si="76"/>
        <v>1</v>
      </c>
      <c r="BI278" s="337">
        <f t="shared" si="76"/>
        <v>1</v>
      </c>
      <c r="BJ278" s="337">
        <f t="shared" si="76"/>
        <v>1</v>
      </c>
      <c r="BK278" s="337">
        <f t="shared" si="76"/>
        <v>1</v>
      </c>
      <c r="BL278" s="337">
        <f t="shared" si="76"/>
        <v>1</v>
      </c>
      <c r="BM278" s="336">
        <f t="shared" ref="BM278:BM302" ca="1" si="77">FORECAST($M$16,OFFSET($AU278,0,MATCH($M$16,$AU$277:$BK$277,1)-1,1,2),OFFSET($AU$277,0,MATCH($M$16,$AU$277:$BK$277,1)-1,1,2))</f>
        <v>1</v>
      </c>
      <c r="BN278" s="7"/>
      <c r="BO278" s="336">
        <f t="shared" ref="BO278:BO302" ca="1" si="78">FORECAST($AL$42,OFFSET($AU278,0,MATCH($AL$42,$AU$277:$BK$277,1)-1,1,2),OFFSET($AU$277,0,MATCH($AL$42,$AU$277:$BK$277,1)-1,1,2))</f>
        <v>1</v>
      </c>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c r="DX278" s="7"/>
      <c r="DY278" s="7"/>
      <c r="DZ278" s="7"/>
      <c r="EA278" s="7"/>
      <c r="EB278" s="7"/>
      <c r="EC278" s="7"/>
      <c r="ED278" s="7"/>
      <c r="EE278" s="7"/>
      <c r="EF278" s="7"/>
      <c r="EG278" s="7"/>
      <c r="EH278" s="7"/>
      <c r="EI278" s="7"/>
      <c r="EJ278" s="7"/>
      <c r="EK278" s="7"/>
      <c r="EL278" s="7"/>
      <c r="EM278" s="7"/>
      <c r="EN278" s="7"/>
      <c r="EO278" s="7"/>
      <c r="EP278" s="7"/>
      <c r="EQ278" s="7"/>
      <c r="ER278" s="7"/>
      <c r="ES278" s="7"/>
      <c r="ET278" s="7"/>
      <c r="EU278" s="7"/>
      <c r="EV278" s="7"/>
      <c r="EW278" s="7"/>
      <c r="EX278" s="7"/>
      <c r="EY278" s="7"/>
      <c r="EZ278" s="7"/>
      <c r="FB278" s="50"/>
    </row>
    <row r="279" spans="46:158">
      <c r="AT279" s="432">
        <v>5</v>
      </c>
      <c r="AU279" s="458">
        <v>1</v>
      </c>
      <c r="AV279" s="450">
        <v>1</v>
      </c>
      <c r="AW279" s="450">
        <v>1</v>
      </c>
      <c r="AX279" s="450">
        <v>1</v>
      </c>
      <c r="AY279" s="451">
        <v>1</v>
      </c>
      <c r="AZ279" s="452">
        <v>1</v>
      </c>
      <c r="BA279" s="337">
        <f t="shared" ref="BA279:BL279" si="79">AZ279</f>
        <v>1</v>
      </c>
      <c r="BB279" s="337">
        <f t="shared" si="79"/>
        <v>1</v>
      </c>
      <c r="BC279" s="337">
        <f t="shared" si="79"/>
        <v>1</v>
      </c>
      <c r="BD279" s="337">
        <f t="shared" si="79"/>
        <v>1</v>
      </c>
      <c r="BE279" s="337">
        <f t="shared" si="79"/>
        <v>1</v>
      </c>
      <c r="BF279" s="337">
        <f t="shared" si="79"/>
        <v>1</v>
      </c>
      <c r="BG279" s="337">
        <f t="shared" si="79"/>
        <v>1</v>
      </c>
      <c r="BH279" s="337">
        <f t="shared" si="79"/>
        <v>1</v>
      </c>
      <c r="BI279" s="337">
        <f t="shared" si="79"/>
        <v>1</v>
      </c>
      <c r="BJ279" s="337">
        <f t="shared" si="79"/>
        <v>1</v>
      </c>
      <c r="BK279" s="337">
        <f t="shared" si="79"/>
        <v>1</v>
      </c>
      <c r="BL279" s="337">
        <f t="shared" si="79"/>
        <v>1</v>
      </c>
      <c r="BM279" s="336">
        <f t="shared" ca="1" si="77"/>
        <v>1</v>
      </c>
      <c r="BN279" s="7"/>
      <c r="BO279" s="336">
        <f t="shared" ca="1" si="78"/>
        <v>1</v>
      </c>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c r="DX279" s="7"/>
      <c r="DY279" s="7"/>
      <c r="DZ279" s="7"/>
      <c r="EA279" s="7"/>
      <c r="EB279" s="7"/>
      <c r="EC279" s="7"/>
      <c r="ED279" s="7"/>
      <c r="EE279" s="7"/>
      <c r="EF279" s="7"/>
      <c r="EG279" s="7"/>
      <c r="EH279" s="7"/>
      <c r="EI279" s="7"/>
      <c r="EJ279" s="7"/>
      <c r="EK279" s="7"/>
      <c r="EL279" s="7"/>
      <c r="EM279" s="7"/>
      <c r="EN279" s="7"/>
      <c r="EO279" s="7"/>
      <c r="EP279" s="7"/>
      <c r="EQ279" s="7"/>
      <c r="ER279" s="7"/>
      <c r="ES279" s="7"/>
      <c r="ET279" s="7"/>
      <c r="EU279" s="7"/>
      <c r="EV279" s="7"/>
      <c r="EW279" s="7"/>
      <c r="EX279" s="7"/>
      <c r="EY279" s="7"/>
      <c r="EZ279" s="7"/>
      <c r="FB279" s="50"/>
    </row>
    <row r="280" spans="46:158">
      <c r="AT280" s="432">
        <v>10</v>
      </c>
      <c r="AU280" s="458">
        <v>0.88</v>
      </c>
      <c r="AV280" s="90">
        <v>0.88</v>
      </c>
      <c r="AW280" s="90">
        <v>0.9</v>
      </c>
      <c r="AX280" s="90">
        <v>0.93</v>
      </c>
      <c r="AY280" s="453">
        <v>0.94</v>
      </c>
      <c r="AZ280" s="454">
        <v>0.97</v>
      </c>
      <c r="BA280" s="337">
        <f t="shared" ref="BA280:BL280" si="80">AZ280</f>
        <v>0.97</v>
      </c>
      <c r="BB280" s="337">
        <f t="shared" si="80"/>
        <v>0.97</v>
      </c>
      <c r="BC280" s="337">
        <f t="shared" si="80"/>
        <v>0.97</v>
      </c>
      <c r="BD280" s="337">
        <f t="shared" si="80"/>
        <v>0.97</v>
      </c>
      <c r="BE280" s="337">
        <f t="shared" si="80"/>
        <v>0.97</v>
      </c>
      <c r="BF280" s="337">
        <f t="shared" si="80"/>
        <v>0.97</v>
      </c>
      <c r="BG280" s="337">
        <f t="shared" si="80"/>
        <v>0.97</v>
      </c>
      <c r="BH280" s="337">
        <f t="shared" si="80"/>
        <v>0.97</v>
      </c>
      <c r="BI280" s="337">
        <f t="shared" si="80"/>
        <v>0.97</v>
      </c>
      <c r="BJ280" s="337">
        <f t="shared" si="80"/>
        <v>0.97</v>
      </c>
      <c r="BK280" s="337">
        <f t="shared" si="80"/>
        <v>0.97</v>
      </c>
      <c r="BL280" s="337">
        <f t="shared" si="80"/>
        <v>0.97</v>
      </c>
      <c r="BM280" s="336">
        <f t="shared" ca="1" si="77"/>
        <v>0.94399999999999995</v>
      </c>
      <c r="BN280" s="7"/>
      <c r="BO280" s="336">
        <f t="shared" ca="1" si="78"/>
        <v>0.94359999999999999</v>
      </c>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c r="DX280" s="7"/>
      <c r="DY280" s="7"/>
      <c r="DZ280" s="7"/>
      <c r="EA280" s="7"/>
      <c r="EB280" s="7"/>
      <c r="EC280" s="7"/>
      <c r="ED280" s="7"/>
      <c r="EE280" s="7"/>
      <c r="EF280" s="7"/>
      <c r="EG280" s="7"/>
      <c r="EH280" s="7"/>
      <c r="EI280" s="7"/>
      <c r="EJ280" s="7"/>
      <c r="EK280" s="7"/>
      <c r="EL280" s="7"/>
      <c r="EM280" s="7"/>
      <c r="EN280" s="7"/>
      <c r="EO280" s="7"/>
      <c r="EP280" s="7"/>
      <c r="EQ280" s="7"/>
      <c r="ER280" s="7"/>
      <c r="ES280" s="7"/>
      <c r="ET280" s="7"/>
      <c r="EU280" s="7"/>
      <c r="EV280" s="7"/>
      <c r="EW280" s="7"/>
      <c r="EX280" s="7"/>
      <c r="EY280" s="7"/>
      <c r="EZ280" s="7"/>
      <c r="FB280" s="50"/>
    </row>
    <row r="281" spans="46:158">
      <c r="AT281" s="432">
        <v>20</v>
      </c>
      <c r="AU281" s="458">
        <v>0.84</v>
      </c>
      <c r="AV281" s="90">
        <v>0.84</v>
      </c>
      <c r="AW281" s="90">
        <v>0.87</v>
      </c>
      <c r="AX281" s="90">
        <v>0.9</v>
      </c>
      <c r="AY281" s="453">
        <v>0.92</v>
      </c>
      <c r="AZ281" s="454">
        <v>0.95</v>
      </c>
      <c r="BA281" s="337">
        <f t="shared" ref="BA281:BL281" si="81">AZ281</f>
        <v>0.95</v>
      </c>
      <c r="BB281" s="337">
        <f t="shared" si="81"/>
        <v>0.95</v>
      </c>
      <c r="BC281" s="337">
        <f t="shared" si="81"/>
        <v>0.95</v>
      </c>
      <c r="BD281" s="337">
        <f t="shared" si="81"/>
        <v>0.95</v>
      </c>
      <c r="BE281" s="337">
        <f t="shared" si="81"/>
        <v>0.95</v>
      </c>
      <c r="BF281" s="337">
        <f t="shared" si="81"/>
        <v>0.95</v>
      </c>
      <c r="BG281" s="337">
        <f t="shared" si="81"/>
        <v>0.95</v>
      </c>
      <c r="BH281" s="337">
        <f t="shared" si="81"/>
        <v>0.95</v>
      </c>
      <c r="BI281" s="337">
        <f t="shared" si="81"/>
        <v>0.95</v>
      </c>
      <c r="BJ281" s="337">
        <f t="shared" si="81"/>
        <v>0.95</v>
      </c>
      <c r="BK281" s="337">
        <f t="shared" si="81"/>
        <v>0.95</v>
      </c>
      <c r="BL281" s="337">
        <f t="shared" si="81"/>
        <v>0.95</v>
      </c>
      <c r="BM281" s="336">
        <f t="shared" ca="1" si="77"/>
        <v>0.92400000000000015</v>
      </c>
      <c r="BN281" s="7"/>
      <c r="BO281" s="336">
        <f t="shared" ca="1" si="78"/>
        <v>0.92360000000000009</v>
      </c>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c r="DX281" s="7"/>
      <c r="DY281" s="7"/>
      <c r="DZ281" s="7"/>
      <c r="EA281" s="7"/>
      <c r="EB281" s="7"/>
      <c r="EC281" s="7"/>
      <c r="ED281" s="7"/>
      <c r="EE281" s="7"/>
      <c r="EF281" s="7"/>
      <c r="EG281" s="7"/>
      <c r="EH281" s="7"/>
      <c r="EI281" s="7"/>
      <c r="EJ281" s="7"/>
      <c r="EK281" s="7"/>
      <c r="EL281" s="7"/>
      <c r="EM281" s="7"/>
      <c r="EN281" s="7"/>
      <c r="EO281" s="7"/>
      <c r="EP281" s="7"/>
      <c r="EQ281" s="7"/>
      <c r="ER281" s="7"/>
      <c r="ES281" s="7"/>
      <c r="ET281" s="7"/>
      <c r="EU281" s="7"/>
      <c r="EV281" s="7"/>
      <c r="EW281" s="7"/>
      <c r="EX281" s="7"/>
      <c r="EY281" s="7"/>
      <c r="EZ281" s="7"/>
      <c r="FB281" s="50"/>
    </row>
    <row r="282" spans="46:158">
      <c r="AT282" s="432">
        <v>30</v>
      </c>
      <c r="AU282" s="458">
        <v>0.81</v>
      </c>
      <c r="AV282" s="90">
        <v>0.81</v>
      </c>
      <c r="AW282" s="90">
        <v>0.84</v>
      </c>
      <c r="AX282" s="90">
        <v>0.88</v>
      </c>
      <c r="AY282" s="453">
        <v>0.9</v>
      </c>
      <c r="AZ282" s="454">
        <v>0.93</v>
      </c>
      <c r="BA282" s="337">
        <f t="shared" ref="BA282:BL282" si="82">AZ282</f>
        <v>0.93</v>
      </c>
      <c r="BB282" s="337">
        <f t="shared" si="82"/>
        <v>0.93</v>
      </c>
      <c r="BC282" s="337">
        <f t="shared" si="82"/>
        <v>0.93</v>
      </c>
      <c r="BD282" s="337">
        <f t="shared" si="82"/>
        <v>0.93</v>
      </c>
      <c r="BE282" s="337">
        <f t="shared" si="82"/>
        <v>0.93</v>
      </c>
      <c r="BF282" s="337">
        <f t="shared" si="82"/>
        <v>0.93</v>
      </c>
      <c r="BG282" s="337">
        <f t="shared" si="82"/>
        <v>0.93</v>
      </c>
      <c r="BH282" s="337">
        <f t="shared" si="82"/>
        <v>0.93</v>
      </c>
      <c r="BI282" s="337">
        <f t="shared" si="82"/>
        <v>0.93</v>
      </c>
      <c r="BJ282" s="337">
        <f t="shared" si="82"/>
        <v>0.93</v>
      </c>
      <c r="BK282" s="337">
        <f t="shared" si="82"/>
        <v>0.93</v>
      </c>
      <c r="BL282" s="337">
        <f t="shared" si="82"/>
        <v>0.93</v>
      </c>
      <c r="BM282" s="336">
        <f t="shared" ca="1" si="77"/>
        <v>0.90400000000000003</v>
      </c>
      <c r="BN282" s="7"/>
      <c r="BO282" s="336">
        <f t="shared" ca="1" si="78"/>
        <v>0.90360000000000007</v>
      </c>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c r="DX282" s="7"/>
      <c r="DY282" s="7"/>
      <c r="DZ282" s="7"/>
      <c r="EA282" s="7"/>
      <c r="EB282" s="7"/>
      <c r="EC282" s="7"/>
      <c r="ED282" s="7"/>
      <c r="EE282" s="7"/>
      <c r="EF282" s="7"/>
      <c r="EG282" s="7"/>
      <c r="EH282" s="7"/>
      <c r="EI282" s="7"/>
      <c r="EJ282" s="7"/>
      <c r="EK282" s="7"/>
      <c r="EL282" s="7"/>
      <c r="EM282" s="7"/>
      <c r="EN282" s="7"/>
      <c r="EO282" s="7"/>
      <c r="EP282" s="7"/>
      <c r="EQ282" s="7"/>
      <c r="ER282" s="7"/>
      <c r="ES282" s="7"/>
      <c r="ET282" s="7"/>
      <c r="EU282" s="7"/>
      <c r="EV282" s="7"/>
      <c r="EW282" s="7"/>
      <c r="EX282" s="7"/>
      <c r="EY282" s="7"/>
      <c r="EZ282" s="7"/>
      <c r="FB282" s="50"/>
    </row>
    <row r="283" spans="46:158">
      <c r="AT283" s="432">
        <v>40</v>
      </c>
      <c r="AU283" s="458">
        <v>0.79</v>
      </c>
      <c r="AV283" s="90">
        <v>0.79</v>
      </c>
      <c r="AW283" s="90">
        <v>0.82</v>
      </c>
      <c r="AX283" s="90">
        <v>0.86</v>
      </c>
      <c r="AY283" s="453">
        <v>0.88</v>
      </c>
      <c r="AZ283" s="454">
        <v>0.92</v>
      </c>
      <c r="BA283" s="337">
        <f t="shared" ref="BA283:BL283" si="83">AZ283</f>
        <v>0.92</v>
      </c>
      <c r="BB283" s="337">
        <f t="shared" si="83"/>
        <v>0.92</v>
      </c>
      <c r="BC283" s="337">
        <f t="shared" si="83"/>
        <v>0.92</v>
      </c>
      <c r="BD283" s="337">
        <f t="shared" si="83"/>
        <v>0.92</v>
      </c>
      <c r="BE283" s="337">
        <f t="shared" si="83"/>
        <v>0.92</v>
      </c>
      <c r="BF283" s="337">
        <f t="shared" si="83"/>
        <v>0.92</v>
      </c>
      <c r="BG283" s="337">
        <f t="shared" si="83"/>
        <v>0.92</v>
      </c>
      <c r="BH283" s="337">
        <f t="shared" si="83"/>
        <v>0.92</v>
      </c>
      <c r="BI283" s="337">
        <f t="shared" si="83"/>
        <v>0.92</v>
      </c>
      <c r="BJ283" s="337">
        <f t="shared" si="83"/>
        <v>0.92</v>
      </c>
      <c r="BK283" s="337">
        <f t="shared" si="83"/>
        <v>0.92</v>
      </c>
      <c r="BL283" s="337">
        <f t="shared" si="83"/>
        <v>0.92</v>
      </c>
      <c r="BM283" s="336">
        <f t="shared" ca="1" si="77"/>
        <v>0.88533333333333342</v>
      </c>
      <c r="BN283" s="7"/>
      <c r="BO283" s="336">
        <f t="shared" ca="1" si="78"/>
        <v>0.88480000000000003</v>
      </c>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c r="DX283" s="7"/>
      <c r="DY283" s="7"/>
      <c r="DZ283" s="7"/>
      <c r="EA283" s="7"/>
      <c r="EB283" s="7"/>
      <c r="EC283" s="7"/>
      <c r="ED283" s="7"/>
      <c r="EE283" s="7"/>
      <c r="EF283" s="7"/>
      <c r="EG283" s="7"/>
      <c r="EH283" s="7"/>
      <c r="EI283" s="7"/>
      <c r="EJ283" s="7"/>
      <c r="EK283" s="7"/>
      <c r="EL283" s="7"/>
      <c r="EM283" s="7"/>
      <c r="EN283" s="7"/>
      <c r="EO283" s="7"/>
      <c r="EP283" s="7"/>
      <c r="EQ283" s="7"/>
      <c r="ER283" s="7"/>
      <c r="ES283" s="7"/>
      <c r="ET283" s="7"/>
      <c r="EU283" s="7"/>
      <c r="EV283" s="7"/>
      <c r="EW283" s="7"/>
      <c r="EX283" s="7"/>
      <c r="EY283" s="7"/>
      <c r="EZ283" s="7"/>
      <c r="FB283" s="50"/>
    </row>
    <row r="284" spans="46:158">
      <c r="AT284" s="432">
        <v>50</v>
      </c>
      <c r="AU284" s="458">
        <v>0.77</v>
      </c>
      <c r="AV284" s="90">
        <v>0.77</v>
      </c>
      <c r="AW284" s="90">
        <v>0.8</v>
      </c>
      <c r="AX284" s="90">
        <v>0.85</v>
      </c>
      <c r="AY284" s="453">
        <v>0.87</v>
      </c>
      <c r="AZ284" s="454">
        <v>0.91</v>
      </c>
      <c r="BA284" s="337">
        <f t="shared" ref="BA284:BL284" si="84">AZ284</f>
        <v>0.91</v>
      </c>
      <c r="BB284" s="337">
        <f t="shared" si="84"/>
        <v>0.91</v>
      </c>
      <c r="BC284" s="337">
        <f t="shared" si="84"/>
        <v>0.91</v>
      </c>
      <c r="BD284" s="337">
        <f t="shared" si="84"/>
        <v>0.91</v>
      </c>
      <c r="BE284" s="337">
        <f t="shared" si="84"/>
        <v>0.91</v>
      </c>
      <c r="BF284" s="337">
        <f t="shared" si="84"/>
        <v>0.91</v>
      </c>
      <c r="BG284" s="337">
        <f t="shared" si="84"/>
        <v>0.91</v>
      </c>
      <c r="BH284" s="337">
        <f t="shared" si="84"/>
        <v>0.91</v>
      </c>
      <c r="BI284" s="337">
        <f t="shared" si="84"/>
        <v>0.91</v>
      </c>
      <c r="BJ284" s="337">
        <f t="shared" si="84"/>
        <v>0.91</v>
      </c>
      <c r="BK284" s="337">
        <f t="shared" si="84"/>
        <v>0.91</v>
      </c>
      <c r="BL284" s="337">
        <f t="shared" si="84"/>
        <v>0.91</v>
      </c>
      <c r="BM284" s="336">
        <f t="shared" ca="1" si="77"/>
        <v>0.87533333333333341</v>
      </c>
      <c r="BN284" s="7"/>
      <c r="BO284" s="336">
        <f t="shared" ca="1" si="78"/>
        <v>0.87480000000000002</v>
      </c>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B284" s="50"/>
    </row>
    <row r="285" spans="46:158">
      <c r="AT285" s="432">
        <v>70</v>
      </c>
      <c r="AU285" s="458">
        <v>0.74</v>
      </c>
      <c r="AV285" s="90">
        <v>0.74</v>
      </c>
      <c r="AW285" s="90">
        <v>0.77</v>
      </c>
      <c r="AX285" s="90">
        <v>0.83</v>
      </c>
      <c r="AY285" s="453">
        <v>0.85</v>
      </c>
      <c r="AZ285" s="454">
        <v>0.9</v>
      </c>
      <c r="BA285" s="337">
        <f t="shared" ref="BA285:BL285" si="85">AZ285</f>
        <v>0.9</v>
      </c>
      <c r="BB285" s="337">
        <f t="shared" si="85"/>
        <v>0.9</v>
      </c>
      <c r="BC285" s="337">
        <f t="shared" si="85"/>
        <v>0.9</v>
      </c>
      <c r="BD285" s="337">
        <f t="shared" si="85"/>
        <v>0.9</v>
      </c>
      <c r="BE285" s="337">
        <f t="shared" si="85"/>
        <v>0.9</v>
      </c>
      <c r="BF285" s="337">
        <f t="shared" si="85"/>
        <v>0.9</v>
      </c>
      <c r="BG285" s="337">
        <f t="shared" si="85"/>
        <v>0.9</v>
      </c>
      <c r="BH285" s="337">
        <f t="shared" si="85"/>
        <v>0.9</v>
      </c>
      <c r="BI285" s="337">
        <f t="shared" si="85"/>
        <v>0.9</v>
      </c>
      <c r="BJ285" s="337">
        <f t="shared" si="85"/>
        <v>0.9</v>
      </c>
      <c r="BK285" s="337">
        <f t="shared" si="85"/>
        <v>0.9</v>
      </c>
      <c r="BL285" s="337">
        <f t="shared" si="85"/>
        <v>0.9</v>
      </c>
      <c r="BM285" s="336">
        <f t="shared" ca="1" si="77"/>
        <v>0.85666666666666658</v>
      </c>
      <c r="BN285" s="7"/>
      <c r="BO285" s="336">
        <f t="shared" ca="1" si="78"/>
        <v>0.85599999999999998</v>
      </c>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c r="DX285" s="7"/>
      <c r="DY285" s="7"/>
      <c r="DZ285" s="7"/>
      <c r="EA285" s="7"/>
      <c r="EB285" s="7"/>
      <c r="EC285" s="7"/>
      <c r="ED285" s="7"/>
      <c r="EE285" s="7"/>
      <c r="EF285" s="7"/>
      <c r="EG285" s="7"/>
      <c r="EH285" s="7"/>
      <c r="EI285" s="7"/>
      <c r="EJ285" s="7"/>
      <c r="EK285" s="7"/>
      <c r="EL285" s="7"/>
      <c r="EM285" s="7"/>
      <c r="EN285" s="7"/>
      <c r="EO285" s="7"/>
      <c r="EP285" s="7"/>
      <c r="EQ285" s="7"/>
      <c r="ER285" s="7"/>
      <c r="ES285" s="7"/>
      <c r="ET285" s="7"/>
      <c r="EU285" s="7"/>
      <c r="EV285" s="7"/>
      <c r="EW285" s="7"/>
      <c r="EX285" s="7"/>
      <c r="EY285" s="7"/>
      <c r="EZ285" s="7"/>
      <c r="FB285" s="50"/>
    </row>
    <row r="286" spans="46:158">
      <c r="AT286" s="432">
        <v>100</v>
      </c>
      <c r="AU286" s="458">
        <v>0.71</v>
      </c>
      <c r="AV286" s="90">
        <v>0.71</v>
      </c>
      <c r="AW286" s="90">
        <v>0.74</v>
      </c>
      <c r="AX286" s="90">
        <v>0.8</v>
      </c>
      <c r="AY286" s="453">
        <v>0.82</v>
      </c>
      <c r="AZ286" s="454">
        <v>0.88</v>
      </c>
      <c r="BA286" s="337">
        <f t="shared" ref="BA286:BL286" si="86">AZ286</f>
        <v>0.88</v>
      </c>
      <c r="BB286" s="337">
        <f t="shared" si="86"/>
        <v>0.88</v>
      </c>
      <c r="BC286" s="337">
        <f t="shared" si="86"/>
        <v>0.88</v>
      </c>
      <c r="BD286" s="337">
        <f t="shared" si="86"/>
        <v>0.88</v>
      </c>
      <c r="BE286" s="337">
        <f t="shared" si="86"/>
        <v>0.88</v>
      </c>
      <c r="BF286" s="337">
        <f t="shared" si="86"/>
        <v>0.88</v>
      </c>
      <c r="BG286" s="337">
        <f t="shared" si="86"/>
        <v>0.88</v>
      </c>
      <c r="BH286" s="337">
        <f t="shared" si="86"/>
        <v>0.88</v>
      </c>
      <c r="BI286" s="337">
        <f t="shared" si="86"/>
        <v>0.88</v>
      </c>
      <c r="BJ286" s="337">
        <f t="shared" si="86"/>
        <v>0.88</v>
      </c>
      <c r="BK286" s="337">
        <f t="shared" si="86"/>
        <v>0.88</v>
      </c>
      <c r="BL286" s="337">
        <f t="shared" si="86"/>
        <v>0.88</v>
      </c>
      <c r="BM286" s="336">
        <f t="shared" ca="1" si="77"/>
        <v>0.82799999999999996</v>
      </c>
      <c r="BN286" s="7"/>
      <c r="BO286" s="336">
        <f t="shared" ca="1" si="78"/>
        <v>0.82719999999999994</v>
      </c>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c r="DX286" s="7"/>
      <c r="DY286" s="7"/>
      <c r="DZ286" s="7"/>
      <c r="EA286" s="7"/>
      <c r="EB286" s="7"/>
      <c r="EC286" s="7"/>
      <c r="ED286" s="7"/>
      <c r="EE286" s="7"/>
      <c r="EF286" s="7"/>
      <c r="EG286" s="7"/>
      <c r="EH286" s="7"/>
      <c r="EI286" s="7"/>
      <c r="EJ286" s="7"/>
      <c r="EK286" s="7"/>
      <c r="EL286" s="7"/>
      <c r="EM286" s="7"/>
      <c r="EN286" s="7"/>
      <c r="EO286" s="7"/>
      <c r="EP286" s="7"/>
      <c r="EQ286" s="7"/>
      <c r="ER286" s="7"/>
      <c r="ES286" s="7"/>
      <c r="ET286" s="7"/>
      <c r="EU286" s="7"/>
      <c r="EV286" s="7"/>
      <c r="EW286" s="7"/>
      <c r="EX286" s="7"/>
      <c r="EY286" s="7"/>
      <c r="EZ286" s="7"/>
      <c r="FB286" s="50"/>
    </row>
    <row r="287" spans="46:158">
      <c r="AT287" s="432">
        <v>150</v>
      </c>
      <c r="AU287" s="458">
        <v>0.67</v>
      </c>
      <c r="AV287" s="90">
        <v>0.67</v>
      </c>
      <c r="AW287" s="90">
        <v>0.71</v>
      </c>
      <c r="AX287" s="90">
        <v>0.77</v>
      </c>
      <c r="AY287" s="453">
        <v>0.79</v>
      </c>
      <c r="AZ287" s="454">
        <v>0.85</v>
      </c>
      <c r="BA287" s="337">
        <f t="shared" ref="BA287:BL287" si="87">AZ287</f>
        <v>0.85</v>
      </c>
      <c r="BB287" s="337">
        <f t="shared" si="87"/>
        <v>0.85</v>
      </c>
      <c r="BC287" s="337">
        <f t="shared" si="87"/>
        <v>0.85</v>
      </c>
      <c r="BD287" s="337">
        <f t="shared" si="87"/>
        <v>0.85</v>
      </c>
      <c r="BE287" s="337">
        <f t="shared" si="87"/>
        <v>0.85</v>
      </c>
      <c r="BF287" s="337">
        <f t="shared" si="87"/>
        <v>0.85</v>
      </c>
      <c r="BG287" s="337">
        <f t="shared" si="87"/>
        <v>0.85</v>
      </c>
      <c r="BH287" s="337">
        <f t="shared" si="87"/>
        <v>0.85</v>
      </c>
      <c r="BI287" s="337">
        <f t="shared" si="87"/>
        <v>0.85</v>
      </c>
      <c r="BJ287" s="337">
        <f t="shared" si="87"/>
        <v>0.85</v>
      </c>
      <c r="BK287" s="337">
        <f t="shared" si="87"/>
        <v>0.85</v>
      </c>
      <c r="BL287" s="337">
        <f t="shared" si="87"/>
        <v>0.85</v>
      </c>
      <c r="BM287" s="336">
        <f t="shared" ca="1" si="77"/>
        <v>0.79800000000000004</v>
      </c>
      <c r="BN287" s="7"/>
      <c r="BO287" s="336">
        <f t="shared" ca="1" si="78"/>
        <v>0.79720000000000013</v>
      </c>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c r="DX287" s="7"/>
      <c r="DY287" s="7"/>
      <c r="DZ287" s="7"/>
      <c r="EA287" s="7"/>
      <c r="EB287" s="7"/>
      <c r="EC287" s="7"/>
      <c r="ED287" s="7"/>
      <c r="EE287" s="7"/>
      <c r="EF287" s="7"/>
      <c r="EG287" s="7"/>
      <c r="EH287" s="7"/>
      <c r="EI287" s="7"/>
      <c r="EJ287" s="7"/>
      <c r="EK287" s="7"/>
      <c r="EL287" s="7"/>
      <c r="EM287" s="7"/>
      <c r="EN287" s="7"/>
      <c r="EO287" s="7"/>
      <c r="EP287" s="7"/>
      <c r="EQ287" s="7"/>
      <c r="ER287" s="7"/>
      <c r="ES287" s="7"/>
      <c r="ET287" s="7"/>
      <c r="EU287" s="7"/>
      <c r="EV287" s="7"/>
      <c r="EW287" s="7"/>
      <c r="EX287" s="7"/>
      <c r="EY287" s="7"/>
      <c r="EZ287" s="7"/>
      <c r="FB287" s="50"/>
    </row>
    <row r="288" spans="46:158">
      <c r="AT288" s="432">
        <v>200</v>
      </c>
      <c r="AU288" s="458">
        <v>0.65</v>
      </c>
      <c r="AV288" s="90">
        <v>0.65</v>
      </c>
      <c r="AW288" s="90">
        <v>0.69</v>
      </c>
      <c r="AX288" s="90">
        <v>0.74</v>
      </c>
      <c r="AY288" s="453">
        <v>0.77</v>
      </c>
      <c r="AZ288" s="454">
        <v>0.83</v>
      </c>
      <c r="BA288" s="337">
        <f t="shared" ref="BA288:BL288" si="88">AZ288</f>
        <v>0.83</v>
      </c>
      <c r="BB288" s="337">
        <f t="shared" si="88"/>
        <v>0.83</v>
      </c>
      <c r="BC288" s="337">
        <f t="shared" si="88"/>
        <v>0.83</v>
      </c>
      <c r="BD288" s="337">
        <f t="shared" si="88"/>
        <v>0.83</v>
      </c>
      <c r="BE288" s="337">
        <f t="shared" si="88"/>
        <v>0.83</v>
      </c>
      <c r="BF288" s="337">
        <f t="shared" si="88"/>
        <v>0.83</v>
      </c>
      <c r="BG288" s="337">
        <f t="shared" si="88"/>
        <v>0.83</v>
      </c>
      <c r="BH288" s="337">
        <f t="shared" si="88"/>
        <v>0.83</v>
      </c>
      <c r="BI288" s="337">
        <f t="shared" si="88"/>
        <v>0.83</v>
      </c>
      <c r="BJ288" s="337">
        <f t="shared" si="88"/>
        <v>0.83</v>
      </c>
      <c r="BK288" s="337">
        <f t="shared" si="88"/>
        <v>0.83</v>
      </c>
      <c r="BL288" s="337">
        <f t="shared" si="88"/>
        <v>0.83</v>
      </c>
      <c r="BM288" s="336">
        <f t="shared" ca="1" si="77"/>
        <v>0.77800000000000002</v>
      </c>
      <c r="BN288" s="7"/>
      <c r="BO288" s="336">
        <f t="shared" ca="1" si="78"/>
        <v>0.77720000000000011</v>
      </c>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c r="DX288" s="7"/>
      <c r="DY288" s="7"/>
      <c r="DZ288" s="7"/>
      <c r="EA288" s="7"/>
      <c r="EB288" s="7"/>
      <c r="EC288" s="7"/>
      <c r="ED288" s="7"/>
      <c r="EE288" s="7"/>
      <c r="EF288" s="7"/>
      <c r="EG288" s="7"/>
      <c r="EH288" s="7"/>
      <c r="EI288" s="7"/>
      <c r="EJ288" s="7"/>
      <c r="EK288" s="7"/>
      <c r="EL288" s="7"/>
      <c r="EM288" s="7"/>
      <c r="EN288" s="7"/>
      <c r="EO288" s="7"/>
      <c r="EP288" s="7"/>
      <c r="EQ288" s="7"/>
      <c r="ER288" s="7"/>
      <c r="ES288" s="7"/>
      <c r="ET288" s="7"/>
      <c r="EU288" s="7"/>
      <c r="EV288" s="7"/>
      <c r="EW288" s="7"/>
      <c r="EX288" s="7"/>
      <c r="EY288" s="7"/>
      <c r="EZ288" s="7"/>
      <c r="FB288" s="50"/>
    </row>
    <row r="289" spans="46:158">
      <c r="AT289" s="432">
        <v>300</v>
      </c>
      <c r="AU289" s="458">
        <v>0.62</v>
      </c>
      <c r="AV289" s="455">
        <v>0.62</v>
      </c>
      <c r="AW289" s="455">
        <v>0.65</v>
      </c>
      <c r="AX289" s="455">
        <v>0.71</v>
      </c>
      <c r="AY289" s="456">
        <v>0.73</v>
      </c>
      <c r="AZ289" s="457">
        <v>0.8</v>
      </c>
      <c r="BA289" s="337">
        <f t="shared" ref="BA289:BL289" si="89">AZ289</f>
        <v>0.8</v>
      </c>
      <c r="BB289" s="337">
        <f t="shared" si="89"/>
        <v>0.8</v>
      </c>
      <c r="BC289" s="337">
        <f t="shared" si="89"/>
        <v>0.8</v>
      </c>
      <c r="BD289" s="337">
        <f t="shared" si="89"/>
        <v>0.8</v>
      </c>
      <c r="BE289" s="337">
        <f t="shared" si="89"/>
        <v>0.8</v>
      </c>
      <c r="BF289" s="337">
        <f t="shared" si="89"/>
        <v>0.8</v>
      </c>
      <c r="BG289" s="337">
        <f t="shared" si="89"/>
        <v>0.8</v>
      </c>
      <c r="BH289" s="337">
        <f t="shared" si="89"/>
        <v>0.8</v>
      </c>
      <c r="BI289" s="337">
        <f t="shared" si="89"/>
        <v>0.8</v>
      </c>
      <c r="BJ289" s="337">
        <f t="shared" si="89"/>
        <v>0.8</v>
      </c>
      <c r="BK289" s="337">
        <f t="shared" si="89"/>
        <v>0.8</v>
      </c>
      <c r="BL289" s="337">
        <f t="shared" si="89"/>
        <v>0.8</v>
      </c>
      <c r="BM289" s="336">
        <f t="shared" ca="1" si="77"/>
        <v>0.7393333333333334</v>
      </c>
      <c r="BN289" s="7"/>
      <c r="BO289" s="336">
        <f t="shared" ca="1" si="78"/>
        <v>0.73840000000000006</v>
      </c>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c r="DX289" s="7"/>
      <c r="DY289" s="7"/>
      <c r="DZ289" s="7"/>
      <c r="EA289" s="7"/>
      <c r="EB289" s="7"/>
      <c r="EC289" s="7"/>
      <c r="ED289" s="7"/>
      <c r="EE289" s="7"/>
      <c r="EF289" s="7"/>
      <c r="EG289" s="7"/>
      <c r="EH289" s="7"/>
      <c r="EI289" s="7"/>
      <c r="EJ289" s="7"/>
      <c r="EK289" s="7"/>
      <c r="EL289" s="7"/>
      <c r="EM289" s="7"/>
      <c r="EN289" s="7"/>
      <c r="EO289" s="7"/>
      <c r="EP289" s="7"/>
      <c r="EQ289" s="7"/>
      <c r="ER289" s="7"/>
      <c r="ES289" s="7"/>
      <c r="ET289" s="7"/>
      <c r="EU289" s="7"/>
      <c r="EV289" s="7"/>
      <c r="EW289" s="7"/>
      <c r="EX289" s="7"/>
      <c r="EY289" s="7"/>
      <c r="EZ289" s="7"/>
      <c r="FB289" s="50"/>
    </row>
    <row r="290" spans="46:158">
      <c r="AT290" s="449">
        <f>5/13+AT289</f>
        <v>300.38461538461536</v>
      </c>
      <c r="AU290" s="336">
        <f>AU289</f>
        <v>0.62</v>
      </c>
      <c r="AV290" s="336">
        <f t="shared" ref="AV290:AV302" si="90">AV289</f>
        <v>0.62</v>
      </c>
      <c r="AW290" s="336">
        <f t="shared" ref="AW290:AW302" si="91">AW289</f>
        <v>0.65</v>
      </c>
      <c r="AX290" s="336">
        <f t="shared" ref="AX290:AX302" si="92">AX289</f>
        <v>0.71</v>
      </c>
      <c r="AY290" s="336">
        <f t="shared" ref="AY290:AY302" si="93">AY289</f>
        <v>0.73</v>
      </c>
      <c r="AZ290" s="336">
        <f t="shared" ref="AZ290:AZ302" si="94">AZ289</f>
        <v>0.8</v>
      </c>
      <c r="BA290" s="337">
        <f t="shared" ref="BA290:BL290" si="95">AZ290</f>
        <v>0.8</v>
      </c>
      <c r="BB290" s="337">
        <f t="shared" si="95"/>
        <v>0.8</v>
      </c>
      <c r="BC290" s="337">
        <f t="shared" si="95"/>
        <v>0.8</v>
      </c>
      <c r="BD290" s="337">
        <f t="shared" si="95"/>
        <v>0.8</v>
      </c>
      <c r="BE290" s="337">
        <f t="shared" si="95"/>
        <v>0.8</v>
      </c>
      <c r="BF290" s="337">
        <f t="shared" si="95"/>
        <v>0.8</v>
      </c>
      <c r="BG290" s="337">
        <f t="shared" si="95"/>
        <v>0.8</v>
      </c>
      <c r="BH290" s="337">
        <f t="shared" si="95"/>
        <v>0.8</v>
      </c>
      <c r="BI290" s="337">
        <f t="shared" si="95"/>
        <v>0.8</v>
      </c>
      <c r="BJ290" s="337">
        <f t="shared" si="95"/>
        <v>0.8</v>
      </c>
      <c r="BK290" s="337">
        <f t="shared" si="95"/>
        <v>0.8</v>
      </c>
      <c r="BL290" s="337">
        <f t="shared" si="95"/>
        <v>0.8</v>
      </c>
      <c r="BM290" s="336">
        <f t="shared" ca="1" si="77"/>
        <v>0.7393333333333334</v>
      </c>
      <c r="BN290" s="7"/>
      <c r="BO290" s="336">
        <f t="shared" ca="1" si="78"/>
        <v>0.73840000000000006</v>
      </c>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c r="DX290" s="7"/>
      <c r="DY290" s="7"/>
      <c r="DZ290" s="7"/>
      <c r="EA290" s="7"/>
      <c r="EB290" s="7"/>
      <c r="EC290" s="7"/>
      <c r="ED290" s="7"/>
      <c r="EE290" s="7"/>
      <c r="EF290" s="7"/>
      <c r="EG290" s="7"/>
      <c r="EH290" s="7"/>
      <c r="EI290" s="7"/>
      <c r="EJ290" s="7"/>
      <c r="EK290" s="7"/>
      <c r="EL290" s="7"/>
      <c r="EM290" s="7"/>
      <c r="EN290" s="7"/>
      <c r="EO290" s="7"/>
      <c r="EP290" s="7"/>
      <c r="EQ290" s="7"/>
      <c r="ER290" s="7"/>
      <c r="ES290" s="7"/>
      <c r="ET290" s="7"/>
      <c r="EU290" s="7"/>
      <c r="EV290" s="7"/>
      <c r="EW290" s="7"/>
      <c r="EX290" s="7"/>
      <c r="EY290" s="7"/>
      <c r="EZ290" s="7"/>
      <c r="FB290" s="50"/>
    </row>
    <row r="291" spans="46:158">
      <c r="AT291" s="449">
        <f t="shared" ref="AT291:AT302" si="96">5/13+AT290</f>
        <v>300.76923076923072</v>
      </c>
      <c r="AU291" s="336">
        <f t="shared" ref="AU291:AU302" si="97">AU290</f>
        <v>0.62</v>
      </c>
      <c r="AV291" s="336">
        <f t="shared" si="90"/>
        <v>0.62</v>
      </c>
      <c r="AW291" s="336">
        <f t="shared" si="91"/>
        <v>0.65</v>
      </c>
      <c r="AX291" s="336">
        <f t="shared" si="92"/>
        <v>0.71</v>
      </c>
      <c r="AY291" s="336">
        <f t="shared" si="93"/>
        <v>0.73</v>
      </c>
      <c r="AZ291" s="336">
        <f t="shared" si="94"/>
        <v>0.8</v>
      </c>
      <c r="BA291" s="337">
        <f t="shared" ref="BA291:BL291" si="98">AZ291</f>
        <v>0.8</v>
      </c>
      <c r="BB291" s="337">
        <f t="shared" si="98"/>
        <v>0.8</v>
      </c>
      <c r="BC291" s="337">
        <f t="shared" si="98"/>
        <v>0.8</v>
      </c>
      <c r="BD291" s="337">
        <f t="shared" si="98"/>
        <v>0.8</v>
      </c>
      <c r="BE291" s="337">
        <f t="shared" si="98"/>
        <v>0.8</v>
      </c>
      <c r="BF291" s="337">
        <f t="shared" si="98"/>
        <v>0.8</v>
      </c>
      <c r="BG291" s="337">
        <f t="shared" si="98"/>
        <v>0.8</v>
      </c>
      <c r="BH291" s="337">
        <f t="shared" si="98"/>
        <v>0.8</v>
      </c>
      <c r="BI291" s="337">
        <f t="shared" si="98"/>
        <v>0.8</v>
      </c>
      <c r="BJ291" s="337">
        <f t="shared" si="98"/>
        <v>0.8</v>
      </c>
      <c r="BK291" s="337">
        <f t="shared" si="98"/>
        <v>0.8</v>
      </c>
      <c r="BL291" s="337">
        <f t="shared" si="98"/>
        <v>0.8</v>
      </c>
      <c r="BM291" s="336">
        <f t="shared" ca="1" si="77"/>
        <v>0.7393333333333334</v>
      </c>
      <c r="BN291" s="7"/>
      <c r="BO291" s="336">
        <f t="shared" ca="1" si="78"/>
        <v>0.73840000000000006</v>
      </c>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c r="DX291" s="7"/>
      <c r="DY291" s="7"/>
      <c r="DZ291" s="7"/>
      <c r="EA291" s="7"/>
      <c r="EB291" s="7"/>
      <c r="EC291" s="7"/>
      <c r="ED291" s="7"/>
      <c r="EE291" s="7"/>
      <c r="EF291" s="7"/>
      <c r="EG291" s="7"/>
      <c r="EH291" s="7"/>
      <c r="EI291" s="7"/>
      <c r="EJ291" s="7"/>
      <c r="EK291" s="7"/>
      <c r="EL291" s="7"/>
      <c r="EM291" s="7"/>
      <c r="EN291" s="7"/>
      <c r="EO291" s="7"/>
      <c r="EP291" s="7"/>
      <c r="EQ291" s="7"/>
      <c r="ER291" s="7"/>
      <c r="ES291" s="7"/>
      <c r="ET291" s="7"/>
      <c r="EU291" s="7"/>
      <c r="EV291" s="7"/>
      <c r="EW291" s="7"/>
      <c r="EX291" s="7"/>
      <c r="EY291" s="7"/>
      <c r="EZ291" s="7"/>
      <c r="FB291" s="50"/>
    </row>
    <row r="292" spans="46:158">
      <c r="AT292" s="449">
        <f t="shared" si="96"/>
        <v>301.15384615384608</v>
      </c>
      <c r="AU292" s="336">
        <f t="shared" si="97"/>
        <v>0.62</v>
      </c>
      <c r="AV292" s="336">
        <f t="shared" si="90"/>
        <v>0.62</v>
      </c>
      <c r="AW292" s="336">
        <f t="shared" si="91"/>
        <v>0.65</v>
      </c>
      <c r="AX292" s="336">
        <f t="shared" si="92"/>
        <v>0.71</v>
      </c>
      <c r="AY292" s="336">
        <f t="shared" si="93"/>
        <v>0.73</v>
      </c>
      <c r="AZ292" s="336">
        <f t="shared" si="94"/>
        <v>0.8</v>
      </c>
      <c r="BA292" s="337">
        <f t="shared" ref="BA292:BL292" si="99">AZ292</f>
        <v>0.8</v>
      </c>
      <c r="BB292" s="337">
        <f t="shared" si="99"/>
        <v>0.8</v>
      </c>
      <c r="BC292" s="337">
        <f t="shared" si="99"/>
        <v>0.8</v>
      </c>
      <c r="BD292" s="337">
        <f t="shared" si="99"/>
        <v>0.8</v>
      </c>
      <c r="BE292" s="337">
        <f t="shared" si="99"/>
        <v>0.8</v>
      </c>
      <c r="BF292" s="337">
        <f t="shared" si="99"/>
        <v>0.8</v>
      </c>
      <c r="BG292" s="337">
        <f t="shared" si="99"/>
        <v>0.8</v>
      </c>
      <c r="BH292" s="337">
        <f t="shared" si="99"/>
        <v>0.8</v>
      </c>
      <c r="BI292" s="337">
        <f t="shared" si="99"/>
        <v>0.8</v>
      </c>
      <c r="BJ292" s="337">
        <f t="shared" si="99"/>
        <v>0.8</v>
      </c>
      <c r="BK292" s="337">
        <f t="shared" si="99"/>
        <v>0.8</v>
      </c>
      <c r="BL292" s="337">
        <f t="shared" si="99"/>
        <v>0.8</v>
      </c>
      <c r="BM292" s="336">
        <f t="shared" ca="1" si="77"/>
        <v>0.7393333333333334</v>
      </c>
      <c r="BN292" s="7"/>
      <c r="BO292" s="336">
        <f t="shared" ca="1" si="78"/>
        <v>0.73840000000000006</v>
      </c>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c r="DX292" s="7"/>
      <c r="DY292" s="7"/>
      <c r="DZ292" s="7"/>
      <c r="EA292" s="7"/>
      <c r="EB292" s="7"/>
      <c r="EC292" s="7"/>
      <c r="ED292" s="7"/>
      <c r="EE292" s="7"/>
      <c r="EF292" s="7"/>
      <c r="EG292" s="7"/>
      <c r="EH292" s="7"/>
      <c r="EI292" s="7"/>
      <c r="EJ292" s="7"/>
      <c r="EK292" s="7"/>
      <c r="EL292" s="7"/>
      <c r="EM292" s="7"/>
      <c r="EN292" s="7"/>
      <c r="EO292" s="7"/>
      <c r="EP292" s="7"/>
      <c r="EQ292" s="7"/>
      <c r="ER292" s="7"/>
      <c r="ES292" s="7"/>
      <c r="ET292" s="7"/>
      <c r="EU292" s="7"/>
      <c r="EV292" s="7"/>
      <c r="EW292" s="7"/>
      <c r="EX292" s="7"/>
      <c r="EY292" s="7"/>
      <c r="EZ292" s="7"/>
      <c r="FB292" s="50"/>
    </row>
    <row r="293" spans="46:158">
      <c r="AT293" s="449">
        <f t="shared" si="96"/>
        <v>301.53846153846143</v>
      </c>
      <c r="AU293" s="336">
        <f t="shared" si="97"/>
        <v>0.62</v>
      </c>
      <c r="AV293" s="336">
        <f t="shared" si="90"/>
        <v>0.62</v>
      </c>
      <c r="AW293" s="336">
        <f t="shared" si="91"/>
        <v>0.65</v>
      </c>
      <c r="AX293" s="336">
        <f t="shared" si="92"/>
        <v>0.71</v>
      </c>
      <c r="AY293" s="336">
        <f t="shared" si="93"/>
        <v>0.73</v>
      </c>
      <c r="AZ293" s="336">
        <f t="shared" si="94"/>
        <v>0.8</v>
      </c>
      <c r="BA293" s="337">
        <f t="shared" ref="BA293:BL293" si="100">AZ293</f>
        <v>0.8</v>
      </c>
      <c r="BB293" s="337">
        <f t="shared" si="100"/>
        <v>0.8</v>
      </c>
      <c r="BC293" s="337">
        <f t="shared" si="100"/>
        <v>0.8</v>
      </c>
      <c r="BD293" s="337">
        <f t="shared" si="100"/>
        <v>0.8</v>
      </c>
      <c r="BE293" s="337">
        <f t="shared" si="100"/>
        <v>0.8</v>
      </c>
      <c r="BF293" s="337">
        <f t="shared" si="100"/>
        <v>0.8</v>
      </c>
      <c r="BG293" s="337">
        <f t="shared" si="100"/>
        <v>0.8</v>
      </c>
      <c r="BH293" s="337">
        <f t="shared" si="100"/>
        <v>0.8</v>
      </c>
      <c r="BI293" s="337">
        <f t="shared" si="100"/>
        <v>0.8</v>
      </c>
      <c r="BJ293" s="337">
        <f t="shared" si="100"/>
        <v>0.8</v>
      </c>
      <c r="BK293" s="337">
        <f t="shared" si="100"/>
        <v>0.8</v>
      </c>
      <c r="BL293" s="337">
        <f t="shared" si="100"/>
        <v>0.8</v>
      </c>
      <c r="BM293" s="336">
        <f t="shared" ca="1" si="77"/>
        <v>0.7393333333333334</v>
      </c>
      <c r="BN293" s="7"/>
      <c r="BO293" s="336">
        <f t="shared" ca="1" si="78"/>
        <v>0.73840000000000006</v>
      </c>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c r="DX293" s="7"/>
      <c r="DY293" s="7"/>
      <c r="DZ293" s="7"/>
      <c r="EA293" s="7"/>
      <c r="EB293" s="7"/>
      <c r="EC293" s="7"/>
      <c r="ED293" s="7"/>
      <c r="EE293" s="7"/>
      <c r="EF293" s="7"/>
      <c r="EG293" s="7"/>
      <c r="EH293" s="7"/>
      <c r="EI293" s="7"/>
      <c r="EJ293" s="7"/>
      <c r="EK293" s="7"/>
      <c r="EL293" s="7"/>
      <c r="EM293" s="7"/>
      <c r="EN293" s="7"/>
      <c r="EO293" s="7"/>
      <c r="EP293" s="7"/>
      <c r="EQ293" s="7"/>
      <c r="ER293" s="7"/>
      <c r="ES293" s="7"/>
      <c r="ET293" s="7"/>
      <c r="EU293" s="7"/>
      <c r="EV293" s="7"/>
      <c r="EW293" s="7"/>
      <c r="EX293" s="7"/>
      <c r="EY293" s="7"/>
      <c r="EZ293" s="7"/>
      <c r="FB293" s="50"/>
    </row>
    <row r="294" spans="46:158">
      <c r="AT294" s="449">
        <f t="shared" si="96"/>
        <v>301.92307692307679</v>
      </c>
      <c r="AU294" s="336">
        <f t="shared" si="97"/>
        <v>0.62</v>
      </c>
      <c r="AV294" s="336">
        <f t="shared" si="90"/>
        <v>0.62</v>
      </c>
      <c r="AW294" s="336">
        <f t="shared" si="91"/>
        <v>0.65</v>
      </c>
      <c r="AX294" s="336">
        <f t="shared" si="92"/>
        <v>0.71</v>
      </c>
      <c r="AY294" s="336">
        <f t="shared" si="93"/>
        <v>0.73</v>
      </c>
      <c r="AZ294" s="336">
        <f t="shared" si="94"/>
        <v>0.8</v>
      </c>
      <c r="BA294" s="337">
        <f t="shared" ref="BA294:BL294" si="101">AZ294</f>
        <v>0.8</v>
      </c>
      <c r="BB294" s="337">
        <f t="shared" si="101"/>
        <v>0.8</v>
      </c>
      <c r="BC294" s="337">
        <f t="shared" si="101"/>
        <v>0.8</v>
      </c>
      <c r="BD294" s="337">
        <f t="shared" si="101"/>
        <v>0.8</v>
      </c>
      <c r="BE294" s="337">
        <f t="shared" si="101"/>
        <v>0.8</v>
      </c>
      <c r="BF294" s="337">
        <f t="shared" si="101"/>
        <v>0.8</v>
      </c>
      <c r="BG294" s="337">
        <f t="shared" si="101"/>
        <v>0.8</v>
      </c>
      <c r="BH294" s="337">
        <f t="shared" si="101"/>
        <v>0.8</v>
      </c>
      <c r="BI294" s="337">
        <f t="shared" si="101"/>
        <v>0.8</v>
      </c>
      <c r="BJ294" s="337">
        <f t="shared" si="101"/>
        <v>0.8</v>
      </c>
      <c r="BK294" s="337">
        <f t="shared" si="101"/>
        <v>0.8</v>
      </c>
      <c r="BL294" s="337">
        <f t="shared" si="101"/>
        <v>0.8</v>
      </c>
      <c r="BM294" s="336">
        <f t="shared" ca="1" si="77"/>
        <v>0.7393333333333334</v>
      </c>
      <c r="BN294" s="7"/>
      <c r="BO294" s="336">
        <f t="shared" ca="1" si="78"/>
        <v>0.73840000000000006</v>
      </c>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c r="DX294" s="7"/>
      <c r="DY294" s="7"/>
      <c r="DZ294" s="7"/>
      <c r="EA294" s="7"/>
      <c r="EB294" s="7"/>
      <c r="EC294" s="7"/>
      <c r="ED294" s="7"/>
      <c r="EE294" s="7"/>
      <c r="EF294" s="7"/>
      <c r="EG294" s="7"/>
      <c r="EH294" s="7"/>
      <c r="EI294" s="7"/>
      <c r="EJ294" s="7"/>
      <c r="EK294" s="7"/>
      <c r="EL294" s="7"/>
      <c r="EM294" s="7"/>
      <c r="EN294" s="7"/>
      <c r="EO294" s="7"/>
      <c r="EP294" s="7"/>
      <c r="EQ294" s="7"/>
      <c r="ER294" s="7"/>
      <c r="ES294" s="7"/>
      <c r="ET294" s="7"/>
      <c r="EU294" s="7"/>
      <c r="EV294" s="7"/>
      <c r="EW294" s="7"/>
      <c r="EX294" s="7"/>
      <c r="EY294" s="7"/>
      <c r="EZ294" s="7"/>
      <c r="FB294" s="50"/>
    </row>
    <row r="295" spans="46:158">
      <c r="AT295" s="449">
        <f t="shared" si="96"/>
        <v>302.30769230769215</v>
      </c>
      <c r="AU295" s="336">
        <f t="shared" si="97"/>
        <v>0.62</v>
      </c>
      <c r="AV295" s="336">
        <f t="shared" si="90"/>
        <v>0.62</v>
      </c>
      <c r="AW295" s="336">
        <f t="shared" si="91"/>
        <v>0.65</v>
      </c>
      <c r="AX295" s="336">
        <f t="shared" si="92"/>
        <v>0.71</v>
      </c>
      <c r="AY295" s="336">
        <f t="shared" si="93"/>
        <v>0.73</v>
      </c>
      <c r="AZ295" s="336">
        <f t="shared" si="94"/>
        <v>0.8</v>
      </c>
      <c r="BA295" s="337">
        <f t="shared" ref="BA295:BL295" si="102">AZ295</f>
        <v>0.8</v>
      </c>
      <c r="BB295" s="337">
        <f t="shared" si="102"/>
        <v>0.8</v>
      </c>
      <c r="BC295" s="337">
        <f t="shared" si="102"/>
        <v>0.8</v>
      </c>
      <c r="BD295" s="337">
        <f t="shared" si="102"/>
        <v>0.8</v>
      </c>
      <c r="BE295" s="337">
        <f t="shared" si="102"/>
        <v>0.8</v>
      </c>
      <c r="BF295" s="337">
        <f t="shared" si="102"/>
        <v>0.8</v>
      </c>
      <c r="BG295" s="337">
        <f t="shared" si="102"/>
        <v>0.8</v>
      </c>
      <c r="BH295" s="337">
        <f t="shared" si="102"/>
        <v>0.8</v>
      </c>
      <c r="BI295" s="337">
        <f t="shared" si="102"/>
        <v>0.8</v>
      </c>
      <c r="BJ295" s="337">
        <f t="shared" si="102"/>
        <v>0.8</v>
      </c>
      <c r="BK295" s="337">
        <f t="shared" si="102"/>
        <v>0.8</v>
      </c>
      <c r="BL295" s="337">
        <f t="shared" si="102"/>
        <v>0.8</v>
      </c>
      <c r="BM295" s="336">
        <f t="shared" ca="1" si="77"/>
        <v>0.7393333333333334</v>
      </c>
      <c r="BN295" s="7"/>
      <c r="BO295" s="336">
        <f t="shared" ca="1" si="78"/>
        <v>0.73840000000000006</v>
      </c>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c r="DX295" s="7"/>
      <c r="DY295" s="7"/>
      <c r="DZ295" s="7"/>
      <c r="EA295" s="7"/>
      <c r="EB295" s="7"/>
      <c r="EC295" s="7"/>
      <c r="ED295" s="7"/>
      <c r="EE295" s="7"/>
      <c r="EF295" s="7"/>
      <c r="EG295" s="7"/>
      <c r="EH295" s="7"/>
      <c r="EI295" s="7"/>
      <c r="EJ295" s="7"/>
      <c r="EK295" s="7"/>
      <c r="EL295" s="7"/>
      <c r="EM295" s="7"/>
      <c r="EN295" s="7"/>
      <c r="EO295" s="7"/>
      <c r="EP295" s="7"/>
      <c r="EQ295" s="7"/>
      <c r="ER295" s="7"/>
      <c r="ES295" s="7"/>
      <c r="ET295" s="7"/>
      <c r="EU295" s="7"/>
      <c r="EV295" s="7"/>
      <c r="EW295" s="7"/>
      <c r="EX295" s="7"/>
      <c r="EY295" s="7"/>
      <c r="EZ295" s="7"/>
      <c r="FB295" s="50"/>
    </row>
    <row r="296" spans="46:158">
      <c r="AT296" s="449">
        <f t="shared" si="96"/>
        <v>302.69230769230751</v>
      </c>
      <c r="AU296" s="336">
        <f t="shared" si="97"/>
        <v>0.62</v>
      </c>
      <c r="AV296" s="336">
        <f t="shared" si="90"/>
        <v>0.62</v>
      </c>
      <c r="AW296" s="336">
        <f t="shared" si="91"/>
        <v>0.65</v>
      </c>
      <c r="AX296" s="336">
        <f t="shared" si="92"/>
        <v>0.71</v>
      </c>
      <c r="AY296" s="336">
        <f t="shared" si="93"/>
        <v>0.73</v>
      </c>
      <c r="AZ296" s="336">
        <f t="shared" si="94"/>
        <v>0.8</v>
      </c>
      <c r="BA296" s="337">
        <f t="shared" ref="BA296:BL296" si="103">AZ296</f>
        <v>0.8</v>
      </c>
      <c r="BB296" s="337">
        <f t="shared" si="103"/>
        <v>0.8</v>
      </c>
      <c r="BC296" s="337">
        <f t="shared" si="103"/>
        <v>0.8</v>
      </c>
      <c r="BD296" s="337">
        <f t="shared" si="103"/>
        <v>0.8</v>
      </c>
      <c r="BE296" s="337">
        <f t="shared" si="103"/>
        <v>0.8</v>
      </c>
      <c r="BF296" s="337">
        <f t="shared" si="103"/>
        <v>0.8</v>
      </c>
      <c r="BG296" s="337">
        <f t="shared" si="103"/>
        <v>0.8</v>
      </c>
      <c r="BH296" s="337">
        <f t="shared" si="103"/>
        <v>0.8</v>
      </c>
      <c r="BI296" s="337">
        <f t="shared" si="103"/>
        <v>0.8</v>
      </c>
      <c r="BJ296" s="337">
        <f t="shared" si="103"/>
        <v>0.8</v>
      </c>
      <c r="BK296" s="337">
        <f t="shared" si="103"/>
        <v>0.8</v>
      </c>
      <c r="BL296" s="337">
        <f t="shared" si="103"/>
        <v>0.8</v>
      </c>
      <c r="BM296" s="336">
        <f t="shared" ca="1" si="77"/>
        <v>0.7393333333333334</v>
      </c>
      <c r="BN296" s="7"/>
      <c r="BO296" s="336">
        <f t="shared" ca="1" si="78"/>
        <v>0.73840000000000006</v>
      </c>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c r="DX296" s="7"/>
      <c r="DY296" s="7"/>
      <c r="DZ296" s="7"/>
      <c r="EA296" s="7"/>
      <c r="EB296" s="7"/>
      <c r="EC296" s="7"/>
      <c r="ED296" s="7"/>
      <c r="EE296" s="7"/>
      <c r="EF296" s="7"/>
      <c r="EG296" s="7"/>
      <c r="EH296" s="7"/>
      <c r="EI296" s="7"/>
      <c r="EJ296" s="7"/>
      <c r="EK296" s="7"/>
      <c r="EL296" s="7"/>
      <c r="EM296" s="7"/>
      <c r="EN296" s="7"/>
      <c r="EO296" s="7"/>
      <c r="EP296" s="7"/>
      <c r="EQ296" s="7"/>
      <c r="ER296" s="7"/>
      <c r="ES296" s="7"/>
      <c r="ET296" s="7"/>
      <c r="EU296" s="7"/>
      <c r="EV296" s="7"/>
      <c r="EW296" s="7"/>
      <c r="EX296" s="7"/>
      <c r="EY296" s="7"/>
      <c r="EZ296" s="7"/>
      <c r="FB296" s="50"/>
    </row>
    <row r="297" spans="46:158">
      <c r="AT297" s="449">
        <f t="shared" si="96"/>
        <v>303.07692307692287</v>
      </c>
      <c r="AU297" s="336">
        <f t="shared" si="97"/>
        <v>0.62</v>
      </c>
      <c r="AV297" s="336">
        <f t="shared" si="90"/>
        <v>0.62</v>
      </c>
      <c r="AW297" s="336">
        <f t="shared" si="91"/>
        <v>0.65</v>
      </c>
      <c r="AX297" s="336">
        <f t="shared" si="92"/>
        <v>0.71</v>
      </c>
      <c r="AY297" s="336">
        <f t="shared" si="93"/>
        <v>0.73</v>
      </c>
      <c r="AZ297" s="336">
        <f t="shared" si="94"/>
        <v>0.8</v>
      </c>
      <c r="BA297" s="337">
        <f t="shared" ref="BA297:BL297" si="104">AZ297</f>
        <v>0.8</v>
      </c>
      <c r="BB297" s="337">
        <f t="shared" si="104"/>
        <v>0.8</v>
      </c>
      <c r="BC297" s="337">
        <f t="shared" si="104"/>
        <v>0.8</v>
      </c>
      <c r="BD297" s="337">
        <f t="shared" si="104"/>
        <v>0.8</v>
      </c>
      <c r="BE297" s="337">
        <f t="shared" si="104"/>
        <v>0.8</v>
      </c>
      <c r="BF297" s="337">
        <f t="shared" si="104"/>
        <v>0.8</v>
      </c>
      <c r="BG297" s="337">
        <f t="shared" si="104"/>
        <v>0.8</v>
      </c>
      <c r="BH297" s="337">
        <f t="shared" si="104"/>
        <v>0.8</v>
      </c>
      <c r="BI297" s="337">
        <f t="shared" si="104"/>
        <v>0.8</v>
      </c>
      <c r="BJ297" s="337">
        <f t="shared" si="104"/>
        <v>0.8</v>
      </c>
      <c r="BK297" s="337">
        <f t="shared" si="104"/>
        <v>0.8</v>
      </c>
      <c r="BL297" s="337">
        <f t="shared" si="104"/>
        <v>0.8</v>
      </c>
      <c r="BM297" s="336">
        <f t="shared" ca="1" si="77"/>
        <v>0.7393333333333334</v>
      </c>
      <c r="BN297" s="7"/>
      <c r="BO297" s="336">
        <f t="shared" ca="1" si="78"/>
        <v>0.73840000000000006</v>
      </c>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c r="DX297" s="7"/>
      <c r="DY297" s="7"/>
      <c r="DZ297" s="7"/>
      <c r="EA297" s="7"/>
      <c r="EB297" s="7"/>
      <c r="EC297" s="7"/>
      <c r="ED297" s="7"/>
      <c r="EE297" s="7"/>
      <c r="EF297" s="7"/>
      <c r="EG297" s="7"/>
      <c r="EH297" s="7"/>
      <c r="EI297" s="7"/>
      <c r="EJ297" s="7"/>
      <c r="EK297" s="7"/>
      <c r="EL297" s="7"/>
      <c r="EM297" s="7"/>
      <c r="EN297" s="7"/>
      <c r="EO297" s="7"/>
      <c r="EP297" s="7"/>
      <c r="EQ297" s="7"/>
      <c r="ER297" s="7"/>
      <c r="ES297" s="7"/>
      <c r="ET297" s="7"/>
      <c r="EU297" s="7"/>
      <c r="EV297" s="7"/>
      <c r="EW297" s="7"/>
      <c r="EX297" s="7"/>
      <c r="EY297" s="7"/>
      <c r="EZ297" s="7"/>
      <c r="FB297" s="50"/>
    </row>
    <row r="298" spans="46:158">
      <c r="AT298" s="449">
        <f t="shared" si="96"/>
        <v>303.46153846153823</v>
      </c>
      <c r="AU298" s="336">
        <f t="shared" si="97"/>
        <v>0.62</v>
      </c>
      <c r="AV298" s="336">
        <f t="shared" si="90"/>
        <v>0.62</v>
      </c>
      <c r="AW298" s="336">
        <f t="shared" si="91"/>
        <v>0.65</v>
      </c>
      <c r="AX298" s="336">
        <f t="shared" si="92"/>
        <v>0.71</v>
      </c>
      <c r="AY298" s="336">
        <f t="shared" si="93"/>
        <v>0.73</v>
      </c>
      <c r="AZ298" s="336">
        <f t="shared" si="94"/>
        <v>0.8</v>
      </c>
      <c r="BA298" s="337">
        <f t="shared" ref="BA298:BL298" si="105">AZ298</f>
        <v>0.8</v>
      </c>
      <c r="BB298" s="337">
        <f t="shared" si="105"/>
        <v>0.8</v>
      </c>
      <c r="BC298" s="337">
        <f t="shared" si="105"/>
        <v>0.8</v>
      </c>
      <c r="BD298" s="337">
        <f t="shared" si="105"/>
        <v>0.8</v>
      </c>
      <c r="BE298" s="337">
        <f t="shared" si="105"/>
        <v>0.8</v>
      </c>
      <c r="BF298" s="337">
        <f t="shared" si="105"/>
        <v>0.8</v>
      </c>
      <c r="BG298" s="337">
        <f t="shared" si="105"/>
        <v>0.8</v>
      </c>
      <c r="BH298" s="337">
        <f t="shared" si="105"/>
        <v>0.8</v>
      </c>
      <c r="BI298" s="337">
        <f t="shared" si="105"/>
        <v>0.8</v>
      </c>
      <c r="BJ298" s="337">
        <f t="shared" si="105"/>
        <v>0.8</v>
      </c>
      <c r="BK298" s="337">
        <f t="shared" si="105"/>
        <v>0.8</v>
      </c>
      <c r="BL298" s="337">
        <f t="shared" si="105"/>
        <v>0.8</v>
      </c>
      <c r="BM298" s="336">
        <f t="shared" ca="1" si="77"/>
        <v>0.7393333333333334</v>
      </c>
      <c r="BN298" s="7"/>
      <c r="BO298" s="336">
        <f t="shared" ca="1" si="78"/>
        <v>0.73840000000000006</v>
      </c>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c r="DX298" s="7"/>
      <c r="DY298" s="7"/>
      <c r="DZ298" s="7"/>
      <c r="EA298" s="7"/>
      <c r="EB298" s="7"/>
      <c r="EC298" s="7"/>
      <c r="ED298" s="7"/>
      <c r="EE298" s="7"/>
      <c r="EF298" s="7"/>
      <c r="EG298" s="7"/>
      <c r="EH298" s="7"/>
      <c r="EI298" s="7"/>
      <c r="EJ298" s="7"/>
      <c r="EK298" s="7"/>
      <c r="EL298" s="7"/>
      <c r="EM298" s="7"/>
      <c r="EN298" s="7"/>
      <c r="EO298" s="7"/>
      <c r="EP298" s="7"/>
      <c r="EQ298" s="7"/>
      <c r="ER298" s="7"/>
      <c r="ES298" s="7"/>
      <c r="ET298" s="7"/>
      <c r="EU298" s="7"/>
      <c r="EV298" s="7"/>
      <c r="EW298" s="7"/>
      <c r="EX298" s="7"/>
      <c r="EY298" s="7"/>
      <c r="EZ298" s="7"/>
      <c r="FB298" s="50"/>
    </row>
    <row r="299" spans="46:158">
      <c r="AT299" s="449">
        <f t="shared" si="96"/>
        <v>303.84615384615358</v>
      </c>
      <c r="AU299" s="336">
        <f t="shared" si="97"/>
        <v>0.62</v>
      </c>
      <c r="AV299" s="336">
        <f t="shared" si="90"/>
        <v>0.62</v>
      </c>
      <c r="AW299" s="336">
        <f t="shared" si="91"/>
        <v>0.65</v>
      </c>
      <c r="AX299" s="336">
        <f t="shared" si="92"/>
        <v>0.71</v>
      </c>
      <c r="AY299" s="336">
        <f t="shared" si="93"/>
        <v>0.73</v>
      </c>
      <c r="AZ299" s="336">
        <f t="shared" si="94"/>
        <v>0.8</v>
      </c>
      <c r="BA299" s="337">
        <f t="shared" ref="BA299:BL299" si="106">AZ299</f>
        <v>0.8</v>
      </c>
      <c r="BB299" s="337">
        <f t="shared" si="106"/>
        <v>0.8</v>
      </c>
      <c r="BC299" s="337">
        <f t="shared" si="106"/>
        <v>0.8</v>
      </c>
      <c r="BD299" s="337">
        <f t="shared" si="106"/>
        <v>0.8</v>
      </c>
      <c r="BE299" s="337">
        <f t="shared" si="106"/>
        <v>0.8</v>
      </c>
      <c r="BF299" s="337">
        <f t="shared" si="106"/>
        <v>0.8</v>
      </c>
      <c r="BG299" s="337">
        <f t="shared" si="106"/>
        <v>0.8</v>
      </c>
      <c r="BH299" s="337">
        <f t="shared" si="106"/>
        <v>0.8</v>
      </c>
      <c r="BI299" s="337">
        <f t="shared" si="106"/>
        <v>0.8</v>
      </c>
      <c r="BJ299" s="337">
        <f t="shared" si="106"/>
        <v>0.8</v>
      </c>
      <c r="BK299" s="337">
        <f t="shared" si="106"/>
        <v>0.8</v>
      </c>
      <c r="BL299" s="337">
        <f t="shared" si="106"/>
        <v>0.8</v>
      </c>
      <c r="BM299" s="336">
        <f t="shared" ca="1" si="77"/>
        <v>0.7393333333333334</v>
      </c>
      <c r="BN299" s="7"/>
      <c r="BO299" s="336">
        <f t="shared" ca="1" si="78"/>
        <v>0.73840000000000006</v>
      </c>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c r="DX299" s="7"/>
      <c r="DY299" s="7"/>
      <c r="DZ299" s="7"/>
      <c r="EA299" s="7"/>
      <c r="EB299" s="7"/>
      <c r="EC299" s="7"/>
      <c r="ED299" s="7"/>
      <c r="EE299" s="7"/>
      <c r="EF299" s="7"/>
      <c r="EG299" s="7"/>
      <c r="EH299" s="7"/>
      <c r="EI299" s="7"/>
      <c r="EJ299" s="7"/>
      <c r="EK299" s="7"/>
      <c r="EL299" s="7"/>
      <c r="EM299" s="7"/>
      <c r="EN299" s="7"/>
      <c r="EO299" s="7"/>
      <c r="EP299" s="7"/>
      <c r="EQ299" s="7"/>
      <c r="ER299" s="7"/>
      <c r="ES299" s="7"/>
      <c r="ET299" s="7"/>
      <c r="EU299" s="7"/>
      <c r="EV299" s="7"/>
      <c r="EW299" s="7"/>
      <c r="EX299" s="7"/>
      <c r="EY299" s="7"/>
      <c r="EZ299" s="7"/>
      <c r="FB299" s="50"/>
    </row>
    <row r="300" spans="46:158">
      <c r="AT300" s="449">
        <f t="shared" si="96"/>
        <v>304.23076923076894</v>
      </c>
      <c r="AU300" s="336">
        <f t="shared" si="97"/>
        <v>0.62</v>
      </c>
      <c r="AV300" s="336">
        <f t="shared" si="90"/>
        <v>0.62</v>
      </c>
      <c r="AW300" s="336">
        <f t="shared" si="91"/>
        <v>0.65</v>
      </c>
      <c r="AX300" s="336">
        <f t="shared" si="92"/>
        <v>0.71</v>
      </c>
      <c r="AY300" s="336">
        <f t="shared" si="93"/>
        <v>0.73</v>
      </c>
      <c r="AZ300" s="336">
        <f t="shared" si="94"/>
        <v>0.8</v>
      </c>
      <c r="BA300" s="337">
        <f t="shared" ref="BA300:BL300" si="107">AZ300</f>
        <v>0.8</v>
      </c>
      <c r="BB300" s="337">
        <f t="shared" si="107"/>
        <v>0.8</v>
      </c>
      <c r="BC300" s="337">
        <f t="shared" si="107"/>
        <v>0.8</v>
      </c>
      <c r="BD300" s="337">
        <f t="shared" si="107"/>
        <v>0.8</v>
      </c>
      <c r="BE300" s="337">
        <f t="shared" si="107"/>
        <v>0.8</v>
      </c>
      <c r="BF300" s="337">
        <f t="shared" si="107"/>
        <v>0.8</v>
      </c>
      <c r="BG300" s="337">
        <f t="shared" si="107"/>
        <v>0.8</v>
      </c>
      <c r="BH300" s="337">
        <f t="shared" si="107"/>
        <v>0.8</v>
      </c>
      <c r="BI300" s="337">
        <f t="shared" si="107"/>
        <v>0.8</v>
      </c>
      <c r="BJ300" s="337">
        <f t="shared" si="107"/>
        <v>0.8</v>
      </c>
      <c r="BK300" s="337">
        <f t="shared" si="107"/>
        <v>0.8</v>
      </c>
      <c r="BL300" s="337">
        <f t="shared" si="107"/>
        <v>0.8</v>
      </c>
      <c r="BM300" s="336">
        <f t="shared" ca="1" si="77"/>
        <v>0.7393333333333334</v>
      </c>
      <c r="BN300" s="7"/>
      <c r="BO300" s="336">
        <f t="shared" ca="1" si="78"/>
        <v>0.73840000000000006</v>
      </c>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c r="DX300" s="7"/>
      <c r="DY300" s="7"/>
      <c r="DZ300" s="7"/>
      <c r="EA300" s="7"/>
      <c r="EB300" s="7"/>
      <c r="EC300" s="7"/>
      <c r="ED300" s="7"/>
      <c r="EE300" s="7"/>
      <c r="EF300" s="7"/>
      <c r="EG300" s="7"/>
      <c r="EH300" s="7"/>
      <c r="EI300" s="7"/>
      <c r="EJ300" s="7"/>
      <c r="EK300" s="7"/>
      <c r="EL300" s="7"/>
      <c r="EM300" s="7"/>
      <c r="EN300" s="7"/>
      <c r="EO300" s="7"/>
      <c r="EP300" s="7"/>
      <c r="EQ300" s="7"/>
      <c r="ER300" s="7"/>
      <c r="ES300" s="7"/>
      <c r="ET300" s="7"/>
      <c r="EU300" s="7"/>
      <c r="EV300" s="7"/>
      <c r="EW300" s="7"/>
      <c r="EX300" s="7"/>
      <c r="EY300" s="7"/>
      <c r="EZ300" s="7"/>
      <c r="FB300" s="50"/>
    </row>
    <row r="301" spans="46:158">
      <c r="AT301" s="449">
        <f t="shared" si="96"/>
        <v>304.6153846153843</v>
      </c>
      <c r="AU301" s="336">
        <f t="shared" si="97"/>
        <v>0.62</v>
      </c>
      <c r="AV301" s="336">
        <f t="shared" si="90"/>
        <v>0.62</v>
      </c>
      <c r="AW301" s="336">
        <f t="shared" si="91"/>
        <v>0.65</v>
      </c>
      <c r="AX301" s="336">
        <f t="shared" si="92"/>
        <v>0.71</v>
      </c>
      <c r="AY301" s="336">
        <f t="shared" si="93"/>
        <v>0.73</v>
      </c>
      <c r="AZ301" s="336">
        <f t="shared" si="94"/>
        <v>0.8</v>
      </c>
      <c r="BA301" s="337">
        <f t="shared" ref="BA301:BL301" si="108">AZ301</f>
        <v>0.8</v>
      </c>
      <c r="BB301" s="337">
        <f t="shared" si="108"/>
        <v>0.8</v>
      </c>
      <c r="BC301" s="337">
        <f t="shared" si="108"/>
        <v>0.8</v>
      </c>
      <c r="BD301" s="337">
        <f t="shared" si="108"/>
        <v>0.8</v>
      </c>
      <c r="BE301" s="337">
        <f t="shared" si="108"/>
        <v>0.8</v>
      </c>
      <c r="BF301" s="337">
        <f t="shared" si="108"/>
        <v>0.8</v>
      </c>
      <c r="BG301" s="337">
        <f t="shared" si="108"/>
        <v>0.8</v>
      </c>
      <c r="BH301" s="337">
        <f t="shared" si="108"/>
        <v>0.8</v>
      </c>
      <c r="BI301" s="337">
        <f t="shared" si="108"/>
        <v>0.8</v>
      </c>
      <c r="BJ301" s="337">
        <f t="shared" si="108"/>
        <v>0.8</v>
      </c>
      <c r="BK301" s="337">
        <f t="shared" si="108"/>
        <v>0.8</v>
      </c>
      <c r="BL301" s="337">
        <f t="shared" si="108"/>
        <v>0.8</v>
      </c>
      <c r="BM301" s="336">
        <f t="shared" ca="1" si="77"/>
        <v>0.7393333333333334</v>
      </c>
      <c r="BN301" s="7"/>
      <c r="BO301" s="336">
        <f t="shared" ca="1" si="78"/>
        <v>0.73840000000000006</v>
      </c>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7"/>
      <c r="DY301" s="7"/>
      <c r="DZ301" s="7"/>
      <c r="EA301" s="7"/>
      <c r="EB301" s="7"/>
      <c r="EC301" s="7"/>
      <c r="ED301" s="7"/>
      <c r="EE301" s="7"/>
      <c r="EF301" s="7"/>
      <c r="EG301" s="7"/>
      <c r="EH301" s="7"/>
      <c r="EI301" s="7"/>
      <c r="EJ301" s="7"/>
      <c r="EK301" s="7"/>
      <c r="EL301" s="7"/>
      <c r="EM301" s="7"/>
      <c r="EN301" s="7"/>
      <c r="EO301" s="7"/>
      <c r="EP301" s="7"/>
      <c r="EQ301" s="7"/>
      <c r="ER301" s="7"/>
      <c r="ES301" s="7"/>
      <c r="ET301" s="7"/>
      <c r="EU301" s="7"/>
      <c r="EV301" s="7"/>
      <c r="EW301" s="7"/>
      <c r="EX301" s="7"/>
      <c r="EY301" s="7"/>
      <c r="EZ301" s="7"/>
      <c r="FB301" s="50"/>
    </row>
    <row r="302" spans="46:158">
      <c r="AT302" s="432">
        <f t="shared" si="96"/>
        <v>304.99999999999966</v>
      </c>
      <c r="AU302" s="336">
        <f t="shared" si="97"/>
        <v>0.62</v>
      </c>
      <c r="AV302" s="336">
        <f t="shared" si="90"/>
        <v>0.62</v>
      </c>
      <c r="AW302" s="336">
        <f t="shared" si="91"/>
        <v>0.65</v>
      </c>
      <c r="AX302" s="336">
        <f t="shared" si="92"/>
        <v>0.71</v>
      </c>
      <c r="AY302" s="336">
        <f t="shared" si="93"/>
        <v>0.73</v>
      </c>
      <c r="AZ302" s="336">
        <f t="shared" si="94"/>
        <v>0.8</v>
      </c>
      <c r="BA302" s="337">
        <f t="shared" ref="BA302:BL302" si="109">AZ302</f>
        <v>0.8</v>
      </c>
      <c r="BB302" s="337">
        <f t="shared" si="109"/>
        <v>0.8</v>
      </c>
      <c r="BC302" s="337">
        <f t="shared" si="109"/>
        <v>0.8</v>
      </c>
      <c r="BD302" s="337">
        <f t="shared" si="109"/>
        <v>0.8</v>
      </c>
      <c r="BE302" s="337">
        <f t="shared" si="109"/>
        <v>0.8</v>
      </c>
      <c r="BF302" s="337">
        <f t="shared" si="109"/>
        <v>0.8</v>
      </c>
      <c r="BG302" s="337">
        <f t="shared" si="109"/>
        <v>0.8</v>
      </c>
      <c r="BH302" s="337">
        <f t="shared" si="109"/>
        <v>0.8</v>
      </c>
      <c r="BI302" s="337">
        <f t="shared" si="109"/>
        <v>0.8</v>
      </c>
      <c r="BJ302" s="337">
        <f t="shared" si="109"/>
        <v>0.8</v>
      </c>
      <c r="BK302" s="337">
        <f t="shared" si="109"/>
        <v>0.8</v>
      </c>
      <c r="BL302" s="337">
        <f t="shared" si="109"/>
        <v>0.8</v>
      </c>
      <c r="BM302" s="336">
        <f t="shared" ca="1" si="77"/>
        <v>0.7393333333333334</v>
      </c>
      <c r="BN302" s="7"/>
      <c r="BO302" s="336">
        <f t="shared" ca="1" si="78"/>
        <v>0.73840000000000006</v>
      </c>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7"/>
      <c r="DY302" s="7"/>
      <c r="DZ302" s="7"/>
      <c r="EA302" s="7"/>
      <c r="EB302" s="7"/>
      <c r="EC302" s="7"/>
      <c r="ED302" s="7"/>
      <c r="EE302" s="7"/>
      <c r="EF302" s="7"/>
      <c r="EG302" s="7"/>
      <c r="EH302" s="7"/>
      <c r="EI302" s="7"/>
      <c r="EJ302" s="7"/>
      <c r="EK302" s="7"/>
      <c r="EL302" s="7"/>
      <c r="EM302" s="7"/>
      <c r="EN302" s="7"/>
      <c r="EO302" s="7"/>
      <c r="EP302" s="7"/>
      <c r="EQ302" s="7"/>
      <c r="ER302" s="7"/>
      <c r="ES302" s="7"/>
      <c r="ET302" s="7"/>
      <c r="EU302" s="7"/>
      <c r="EV302" s="7"/>
      <c r="EW302" s="7"/>
      <c r="EX302" s="7"/>
      <c r="EY302" s="7"/>
      <c r="EZ302" s="7"/>
      <c r="FB302" s="50"/>
    </row>
    <row r="303" spans="46:158">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7"/>
      <c r="DY303" s="7"/>
      <c r="DZ303" s="7"/>
      <c r="EA303" s="7"/>
      <c r="EB303" s="7"/>
      <c r="EC303" s="7"/>
      <c r="ED303" s="7"/>
      <c r="EE303" s="7"/>
      <c r="EF303" s="7"/>
      <c r="EG303" s="7"/>
      <c r="EH303" s="7"/>
      <c r="EI303" s="7"/>
      <c r="EJ303" s="7"/>
      <c r="EK303" s="7"/>
      <c r="EL303" s="7"/>
      <c r="EM303" s="7"/>
      <c r="EN303" s="7"/>
      <c r="EO303" s="7"/>
      <c r="EP303" s="7"/>
      <c r="EQ303" s="7"/>
      <c r="ER303" s="7"/>
      <c r="ES303" s="7"/>
      <c r="ET303" s="7"/>
      <c r="EU303" s="7"/>
      <c r="EV303" s="7"/>
      <c r="EW303" s="7"/>
      <c r="EX303" s="7"/>
      <c r="EY303" s="7"/>
      <c r="EZ303" s="7"/>
      <c r="FB303" s="50"/>
    </row>
    <row r="304" spans="46:158">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7"/>
      <c r="DY304" s="7"/>
      <c r="DZ304" s="7"/>
      <c r="EA304" s="7"/>
      <c r="EB304" s="7"/>
      <c r="EC304" s="7"/>
      <c r="ED304" s="7"/>
      <c r="EE304" s="7"/>
      <c r="EF304" s="7"/>
      <c r="EG304" s="7"/>
      <c r="EH304" s="7"/>
      <c r="EI304" s="7"/>
      <c r="EJ304" s="7"/>
      <c r="EK304" s="7"/>
      <c r="EL304" s="7"/>
      <c r="EM304" s="7"/>
      <c r="EN304" s="7"/>
      <c r="EO304" s="7"/>
      <c r="EP304" s="7"/>
      <c r="EQ304" s="7"/>
      <c r="ER304" s="7"/>
      <c r="ES304" s="7"/>
      <c r="ET304" s="7"/>
      <c r="EU304" s="7"/>
      <c r="EV304" s="7"/>
      <c r="EW304" s="7"/>
      <c r="EX304" s="7"/>
      <c r="EY304" s="7"/>
      <c r="EZ304" s="7"/>
      <c r="FB304" s="50"/>
    </row>
    <row r="305" spans="46:158">
      <c r="AT305" s="708" t="s">
        <v>506</v>
      </c>
      <c r="AU305" s="708"/>
      <c r="AV305" s="72"/>
      <c r="AW305" s="72"/>
      <c r="AX305" s="72"/>
      <c r="AY305" s="72"/>
      <c r="AZ305" s="72"/>
      <c r="BA305" s="72"/>
      <c r="BB305" s="72"/>
      <c r="BC305" s="72"/>
      <c r="BD305" s="72"/>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7"/>
      <c r="DY305" s="7"/>
      <c r="DZ305" s="7"/>
      <c r="EA305" s="7"/>
      <c r="EB305" s="7"/>
      <c r="EC305" s="7"/>
      <c r="ED305" s="7"/>
      <c r="EE305" s="7"/>
      <c r="EF305" s="7"/>
      <c r="EG305" s="7"/>
      <c r="EH305" s="7"/>
      <c r="EI305" s="7"/>
      <c r="EJ305" s="7"/>
      <c r="EK305" s="7"/>
      <c r="EL305" s="7"/>
      <c r="EM305" s="7"/>
      <c r="EN305" s="7"/>
      <c r="EO305" s="7"/>
      <c r="EP305" s="7"/>
      <c r="EQ305" s="7"/>
      <c r="ER305" s="7"/>
      <c r="ES305" s="7"/>
      <c r="ET305" s="7"/>
      <c r="EU305" s="7"/>
      <c r="EV305" s="7"/>
      <c r="EW305" s="7"/>
      <c r="EX305" s="7"/>
      <c r="EY305" s="7"/>
      <c r="EZ305" s="7"/>
      <c r="FB305" s="50"/>
    </row>
    <row r="306" spans="46:158">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c r="DX306" s="7"/>
      <c r="DY306" s="7"/>
      <c r="DZ306" s="7"/>
      <c r="EA306" s="7"/>
      <c r="EB306" s="7"/>
      <c r="EC306" s="7"/>
      <c r="ED306" s="7"/>
      <c r="EE306" s="7"/>
      <c r="EF306" s="7"/>
      <c r="EG306" s="7"/>
      <c r="EH306" s="7"/>
      <c r="EI306" s="7"/>
      <c r="EJ306" s="7"/>
      <c r="EK306" s="7"/>
      <c r="EL306" s="7"/>
      <c r="EM306" s="7"/>
      <c r="EN306" s="7"/>
      <c r="EO306" s="7"/>
      <c r="EP306" s="7"/>
      <c r="EQ306" s="7"/>
      <c r="ER306" s="7"/>
      <c r="ES306" s="7"/>
      <c r="ET306" s="7"/>
      <c r="EU306" s="7"/>
      <c r="EV306" s="7"/>
      <c r="EW306" s="7"/>
      <c r="EX306" s="7"/>
      <c r="EY306" s="7"/>
      <c r="EZ306" s="7"/>
      <c r="FB306" s="50"/>
    </row>
    <row r="307" spans="46:158">
      <c r="AU307" s="459" t="s">
        <v>648</v>
      </c>
      <c r="AV307" s="290">
        <v>0.03</v>
      </c>
      <c r="AW307" s="43" t="s">
        <v>650</v>
      </c>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c r="DX307" s="7"/>
      <c r="DY307" s="7"/>
      <c r="DZ307" s="7"/>
      <c r="EA307" s="7"/>
      <c r="EB307" s="7"/>
      <c r="EC307" s="7"/>
      <c r="ED307" s="7"/>
      <c r="EE307" s="7"/>
      <c r="EF307" s="7"/>
      <c r="EG307" s="7"/>
      <c r="EH307" s="7"/>
      <c r="EI307" s="7"/>
      <c r="EJ307" s="7"/>
      <c r="EK307" s="7"/>
      <c r="EL307" s="7"/>
      <c r="EM307" s="7"/>
      <c r="EN307" s="7"/>
      <c r="EO307" s="7"/>
      <c r="EP307" s="7"/>
      <c r="EQ307" s="7"/>
      <c r="ER307" s="7"/>
      <c r="ES307" s="7"/>
      <c r="ET307" s="7"/>
      <c r="EU307" s="7"/>
      <c r="EV307" s="7"/>
      <c r="EW307" s="7"/>
      <c r="EX307" s="7"/>
      <c r="EY307" s="7"/>
      <c r="EZ307" s="7"/>
      <c r="FB307" s="50"/>
    </row>
    <row r="308" spans="46:158">
      <c r="AU308" s="43" t="s">
        <v>649</v>
      </c>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c r="DX308" s="7"/>
      <c r="DY308" s="7"/>
      <c r="DZ308" s="7"/>
      <c r="EA308" s="7"/>
      <c r="EB308" s="7"/>
      <c r="EC308" s="7"/>
      <c r="ED308" s="7"/>
      <c r="EE308" s="7"/>
      <c r="EF308" s="7"/>
      <c r="EG308" s="7"/>
      <c r="EH308" s="7"/>
      <c r="EI308" s="7"/>
      <c r="EJ308" s="7"/>
      <c r="EK308" s="7"/>
      <c r="EL308" s="7"/>
      <c r="EM308" s="7"/>
      <c r="EN308" s="7"/>
      <c r="EO308" s="7"/>
      <c r="EP308" s="7"/>
      <c r="EQ308" s="7"/>
      <c r="ER308" s="7"/>
      <c r="ES308" s="7"/>
      <c r="ET308" s="7"/>
      <c r="EU308" s="7"/>
      <c r="EV308" s="7"/>
      <c r="EW308" s="7"/>
      <c r="EX308" s="7"/>
      <c r="EY308" s="7"/>
      <c r="EZ308" s="7"/>
      <c r="FB308" s="50"/>
    </row>
    <row r="309" spans="46:158">
      <c r="AT309" s="338" t="s">
        <v>227</v>
      </c>
      <c r="AU309" s="460">
        <v>0.01</v>
      </c>
      <c r="AV309" s="460">
        <v>10</v>
      </c>
      <c r="AW309" s="460">
        <v>20</v>
      </c>
      <c r="AX309" s="460">
        <v>30</v>
      </c>
      <c r="AY309" s="460">
        <v>40</v>
      </c>
      <c r="AZ309" s="460">
        <v>60</v>
      </c>
      <c r="BA309" s="460">
        <v>100</v>
      </c>
      <c r="BB309" s="460">
        <v>200</v>
      </c>
      <c r="BC309" s="460">
        <v>201</v>
      </c>
      <c r="BF309" s="43" t="s">
        <v>655</v>
      </c>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c r="DX309" s="7"/>
      <c r="DY309" s="7"/>
      <c r="DZ309" s="7"/>
      <c r="EA309" s="7"/>
      <c r="EB309" s="7"/>
      <c r="EC309" s="7"/>
      <c r="ED309" s="7"/>
      <c r="EE309" s="7"/>
      <c r="EF309" s="7"/>
      <c r="EG309" s="7"/>
      <c r="EH309" s="7"/>
      <c r="EI309" s="7"/>
      <c r="EJ309" s="7"/>
      <c r="EK309" s="7"/>
      <c r="EL309" s="7"/>
      <c r="EM309" s="7"/>
      <c r="EN309" s="7"/>
      <c r="EO309" s="7"/>
      <c r="EP309" s="7"/>
      <c r="EQ309" s="7"/>
      <c r="ER309" s="7"/>
      <c r="ES309" s="7"/>
      <c r="ET309" s="7"/>
      <c r="EU309" s="7"/>
      <c r="EV309" s="7"/>
      <c r="EW309" s="7"/>
      <c r="EX309" s="7"/>
      <c r="EY309" s="7"/>
      <c r="EZ309" s="7"/>
      <c r="FB309" s="50"/>
    </row>
    <row r="310" spans="46:158">
      <c r="AT310" s="44">
        <v>0.01</v>
      </c>
      <c r="AU310" s="200">
        <f>AV310</f>
        <v>1.03</v>
      </c>
      <c r="AV310" s="200">
        <f>AV311</f>
        <v>1.03</v>
      </c>
      <c r="AW310" s="200">
        <f t="shared" ref="AW310:BB310" si="110">AW311</f>
        <v>1.02</v>
      </c>
      <c r="AX310" s="200">
        <f t="shared" si="110"/>
        <v>1.02</v>
      </c>
      <c r="AY310" s="200">
        <f t="shared" si="110"/>
        <v>1.02</v>
      </c>
      <c r="AZ310" s="200">
        <f t="shared" si="110"/>
        <v>1.03</v>
      </c>
      <c r="BA310" s="200">
        <f t="shared" si="110"/>
        <v>1.04</v>
      </c>
      <c r="BB310" s="200">
        <f t="shared" si="110"/>
        <v>1.07</v>
      </c>
      <c r="BC310" s="200">
        <f>BB310</f>
        <v>1.07</v>
      </c>
      <c r="BD310" s="154">
        <f t="shared" ref="BD310:BD317" ca="1" si="111">FORECAST(82,OFFSET($AU310,0,MATCH(82,$AU$309:$BB$309,1)-1,1,2),OFFSET($AU$309,0,MATCH(82,$AU$309:$BB$309,1)-1,1,2))</f>
        <v>1.0355000000000001</v>
      </c>
      <c r="BF310" s="43">
        <f t="shared" ref="BF310:BF317" ca="1" si="112">FORECAST($AJ$33,OFFSET($AU310,0,MATCH($AJ$33,$AU$309:$BB$309,1)-1,1,2),OFFSET($AU$309,0,MATCH($AJ$33,$AU$309:$BB$309,1)-1,1,2))</f>
        <v>1.0350000000000001</v>
      </c>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c r="DX310" s="7"/>
      <c r="DY310" s="7"/>
      <c r="DZ310" s="7"/>
      <c r="EA310" s="7"/>
      <c r="EB310" s="7"/>
      <c r="EC310" s="7"/>
      <c r="ED310" s="7"/>
      <c r="EE310" s="7"/>
      <c r="EF310" s="7"/>
      <c r="EG310" s="7"/>
      <c r="EH310" s="7"/>
      <c r="EI310" s="7"/>
      <c r="EJ310" s="7"/>
      <c r="EK310" s="7"/>
      <c r="EL310" s="7"/>
      <c r="EM310" s="7"/>
      <c r="EN310" s="7"/>
      <c r="EO310" s="7"/>
      <c r="EP310" s="7"/>
      <c r="EQ310" s="7"/>
      <c r="ER310" s="7"/>
      <c r="ES310" s="7"/>
      <c r="ET310" s="7"/>
      <c r="EU310" s="7"/>
      <c r="EV310" s="7"/>
      <c r="EW310" s="7"/>
      <c r="EX310" s="7"/>
      <c r="EY310" s="7"/>
      <c r="EZ310" s="7"/>
      <c r="FB310" s="50"/>
    </row>
    <row r="311" spans="46:158">
      <c r="AT311" s="44">
        <v>0.2</v>
      </c>
      <c r="AU311" s="200">
        <f t="shared" ref="AU311:AU316" si="113">AV311</f>
        <v>1.03</v>
      </c>
      <c r="AV311" s="200">
        <v>1.03</v>
      </c>
      <c r="AW311" s="200">
        <v>1.02</v>
      </c>
      <c r="AX311" s="200">
        <v>1.02</v>
      </c>
      <c r="AY311" s="200">
        <v>1.02</v>
      </c>
      <c r="AZ311" s="200">
        <v>1.03</v>
      </c>
      <c r="BA311" s="200">
        <v>1.04</v>
      </c>
      <c r="BB311" s="200">
        <v>1.07</v>
      </c>
      <c r="BC311" s="200">
        <f t="shared" ref="BC311:BC316" si="114">BB311</f>
        <v>1.07</v>
      </c>
      <c r="BD311" s="154">
        <f t="shared" ca="1" si="111"/>
        <v>1.0355000000000001</v>
      </c>
      <c r="BF311" s="43">
        <f t="shared" ca="1" si="112"/>
        <v>1.0350000000000001</v>
      </c>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c r="DX311" s="7"/>
      <c r="DY311" s="7"/>
      <c r="DZ311" s="7"/>
      <c r="EA311" s="7"/>
      <c r="EB311" s="7"/>
      <c r="EC311" s="7"/>
      <c r="ED311" s="7"/>
      <c r="EE311" s="7"/>
      <c r="EF311" s="7"/>
      <c r="EG311" s="7"/>
      <c r="EH311" s="7"/>
      <c r="EI311" s="7"/>
      <c r="EJ311" s="7"/>
      <c r="EK311" s="7"/>
      <c r="EL311" s="7"/>
      <c r="EM311" s="7"/>
      <c r="EN311" s="7"/>
      <c r="EO311" s="7"/>
      <c r="EP311" s="7"/>
      <c r="EQ311" s="7"/>
      <c r="ER311" s="7"/>
      <c r="ES311" s="7"/>
      <c r="ET311" s="7"/>
      <c r="EU311" s="7"/>
      <c r="EV311" s="7"/>
      <c r="EW311" s="7"/>
      <c r="EX311" s="7"/>
      <c r="EY311" s="7"/>
      <c r="EZ311" s="7"/>
      <c r="FB311" s="50"/>
    </row>
    <row r="312" spans="46:158">
      <c r="AT312" s="44">
        <v>0.5</v>
      </c>
      <c r="AU312" s="200">
        <f t="shared" si="113"/>
        <v>1.06</v>
      </c>
      <c r="AV312" s="200">
        <v>1.06</v>
      </c>
      <c r="AW312" s="200">
        <v>1.06</v>
      </c>
      <c r="AX312" s="200">
        <v>1.05</v>
      </c>
      <c r="AY312" s="200">
        <v>1.05</v>
      </c>
      <c r="AZ312" s="200">
        <v>1.06</v>
      </c>
      <c r="BA312" s="200">
        <v>1.07</v>
      </c>
      <c r="BB312" s="200">
        <v>1.1299999999999999</v>
      </c>
      <c r="BC312" s="200">
        <f t="shared" si="114"/>
        <v>1.1299999999999999</v>
      </c>
      <c r="BD312" s="154">
        <f t="shared" ca="1" si="111"/>
        <v>1.0654999999999999</v>
      </c>
      <c r="BF312" s="43">
        <f t="shared" ca="1" si="112"/>
        <v>1.0649999999999999</v>
      </c>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c r="DX312" s="7"/>
      <c r="DY312" s="7"/>
      <c r="DZ312" s="7"/>
      <c r="EA312" s="7"/>
      <c r="EB312" s="7"/>
      <c r="EC312" s="7"/>
      <c r="ED312" s="7"/>
      <c r="EE312" s="7"/>
      <c r="EF312" s="7"/>
      <c r="EG312" s="7"/>
      <c r="EH312" s="7"/>
      <c r="EI312" s="7"/>
      <c r="EJ312" s="7"/>
      <c r="EK312" s="7"/>
      <c r="EL312" s="7"/>
      <c r="EM312" s="7"/>
      <c r="EN312" s="7"/>
      <c r="EO312" s="7"/>
      <c r="EP312" s="7"/>
      <c r="EQ312" s="7"/>
      <c r="ER312" s="7"/>
      <c r="ES312" s="7"/>
      <c r="ET312" s="7"/>
      <c r="EU312" s="7"/>
      <c r="EV312" s="7"/>
      <c r="EW312" s="7"/>
      <c r="EX312" s="7"/>
      <c r="EY312" s="7"/>
      <c r="EZ312" s="7"/>
      <c r="FB312" s="50"/>
    </row>
    <row r="313" spans="46:158">
      <c r="AT313" s="44">
        <v>1</v>
      </c>
      <c r="AU313" s="200">
        <f t="shared" si="113"/>
        <v>1.08</v>
      </c>
      <c r="AV313" s="200">
        <v>1.08</v>
      </c>
      <c r="AW313" s="200">
        <v>1.08</v>
      </c>
      <c r="AX313" s="200">
        <v>1.0900000000000001</v>
      </c>
      <c r="AY313" s="200">
        <v>1.0900000000000001</v>
      </c>
      <c r="AZ313" s="200">
        <v>1.1100000000000001</v>
      </c>
      <c r="BA313" s="200">
        <v>1.1299999999999999</v>
      </c>
      <c r="BB313" s="200">
        <v>1.18</v>
      </c>
      <c r="BC313" s="200">
        <f t="shared" si="114"/>
        <v>1.18</v>
      </c>
      <c r="BD313" s="154">
        <f t="shared" ca="1" si="111"/>
        <v>1.121</v>
      </c>
      <c r="BF313" s="43">
        <f t="shared" ca="1" si="112"/>
        <v>1.1200000000000001</v>
      </c>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c r="DX313" s="7"/>
      <c r="DY313" s="7"/>
      <c r="DZ313" s="7"/>
      <c r="EA313" s="7"/>
      <c r="EB313" s="7"/>
      <c r="EC313" s="7"/>
      <c r="ED313" s="7"/>
      <c r="EE313" s="7"/>
      <c r="EF313" s="7"/>
      <c r="EG313" s="7"/>
      <c r="EH313" s="7"/>
      <c r="EI313" s="7"/>
      <c r="EJ313" s="7"/>
      <c r="EK313" s="7"/>
      <c r="EL313" s="7"/>
      <c r="EM313" s="7"/>
      <c r="EN313" s="7"/>
      <c r="EO313" s="7"/>
      <c r="EP313" s="7"/>
      <c r="EQ313" s="7"/>
      <c r="ER313" s="7"/>
      <c r="ES313" s="7"/>
      <c r="ET313" s="7"/>
      <c r="EU313" s="7"/>
      <c r="EV313" s="7"/>
      <c r="EW313" s="7"/>
      <c r="EX313" s="7"/>
      <c r="EY313" s="7"/>
      <c r="EZ313" s="7"/>
      <c r="FB313" s="50"/>
    </row>
    <row r="314" spans="46:158">
      <c r="AT314" s="44">
        <v>2</v>
      </c>
      <c r="AU314" s="200">
        <f t="shared" si="113"/>
        <v>1.1200000000000001</v>
      </c>
      <c r="AV314" s="200">
        <v>1.1200000000000001</v>
      </c>
      <c r="AW314" s="200">
        <v>1.1299999999999999</v>
      </c>
      <c r="AX314" s="200">
        <v>1.1399999999999999</v>
      </c>
      <c r="AY314" s="200">
        <v>1.1599999999999999</v>
      </c>
      <c r="AZ314" s="200">
        <v>1.17</v>
      </c>
      <c r="BA314" s="200">
        <v>1.21</v>
      </c>
      <c r="BB314" s="200">
        <v>2</v>
      </c>
      <c r="BC314" s="200">
        <f t="shared" si="114"/>
        <v>2</v>
      </c>
      <c r="BD314" s="154">
        <f t="shared" ca="1" si="111"/>
        <v>1.1919999999999999</v>
      </c>
      <c r="BF314" s="43">
        <f t="shared" ca="1" si="112"/>
        <v>1.19</v>
      </c>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c r="DX314" s="7"/>
      <c r="DY314" s="7"/>
      <c r="DZ314" s="7"/>
      <c r="EA314" s="7"/>
      <c r="EB314" s="7"/>
      <c r="EC314" s="7"/>
      <c r="ED314" s="7"/>
      <c r="EE314" s="7"/>
      <c r="EF314" s="7"/>
      <c r="EG314" s="7"/>
      <c r="EH314" s="7"/>
      <c r="EI314" s="7"/>
      <c r="EJ314" s="7"/>
      <c r="EK314" s="7"/>
      <c r="EL314" s="7"/>
      <c r="EM314" s="7"/>
      <c r="EN314" s="7"/>
      <c r="EO314" s="7"/>
      <c r="EP314" s="7"/>
      <c r="EQ314" s="7"/>
      <c r="ER314" s="7"/>
      <c r="ES314" s="7"/>
      <c r="ET314" s="7"/>
      <c r="EU314" s="7"/>
      <c r="EV314" s="7"/>
      <c r="EW314" s="7"/>
      <c r="EX314" s="7"/>
      <c r="EY314" s="7"/>
      <c r="EZ314" s="7"/>
      <c r="FB314" s="50"/>
    </row>
    <row r="315" spans="46:158">
      <c r="AT315" s="44">
        <v>5</v>
      </c>
      <c r="AU315" s="200">
        <f t="shared" si="113"/>
        <v>1.19</v>
      </c>
      <c r="AV315" s="200">
        <v>1.19</v>
      </c>
      <c r="AW315" s="200">
        <v>1.22</v>
      </c>
      <c r="AX315" s="200">
        <v>1.24</v>
      </c>
      <c r="AY315" s="200">
        <v>2</v>
      </c>
      <c r="AZ315" s="200">
        <v>2</v>
      </c>
      <c r="BA315" s="200">
        <v>2</v>
      </c>
      <c r="BB315" s="200">
        <v>2</v>
      </c>
      <c r="BC315" s="200">
        <f t="shared" si="114"/>
        <v>2</v>
      </c>
      <c r="BD315" s="154">
        <f t="shared" ca="1" si="111"/>
        <v>2</v>
      </c>
      <c r="BF315" s="43">
        <f t="shared" ca="1" si="112"/>
        <v>2</v>
      </c>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c r="DX315" s="7"/>
      <c r="DY315" s="7"/>
      <c r="DZ315" s="7"/>
      <c r="EA315" s="7"/>
      <c r="EB315" s="7"/>
      <c r="EC315" s="7"/>
      <c r="ED315" s="7"/>
      <c r="EE315" s="7"/>
      <c r="EF315" s="7"/>
      <c r="EG315" s="7"/>
      <c r="EH315" s="7"/>
      <c r="EI315" s="7"/>
      <c r="EJ315" s="7"/>
      <c r="EK315" s="7"/>
      <c r="EL315" s="7"/>
      <c r="EM315" s="7"/>
      <c r="EN315" s="7"/>
      <c r="EO315" s="7"/>
      <c r="EP315" s="7"/>
      <c r="EQ315" s="7"/>
      <c r="ER315" s="7"/>
      <c r="ES315" s="7"/>
      <c r="ET315" s="7"/>
      <c r="EU315" s="7"/>
      <c r="EV315" s="7"/>
      <c r="EW315" s="7"/>
      <c r="EX315" s="7"/>
      <c r="EY315" s="7"/>
      <c r="EZ315" s="7"/>
      <c r="FB315" s="50"/>
    </row>
    <row r="316" spans="46:158">
      <c r="AT316" s="44">
        <v>10</v>
      </c>
      <c r="AU316" s="200">
        <f t="shared" si="113"/>
        <v>1.24</v>
      </c>
      <c r="AV316" s="200">
        <v>1.24</v>
      </c>
      <c r="AW316" s="200">
        <v>2</v>
      </c>
      <c r="AX316" s="200">
        <v>2</v>
      </c>
      <c r="AY316" s="200">
        <v>2</v>
      </c>
      <c r="AZ316" s="200">
        <v>2</v>
      </c>
      <c r="BA316" s="200">
        <v>2</v>
      </c>
      <c r="BB316" s="200">
        <v>2</v>
      </c>
      <c r="BC316" s="200">
        <f t="shared" si="114"/>
        <v>2</v>
      </c>
      <c r="BD316" s="154">
        <f t="shared" ca="1" si="111"/>
        <v>2</v>
      </c>
      <c r="BF316" s="43">
        <f t="shared" ca="1" si="112"/>
        <v>2</v>
      </c>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c r="DX316" s="7"/>
      <c r="DY316" s="7"/>
      <c r="DZ316" s="7"/>
      <c r="EA316" s="7"/>
      <c r="EB316" s="7"/>
      <c r="EC316" s="7"/>
      <c r="ED316" s="7"/>
      <c r="EE316" s="7"/>
      <c r="EF316" s="7"/>
      <c r="EG316" s="7"/>
      <c r="EH316" s="7"/>
      <c r="EI316" s="7"/>
      <c r="EJ316" s="7"/>
      <c r="EK316" s="7"/>
      <c r="EL316" s="7"/>
      <c r="EM316" s="7"/>
      <c r="EN316" s="7"/>
      <c r="EO316" s="7"/>
      <c r="EP316" s="7"/>
      <c r="EQ316" s="7"/>
      <c r="ER316" s="7"/>
      <c r="ES316" s="7"/>
      <c r="ET316" s="7"/>
      <c r="EU316" s="7"/>
      <c r="EV316" s="7"/>
      <c r="EW316" s="7"/>
      <c r="EX316" s="7"/>
      <c r="EY316" s="7"/>
      <c r="EZ316" s="7"/>
      <c r="FB316" s="50"/>
    </row>
    <row r="317" spans="46:158">
      <c r="AT317" s="44">
        <v>11</v>
      </c>
      <c r="AU317" s="200">
        <f>AU316</f>
        <v>1.24</v>
      </c>
      <c r="AV317" s="200">
        <f t="shared" ref="AV317:BC317" si="115">AV316</f>
        <v>1.24</v>
      </c>
      <c r="AW317" s="200">
        <f t="shared" si="115"/>
        <v>2</v>
      </c>
      <c r="AX317" s="200">
        <f t="shared" si="115"/>
        <v>2</v>
      </c>
      <c r="AY317" s="200">
        <f t="shared" si="115"/>
        <v>2</v>
      </c>
      <c r="AZ317" s="200">
        <f t="shared" si="115"/>
        <v>2</v>
      </c>
      <c r="BA317" s="200">
        <f t="shared" si="115"/>
        <v>2</v>
      </c>
      <c r="BB317" s="200">
        <f t="shared" si="115"/>
        <v>2</v>
      </c>
      <c r="BC317" s="200">
        <f t="shared" si="115"/>
        <v>2</v>
      </c>
      <c r="BD317" s="154">
        <f t="shared" ca="1" si="111"/>
        <v>2</v>
      </c>
      <c r="BF317" s="43">
        <f t="shared" ca="1" si="112"/>
        <v>2</v>
      </c>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c r="DX317" s="7"/>
      <c r="DY317" s="7"/>
      <c r="DZ317" s="7"/>
      <c r="EA317" s="7"/>
      <c r="EB317" s="7"/>
      <c r="EC317" s="7"/>
      <c r="ED317" s="7"/>
      <c r="EE317" s="7"/>
      <c r="EF317" s="7"/>
      <c r="EG317" s="7"/>
      <c r="EH317" s="7"/>
      <c r="EI317" s="7"/>
      <c r="EJ317" s="7"/>
      <c r="EK317" s="7"/>
      <c r="EL317" s="7"/>
      <c r="EM317" s="7"/>
      <c r="EN317" s="7"/>
      <c r="EO317" s="7"/>
      <c r="EP317" s="7"/>
      <c r="EQ317" s="7"/>
      <c r="ER317" s="7"/>
      <c r="ES317" s="7"/>
      <c r="ET317" s="7"/>
      <c r="EU317" s="7"/>
      <c r="EV317" s="7"/>
      <c r="EW317" s="7"/>
      <c r="EX317" s="7"/>
      <c r="EY317" s="7"/>
      <c r="EZ317" s="7"/>
      <c r="FB317" s="50"/>
    </row>
    <row r="318" spans="46:158">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c r="DX318" s="7"/>
      <c r="DY318" s="7"/>
      <c r="DZ318" s="7"/>
      <c r="EA318" s="7"/>
      <c r="EB318" s="7"/>
      <c r="EC318" s="7"/>
      <c r="ED318" s="7"/>
      <c r="EE318" s="7"/>
      <c r="EF318" s="7"/>
      <c r="EG318" s="7"/>
      <c r="EH318" s="7"/>
      <c r="EI318" s="7"/>
      <c r="EJ318" s="7"/>
      <c r="EK318" s="7"/>
      <c r="EL318" s="7"/>
      <c r="EM318" s="7"/>
      <c r="EN318" s="7"/>
      <c r="EO318" s="7"/>
      <c r="EP318" s="7"/>
      <c r="EQ318" s="7"/>
      <c r="ER318" s="7"/>
      <c r="ES318" s="7"/>
      <c r="ET318" s="7"/>
      <c r="EU318" s="7"/>
      <c r="EV318" s="7"/>
      <c r="EW318" s="7"/>
      <c r="EX318" s="7"/>
      <c r="EY318" s="7"/>
      <c r="EZ318" s="7"/>
      <c r="FB318" s="50"/>
    </row>
    <row r="319" spans="46:158">
      <c r="AU319" s="459" t="s">
        <v>648</v>
      </c>
      <c r="AV319" s="290">
        <v>0.05</v>
      </c>
      <c r="BA319" s="431"/>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c r="DX319" s="7"/>
      <c r="DY319" s="7"/>
      <c r="DZ319" s="7"/>
      <c r="EA319" s="7"/>
      <c r="EB319" s="7"/>
      <c r="EC319" s="7"/>
      <c r="ED319" s="7"/>
      <c r="EE319" s="7"/>
      <c r="EF319" s="7"/>
      <c r="EG319" s="7"/>
      <c r="EH319" s="7"/>
      <c r="EI319" s="7"/>
      <c r="EJ319" s="7"/>
      <c r="EK319" s="7"/>
      <c r="EL319" s="7"/>
      <c r="EM319" s="7"/>
      <c r="EN319" s="7"/>
      <c r="EO319" s="7"/>
      <c r="EP319" s="7"/>
      <c r="EQ319" s="7"/>
      <c r="ER319" s="7"/>
      <c r="ES319" s="7"/>
      <c r="ET319" s="7"/>
      <c r="EU319" s="7"/>
      <c r="EV319" s="7"/>
      <c r="EW319" s="7"/>
      <c r="EX319" s="7"/>
      <c r="EY319" s="7"/>
      <c r="EZ319" s="7"/>
      <c r="FB319" s="50"/>
    </row>
    <row r="320" spans="46:158">
      <c r="AU320" s="43" t="s">
        <v>649</v>
      </c>
      <c r="BA320" s="431"/>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c r="DX320" s="7"/>
      <c r="DY320" s="7"/>
      <c r="DZ320" s="7"/>
      <c r="EA320" s="7"/>
      <c r="EB320" s="7"/>
      <c r="EC320" s="7"/>
      <c r="ED320" s="7"/>
      <c r="EE320" s="7"/>
      <c r="EF320" s="7"/>
      <c r="EG320" s="7"/>
      <c r="EH320" s="7"/>
      <c r="EI320" s="7"/>
      <c r="EJ320" s="7"/>
      <c r="EK320" s="7"/>
      <c r="EL320" s="7"/>
      <c r="EM320" s="7"/>
      <c r="EN320" s="7"/>
      <c r="EO320" s="7"/>
      <c r="EP320" s="7"/>
      <c r="EQ320" s="7"/>
      <c r="ER320" s="7"/>
      <c r="ES320" s="7"/>
      <c r="ET320" s="7"/>
      <c r="EU320" s="7"/>
      <c r="EV320" s="7"/>
      <c r="EW320" s="7"/>
      <c r="EX320" s="7"/>
      <c r="EY320" s="7"/>
      <c r="EZ320" s="7"/>
      <c r="FB320" s="50"/>
    </row>
    <row r="321" spans="46:158">
      <c r="AT321" s="338" t="s">
        <v>227</v>
      </c>
      <c r="AU321" s="460">
        <v>0.01</v>
      </c>
      <c r="AV321" s="460">
        <v>10</v>
      </c>
      <c r="AW321" s="460">
        <v>20</v>
      </c>
      <c r="AX321" s="460">
        <v>30</v>
      </c>
      <c r="AY321" s="460">
        <v>40</v>
      </c>
      <c r="AZ321" s="460">
        <v>60</v>
      </c>
      <c r="BA321" s="460">
        <v>100</v>
      </c>
      <c r="BB321" s="460">
        <v>200</v>
      </c>
      <c r="BC321" s="460">
        <v>201</v>
      </c>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c r="DX321" s="7"/>
      <c r="DY321" s="7"/>
      <c r="DZ321" s="7"/>
      <c r="EA321" s="7"/>
      <c r="EB321" s="7"/>
      <c r="EC321" s="7"/>
      <c r="ED321" s="7"/>
      <c r="EE321" s="7"/>
      <c r="EF321" s="7"/>
      <c r="EG321" s="7"/>
      <c r="EH321" s="7"/>
      <c r="EI321" s="7"/>
      <c r="EJ321" s="7"/>
      <c r="EK321" s="7"/>
      <c r="EL321" s="7"/>
      <c r="EM321" s="7"/>
      <c r="EN321" s="7"/>
      <c r="EO321" s="7"/>
      <c r="EP321" s="7"/>
      <c r="EQ321" s="7"/>
      <c r="ER321" s="7"/>
      <c r="ES321" s="7"/>
      <c r="ET321" s="7"/>
      <c r="EU321" s="7"/>
      <c r="EV321" s="7"/>
      <c r="EW321" s="7"/>
      <c r="EX321" s="7"/>
      <c r="EY321" s="7"/>
      <c r="EZ321" s="7"/>
      <c r="FB321" s="50"/>
    </row>
    <row r="322" spans="46:158">
      <c r="AT322" s="44">
        <v>0.01</v>
      </c>
      <c r="AU322" s="200">
        <f>AV322</f>
        <v>1.04</v>
      </c>
      <c r="AV322" s="200">
        <f>AV323</f>
        <v>1.04</v>
      </c>
      <c r="AW322" s="200">
        <f t="shared" ref="AW322:BB322" si="116">AW323</f>
        <v>1.02</v>
      </c>
      <c r="AX322" s="200">
        <f t="shared" si="116"/>
        <v>1.02</v>
      </c>
      <c r="AY322" s="200">
        <f t="shared" si="116"/>
        <v>1.02</v>
      </c>
      <c r="AZ322" s="200">
        <f t="shared" si="116"/>
        <v>1.03</v>
      </c>
      <c r="BA322" s="200">
        <f t="shared" si="116"/>
        <v>1.04</v>
      </c>
      <c r="BB322" s="200">
        <f t="shared" si="116"/>
        <v>1.07</v>
      </c>
      <c r="BC322" s="200">
        <f>BB322</f>
        <v>1.07</v>
      </c>
      <c r="BD322" s="154">
        <f t="shared" ref="BD322:BD328" ca="1" si="117">FORECAST(82,OFFSET($AU322,0,MATCH(82,$AU$321:$BB$321,1)-1,1,2),OFFSET($AU$321,0,MATCH(82,$AU$321:$BB$321,1)-1,1,2))</f>
        <v>1.0355000000000001</v>
      </c>
      <c r="BF322" s="43">
        <f t="shared" ref="BF322:BF328" ca="1" si="118">FORECAST($AJ$33,OFFSET($AU322,0,MATCH($AJ$33,$AU$321:$BB$321,1)-1,1,2),OFFSET($AU$321,0,MATCH($AJ$33,$AU$321:$BB$321,1)-1,1,2))</f>
        <v>1.0350000000000001</v>
      </c>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c r="DX322" s="7"/>
      <c r="DY322" s="7"/>
      <c r="DZ322" s="7"/>
      <c r="EA322" s="7"/>
      <c r="EB322" s="7"/>
      <c r="EC322" s="7"/>
      <c r="ED322" s="7"/>
      <c r="EE322" s="7"/>
      <c r="EF322" s="7"/>
      <c r="EG322" s="7"/>
      <c r="EH322" s="7"/>
      <c r="EI322" s="7"/>
      <c r="EJ322" s="7"/>
      <c r="EK322" s="7"/>
      <c r="EL322" s="7"/>
      <c r="EM322" s="7"/>
      <c r="EN322" s="7"/>
      <c r="EO322" s="7"/>
      <c r="EP322" s="7"/>
      <c r="EQ322" s="7"/>
      <c r="ER322" s="7"/>
      <c r="ES322" s="7"/>
      <c r="ET322" s="7"/>
      <c r="EU322" s="7"/>
      <c r="EV322" s="7"/>
      <c r="EW322" s="7"/>
      <c r="EX322" s="7"/>
      <c r="EY322" s="7"/>
      <c r="EZ322" s="7"/>
      <c r="FB322" s="50"/>
    </row>
    <row r="323" spans="46:158">
      <c r="AT323" s="44">
        <v>0.5</v>
      </c>
      <c r="AU323" s="200">
        <f t="shared" ref="AU323:AU327" si="119">AV323</f>
        <v>1.04</v>
      </c>
      <c r="AV323" s="200">
        <v>1.04</v>
      </c>
      <c r="AW323" s="200">
        <v>1.02</v>
      </c>
      <c r="AX323" s="200">
        <v>1.02</v>
      </c>
      <c r="AY323" s="200">
        <v>1.02</v>
      </c>
      <c r="AZ323" s="200">
        <v>1.03</v>
      </c>
      <c r="BA323" s="200">
        <v>1.04</v>
      </c>
      <c r="BB323" s="200">
        <v>1.07</v>
      </c>
      <c r="BC323" s="200">
        <f t="shared" ref="BC323:BC327" si="120">BB323</f>
        <v>1.07</v>
      </c>
      <c r="BD323" s="154">
        <f t="shared" ca="1" si="117"/>
        <v>1.0355000000000001</v>
      </c>
      <c r="BF323" s="43">
        <f t="shared" ca="1" si="118"/>
        <v>1.0350000000000001</v>
      </c>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c r="DX323" s="7"/>
      <c r="DY323" s="7"/>
      <c r="DZ323" s="7"/>
      <c r="EA323" s="7"/>
      <c r="EB323" s="7"/>
      <c r="EC323" s="7"/>
      <c r="ED323" s="7"/>
      <c r="EE323" s="7"/>
      <c r="EF323" s="7"/>
      <c r="EG323" s="7"/>
      <c r="EH323" s="7"/>
      <c r="EI323" s="7"/>
      <c r="EJ323" s="7"/>
      <c r="EK323" s="7"/>
      <c r="EL323" s="7"/>
      <c r="EM323" s="7"/>
      <c r="EN323" s="7"/>
      <c r="EO323" s="7"/>
      <c r="EP323" s="7"/>
      <c r="EQ323" s="7"/>
      <c r="ER323" s="7"/>
      <c r="ES323" s="7"/>
      <c r="ET323" s="7"/>
      <c r="EU323" s="7"/>
      <c r="EV323" s="7"/>
      <c r="EW323" s="7"/>
      <c r="EX323" s="7"/>
      <c r="EY323" s="7"/>
      <c r="EZ323" s="7"/>
      <c r="FB323" s="50"/>
    </row>
    <row r="324" spans="46:158">
      <c r="AT324" s="44">
        <v>1</v>
      </c>
      <c r="AU324" s="200">
        <f t="shared" si="119"/>
        <v>1.06</v>
      </c>
      <c r="AV324" s="200">
        <v>1.06</v>
      </c>
      <c r="AW324" s="200">
        <v>1.04</v>
      </c>
      <c r="AX324" s="200">
        <v>1.04</v>
      </c>
      <c r="AY324" s="200">
        <v>1.04</v>
      </c>
      <c r="AZ324" s="200">
        <v>1.05</v>
      </c>
      <c r="BA324" s="200">
        <v>1.07</v>
      </c>
      <c r="BB324" s="200">
        <v>1.1100000000000001</v>
      </c>
      <c r="BC324" s="200">
        <f t="shared" si="120"/>
        <v>1.1100000000000001</v>
      </c>
      <c r="BD324" s="154">
        <f t="shared" ca="1" si="117"/>
        <v>1.0609999999999999</v>
      </c>
      <c r="BF324" s="43">
        <f t="shared" ca="1" si="118"/>
        <v>1.06</v>
      </c>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c r="DX324" s="7"/>
      <c r="DY324" s="7"/>
      <c r="DZ324" s="7"/>
      <c r="EA324" s="7"/>
      <c r="EB324" s="7"/>
      <c r="EC324" s="7"/>
      <c r="ED324" s="7"/>
      <c r="EE324" s="7"/>
      <c r="EF324" s="7"/>
      <c r="EG324" s="7"/>
      <c r="EH324" s="7"/>
      <c r="EI324" s="7"/>
      <c r="EJ324" s="7"/>
      <c r="EK324" s="7"/>
      <c r="EL324" s="7"/>
      <c r="EM324" s="7"/>
      <c r="EN324" s="7"/>
      <c r="EO324" s="7"/>
      <c r="EP324" s="7"/>
      <c r="EQ324" s="7"/>
      <c r="ER324" s="7"/>
      <c r="ES324" s="7"/>
      <c r="ET324" s="7"/>
      <c r="EU324" s="7"/>
      <c r="EV324" s="7"/>
      <c r="EW324" s="7"/>
      <c r="EX324" s="7"/>
      <c r="EY324" s="7"/>
      <c r="EZ324" s="7"/>
      <c r="FB324" s="50"/>
    </row>
    <row r="325" spans="46:158">
      <c r="AT325" s="44">
        <v>2</v>
      </c>
      <c r="AU325" s="200">
        <f t="shared" si="119"/>
        <v>1.08</v>
      </c>
      <c r="AV325" s="200">
        <v>1.08</v>
      </c>
      <c r="AW325" s="200">
        <v>1.08</v>
      </c>
      <c r="AX325" s="200">
        <v>1.08</v>
      </c>
      <c r="AY325" s="200">
        <v>1.08</v>
      </c>
      <c r="AZ325" s="200">
        <v>1.0900000000000001</v>
      </c>
      <c r="BA325" s="200">
        <v>1.1200000000000001</v>
      </c>
      <c r="BB325" s="200">
        <v>1.17</v>
      </c>
      <c r="BC325" s="200">
        <f t="shared" si="120"/>
        <v>1.17</v>
      </c>
      <c r="BD325" s="154">
        <f t="shared" ca="1" si="117"/>
        <v>1.1065</v>
      </c>
      <c r="BF325" s="43">
        <f t="shared" ca="1" si="118"/>
        <v>1.105</v>
      </c>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c r="DX325" s="7"/>
      <c r="DY325" s="7"/>
      <c r="DZ325" s="7"/>
      <c r="EA325" s="7"/>
      <c r="EB325" s="7"/>
      <c r="EC325" s="7"/>
      <c r="ED325" s="7"/>
      <c r="EE325" s="7"/>
      <c r="EF325" s="7"/>
      <c r="EG325" s="7"/>
      <c r="EH325" s="7"/>
      <c r="EI325" s="7"/>
      <c r="EJ325" s="7"/>
      <c r="EK325" s="7"/>
      <c r="EL325" s="7"/>
      <c r="EM325" s="7"/>
      <c r="EN325" s="7"/>
      <c r="EO325" s="7"/>
      <c r="EP325" s="7"/>
      <c r="EQ325" s="7"/>
      <c r="ER325" s="7"/>
      <c r="ES325" s="7"/>
      <c r="ET325" s="7"/>
      <c r="EU325" s="7"/>
      <c r="EV325" s="7"/>
      <c r="EW325" s="7"/>
      <c r="EX325" s="7"/>
      <c r="EY325" s="7"/>
      <c r="EZ325" s="7"/>
      <c r="FB325" s="50"/>
    </row>
    <row r="326" spans="46:158">
      <c r="AT326" s="44">
        <v>5</v>
      </c>
      <c r="AU326" s="200">
        <f t="shared" si="119"/>
        <v>1.1200000000000001</v>
      </c>
      <c r="AV326" s="200">
        <v>1.1200000000000001</v>
      </c>
      <c r="AW326" s="200">
        <v>1.1299999999999999</v>
      </c>
      <c r="AX326" s="200">
        <v>1.1299999999999999</v>
      </c>
      <c r="AY326" s="200">
        <v>1.1399999999999999</v>
      </c>
      <c r="AZ326" s="200">
        <v>1.1599999999999999</v>
      </c>
      <c r="BA326" s="200">
        <v>1.19</v>
      </c>
      <c r="BB326" s="200">
        <v>2</v>
      </c>
      <c r="BC326" s="200">
        <f t="shared" si="120"/>
        <v>2</v>
      </c>
      <c r="BD326" s="154">
        <f t="shared" ca="1" si="117"/>
        <v>1.1764999999999999</v>
      </c>
      <c r="BF326" s="43">
        <f t="shared" ca="1" si="118"/>
        <v>1.1749999999999998</v>
      </c>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c r="DX326" s="7"/>
      <c r="DY326" s="7"/>
      <c r="DZ326" s="7"/>
      <c r="EA326" s="7"/>
      <c r="EB326" s="7"/>
      <c r="EC326" s="7"/>
      <c r="ED326" s="7"/>
      <c r="EE326" s="7"/>
      <c r="EF326" s="7"/>
      <c r="EG326" s="7"/>
      <c r="EH326" s="7"/>
      <c r="EI326" s="7"/>
      <c r="EJ326" s="7"/>
      <c r="EK326" s="7"/>
      <c r="EL326" s="7"/>
      <c r="EM326" s="7"/>
      <c r="EN326" s="7"/>
      <c r="EO326" s="7"/>
      <c r="EP326" s="7"/>
      <c r="EQ326" s="7"/>
      <c r="ER326" s="7"/>
      <c r="ES326" s="7"/>
      <c r="ET326" s="7"/>
      <c r="EU326" s="7"/>
      <c r="EV326" s="7"/>
      <c r="EW326" s="7"/>
      <c r="EX326" s="7"/>
      <c r="EY326" s="7"/>
      <c r="EZ326" s="7"/>
      <c r="FB326" s="50"/>
    </row>
    <row r="327" spans="46:158">
      <c r="AT327" s="44">
        <v>10</v>
      </c>
      <c r="AU327" s="200">
        <f t="shared" si="119"/>
        <v>1.1499999999999999</v>
      </c>
      <c r="AV327" s="200">
        <v>1.1499999999999999</v>
      </c>
      <c r="AW327" s="200">
        <v>1.17</v>
      </c>
      <c r="AX327" s="200">
        <v>1.18</v>
      </c>
      <c r="AY327" s="200">
        <v>1.19</v>
      </c>
      <c r="AZ327" s="200">
        <v>1.21</v>
      </c>
      <c r="BA327" s="200">
        <v>1.24</v>
      </c>
      <c r="BB327" s="200">
        <v>2</v>
      </c>
      <c r="BC327" s="200">
        <f t="shared" si="120"/>
        <v>2</v>
      </c>
      <c r="BD327" s="154">
        <f t="shared" ca="1" si="117"/>
        <v>1.2265000000000001</v>
      </c>
      <c r="BF327" s="43">
        <f t="shared" ca="1" si="118"/>
        <v>1.2250000000000001</v>
      </c>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c r="CG327" s="7"/>
      <c r="CH327" s="7"/>
      <c r="CI327" s="7"/>
      <c r="CJ327" s="7"/>
      <c r="CK327" s="7"/>
      <c r="CL327" s="7"/>
      <c r="CM327" s="7"/>
      <c r="CN327" s="7"/>
      <c r="CO327" s="7"/>
      <c r="CP327" s="7"/>
      <c r="CQ327" s="7"/>
      <c r="CR327" s="7"/>
      <c r="CS327" s="7"/>
      <c r="CT327" s="7"/>
      <c r="CU327" s="7"/>
      <c r="CV327" s="7"/>
      <c r="CW327" s="7"/>
      <c r="CX327" s="7"/>
      <c r="CY327" s="7"/>
      <c r="CZ327" s="7"/>
      <c r="DA327" s="7"/>
      <c r="DB327" s="7"/>
      <c r="DC327" s="7"/>
      <c r="DD327" s="7"/>
      <c r="DE327" s="7"/>
      <c r="DF327" s="7"/>
      <c r="DG327" s="7"/>
      <c r="DH327" s="7"/>
      <c r="DI327" s="7"/>
      <c r="DJ327" s="7"/>
      <c r="DK327" s="7"/>
      <c r="DL327" s="7"/>
      <c r="DM327" s="7"/>
      <c r="DN327" s="7"/>
      <c r="DO327" s="7"/>
      <c r="DP327" s="7"/>
      <c r="DQ327" s="7"/>
      <c r="DR327" s="7"/>
      <c r="DS327" s="7"/>
      <c r="DT327" s="7"/>
      <c r="DU327" s="7"/>
      <c r="DV327" s="7"/>
      <c r="DW327" s="7"/>
      <c r="DX327" s="7"/>
      <c r="DY327" s="7"/>
      <c r="DZ327" s="7"/>
      <c r="EA327" s="7"/>
      <c r="EB327" s="7"/>
      <c r="EC327" s="7"/>
      <c r="ED327" s="7"/>
      <c r="EE327" s="7"/>
      <c r="EF327" s="7"/>
      <c r="EG327" s="7"/>
      <c r="EH327" s="7"/>
      <c r="EI327" s="7"/>
      <c r="EJ327" s="7"/>
      <c r="EK327" s="7"/>
      <c r="EL327" s="7"/>
      <c r="EM327" s="7"/>
      <c r="EN327" s="7"/>
      <c r="EO327" s="7"/>
      <c r="EP327" s="7"/>
      <c r="EQ327" s="7"/>
      <c r="ER327" s="7"/>
      <c r="ES327" s="7"/>
      <c r="ET327" s="7"/>
      <c r="EU327" s="7"/>
      <c r="EV327" s="7"/>
      <c r="EW327" s="7"/>
      <c r="EX327" s="7"/>
      <c r="EY327" s="7"/>
      <c r="EZ327" s="7"/>
      <c r="FB327" s="50"/>
    </row>
    <row r="328" spans="46:158">
      <c r="AT328" s="44">
        <v>11</v>
      </c>
      <c r="AU328" s="200">
        <f>AU327</f>
        <v>1.1499999999999999</v>
      </c>
      <c r="AV328" s="200">
        <f t="shared" ref="AV328" si="121">AV327</f>
        <v>1.1499999999999999</v>
      </c>
      <c r="AW328" s="200">
        <f t="shared" ref="AW328" si="122">AW327</f>
        <v>1.17</v>
      </c>
      <c r="AX328" s="200">
        <f t="shared" ref="AX328" si="123">AX327</f>
        <v>1.18</v>
      </c>
      <c r="AY328" s="200">
        <f t="shared" ref="AY328" si="124">AY327</f>
        <v>1.19</v>
      </c>
      <c r="AZ328" s="200">
        <f t="shared" ref="AZ328" si="125">AZ327</f>
        <v>1.21</v>
      </c>
      <c r="BA328" s="200">
        <f t="shared" ref="BA328" si="126">BA327</f>
        <v>1.24</v>
      </c>
      <c r="BB328" s="200">
        <f t="shared" ref="BB328" si="127">BB327</f>
        <v>2</v>
      </c>
      <c r="BC328" s="200">
        <f t="shared" ref="BC328" si="128">BC327</f>
        <v>2</v>
      </c>
      <c r="BD328" s="154">
        <f t="shared" ca="1" si="117"/>
        <v>1.2265000000000001</v>
      </c>
      <c r="BF328" s="43">
        <f t="shared" ca="1" si="118"/>
        <v>1.2250000000000001</v>
      </c>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c r="CG328" s="7"/>
      <c r="CH328" s="7"/>
      <c r="CI328" s="7"/>
      <c r="CJ328" s="7"/>
      <c r="CK328" s="7"/>
      <c r="CL328" s="7"/>
      <c r="CM328" s="7"/>
      <c r="CN328" s="7"/>
      <c r="CO328" s="7"/>
      <c r="CP328" s="7"/>
      <c r="CQ328" s="7"/>
      <c r="CR328" s="7"/>
      <c r="CS328" s="7"/>
      <c r="CT328" s="7"/>
      <c r="CU328" s="7"/>
      <c r="CV328" s="7"/>
      <c r="CW328" s="7"/>
      <c r="CX328" s="7"/>
      <c r="CY328" s="7"/>
      <c r="CZ328" s="7"/>
      <c r="DA328" s="7"/>
      <c r="DB328" s="7"/>
      <c r="DC328" s="7"/>
      <c r="DD328" s="7"/>
      <c r="DE328" s="7"/>
      <c r="DF328" s="7"/>
      <c r="DG328" s="7"/>
      <c r="DH328" s="7"/>
      <c r="DI328" s="7"/>
      <c r="DJ328" s="7"/>
      <c r="DK328" s="7"/>
      <c r="DL328" s="7"/>
      <c r="DM328" s="7"/>
      <c r="DN328" s="7"/>
      <c r="DO328" s="7"/>
      <c r="DP328" s="7"/>
      <c r="DQ328" s="7"/>
      <c r="DR328" s="7"/>
      <c r="DS328" s="7"/>
      <c r="DT328" s="7"/>
      <c r="DU328" s="7"/>
      <c r="DV328" s="7"/>
      <c r="DW328" s="7"/>
      <c r="DX328" s="7"/>
      <c r="DY328" s="7"/>
      <c r="DZ328" s="7"/>
      <c r="EA328" s="7"/>
      <c r="EB328" s="7"/>
      <c r="EC328" s="7"/>
      <c r="ED328" s="7"/>
      <c r="EE328" s="7"/>
      <c r="EF328" s="7"/>
      <c r="EG328" s="7"/>
      <c r="EH328" s="7"/>
      <c r="EI328" s="7"/>
      <c r="EJ328" s="7"/>
      <c r="EK328" s="7"/>
      <c r="EL328" s="7"/>
      <c r="EM328" s="7"/>
      <c r="EN328" s="7"/>
      <c r="EO328" s="7"/>
      <c r="EP328" s="7"/>
      <c r="EQ328" s="7"/>
      <c r="ER328" s="7"/>
      <c r="ES328" s="7"/>
      <c r="ET328" s="7"/>
      <c r="EU328" s="7"/>
      <c r="EV328" s="7"/>
      <c r="EW328" s="7"/>
      <c r="EX328" s="7"/>
      <c r="EY328" s="7"/>
      <c r="EZ328" s="7"/>
      <c r="FB328" s="50"/>
    </row>
    <row r="329" spans="46:158">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c r="DX329" s="7"/>
      <c r="DY329" s="7"/>
      <c r="DZ329" s="7"/>
      <c r="EA329" s="7"/>
      <c r="EB329" s="7"/>
      <c r="EC329" s="7"/>
      <c r="ED329" s="7"/>
      <c r="EE329" s="7"/>
      <c r="EF329" s="7"/>
      <c r="EG329" s="7"/>
      <c r="EH329" s="7"/>
      <c r="EI329" s="7"/>
      <c r="EJ329" s="7"/>
      <c r="EK329" s="7"/>
      <c r="EL329" s="7"/>
      <c r="EM329" s="7"/>
      <c r="EN329" s="7"/>
      <c r="EO329" s="7"/>
      <c r="EP329" s="7"/>
      <c r="EQ329" s="7"/>
      <c r="ER329" s="7"/>
      <c r="ES329" s="7"/>
      <c r="ET329" s="7"/>
      <c r="EU329" s="7"/>
      <c r="EV329" s="7"/>
      <c r="EW329" s="7"/>
      <c r="EX329" s="7"/>
      <c r="EY329" s="7"/>
      <c r="EZ329" s="7"/>
      <c r="FB329" s="50"/>
    </row>
    <row r="330" spans="46:158">
      <c r="AU330" s="459" t="s">
        <v>648</v>
      </c>
      <c r="AV330" s="290">
        <v>0.08</v>
      </c>
      <c r="BA330" s="431"/>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c r="DX330" s="7"/>
      <c r="DY330" s="7"/>
      <c r="DZ330" s="7"/>
      <c r="EA330" s="7"/>
      <c r="EB330" s="7"/>
      <c r="EC330" s="7"/>
      <c r="ED330" s="7"/>
      <c r="EE330" s="7"/>
      <c r="EF330" s="7"/>
      <c r="EG330" s="7"/>
      <c r="EH330" s="7"/>
      <c r="EI330" s="7"/>
      <c r="EJ330" s="7"/>
      <c r="EK330" s="7"/>
      <c r="EL330" s="7"/>
      <c r="EM330" s="7"/>
      <c r="EN330" s="7"/>
      <c r="EO330" s="7"/>
      <c r="EP330" s="7"/>
      <c r="EQ330" s="7"/>
      <c r="ER330" s="7"/>
      <c r="ES330" s="7"/>
      <c r="ET330" s="7"/>
      <c r="EU330" s="7"/>
      <c r="EV330" s="7"/>
      <c r="EW330" s="7"/>
      <c r="EX330" s="7"/>
      <c r="EY330" s="7"/>
      <c r="EZ330" s="7"/>
      <c r="FB330" s="50"/>
    </row>
    <row r="331" spans="46:158">
      <c r="AU331" s="43" t="s">
        <v>649</v>
      </c>
      <c r="BA331" s="431"/>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c r="DX331" s="7"/>
      <c r="DY331" s="7"/>
      <c r="DZ331" s="7"/>
      <c r="EA331" s="7"/>
      <c r="EB331" s="7"/>
      <c r="EC331" s="7"/>
      <c r="ED331" s="7"/>
      <c r="EE331" s="7"/>
      <c r="EF331" s="7"/>
      <c r="EG331" s="7"/>
      <c r="EH331" s="7"/>
      <c r="EI331" s="7"/>
      <c r="EJ331" s="7"/>
      <c r="EK331" s="7"/>
      <c r="EL331" s="7"/>
      <c r="EM331" s="7"/>
      <c r="EN331" s="7"/>
      <c r="EO331" s="7"/>
      <c r="EP331" s="7"/>
      <c r="EQ331" s="7"/>
      <c r="ER331" s="7"/>
      <c r="ES331" s="7"/>
      <c r="ET331" s="7"/>
      <c r="EU331" s="7"/>
      <c r="EV331" s="7"/>
      <c r="EW331" s="7"/>
      <c r="EX331" s="7"/>
      <c r="EY331" s="7"/>
      <c r="EZ331" s="7"/>
      <c r="FB331" s="50"/>
    </row>
    <row r="332" spans="46:158">
      <c r="AT332" s="338" t="s">
        <v>227</v>
      </c>
      <c r="AU332" s="460">
        <v>0.01</v>
      </c>
      <c r="AV332" s="460">
        <v>10</v>
      </c>
      <c r="AW332" s="460">
        <v>20</v>
      </c>
      <c r="AX332" s="460">
        <v>30</v>
      </c>
      <c r="AY332" s="460">
        <v>40</v>
      </c>
      <c r="AZ332" s="460">
        <v>60</v>
      </c>
      <c r="BA332" s="460">
        <v>100</v>
      </c>
      <c r="BB332" s="460">
        <v>200</v>
      </c>
      <c r="BC332" s="460">
        <v>201</v>
      </c>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c r="DX332" s="7"/>
      <c r="DY332" s="7"/>
      <c r="DZ332" s="7"/>
      <c r="EA332" s="7"/>
      <c r="EB332" s="7"/>
      <c r="EC332" s="7"/>
      <c r="ED332" s="7"/>
      <c r="EE332" s="7"/>
      <c r="EF332" s="7"/>
      <c r="EG332" s="7"/>
      <c r="EH332" s="7"/>
      <c r="EI332" s="7"/>
      <c r="EJ332" s="7"/>
      <c r="EK332" s="7"/>
      <c r="EL332" s="7"/>
      <c r="EM332" s="7"/>
      <c r="EN332" s="7"/>
      <c r="EO332" s="7"/>
      <c r="EP332" s="7"/>
      <c r="EQ332" s="7"/>
      <c r="ER332" s="7"/>
      <c r="ES332" s="7"/>
      <c r="ET332" s="7"/>
      <c r="EU332" s="7"/>
      <c r="EV332" s="7"/>
      <c r="EW332" s="7"/>
      <c r="EX332" s="7"/>
      <c r="EY332" s="7"/>
      <c r="EZ332" s="7"/>
      <c r="FB332" s="50"/>
    </row>
    <row r="333" spans="46:158">
      <c r="AT333" s="44">
        <v>0.01</v>
      </c>
      <c r="AU333" s="461">
        <f>AV333</f>
        <v>1.042</v>
      </c>
      <c r="AV333" s="461">
        <f>AV334</f>
        <v>1.042</v>
      </c>
      <c r="AW333" s="461">
        <f t="shared" ref="AW333" si="129">AW334</f>
        <v>1.028</v>
      </c>
      <c r="AX333" s="461">
        <f t="shared" ref="AX333" si="130">AX334</f>
        <v>1.022</v>
      </c>
      <c r="AY333" s="461">
        <f t="shared" ref="AY333" si="131">AY334</f>
        <v>1.028</v>
      </c>
      <c r="AZ333" s="461">
        <f t="shared" ref="AZ333" si="132">AZ334</f>
        <v>1.038</v>
      </c>
      <c r="BA333" s="461">
        <f t="shared" ref="BA333" si="133">BA334</f>
        <v>1.052</v>
      </c>
      <c r="BB333" s="461">
        <f t="shared" ref="BB333" si="134">BB334</f>
        <v>1.08</v>
      </c>
      <c r="BC333" s="461">
        <f>BB333</f>
        <v>1.08</v>
      </c>
      <c r="BD333" s="154">
        <f t="shared" ref="BD333:BD338" ca="1" si="135">FORECAST(82,OFFSET($AU333,0,MATCH(82,$AU$332:$BB$332,1)-1,1,2),OFFSET($AU$332,0,MATCH(82,$AU$332:$BB$332,1)-1,1,2))</f>
        <v>1.0456999999999999</v>
      </c>
      <c r="BF333" s="43">
        <f t="shared" ref="BF333:BF338" ca="1" si="136">FORECAST($AJ$33,OFFSET($AU333,0,MATCH($AJ$33,$AU$332:$BB$332,1)-1,1,2),OFFSET($AU$332,0,MATCH($AJ$33,$AU$332:$BB$332,1)-1,1,2))</f>
        <v>1.0449999999999999</v>
      </c>
    </row>
    <row r="334" spans="46:158">
      <c r="AT334" s="44">
        <v>1</v>
      </c>
      <c r="AU334" s="461">
        <f t="shared" ref="AU334:AU337" si="137">AV334</f>
        <v>1.042</v>
      </c>
      <c r="AV334" s="461">
        <f t="shared" ref="AV334:BB337" si="138">AV324+(AV344-AV324)*($AV$330-$AV$319)/($AV$340-$AV$319)</f>
        <v>1.042</v>
      </c>
      <c r="AW334" s="461">
        <f t="shared" si="138"/>
        <v>1.028</v>
      </c>
      <c r="AX334" s="461">
        <f t="shared" si="138"/>
        <v>1.022</v>
      </c>
      <c r="AY334" s="461">
        <f t="shared" si="138"/>
        <v>1.028</v>
      </c>
      <c r="AZ334" s="461">
        <f t="shared" si="138"/>
        <v>1.038</v>
      </c>
      <c r="BA334" s="461">
        <f t="shared" si="138"/>
        <v>1.052</v>
      </c>
      <c r="BB334" s="461">
        <f t="shared" si="138"/>
        <v>1.08</v>
      </c>
      <c r="BC334" s="461">
        <f t="shared" ref="BC334:BC337" si="139">BB334</f>
        <v>1.08</v>
      </c>
      <c r="BD334" s="154">
        <f t="shared" ca="1" si="135"/>
        <v>1.0456999999999999</v>
      </c>
      <c r="BF334" s="43">
        <f t="shared" ca="1" si="136"/>
        <v>1.0449999999999999</v>
      </c>
    </row>
    <row r="335" spans="46:158">
      <c r="AT335" s="44">
        <v>2</v>
      </c>
      <c r="AU335" s="461">
        <f t="shared" si="137"/>
        <v>1.0620000000000001</v>
      </c>
      <c r="AV335" s="461">
        <f t="shared" si="138"/>
        <v>1.0620000000000001</v>
      </c>
      <c r="AW335" s="461">
        <f t="shared" si="138"/>
        <v>1.056</v>
      </c>
      <c r="AX335" s="461">
        <f t="shared" si="138"/>
        <v>1.05</v>
      </c>
      <c r="AY335" s="461">
        <f t="shared" si="138"/>
        <v>1.056</v>
      </c>
      <c r="AZ335" s="461">
        <f t="shared" si="138"/>
        <v>1.0660000000000001</v>
      </c>
      <c r="BA335" s="461">
        <f t="shared" si="138"/>
        <v>1.0840000000000001</v>
      </c>
      <c r="BB335" s="461">
        <f t="shared" si="138"/>
        <v>1.1220000000000001</v>
      </c>
      <c r="BC335" s="461">
        <f t="shared" si="139"/>
        <v>1.1220000000000001</v>
      </c>
      <c r="BD335" s="154">
        <f t="shared" ca="1" si="135"/>
        <v>1.0759000000000001</v>
      </c>
      <c r="BF335" s="43">
        <f t="shared" ca="1" si="136"/>
        <v>1.0750000000000002</v>
      </c>
    </row>
    <row r="336" spans="46:158">
      <c r="AT336" s="44">
        <v>5</v>
      </c>
      <c r="AU336" s="461">
        <f t="shared" si="137"/>
        <v>1.0900000000000001</v>
      </c>
      <c r="AV336" s="461">
        <f t="shared" si="138"/>
        <v>1.0900000000000001</v>
      </c>
      <c r="AW336" s="461">
        <f t="shared" si="138"/>
        <v>1.0880000000000001</v>
      </c>
      <c r="AX336" s="461">
        <f t="shared" si="138"/>
        <v>1.0880000000000001</v>
      </c>
      <c r="AY336" s="461">
        <f t="shared" si="138"/>
        <v>1.0920000000000001</v>
      </c>
      <c r="AZ336" s="461">
        <f t="shared" si="138"/>
        <v>1.1120000000000001</v>
      </c>
      <c r="BA336" s="461">
        <f t="shared" si="138"/>
        <v>1.1480000000000001</v>
      </c>
      <c r="BB336" s="461">
        <f t="shared" si="138"/>
        <v>1.484</v>
      </c>
      <c r="BC336" s="461">
        <f t="shared" si="139"/>
        <v>1.484</v>
      </c>
      <c r="BD336" s="154">
        <f t="shared" ca="1" si="135"/>
        <v>1.1318000000000001</v>
      </c>
      <c r="BF336" s="43">
        <f t="shared" ca="1" si="136"/>
        <v>1.1300000000000001</v>
      </c>
    </row>
    <row r="337" spans="46:58">
      <c r="AT337" s="44">
        <v>10</v>
      </c>
      <c r="AU337" s="461">
        <f t="shared" si="137"/>
        <v>1.1140000000000001</v>
      </c>
      <c r="AV337" s="461">
        <f t="shared" si="138"/>
        <v>1.1140000000000001</v>
      </c>
      <c r="AW337" s="461">
        <f t="shared" si="138"/>
        <v>1.1220000000000001</v>
      </c>
      <c r="AX337" s="461">
        <f t="shared" si="138"/>
        <v>1.1320000000000001</v>
      </c>
      <c r="AY337" s="461">
        <f t="shared" si="138"/>
        <v>1.1420000000000001</v>
      </c>
      <c r="AZ337" s="461">
        <f t="shared" si="138"/>
        <v>1.1560000000000001</v>
      </c>
      <c r="BA337" s="461">
        <f t="shared" si="138"/>
        <v>1.18</v>
      </c>
      <c r="BB337" s="461">
        <f t="shared" si="138"/>
        <v>1.514</v>
      </c>
      <c r="BC337" s="461">
        <f t="shared" si="139"/>
        <v>1.514</v>
      </c>
      <c r="BD337" s="154">
        <f t="shared" ca="1" si="135"/>
        <v>1.1692000000000002</v>
      </c>
      <c r="BF337" s="43">
        <f t="shared" ca="1" si="136"/>
        <v>1.1680000000000001</v>
      </c>
    </row>
    <row r="338" spans="46:58">
      <c r="AT338" s="44">
        <v>11</v>
      </c>
      <c r="AU338" s="461">
        <f>AU337</f>
        <v>1.1140000000000001</v>
      </c>
      <c r="AV338" s="461">
        <f t="shared" ref="AV338" si="140">AV337</f>
        <v>1.1140000000000001</v>
      </c>
      <c r="AW338" s="461">
        <f t="shared" ref="AW338" si="141">AW337</f>
        <v>1.1220000000000001</v>
      </c>
      <c r="AX338" s="461">
        <f t="shared" ref="AX338" si="142">AX337</f>
        <v>1.1320000000000001</v>
      </c>
      <c r="AY338" s="461">
        <f t="shared" ref="AY338" si="143">AY337</f>
        <v>1.1420000000000001</v>
      </c>
      <c r="AZ338" s="461">
        <f t="shared" ref="AZ338" si="144">AZ337</f>
        <v>1.1560000000000001</v>
      </c>
      <c r="BA338" s="461">
        <f t="shared" ref="BA338" si="145">BA337</f>
        <v>1.18</v>
      </c>
      <c r="BB338" s="461">
        <f t="shared" ref="BB338" si="146">BB337</f>
        <v>1.514</v>
      </c>
      <c r="BC338" s="461">
        <f t="shared" ref="BC338" si="147">BC337</f>
        <v>1.514</v>
      </c>
      <c r="BD338" s="154">
        <f t="shared" ca="1" si="135"/>
        <v>1.1692000000000002</v>
      </c>
      <c r="BF338" s="43">
        <f t="shared" ca="1" si="136"/>
        <v>1.1680000000000001</v>
      </c>
    </row>
    <row r="339" spans="46:58">
      <c r="BA339" s="431"/>
    </row>
    <row r="340" spans="46:58">
      <c r="AU340" s="459" t="s">
        <v>648</v>
      </c>
      <c r="AV340" s="290">
        <v>0.1</v>
      </c>
      <c r="BA340" s="431"/>
    </row>
    <row r="341" spans="46:58">
      <c r="AU341" s="43" t="s">
        <v>649</v>
      </c>
      <c r="BA341" s="431"/>
    </row>
    <row r="342" spans="46:58">
      <c r="AT342" s="338" t="s">
        <v>227</v>
      </c>
      <c r="AU342" s="460">
        <v>0.01</v>
      </c>
      <c r="AV342" s="460">
        <v>10</v>
      </c>
      <c r="AW342" s="460">
        <v>20</v>
      </c>
      <c r="AX342" s="460">
        <v>30</v>
      </c>
      <c r="AY342" s="460">
        <v>40</v>
      </c>
      <c r="AZ342" s="460">
        <v>60</v>
      </c>
      <c r="BA342" s="460">
        <v>100</v>
      </c>
      <c r="BB342" s="460">
        <v>200</v>
      </c>
      <c r="BC342" s="460">
        <v>201</v>
      </c>
    </row>
    <row r="343" spans="46:58">
      <c r="AT343" s="44">
        <v>0.01</v>
      </c>
      <c r="AU343" s="200">
        <f>AV343</f>
        <v>1.03</v>
      </c>
      <c r="AV343" s="200">
        <f>AV344</f>
        <v>1.03</v>
      </c>
      <c r="AW343" s="200">
        <f t="shared" ref="AW343" si="148">AW344</f>
        <v>1.02</v>
      </c>
      <c r="AX343" s="200">
        <f t="shared" ref="AX343" si="149">AX344</f>
        <v>1.01</v>
      </c>
      <c r="AY343" s="200">
        <f t="shared" ref="AY343" si="150">AY344</f>
        <v>1.02</v>
      </c>
      <c r="AZ343" s="200">
        <f t="shared" ref="AZ343" si="151">AZ344</f>
        <v>1.03</v>
      </c>
      <c r="BA343" s="200">
        <f t="shared" ref="BA343" si="152">BA344</f>
        <v>1.04</v>
      </c>
      <c r="BB343" s="200">
        <f t="shared" ref="BB343" si="153">BB344</f>
        <v>1.06</v>
      </c>
      <c r="BC343" s="200">
        <f>BB343</f>
        <v>1.06</v>
      </c>
      <c r="BD343" s="154">
        <f t="shared" ref="BD343:BD348" ca="1" si="154">FORECAST(82,OFFSET($AU343,0,MATCH(82,$AU$342:$BB$342,1)-1,1,2),OFFSET($AU$342,0,MATCH(82,$AU$342:$BB$342,1)-1,1,2))</f>
        <v>1.0355000000000001</v>
      </c>
      <c r="BF343" s="43">
        <f t="shared" ref="BF343:BF348" ca="1" si="155">FORECAST($AJ$33,OFFSET($AU343,0,MATCH($AJ$33,$AU$342:$BB$342,1)-1,1,2),OFFSET($AU$342,0,MATCH($AJ$33,$AU$342:$BB$342,1)-1,1,2))</f>
        <v>1.0350000000000001</v>
      </c>
    </row>
    <row r="344" spans="46:58">
      <c r="AT344" s="44">
        <v>1</v>
      </c>
      <c r="AU344" s="200">
        <f t="shared" ref="AU344:AU347" si="156">AV344</f>
        <v>1.03</v>
      </c>
      <c r="AV344" s="200">
        <v>1.03</v>
      </c>
      <c r="AW344" s="200">
        <v>1.02</v>
      </c>
      <c r="AX344" s="200">
        <v>1.01</v>
      </c>
      <c r="AY344" s="200">
        <v>1.02</v>
      </c>
      <c r="AZ344" s="200">
        <v>1.03</v>
      </c>
      <c r="BA344" s="200">
        <v>1.04</v>
      </c>
      <c r="BB344" s="200">
        <v>1.06</v>
      </c>
      <c r="BC344" s="200">
        <f t="shared" ref="BC344:BC347" si="157">BB344</f>
        <v>1.06</v>
      </c>
      <c r="BD344" s="154">
        <f t="shared" ca="1" si="154"/>
        <v>1.0355000000000001</v>
      </c>
      <c r="BF344" s="43">
        <f t="shared" ca="1" si="155"/>
        <v>1.0350000000000001</v>
      </c>
    </row>
    <row r="345" spans="46:58">
      <c r="AT345" s="44">
        <v>2</v>
      </c>
      <c r="AU345" s="200">
        <f t="shared" si="156"/>
        <v>1.05</v>
      </c>
      <c r="AV345" s="200">
        <v>1.05</v>
      </c>
      <c r="AW345" s="200">
        <v>1.04</v>
      </c>
      <c r="AX345" s="200">
        <v>1.03</v>
      </c>
      <c r="AY345" s="200">
        <v>1.04</v>
      </c>
      <c r="AZ345" s="200">
        <v>1.05</v>
      </c>
      <c r="BA345" s="200">
        <v>1.06</v>
      </c>
      <c r="BB345" s="200">
        <v>1.0900000000000001</v>
      </c>
      <c r="BC345" s="200">
        <f t="shared" si="157"/>
        <v>1.0900000000000001</v>
      </c>
      <c r="BD345" s="154">
        <f t="shared" ca="1" si="154"/>
        <v>1.0555000000000001</v>
      </c>
      <c r="BF345" s="43">
        <f t="shared" ca="1" si="155"/>
        <v>1.0550000000000002</v>
      </c>
    </row>
    <row r="346" spans="46:58">
      <c r="AT346" s="44">
        <v>5</v>
      </c>
      <c r="AU346" s="200">
        <f t="shared" si="156"/>
        <v>1.07</v>
      </c>
      <c r="AV346" s="200">
        <v>1.07</v>
      </c>
      <c r="AW346" s="200">
        <v>1.06</v>
      </c>
      <c r="AX346" s="200">
        <v>1.06</v>
      </c>
      <c r="AY346" s="200">
        <v>1.06</v>
      </c>
      <c r="AZ346" s="200">
        <v>1.08</v>
      </c>
      <c r="BA346" s="200">
        <v>1.1200000000000001</v>
      </c>
      <c r="BB346" s="200">
        <v>1.1399999999999999</v>
      </c>
      <c r="BC346" s="200">
        <f t="shared" si="157"/>
        <v>1.1399999999999999</v>
      </c>
      <c r="BD346" s="154">
        <f t="shared" ca="1" si="154"/>
        <v>1.1020000000000001</v>
      </c>
      <c r="BF346" s="43">
        <f t="shared" ca="1" si="155"/>
        <v>1.1000000000000001</v>
      </c>
    </row>
    <row r="347" spans="46:58">
      <c r="AT347" s="44">
        <v>10</v>
      </c>
      <c r="AU347" s="200">
        <f t="shared" si="156"/>
        <v>1.0900000000000001</v>
      </c>
      <c r="AV347" s="200">
        <v>1.0900000000000001</v>
      </c>
      <c r="AW347" s="200">
        <v>1.0900000000000001</v>
      </c>
      <c r="AX347" s="200">
        <v>1.1000000000000001</v>
      </c>
      <c r="AY347" s="200">
        <v>1.1100000000000001</v>
      </c>
      <c r="AZ347" s="200">
        <v>1.1200000000000001</v>
      </c>
      <c r="BA347" s="200">
        <v>1.1399999999999999</v>
      </c>
      <c r="BB347" s="200">
        <v>1.19</v>
      </c>
      <c r="BC347" s="200">
        <f t="shared" si="157"/>
        <v>1.19</v>
      </c>
      <c r="BD347" s="154">
        <f t="shared" ca="1" si="154"/>
        <v>1.1309999999999998</v>
      </c>
      <c r="BF347" s="43">
        <f t="shared" ca="1" si="155"/>
        <v>1.1299999999999999</v>
      </c>
    </row>
    <row r="348" spans="46:58">
      <c r="AT348" s="44">
        <v>11</v>
      </c>
      <c r="AU348" s="200">
        <f>AU347</f>
        <v>1.0900000000000001</v>
      </c>
      <c r="AV348" s="200">
        <f t="shared" ref="AV348" si="158">AV347</f>
        <v>1.0900000000000001</v>
      </c>
      <c r="AW348" s="200">
        <f t="shared" ref="AW348" si="159">AW347</f>
        <v>1.0900000000000001</v>
      </c>
      <c r="AX348" s="200">
        <f t="shared" ref="AX348" si="160">AX347</f>
        <v>1.1000000000000001</v>
      </c>
      <c r="AY348" s="200">
        <f t="shared" ref="AY348" si="161">AY347</f>
        <v>1.1100000000000001</v>
      </c>
      <c r="AZ348" s="200">
        <f t="shared" ref="AZ348" si="162">AZ347</f>
        <v>1.1200000000000001</v>
      </c>
      <c r="BA348" s="200">
        <f t="shared" ref="BA348" si="163">BA347</f>
        <v>1.1399999999999999</v>
      </c>
      <c r="BB348" s="200">
        <f t="shared" ref="BB348" si="164">BB347</f>
        <v>1.19</v>
      </c>
      <c r="BC348" s="200">
        <f t="shared" ref="BC348" si="165">BC347</f>
        <v>1.19</v>
      </c>
      <c r="BD348" s="154">
        <f t="shared" ca="1" si="154"/>
        <v>1.1309999999999998</v>
      </c>
      <c r="BF348" s="43">
        <f t="shared" ca="1" si="155"/>
        <v>1.1299999999999999</v>
      </c>
    </row>
  </sheetData>
  <sheetProtection password="CD8C" sheet="1" objects="1" scenarios="1"/>
  <mergeCells count="71">
    <mergeCell ref="AT305:AU305"/>
    <mergeCell ref="AS113:AS121"/>
    <mergeCell ref="AU246:AY246"/>
    <mergeCell ref="AU247:AY247"/>
    <mergeCell ref="AU276:AY276"/>
    <mergeCell ref="AU275:AY275"/>
    <mergeCell ref="AU218:AY218"/>
    <mergeCell ref="AU217:AY217"/>
    <mergeCell ref="G11:N11"/>
    <mergeCell ref="M15:N15"/>
    <mergeCell ref="C10:F10"/>
    <mergeCell ref="G10:N10"/>
    <mergeCell ref="C12:L12"/>
    <mergeCell ref="C13:L13"/>
    <mergeCell ref="AL25:AQ25"/>
    <mergeCell ref="P18:AA18"/>
    <mergeCell ref="P19:AA19"/>
    <mergeCell ref="P15:Y15"/>
    <mergeCell ref="AS3:AS8"/>
    <mergeCell ref="P16:Y16"/>
    <mergeCell ref="Z16:AA16"/>
    <mergeCell ref="P14:Y14"/>
    <mergeCell ref="Z14:AA14"/>
    <mergeCell ref="P22:Y22"/>
    <mergeCell ref="P23:Y23"/>
    <mergeCell ref="P24:Y24"/>
    <mergeCell ref="P25:Y25"/>
    <mergeCell ref="P9:X9"/>
    <mergeCell ref="Y9:AA9"/>
    <mergeCell ref="P21:Z21"/>
    <mergeCell ref="B1:R1"/>
    <mergeCell ref="S1:AB1"/>
    <mergeCell ref="C14:L14"/>
    <mergeCell ref="M13:N13"/>
    <mergeCell ref="M14:N14"/>
    <mergeCell ref="C8:N8"/>
    <mergeCell ref="P8:AA8"/>
    <mergeCell ref="M12:N12"/>
    <mergeCell ref="C9:F9"/>
    <mergeCell ref="P13:AA13"/>
    <mergeCell ref="P10:Y10"/>
    <mergeCell ref="P11:Y11"/>
    <mergeCell ref="Z10:AA10"/>
    <mergeCell ref="Z11:AA11"/>
    <mergeCell ref="C11:F11"/>
    <mergeCell ref="G9:N9"/>
    <mergeCell ref="Z26:AA26"/>
    <mergeCell ref="C15:L15"/>
    <mergeCell ref="Z22:AA22"/>
    <mergeCell ref="Z23:AA23"/>
    <mergeCell ref="Z24:AA24"/>
    <mergeCell ref="Z25:AA25"/>
    <mergeCell ref="P26:Y26"/>
    <mergeCell ref="C19:L19"/>
    <mergeCell ref="C20:L20"/>
    <mergeCell ref="M19:N19"/>
    <mergeCell ref="M20:N20"/>
    <mergeCell ref="C18:N18"/>
    <mergeCell ref="Z15:AA15"/>
    <mergeCell ref="C16:L16"/>
    <mergeCell ref="M16:N16"/>
    <mergeCell ref="E84:G84"/>
    <mergeCell ref="H84:V84"/>
    <mergeCell ref="W84:Y84"/>
    <mergeCell ref="C65:AA65"/>
    <mergeCell ref="E68:J68"/>
    <mergeCell ref="K68:S68"/>
    <mergeCell ref="T68:Y68"/>
    <mergeCell ref="C69:C83"/>
    <mergeCell ref="Z69:Z72"/>
    <mergeCell ref="Z73:Z83"/>
  </mergeCells>
  <dataValidations count="6">
    <dataValidation type="decimal" operator="greaterThanOrEqual" allowBlank="1" showInputMessage="1" showErrorMessage="1" error="Minimum value 2,00" sqref="M16" xr:uid="{00000000-0002-0000-0200-000000000000}">
      <formula1>2</formula1>
    </dataValidation>
    <dataValidation type="list" allowBlank="1" showInputMessage="1" showErrorMessage="1" sqref="Y9:AA9" xr:uid="{00000000-0002-0000-0200-000001000000}">
      <formula1>Site_terrain_type</formula1>
    </dataValidation>
    <dataValidation type="list" allowBlank="1" showInputMessage="1" showErrorMessage="1" sqref="G9:N9" xr:uid="{00000000-0002-0000-0200-000002000000}">
      <formula1>Structure</formula1>
    </dataValidation>
    <dataValidation type="list" allowBlank="1" showInputMessage="1" showErrorMessage="1" sqref="G10:N10" xr:uid="{00000000-0002-0000-0200-000003000000}">
      <formula1>Structural_type</formula1>
    </dataValidation>
    <dataValidation type="list" allowBlank="1" showInputMessage="1" showErrorMessage="1" sqref="G11:N11" xr:uid="{00000000-0002-0000-0200-000004000000}">
      <formula1>Type_of_surface</formula1>
    </dataValidation>
    <dataValidation type="list" allowBlank="1" showInputMessage="1" showErrorMessage="1" sqref="Z14:AA14" xr:uid="{00000000-0002-0000-0200-000005000000}">
      <formula1>$AI$24:$AI$27</formula1>
    </dataValidation>
  </dataValidations>
  <hyperlinks>
    <hyperlink ref="C61" r:id="rId1" xr:uid="{00000000-0004-0000-0200-000000000000}"/>
  </hyperlinks>
  <pageMargins left="0.74803149606299213" right="0.31496062992125984" top="0.74803149606299202" bottom="0.43307086614173229" header="0" footer="0"/>
  <pageSetup paperSize="9" scale="7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AY66"/>
  <sheetViews>
    <sheetView showGridLines="0" zoomScaleNormal="100" zoomScaleSheetLayoutView="70" workbookViewId="0">
      <selection activeCell="E5" sqref="E5:P5"/>
    </sheetView>
  </sheetViews>
  <sheetFormatPr defaultRowHeight="15" customHeight="1"/>
  <cols>
    <col min="1" max="1" width="2.5703125" style="7" customWidth="1"/>
    <col min="2" max="2" width="2" style="7" customWidth="1"/>
    <col min="3" max="3" width="6.140625" style="7" customWidth="1"/>
    <col min="4" max="27" width="4.7109375" style="7" customWidth="1"/>
    <col min="28" max="28" width="2" style="7" customWidth="1"/>
    <col min="29" max="29" width="2.5703125" style="7" customWidth="1"/>
    <col min="30" max="44" width="9.140625" style="43" hidden="1" customWidth="1"/>
    <col min="45" max="45" width="9.140625" style="7" hidden="1" customWidth="1"/>
    <col min="46" max="47" width="9.140625" style="43" hidden="1" customWidth="1"/>
    <col min="48" max="16384" width="9.140625" style="43"/>
  </cols>
  <sheetData>
    <row r="1" spans="1:47" s="136" customFormat="1" ht="15" customHeight="1">
      <c r="A1" s="133"/>
      <c r="B1" s="769" t="s">
        <v>486</v>
      </c>
      <c r="C1" s="769"/>
      <c r="D1" s="769"/>
      <c r="E1" s="769"/>
      <c r="F1" s="769"/>
      <c r="G1" s="769"/>
      <c r="H1" s="769"/>
      <c r="I1" s="769"/>
      <c r="J1" s="769"/>
      <c r="K1" s="769"/>
      <c r="L1" s="769"/>
      <c r="M1" s="769"/>
      <c r="N1" s="769"/>
      <c r="O1" s="769"/>
      <c r="P1" s="769"/>
      <c r="Q1" s="769"/>
      <c r="R1" s="769"/>
      <c r="S1" s="770" t="s">
        <v>487</v>
      </c>
      <c r="T1" s="770"/>
      <c r="U1" s="770"/>
      <c r="V1" s="770"/>
      <c r="W1" s="770"/>
      <c r="X1" s="770"/>
      <c r="Y1" s="770"/>
      <c r="Z1" s="770"/>
      <c r="AA1" s="770"/>
      <c r="AB1" s="770"/>
      <c r="AC1" s="13"/>
      <c r="AD1" s="43"/>
      <c r="AE1" s="43"/>
      <c r="AF1" s="43"/>
      <c r="AG1" s="43"/>
      <c r="AI1" s="43"/>
      <c r="AJ1" s="43"/>
      <c r="AK1" s="43"/>
      <c r="AL1" s="43"/>
      <c r="AM1" s="43"/>
      <c r="AN1" s="43"/>
      <c r="AO1" s="43"/>
      <c r="AP1" s="43"/>
      <c r="AQ1" s="43"/>
      <c r="AR1" s="43"/>
      <c r="AS1" s="7"/>
      <c r="AT1" s="43"/>
      <c r="AU1" s="43"/>
    </row>
    <row r="2" spans="1:47" s="136" customFormat="1" ht="29.25" customHeight="1">
      <c r="A2" s="133"/>
      <c r="B2" s="478"/>
      <c r="C2" s="479"/>
      <c r="D2" s="479"/>
      <c r="E2" s="610" t="s">
        <v>625</v>
      </c>
      <c r="F2" s="610"/>
      <c r="G2" s="610"/>
      <c r="H2" s="610"/>
      <c r="I2" s="610"/>
      <c r="J2" s="610"/>
      <c r="K2" s="610"/>
      <c r="L2" s="610"/>
      <c r="M2" s="610"/>
      <c r="N2" s="610"/>
      <c r="O2" s="610"/>
      <c r="P2" s="611"/>
      <c r="Q2" s="616" t="s">
        <v>670</v>
      </c>
      <c r="R2" s="617"/>
      <c r="S2" s="617"/>
      <c r="T2" s="617"/>
      <c r="U2" s="617"/>
      <c r="V2" s="617"/>
      <c r="W2" s="395"/>
      <c r="X2" s="395"/>
      <c r="Y2" s="396"/>
      <c r="Z2" s="396"/>
      <c r="AA2" s="396"/>
      <c r="AB2" s="397"/>
      <c r="AC2" s="13"/>
      <c r="AD2" s="43"/>
      <c r="AE2" s="43"/>
      <c r="AF2" s="43"/>
      <c r="AG2" s="43"/>
      <c r="AH2" s="43"/>
      <c r="AI2" s="43"/>
      <c r="AJ2" s="43"/>
      <c r="AK2" s="43"/>
      <c r="AL2" s="43"/>
      <c r="AM2" s="43"/>
      <c r="AN2" s="43"/>
      <c r="AO2" s="43"/>
      <c r="AP2" s="43"/>
      <c r="AQ2" s="43"/>
      <c r="AR2" s="43"/>
      <c r="AS2" s="7"/>
      <c r="AT2" s="43"/>
      <c r="AU2" s="43"/>
    </row>
    <row r="3" spans="1:47" s="136" customFormat="1" ht="19.5" customHeight="1">
      <c r="A3" s="133"/>
      <c r="B3" s="480"/>
      <c r="C3" s="481"/>
      <c r="D3" s="481"/>
      <c r="E3" s="612"/>
      <c r="F3" s="612"/>
      <c r="G3" s="612"/>
      <c r="H3" s="612"/>
      <c r="I3" s="612"/>
      <c r="J3" s="612"/>
      <c r="K3" s="612"/>
      <c r="L3" s="612"/>
      <c r="M3" s="612"/>
      <c r="N3" s="612"/>
      <c r="O3" s="612"/>
      <c r="P3" s="613"/>
      <c r="Q3" s="618"/>
      <c r="R3" s="619"/>
      <c r="S3" s="619"/>
      <c r="T3" s="619"/>
      <c r="U3" s="619"/>
      <c r="V3" s="619"/>
      <c r="W3" s="620" t="s">
        <v>254</v>
      </c>
      <c r="X3" s="621"/>
      <c r="Y3" s="622"/>
      <c r="Z3" s="623"/>
      <c r="AA3" s="623"/>
      <c r="AB3" s="624"/>
      <c r="AC3" s="13"/>
      <c r="AD3" s="43"/>
      <c r="AE3" s="43"/>
      <c r="AF3" s="43"/>
      <c r="AG3" s="43"/>
      <c r="AH3" s="43"/>
      <c r="AI3" s="43"/>
      <c r="AJ3" s="390" t="s">
        <v>112</v>
      </c>
      <c r="AK3" s="390" t="s">
        <v>113</v>
      </c>
      <c r="AL3" s="390" t="s">
        <v>114</v>
      </c>
      <c r="AM3" s="43"/>
      <c r="AN3" s="43"/>
      <c r="AU3" s="43"/>
    </row>
    <row r="4" spans="1:47" s="136" customFormat="1" ht="19.5" customHeight="1">
      <c r="A4" s="133"/>
      <c r="B4" s="480"/>
      <c r="C4" s="482"/>
      <c r="D4" s="482"/>
      <c r="E4" s="614"/>
      <c r="F4" s="614"/>
      <c r="G4" s="614"/>
      <c r="H4" s="614"/>
      <c r="I4" s="614"/>
      <c r="J4" s="614"/>
      <c r="K4" s="614"/>
      <c r="L4" s="614"/>
      <c r="M4" s="614"/>
      <c r="N4" s="614"/>
      <c r="O4" s="614"/>
      <c r="P4" s="615"/>
      <c r="Q4" s="620" t="s">
        <v>255</v>
      </c>
      <c r="R4" s="625"/>
      <c r="S4" s="625"/>
      <c r="T4" s="626">
        <v>22668</v>
      </c>
      <c r="U4" s="627"/>
      <c r="V4" s="628"/>
      <c r="W4" s="629" t="s">
        <v>256</v>
      </c>
      <c r="X4" s="621"/>
      <c r="Y4" s="622" t="s">
        <v>257</v>
      </c>
      <c r="Z4" s="623"/>
      <c r="AA4" s="623"/>
      <c r="AB4" s="624"/>
      <c r="AC4" s="13"/>
      <c r="AD4" s="43"/>
      <c r="AE4" s="43"/>
      <c r="AF4" s="43"/>
      <c r="AG4" s="43"/>
      <c r="AH4" s="390" t="b">
        <f>AI9&lt;M14</f>
        <v>0</v>
      </c>
      <c r="AI4" s="86" t="s">
        <v>103</v>
      </c>
      <c r="AJ4" s="393">
        <f>+AI9/5</f>
        <v>16</v>
      </c>
      <c r="AK4" s="393">
        <f>4/5*AI9</f>
        <v>64</v>
      </c>
      <c r="AL4" s="393">
        <f>+M14-AI9</f>
        <v>-30</v>
      </c>
      <c r="AM4" s="389"/>
      <c r="AN4" s="389"/>
      <c r="AU4" s="43"/>
    </row>
    <row r="5" spans="1:47" s="136" customFormat="1" ht="19.5" customHeight="1">
      <c r="A5" s="133"/>
      <c r="B5" s="17"/>
      <c r="C5" s="643" t="s">
        <v>258</v>
      </c>
      <c r="D5" s="644"/>
      <c r="E5" s="645" t="s">
        <v>671</v>
      </c>
      <c r="F5" s="646"/>
      <c r="G5" s="646"/>
      <c r="H5" s="646"/>
      <c r="I5" s="646"/>
      <c r="J5" s="646"/>
      <c r="K5" s="646"/>
      <c r="L5" s="646"/>
      <c r="M5" s="646"/>
      <c r="N5" s="646"/>
      <c r="O5" s="646"/>
      <c r="P5" s="647"/>
      <c r="Q5" s="629" t="s">
        <v>259</v>
      </c>
      <c r="R5" s="648"/>
      <c r="S5" s="625"/>
      <c r="T5" s="649" t="s">
        <v>260</v>
      </c>
      <c r="U5" s="650"/>
      <c r="V5" s="651"/>
      <c r="W5" s="629" t="s">
        <v>261</v>
      </c>
      <c r="X5" s="621"/>
      <c r="Y5" s="630">
        <f ca="1">TODAY()</f>
        <v>43686</v>
      </c>
      <c r="Z5" s="631"/>
      <c r="AA5" s="631"/>
      <c r="AB5" s="632"/>
      <c r="AC5" s="13"/>
      <c r="AD5" s="43"/>
      <c r="AE5" s="43"/>
      <c r="AF5" s="43"/>
      <c r="AG5" s="43"/>
      <c r="AH5" s="390" t="b">
        <f>AND(M14&lt;=AI9,AI9&lt;5*M14)</f>
        <v>1</v>
      </c>
      <c r="AI5" s="86" t="s">
        <v>104</v>
      </c>
      <c r="AJ5" s="393">
        <f>+AI9/5</f>
        <v>16</v>
      </c>
      <c r="AK5" s="393">
        <f>+M14-AJ5</f>
        <v>34</v>
      </c>
      <c r="AL5" s="393">
        <v>0</v>
      </c>
      <c r="AM5" s="389"/>
      <c r="AN5" s="389"/>
      <c r="AU5" s="43"/>
    </row>
    <row r="6" spans="1:47" s="136" customFormat="1" ht="17.100000000000001" customHeight="1" thickBot="1">
      <c r="A6" s="133"/>
      <c r="B6" s="119"/>
      <c r="C6" s="23"/>
      <c r="D6" s="23"/>
      <c r="E6" s="23"/>
      <c r="F6" s="23"/>
      <c r="G6" s="23"/>
      <c r="H6" s="23"/>
      <c r="I6" s="23"/>
      <c r="J6" s="23"/>
      <c r="K6" s="23"/>
      <c r="L6" s="23"/>
      <c r="M6" s="23"/>
      <c r="N6" s="23"/>
      <c r="O6" s="23"/>
      <c r="P6" s="23"/>
      <c r="Q6" s="23"/>
      <c r="R6" s="23"/>
      <c r="S6" s="23"/>
      <c r="T6" s="23"/>
      <c r="U6" s="23"/>
      <c r="V6" s="23"/>
      <c r="W6" s="23"/>
      <c r="X6" s="23"/>
      <c r="Y6" s="23"/>
      <c r="Z6" s="23"/>
      <c r="AA6" s="23"/>
      <c r="AB6" s="120"/>
      <c r="AC6" s="13"/>
      <c r="AD6" s="43"/>
      <c r="AE6" s="43"/>
      <c r="AF6" s="43"/>
      <c r="AG6" s="43"/>
      <c r="AH6" s="390" t="b">
        <f>AI9&gt;=5*M14</f>
        <v>0</v>
      </c>
      <c r="AI6" s="86" t="s">
        <v>105</v>
      </c>
      <c r="AJ6" s="393">
        <f>+M14</f>
        <v>50</v>
      </c>
      <c r="AK6" s="393">
        <v>0</v>
      </c>
      <c r="AL6" s="393">
        <v>0</v>
      </c>
      <c r="AM6" s="389"/>
      <c r="AN6" s="389"/>
      <c r="AU6" s="43"/>
    </row>
    <row r="7" spans="1:47" s="136" customFormat="1" ht="17.100000000000001" customHeight="1" thickBot="1">
      <c r="A7" s="13"/>
      <c r="B7" s="119"/>
      <c r="C7" s="23"/>
      <c r="D7" s="23"/>
      <c r="E7" s="23"/>
      <c r="F7" s="23"/>
      <c r="G7" s="23"/>
      <c r="H7" s="23"/>
      <c r="I7" s="23"/>
      <c r="J7" s="23"/>
      <c r="K7" s="23"/>
      <c r="L7" s="23"/>
      <c r="M7" s="23"/>
      <c r="N7" s="23"/>
      <c r="O7" s="23"/>
      <c r="P7" s="23"/>
      <c r="Q7" s="23"/>
      <c r="R7" s="23"/>
      <c r="S7" s="23"/>
      <c r="T7" s="23"/>
      <c r="U7" s="23"/>
      <c r="V7" s="23"/>
      <c r="W7" s="23"/>
      <c r="X7" s="23"/>
      <c r="Y7" s="23"/>
      <c r="Z7" s="23"/>
      <c r="AA7" s="23"/>
      <c r="AB7" s="120"/>
      <c r="AC7" s="13"/>
      <c r="AD7" s="43"/>
      <c r="AE7" s="43"/>
      <c r="AF7" s="43"/>
      <c r="AG7" s="43"/>
      <c r="AH7" s="43"/>
      <c r="AI7" s="200" t="s">
        <v>490</v>
      </c>
      <c r="AJ7" s="43">
        <f>VLOOKUP(TRUE,AH4:AL6,3,FALSE)</f>
        <v>16</v>
      </c>
      <c r="AK7" s="43">
        <f>VLOOKUP(TRUE,AH4:AL6,4,FALSE)</f>
        <v>34</v>
      </c>
      <c r="AL7" s="43">
        <f>VLOOKUP(TRUE,AH4:AL6,5,FALSE)</f>
        <v>0</v>
      </c>
      <c r="AM7" s="137">
        <f>IF(AL7&lt;&gt;0,3,IF(AK7&lt;&gt;0,2,1))</f>
        <v>2</v>
      </c>
      <c r="AN7" s="389"/>
      <c r="AO7" s="759" t="s">
        <v>504</v>
      </c>
      <c r="AP7" s="760"/>
      <c r="AQ7" s="760"/>
      <c r="AR7" s="760"/>
      <c r="AS7" s="760"/>
      <c r="AT7" s="761"/>
      <c r="AU7" s="43"/>
    </row>
    <row r="8" spans="1:47" s="136" customFormat="1" ht="17.100000000000001" customHeight="1">
      <c r="A8" s="13"/>
      <c r="B8" s="119"/>
      <c r="C8" s="573" t="s">
        <v>348</v>
      </c>
      <c r="D8" s="574"/>
      <c r="E8" s="574"/>
      <c r="F8" s="574"/>
      <c r="G8" s="574"/>
      <c r="H8" s="574"/>
      <c r="I8" s="574"/>
      <c r="J8" s="574"/>
      <c r="K8" s="574"/>
      <c r="L8" s="574"/>
      <c r="M8" s="574"/>
      <c r="N8" s="575"/>
      <c r="O8" s="23"/>
      <c r="P8" s="573" t="s">
        <v>349</v>
      </c>
      <c r="Q8" s="574"/>
      <c r="R8" s="574"/>
      <c r="S8" s="574"/>
      <c r="T8" s="574"/>
      <c r="U8" s="574"/>
      <c r="V8" s="574"/>
      <c r="W8" s="574"/>
      <c r="X8" s="574"/>
      <c r="Y8" s="574"/>
      <c r="Z8" s="574"/>
      <c r="AA8" s="575"/>
      <c r="AB8" s="120"/>
      <c r="AC8" s="13"/>
      <c r="AD8" s="13" t="s">
        <v>579</v>
      </c>
      <c r="AE8" s="398" t="str">
        <f>G9</f>
        <v>Vertical walls</v>
      </c>
      <c r="AF8" s="43" t="s">
        <v>554</v>
      </c>
      <c r="AG8" s="43"/>
      <c r="AJ8" s="43"/>
      <c r="AK8" s="43"/>
      <c r="AL8" s="43"/>
      <c r="AM8" s="389"/>
      <c r="AN8" s="389"/>
      <c r="AO8" s="390"/>
      <c r="AP8" s="390" t="s">
        <v>76</v>
      </c>
      <c r="AQ8" s="390" t="s">
        <v>77</v>
      </c>
      <c r="AR8" s="390" t="s">
        <v>80</v>
      </c>
      <c r="AS8" s="390" t="s">
        <v>98</v>
      </c>
      <c r="AT8" s="390" t="s">
        <v>109</v>
      </c>
      <c r="AU8" s="43"/>
    </row>
    <row r="9" spans="1:47" s="136" customFormat="1" ht="17.100000000000001" customHeight="1">
      <c r="A9" s="13"/>
      <c r="B9" s="119"/>
      <c r="C9" s="690" t="s">
        <v>370</v>
      </c>
      <c r="D9" s="691"/>
      <c r="E9" s="691"/>
      <c r="F9" s="691"/>
      <c r="G9" s="637" t="s">
        <v>372</v>
      </c>
      <c r="H9" s="637"/>
      <c r="I9" s="637"/>
      <c r="J9" s="637"/>
      <c r="K9" s="637"/>
      <c r="L9" s="637"/>
      <c r="M9" s="637"/>
      <c r="N9" s="638"/>
      <c r="O9" s="23"/>
      <c r="P9" s="702" t="s">
        <v>368</v>
      </c>
      <c r="Q9" s="703"/>
      <c r="R9" s="703"/>
      <c r="S9" s="703"/>
      <c r="T9" s="703"/>
      <c r="U9" s="703"/>
      <c r="V9" s="703"/>
      <c r="W9" s="703"/>
      <c r="X9" s="703"/>
      <c r="Y9" s="704" t="s">
        <v>299</v>
      </c>
      <c r="Z9" s="704"/>
      <c r="AA9" s="705"/>
      <c r="AB9" s="120"/>
      <c r="AC9" s="13"/>
      <c r="AD9" s="13" t="s">
        <v>580</v>
      </c>
      <c r="AE9" s="398" t="str">
        <f>G10</f>
        <v>Reinforced concrete building</v>
      </c>
      <c r="AF9" s="43" t="s">
        <v>556</v>
      </c>
      <c r="AG9" s="43"/>
      <c r="AH9" s="390" t="s">
        <v>107</v>
      </c>
      <c r="AI9" s="390">
        <f>MIN(M13,2*82)</f>
        <v>80</v>
      </c>
      <c r="AJ9" s="43"/>
      <c r="AK9" s="43"/>
      <c r="AL9" s="43"/>
      <c r="AM9" s="43"/>
      <c r="AN9" s="43"/>
      <c r="AO9" s="201" t="s">
        <v>519</v>
      </c>
      <c r="AP9" s="89">
        <f ca="1">VLOOKUP(TRUE,AI14:AT18,8,FALSE)</f>
        <v>-1.3312434240000002</v>
      </c>
      <c r="AQ9" s="89">
        <f ca="1">VLOOKUP(TRUE,AI14:AT18,9,FALSE)</f>
        <v>-0.88749561600000026</v>
      </c>
      <c r="AR9" s="89">
        <f ca="1">VLOOKUP(TRUE,AI14:AT18,10,FALSE)</f>
        <v>-0.55468476000000011</v>
      </c>
      <c r="AS9" s="89">
        <f ca="1">VLOOKUP(TRUE,AI14:AT18,11,FALSE)</f>
        <v>0.88749561600000026</v>
      </c>
      <c r="AT9" s="89">
        <f ca="1">VLOOKUP(TRUE,AI14:AT18,12,FALSE)</f>
        <v>-0.59018458464000012</v>
      </c>
      <c r="AU9" s="203" t="s">
        <v>247</v>
      </c>
    </row>
    <row r="10" spans="1:47" s="136" customFormat="1" ht="17.100000000000001" customHeight="1">
      <c r="A10" s="13"/>
      <c r="B10" s="119"/>
      <c r="C10" s="696" t="s">
        <v>351</v>
      </c>
      <c r="D10" s="697"/>
      <c r="E10" s="697"/>
      <c r="F10" s="697"/>
      <c r="G10" s="639" t="s">
        <v>353</v>
      </c>
      <c r="H10" s="639"/>
      <c r="I10" s="639"/>
      <c r="J10" s="639"/>
      <c r="K10" s="639"/>
      <c r="L10" s="639"/>
      <c r="M10" s="639"/>
      <c r="N10" s="640"/>
      <c r="O10" s="23"/>
      <c r="P10" s="592" t="s">
        <v>366</v>
      </c>
      <c r="Q10" s="593"/>
      <c r="R10" s="593"/>
      <c r="S10" s="593"/>
      <c r="T10" s="593"/>
      <c r="U10" s="593"/>
      <c r="V10" s="593"/>
      <c r="W10" s="593"/>
      <c r="X10" s="593"/>
      <c r="Y10" s="593"/>
      <c r="Z10" s="688">
        <v>15</v>
      </c>
      <c r="AA10" s="689"/>
      <c r="AB10" s="120"/>
      <c r="AC10" s="13"/>
      <c r="AD10" s="13" t="s">
        <v>581</v>
      </c>
      <c r="AE10" s="398" t="str">
        <f>G11</f>
        <v>Smooth (e.g. smooth concrete, steel)</v>
      </c>
      <c r="AF10" s="43" t="s">
        <v>557</v>
      </c>
      <c r="AG10" s="43"/>
      <c r="AJ10" s="43"/>
      <c r="AK10" s="43"/>
      <c r="AL10" s="43"/>
      <c r="AM10" s="43"/>
      <c r="AN10" s="43"/>
      <c r="AO10" s="392"/>
      <c r="AP10" s="471"/>
      <c r="AQ10" s="471"/>
      <c r="AR10" s="471"/>
      <c r="AS10" s="471">
        <f ca="1">VLOOKUP(TRUE,AI14:AU18,13,FALSE)</f>
        <v>0.59688632135772257</v>
      </c>
      <c r="AT10" s="471"/>
      <c r="AU10" s="203" t="s">
        <v>248</v>
      </c>
    </row>
    <row r="11" spans="1:47" s="136" customFormat="1" ht="17.100000000000001" customHeight="1">
      <c r="A11" s="13"/>
      <c r="B11" s="119"/>
      <c r="C11" s="696" t="s">
        <v>356</v>
      </c>
      <c r="D11" s="697"/>
      <c r="E11" s="697"/>
      <c r="F11" s="697"/>
      <c r="G11" s="639" t="s">
        <v>357</v>
      </c>
      <c r="H11" s="639"/>
      <c r="I11" s="639"/>
      <c r="J11" s="639"/>
      <c r="K11" s="639"/>
      <c r="L11" s="639"/>
      <c r="M11" s="639"/>
      <c r="N11" s="640"/>
      <c r="O11" s="23"/>
      <c r="P11" s="692" t="s">
        <v>367</v>
      </c>
      <c r="Q11" s="693"/>
      <c r="R11" s="693"/>
      <c r="S11" s="693"/>
      <c r="T11" s="693"/>
      <c r="U11" s="693"/>
      <c r="V11" s="693"/>
      <c r="W11" s="693"/>
      <c r="X11" s="693"/>
      <c r="Y11" s="693"/>
      <c r="Z11" s="694">
        <v>10</v>
      </c>
      <c r="AA11" s="695"/>
      <c r="AB11" s="120"/>
      <c r="AC11" s="13"/>
      <c r="AD11" s="13" t="s">
        <v>537</v>
      </c>
      <c r="AE11" s="399">
        <f>1.35</f>
        <v>1.35</v>
      </c>
      <c r="AF11" s="43">
        <v>1.35</v>
      </c>
      <c r="AG11" s="43"/>
      <c r="AH11" s="389"/>
      <c r="AI11" s="389"/>
      <c r="AJ11" s="43"/>
      <c r="AK11" s="43"/>
      <c r="AL11" s="43"/>
      <c r="AM11" s="43"/>
      <c r="AN11" s="43"/>
      <c r="AO11" s="43"/>
      <c r="AP11" s="43"/>
      <c r="AQ11" s="43"/>
      <c r="AR11" s="43"/>
      <c r="AS11" s="7"/>
      <c r="AT11" s="43"/>
      <c r="AU11" s="43"/>
    </row>
    <row r="12" spans="1:47" s="136" customFormat="1" ht="17.100000000000001" customHeight="1" thickBot="1">
      <c r="A12" s="13"/>
      <c r="B12" s="119"/>
      <c r="C12" s="714" t="s">
        <v>347</v>
      </c>
      <c r="D12" s="715"/>
      <c r="E12" s="715"/>
      <c r="F12" s="715"/>
      <c r="G12" s="715"/>
      <c r="H12" s="715"/>
      <c r="I12" s="715"/>
      <c r="J12" s="715"/>
      <c r="K12" s="715"/>
      <c r="L12" s="715"/>
      <c r="M12" s="688">
        <v>1.35</v>
      </c>
      <c r="N12" s="689"/>
      <c r="O12" s="23"/>
      <c r="P12" s="23"/>
      <c r="Q12" s="23"/>
      <c r="R12" s="23"/>
      <c r="S12" s="23"/>
      <c r="T12" s="23"/>
      <c r="U12" s="23"/>
      <c r="V12" s="23"/>
      <c r="W12" s="23"/>
      <c r="X12" s="23"/>
      <c r="Y12" s="23"/>
      <c r="Z12" s="23"/>
      <c r="AA12" s="23"/>
      <c r="AB12" s="120"/>
      <c r="AC12" s="13"/>
      <c r="AD12" s="13" t="s">
        <v>555</v>
      </c>
      <c r="AE12" s="399">
        <f>M13</f>
        <v>80</v>
      </c>
      <c r="AF12" s="43" t="s">
        <v>559</v>
      </c>
      <c r="AG12" s="43"/>
      <c r="AH12" s="389"/>
      <c r="AI12" s="389"/>
      <c r="AJ12" s="758" t="s">
        <v>110</v>
      </c>
      <c r="AK12" s="758"/>
      <c r="AL12" s="758"/>
      <c r="AM12" s="758"/>
      <c r="AN12" s="758"/>
      <c r="AO12" s="758"/>
      <c r="AP12" s="713" t="s">
        <v>102</v>
      </c>
      <c r="AQ12" s="583"/>
      <c r="AR12" s="583"/>
      <c r="AS12" s="583"/>
      <c r="AT12" s="583"/>
      <c r="AU12" s="583"/>
    </row>
    <row r="13" spans="1:47" s="136" customFormat="1" ht="17.100000000000001" customHeight="1" thickBot="1">
      <c r="A13" s="13"/>
      <c r="B13" s="119"/>
      <c r="C13" s="714" t="s">
        <v>405</v>
      </c>
      <c r="D13" s="715"/>
      <c r="E13" s="715"/>
      <c r="F13" s="715"/>
      <c r="G13" s="715"/>
      <c r="H13" s="715"/>
      <c r="I13" s="715"/>
      <c r="J13" s="715"/>
      <c r="K13" s="715"/>
      <c r="L13" s="715"/>
      <c r="M13" s="653">
        <v>80</v>
      </c>
      <c r="N13" s="654"/>
      <c r="O13" s="23"/>
      <c r="P13" s="427"/>
      <c r="Q13" s="574" t="s">
        <v>363</v>
      </c>
      <c r="R13" s="574"/>
      <c r="S13" s="574"/>
      <c r="T13" s="574"/>
      <c r="U13" s="574"/>
      <c r="V13" s="574"/>
      <c r="W13" s="574"/>
      <c r="X13" s="574"/>
      <c r="Y13" s="574"/>
      <c r="Z13" s="574"/>
      <c r="AA13" s="195" t="s">
        <v>288</v>
      </c>
      <c r="AB13" s="120"/>
      <c r="AC13" s="13"/>
      <c r="AD13" s="13" t="s">
        <v>540</v>
      </c>
      <c r="AE13" s="399">
        <f>M14</f>
        <v>50</v>
      </c>
      <c r="AF13" s="43" t="s">
        <v>560</v>
      </c>
      <c r="AG13" s="43"/>
      <c r="AH13" s="390" t="s">
        <v>108</v>
      </c>
      <c r="AI13" s="205">
        <f>ROUND(82/M14,2)</f>
        <v>1.64</v>
      </c>
      <c r="AJ13" s="392" t="s">
        <v>108</v>
      </c>
      <c r="AK13" s="392" t="s">
        <v>76</v>
      </c>
      <c r="AL13" s="392" t="s">
        <v>77</v>
      </c>
      <c r="AM13" s="392" t="s">
        <v>80</v>
      </c>
      <c r="AN13" s="392" t="s">
        <v>98</v>
      </c>
      <c r="AO13" s="394" t="s">
        <v>109</v>
      </c>
      <c r="AP13" s="141" t="s">
        <v>76</v>
      </c>
      <c r="AQ13" s="142" t="s">
        <v>77</v>
      </c>
      <c r="AR13" s="142" t="s">
        <v>80</v>
      </c>
      <c r="AS13" s="142" t="s">
        <v>98</v>
      </c>
      <c r="AT13" s="142" t="s">
        <v>109</v>
      </c>
      <c r="AU13" s="143" t="s">
        <v>666</v>
      </c>
    </row>
    <row r="14" spans="1:47" s="136" customFormat="1" ht="17.100000000000001" customHeight="1">
      <c r="A14" s="13"/>
      <c r="B14" s="119"/>
      <c r="C14" s="714" t="s">
        <v>406</v>
      </c>
      <c r="D14" s="715"/>
      <c r="E14" s="715"/>
      <c r="F14" s="715"/>
      <c r="G14" s="715"/>
      <c r="H14" s="715"/>
      <c r="I14" s="715"/>
      <c r="J14" s="715"/>
      <c r="K14" s="715"/>
      <c r="L14" s="715"/>
      <c r="M14" s="653">
        <v>50</v>
      </c>
      <c r="N14" s="654"/>
      <c r="O14" s="23"/>
      <c r="P14" s="716" t="s">
        <v>360</v>
      </c>
      <c r="Q14" s="717"/>
      <c r="R14" s="717"/>
      <c r="S14" s="717"/>
      <c r="T14" s="717"/>
      <c r="U14" s="717"/>
      <c r="V14" s="717"/>
      <c r="W14" s="717"/>
      <c r="X14" s="717"/>
      <c r="Y14" s="717"/>
      <c r="Z14" s="653">
        <v>0.2</v>
      </c>
      <c r="AA14" s="654"/>
      <c r="AB14" s="120"/>
      <c r="AC14" s="13"/>
      <c r="AD14" s="13" t="s">
        <v>539</v>
      </c>
      <c r="AE14" s="399">
        <f>M15</f>
        <v>82</v>
      </c>
      <c r="AF14" s="43" t="s">
        <v>561</v>
      </c>
      <c r="AG14" s="43"/>
      <c r="AH14" s="43"/>
      <c r="AI14" s="203" t="b">
        <f>AND(AI13&gt;=5)</f>
        <v>0</v>
      </c>
      <c r="AJ14" s="390">
        <v>5</v>
      </c>
      <c r="AK14" s="443">
        <v>-1.2</v>
      </c>
      <c r="AL14" s="443">
        <v>-0.8</v>
      </c>
      <c r="AM14" s="443">
        <v>-0.5</v>
      </c>
      <c r="AN14" s="443">
        <v>0.8</v>
      </c>
      <c r="AO14" s="146">
        <v>-0.7</v>
      </c>
      <c r="AP14" s="472">
        <f t="shared" ref="AP14:AT18" ca="1" si="0">1.35*$Z$17*$M$20*AK14</f>
        <v>-1.3312434240000002</v>
      </c>
      <c r="AQ14" s="473">
        <f t="shared" ca="1" si="0"/>
        <v>-0.88749561600000026</v>
      </c>
      <c r="AR14" s="473">
        <f t="shared" ca="1" si="0"/>
        <v>-0.55468476000000011</v>
      </c>
      <c r="AS14" s="473">
        <f t="shared" ca="1" si="0"/>
        <v>0.88749561600000026</v>
      </c>
      <c r="AT14" s="473">
        <f t="shared" ca="1" si="0"/>
        <v>-0.77655866400000007</v>
      </c>
      <c r="AU14" s="435">
        <f ca="1">+$AL$43*$M$28*$M$29*AN14</f>
        <v>0.59688632135772257</v>
      </c>
    </row>
    <row r="15" spans="1:47" s="136" customFormat="1" ht="17.100000000000001" customHeight="1">
      <c r="A15" s="13"/>
      <c r="B15" s="119"/>
      <c r="C15" s="714" t="s">
        <v>407</v>
      </c>
      <c r="D15" s="715"/>
      <c r="E15" s="715"/>
      <c r="F15" s="715"/>
      <c r="G15" s="715"/>
      <c r="H15" s="715"/>
      <c r="I15" s="715"/>
      <c r="J15" s="715"/>
      <c r="K15" s="715"/>
      <c r="L15" s="715"/>
      <c r="M15" s="688">
        <v>82</v>
      </c>
      <c r="N15" s="689"/>
      <c r="O15" s="23"/>
      <c r="P15" s="714" t="s">
        <v>359</v>
      </c>
      <c r="Q15" s="715"/>
      <c r="R15" s="715"/>
      <c r="S15" s="715"/>
      <c r="T15" s="715"/>
      <c r="U15" s="715"/>
      <c r="V15" s="715"/>
      <c r="W15" s="715"/>
      <c r="X15" s="715"/>
      <c r="Y15" s="715"/>
      <c r="Z15" s="653">
        <v>-0.3</v>
      </c>
      <c r="AA15" s="654"/>
      <c r="AB15" s="120"/>
      <c r="AC15" s="13"/>
      <c r="AD15" s="13" t="s">
        <v>538</v>
      </c>
      <c r="AE15" s="399">
        <f>M16</f>
        <v>70</v>
      </c>
      <c r="AF15" s="43" t="s">
        <v>562</v>
      </c>
      <c r="AG15" s="43"/>
      <c r="AH15" s="43"/>
      <c r="AI15" s="203" t="b">
        <f>AND(AI13&lt;5,AI13&gt;1)</f>
        <v>1</v>
      </c>
      <c r="AJ15" s="202">
        <f>AI13</f>
        <v>1.64</v>
      </c>
      <c r="AK15" s="443">
        <f t="shared" ref="AK15:AN15" si="1">AK16+(AK14-AK16)*($AJ15-$AJ16)/($AJ14-$AJ16)</f>
        <v>-1.2</v>
      </c>
      <c r="AL15" s="443">
        <f t="shared" si="1"/>
        <v>-0.8</v>
      </c>
      <c r="AM15" s="443">
        <f t="shared" si="1"/>
        <v>-0.5</v>
      </c>
      <c r="AN15" s="443">
        <f t="shared" si="1"/>
        <v>0.8</v>
      </c>
      <c r="AO15" s="146">
        <f>AO16+(AO14-AO16)*($AJ15-$AJ16)/($AJ14-$AJ16)</f>
        <v>-0.53200000000000003</v>
      </c>
      <c r="AP15" s="474">
        <f t="shared" ca="1" si="0"/>
        <v>-1.3312434240000002</v>
      </c>
      <c r="AQ15" s="89">
        <f t="shared" ca="1" si="0"/>
        <v>-0.88749561600000026</v>
      </c>
      <c r="AR15" s="89">
        <f t="shared" ca="1" si="0"/>
        <v>-0.55468476000000011</v>
      </c>
      <c r="AS15" s="89">
        <f t="shared" ca="1" si="0"/>
        <v>0.88749561600000026</v>
      </c>
      <c r="AT15" s="89">
        <f t="shared" ca="1" si="0"/>
        <v>-0.59018458464000012</v>
      </c>
      <c r="AU15" s="436">
        <f ca="1">+$AL$43*$M$28*$M$29*AN15</f>
        <v>0.59688632135772257</v>
      </c>
    </row>
    <row r="16" spans="1:47" s="136" customFormat="1" ht="17.100000000000001" customHeight="1">
      <c r="A16" s="13"/>
      <c r="B16" s="119"/>
      <c r="C16" s="739" t="s">
        <v>408</v>
      </c>
      <c r="D16" s="740"/>
      <c r="E16" s="740"/>
      <c r="F16" s="740"/>
      <c r="G16" s="740"/>
      <c r="H16" s="740"/>
      <c r="I16" s="740"/>
      <c r="J16" s="740"/>
      <c r="K16" s="740"/>
      <c r="L16" s="740"/>
      <c r="M16" s="682">
        <v>70</v>
      </c>
      <c r="N16" s="683"/>
      <c r="O16" s="23"/>
      <c r="P16" s="714" t="s">
        <v>361</v>
      </c>
      <c r="Q16" s="715"/>
      <c r="R16" s="715"/>
      <c r="S16" s="715"/>
      <c r="T16" s="715"/>
      <c r="U16" s="715"/>
      <c r="V16" s="715"/>
      <c r="W16" s="715"/>
      <c r="X16" s="715"/>
      <c r="Y16" s="715"/>
      <c r="Z16" s="550" t="str">
        <f>input!Z24</f>
        <v>C</v>
      </c>
      <c r="AA16" s="551"/>
      <c r="AB16" s="120"/>
      <c r="AC16" s="13"/>
      <c r="AD16" s="13" t="s">
        <v>582</v>
      </c>
      <c r="AE16" s="398" t="str">
        <f>Y9</f>
        <v>town</v>
      </c>
      <c r="AF16" s="43" t="s">
        <v>563</v>
      </c>
      <c r="AG16" s="43"/>
      <c r="AH16" s="43"/>
      <c r="AI16" s="203" t="b">
        <f>AI13=1</f>
        <v>0</v>
      </c>
      <c r="AJ16" s="390">
        <v>1</v>
      </c>
      <c r="AK16" s="443">
        <v>-1.2</v>
      </c>
      <c r="AL16" s="443">
        <v>-0.8</v>
      </c>
      <c r="AM16" s="443">
        <v>-0.5</v>
      </c>
      <c r="AN16" s="443">
        <v>0.8</v>
      </c>
      <c r="AO16" s="146">
        <v>-0.5</v>
      </c>
      <c r="AP16" s="474">
        <f t="shared" ca="1" si="0"/>
        <v>-1.3312434240000002</v>
      </c>
      <c r="AQ16" s="89">
        <f t="shared" ca="1" si="0"/>
        <v>-0.88749561600000026</v>
      </c>
      <c r="AR16" s="89">
        <f t="shared" ca="1" si="0"/>
        <v>-0.55468476000000011</v>
      </c>
      <c r="AS16" s="89">
        <f t="shared" ca="1" si="0"/>
        <v>0.88749561600000026</v>
      </c>
      <c r="AT16" s="89">
        <f t="shared" ca="1" si="0"/>
        <v>-0.55468476000000011</v>
      </c>
      <c r="AU16" s="436">
        <f ca="1">+$AL$43*$M$28*$M$29*AN16</f>
        <v>0.59688632135772257</v>
      </c>
    </row>
    <row r="17" spans="1:51" s="136" customFormat="1" ht="17.100000000000001" customHeight="1">
      <c r="A17" s="13"/>
      <c r="B17" s="119"/>
      <c r="C17" s="23"/>
      <c r="D17" s="23"/>
      <c r="E17" s="23"/>
      <c r="F17" s="23"/>
      <c r="G17" s="23"/>
      <c r="H17" s="23"/>
      <c r="I17" s="23"/>
      <c r="J17" s="23"/>
      <c r="K17" s="23"/>
      <c r="L17" s="23"/>
      <c r="M17" s="23"/>
      <c r="N17" s="23"/>
      <c r="O17" s="23"/>
      <c r="P17" s="714" t="s">
        <v>362</v>
      </c>
      <c r="Q17" s="715"/>
      <c r="R17" s="715"/>
      <c r="S17" s="715"/>
      <c r="T17" s="715"/>
      <c r="U17" s="715"/>
      <c r="V17" s="715"/>
      <c r="W17" s="715"/>
      <c r="X17" s="715"/>
      <c r="Y17" s="715"/>
      <c r="Z17" s="550">
        <f ca="1">+input!$Z$25</f>
        <v>0.79320000000000002</v>
      </c>
      <c r="AA17" s="551"/>
      <c r="AB17" s="120"/>
      <c r="AC17" s="13"/>
      <c r="AD17" s="13" t="s">
        <v>541</v>
      </c>
      <c r="AE17" s="399">
        <f>Z10</f>
        <v>15</v>
      </c>
      <c r="AF17" s="43" t="s">
        <v>564</v>
      </c>
      <c r="AG17" s="43"/>
      <c r="AH17" s="43"/>
      <c r="AI17" s="203" t="b">
        <f>AND(AI13&lt;1,AI13&gt;0.25)</f>
        <v>0</v>
      </c>
      <c r="AJ17" s="202">
        <f>AI13</f>
        <v>1.64</v>
      </c>
      <c r="AK17" s="443">
        <f>AK18+(AK16-AK18)*($AJ17-$AJ18)/($AJ16-$AJ18)</f>
        <v>-1.2</v>
      </c>
      <c r="AL17" s="443">
        <f t="shared" ref="AL17:AO17" si="2">AL18+(AL16-AL18)*($AJ17-$AJ18)/($AJ16-$AJ18)</f>
        <v>-0.8</v>
      </c>
      <c r="AM17" s="443">
        <f t="shared" si="2"/>
        <v>-0.5</v>
      </c>
      <c r="AN17" s="443">
        <f t="shared" si="2"/>
        <v>0.88533333333333342</v>
      </c>
      <c r="AO17" s="146">
        <f t="shared" si="2"/>
        <v>-0.67066666666666663</v>
      </c>
      <c r="AP17" s="474">
        <f t="shared" ca="1" si="0"/>
        <v>-1.3312434240000002</v>
      </c>
      <c r="AQ17" s="89">
        <f t="shared" ca="1" si="0"/>
        <v>-0.88749561600000026</v>
      </c>
      <c r="AR17" s="89">
        <f t="shared" ca="1" si="0"/>
        <v>-0.55468476000000011</v>
      </c>
      <c r="AS17" s="89">
        <f t="shared" ca="1" si="0"/>
        <v>0.98216181504000033</v>
      </c>
      <c r="AT17" s="89">
        <f t="shared" ca="1" si="0"/>
        <v>-0.74401715808000013</v>
      </c>
      <c r="AU17" s="436">
        <f ca="1">+$AL$43*$M$28*$M$29*AN17</f>
        <v>0.66055419563587958</v>
      </c>
    </row>
    <row r="18" spans="1:51" s="136" customFormat="1" ht="17.100000000000001" customHeight="1" thickBot="1">
      <c r="A18" s="13"/>
      <c r="B18" s="119"/>
      <c r="C18" s="573" t="s">
        <v>645</v>
      </c>
      <c r="D18" s="574"/>
      <c r="E18" s="574"/>
      <c r="F18" s="574"/>
      <c r="G18" s="574"/>
      <c r="H18" s="574"/>
      <c r="I18" s="574"/>
      <c r="J18" s="574"/>
      <c r="K18" s="574"/>
      <c r="L18" s="574"/>
      <c r="M18" s="574"/>
      <c r="N18" s="575"/>
      <c r="O18" s="23"/>
      <c r="P18" s="714" t="s">
        <v>446</v>
      </c>
      <c r="Q18" s="715"/>
      <c r="R18" s="715"/>
      <c r="S18" s="715"/>
      <c r="T18" s="715"/>
      <c r="U18" s="715"/>
      <c r="V18" s="715"/>
      <c r="W18" s="715"/>
      <c r="X18" s="715"/>
      <c r="Y18" s="715"/>
      <c r="Z18" s="550">
        <f>+input!$Z$26</f>
        <v>0.01</v>
      </c>
      <c r="AA18" s="551"/>
      <c r="AB18" s="120"/>
      <c r="AC18" s="13"/>
      <c r="AD18" s="13" t="s">
        <v>542</v>
      </c>
      <c r="AE18" s="399">
        <f>Z11</f>
        <v>10</v>
      </c>
      <c r="AF18" s="43" t="s">
        <v>565</v>
      </c>
      <c r="AG18" s="43"/>
      <c r="AH18" s="43"/>
      <c r="AI18" s="203" t="b">
        <f>AND(AI13&lt;=0.25)</f>
        <v>0</v>
      </c>
      <c r="AJ18" s="390">
        <v>0.25</v>
      </c>
      <c r="AK18" s="443">
        <v>-1.2</v>
      </c>
      <c r="AL18" s="443">
        <v>-0.8</v>
      </c>
      <c r="AM18" s="443">
        <v>-0.5</v>
      </c>
      <c r="AN18" s="443">
        <v>0.7</v>
      </c>
      <c r="AO18" s="146">
        <v>-0.3</v>
      </c>
      <c r="AP18" s="475">
        <f t="shared" ca="1" si="0"/>
        <v>-1.3312434240000002</v>
      </c>
      <c r="AQ18" s="476">
        <f t="shared" ca="1" si="0"/>
        <v>-0.88749561600000026</v>
      </c>
      <c r="AR18" s="476">
        <f t="shared" ca="1" si="0"/>
        <v>-0.55468476000000011</v>
      </c>
      <c r="AS18" s="476">
        <f t="shared" ca="1" si="0"/>
        <v>0.77655866400000007</v>
      </c>
      <c r="AT18" s="476">
        <f t="shared" ca="1" si="0"/>
        <v>-0.33281085600000004</v>
      </c>
      <c r="AU18" s="477">
        <f ca="1">+$AL$43*$M$28*$M$29*AN18</f>
        <v>0.52227553118800718</v>
      </c>
    </row>
    <row r="19" spans="1:51" s="136" customFormat="1" ht="17.100000000000001" customHeight="1">
      <c r="A19" s="13"/>
      <c r="B19" s="119"/>
      <c r="C19" s="716" t="s">
        <v>365</v>
      </c>
      <c r="D19" s="717"/>
      <c r="E19" s="717"/>
      <c r="F19" s="717"/>
      <c r="G19" s="717"/>
      <c r="H19" s="717"/>
      <c r="I19" s="717"/>
      <c r="J19" s="717"/>
      <c r="K19" s="717"/>
      <c r="L19" s="717"/>
      <c r="M19" s="678">
        <f>input!$M$19</f>
        <v>0.1</v>
      </c>
      <c r="N19" s="679"/>
      <c r="O19" s="23"/>
      <c r="P19" s="739" t="s">
        <v>415</v>
      </c>
      <c r="Q19" s="740"/>
      <c r="R19" s="740"/>
      <c r="S19" s="740"/>
      <c r="T19" s="740"/>
      <c r="U19" s="740"/>
      <c r="V19" s="740"/>
      <c r="W19" s="740"/>
      <c r="X19" s="740"/>
      <c r="Y19" s="740"/>
      <c r="Z19" s="587">
        <f>AI9</f>
        <v>80</v>
      </c>
      <c r="AA19" s="588"/>
      <c r="AB19" s="120"/>
      <c r="AC19" s="13"/>
      <c r="AD19" s="13" t="s">
        <v>543</v>
      </c>
      <c r="AE19" s="399">
        <f>Z14</f>
        <v>0.2</v>
      </c>
      <c r="AF19" s="43" t="s">
        <v>566</v>
      </c>
      <c r="AG19" s="43"/>
      <c r="AH19" s="43"/>
      <c r="AI19" s="388">
        <v>1</v>
      </c>
      <c r="AJ19" s="388">
        <v>2</v>
      </c>
      <c r="AK19" s="388">
        <v>3</v>
      </c>
      <c r="AL19" s="388">
        <v>4</v>
      </c>
      <c r="AM19" s="388">
        <v>5</v>
      </c>
      <c r="AN19" s="388">
        <v>6</v>
      </c>
      <c r="AO19" s="388">
        <v>7</v>
      </c>
      <c r="AP19" s="388">
        <v>8</v>
      </c>
      <c r="AQ19" s="388">
        <v>9</v>
      </c>
      <c r="AR19" s="207">
        <v>10</v>
      </c>
      <c r="AS19" s="388">
        <v>11</v>
      </c>
      <c r="AT19" s="389">
        <v>12</v>
      </c>
      <c r="AU19" s="439">
        <v>13</v>
      </c>
    </row>
    <row r="20" spans="1:51" s="136" customFormat="1" ht="17.100000000000001" customHeight="1">
      <c r="A20" s="13"/>
      <c r="B20" s="119"/>
      <c r="C20" s="714" t="s">
        <v>364</v>
      </c>
      <c r="D20" s="715"/>
      <c r="E20" s="715"/>
      <c r="F20" s="715"/>
      <c r="G20" s="715"/>
      <c r="H20" s="715"/>
      <c r="I20" s="715"/>
      <c r="J20" s="715"/>
      <c r="K20" s="715"/>
      <c r="L20" s="715"/>
      <c r="M20" s="550">
        <f ca="1">+input!$M$20</f>
        <v>1.036</v>
      </c>
      <c r="N20" s="551"/>
      <c r="O20" s="23"/>
      <c r="P20" s="23"/>
      <c r="Q20" s="23"/>
      <c r="R20" s="23"/>
      <c r="S20" s="23"/>
      <c r="T20" s="23"/>
      <c r="U20" s="23"/>
      <c r="V20" s="23"/>
      <c r="W20" s="23"/>
      <c r="X20" s="23"/>
      <c r="Y20" s="23"/>
      <c r="Z20" s="23"/>
      <c r="AA20" s="23"/>
      <c r="AB20" s="120"/>
      <c r="AC20" s="13"/>
      <c r="AD20" s="13" t="s">
        <v>544</v>
      </c>
      <c r="AE20" s="399">
        <f>Z15</f>
        <v>-0.3</v>
      </c>
      <c r="AF20" s="43" t="s">
        <v>567</v>
      </c>
      <c r="AG20" s="43"/>
      <c r="AH20" s="43"/>
      <c r="AI20" s="43"/>
      <c r="AJ20" s="43"/>
      <c r="AK20" s="43"/>
      <c r="AL20" s="43"/>
      <c r="AM20" s="43"/>
      <c r="AN20" s="43"/>
      <c r="AO20" s="43"/>
      <c r="AP20" s="43"/>
      <c r="AQ20" s="43"/>
      <c r="AR20" s="43"/>
      <c r="AS20" s="7"/>
      <c r="AT20" s="43"/>
      <c r="AU20" s="43"/>
    </row>
    <row r="21" spans="1:51" s="136" customFormat="1" ht="17.100000000000001" customHeight="1">
      <c r="A21" s="13"/>
      <c r="B21" s="119"/>
      <c r="C21" s="714" t="s">
        <v>389</v>
      </c>
      <c r="D21" s="715"/>
      <c r="E21" s="715"/>
      <c r="F21" s="715"/>
      <c r="G21" s="715"/>
      <c r="H21" s="715"/>
      <c r="I21" s="715"/>
      <c r="J21" s="715"/>
      <c r="K21" s="715"/>
      <c r="L21" s="715"/>
      <c r="M21" s="550">
        <f>2*M14*82</f>
        <v>8200</v>
      </c>
      <c r="N21" s="551"/>
      <c r="O21" s="23"/>
      <c r="P21" s="573" t="s">
        <v>380</v>
      </c>
      <c r="Q21" s="574"/>
      <c r="R21" s="574"/>
      <c r="S21" s="574"/>
      <c r="T21" s="574"/>
      <c r="U21" s="574"/>
      <c r="V21" s="574"/>
      <c r="W21" s="574"/>
      <c r="X21" s="574"/>
      <c r="Y21" s="574"/>
      <c r="Z21" s="574"/>
      <c r="AA21" s="575"/>
      <c r="AB21" s="120"/>
      <c r="AC21" s="13"/>
      <c r="AD21" s="13" t="s">
        <v>583</v>
      </c>
      <c r="AE21" s="400" t="s">
        <v>95</v>
      </c>
      <c r="AF21" s="43"/>
      <c r="AG21" s="43"/>
      <c r="AH21" s="43"/>
      <c r="AI21" s="43"/>
      <c r="AJ21" s="43"/>
      <c r="AK21" s="43"/>
      <c r="AL21" s="43"/>
      <c r="AM21" s="43"/>
      <c r="AN21" s="43"/>
      <c r="AO21" s="759" t="s">
        <v>503</v>
      </c>
      <c r="AP21" s="760"/>
      <c r="AQ21" s="760"/>
      <c r="AR21" s="760"/>
      <c r="AS21" s="760"/>
      <c r="AT21" s="761"/>
      <c r="AU21" s="7"/>
    </row>
    <row r="22" spans="1:51" s="136" customFormat="1" ht="17.100000000000001" customHeight="1" thickBot="1">
      <c r="A22" s="13"/>
      <c r="B22" s="119"/>
      <c r="C22" s="714" t="s">
        <v>390</v>
      </c>
      <c r="D22" s="715"/>
      <c r="E22" s="715"/>
      <c r="F22" s="715"/>
      <c r="G22" s="715"/>
      <c r="H22" s="715"/>
      <c r="I22" s="715"/>
      <c r="J22" s="715"/>
      <c r="K22" s="715"/>
      <c r="L22" s="715"/>
      <c r="M22" s="550">
        <f>1.35*Z18*M21</f>
        <v>110.70000000000002</v>
      </c>
      <c r="N22" s="551"/>
      <c r="O22" s="23"/>
      <c r="P22" s="809" t="s">
        <v>385</v>
      </c>
      <c r="Q22" s="810"/>
      <c r="R22" s="738" t="s">
        <v>76</v>
      </c>
      <c r="S22" s="738"/>
      <c r="T22" s="738" t="s">
        <v>77</v>
      </c>
      <c r="U22" s="738"/>
      <c r="V22" s="738" t="s">
        <v>80</v>
      </c>
      <c r="W22" s="738"/>
      <c r="X22" s="738" t="s">
        <v>98</v>
      </c>
      <c r="Y22" s="738"/>
      <c r="Z22" s="738" t="s">
        <v>109</v>
      </c>
      <c r="AA22" s="771"/>
      <c r="AB22" s="120"/>
      <c r="AC22" s="13"/>
      <c r="AD22" s="13" t="s">
        <v>545</v>
      </c>
      <c r="AE22" s="400">
        <v>5</v>
      </c>
      <c r="AF22" s="43"/>
      <c r="AG22" s="43"/>
      <c r="AH22" s="43"/>
      <c r="AI22" s="43"/>
      <c r="AJ22" s="43"/>
      <c r="AK22" s="43"/>
      <c r="AL22" s="43"/>
      <c r="AM22" s="43"/>
      <c r="AN22" s="43"/>
      <c r="AO22" s="390" t="s">
        <v>101</v>
      </c>
      <c r="AP22" s="390" t="s">
        <v>76</v>
      </c>
      <c r="AQ22" s="390" t="s">
        <v>77</v>
      </c>
      <c r="AR22" s="390" t="s">
        <v>80</v>
      </c>
      <c r="AS22" s="390" t="s">
        <v>98</v>
      </c>
      <c r="AT22" s="390" t="s">
        <v>109</v>
      </c>
      <c r="AU22" s="7"/>
    </row>
    <row r="23" spans="1:51" s="136" customFormat="1" ht="17.100000000000001" customHeight="1" thickBot="1">
      <c r="A23" s="13"/>
      <c r="B23" s="119"/>
      <c r="C23" s="739"/>
      <c r="D23" s="740"/>
      <c r="E23" s="740"/>
      <c r="F23" s="740"/>
      <c r="G23" s="740"/>
      <c r="H23" s="740"/>
      <c r="I23" s="740"/>
      <c r="J23" s="740"/>
      <c r="K23" s="740"/>
      <c r="L23" s="740"/>
      <c r="M23" s="587"/>
      <c r="N23" s="588"/>
      <c r="O23" s="23"/>
      <c r="P23" s="811" t="s">
        <v>480</v>
      </c>
      <c r="Q23" s="812"/>
      <c r="R23" s="772">
        <f ca="1">IF(ABS(AP23)&gt;ABS(AP24),AP23,AP24)</f>
        <v>-1.6012434240000002</v>
      </c>
      <c r="S23" s="772"/>
      <c r="T23" s="772">
        <f ca="1">IF(AM7&gt;1,IF(ABS(AQ23)&gt;ABS(AQ24),AQ23,AQ24),"-")</f>
        <v>-1.1574956160000003</v>
      </c>
      <c r="U23" s="772"/>
      <c r="V23" s="772" t="str">
        <f>IF(AM7=3,IF(ABS(AR23)&gt;ABS(AR24),AR23,AR24),"-")</f>
        <v>-</v>
      </c>
      <c r="W23" s="772"/>
      <c r="X23" s="772">
        <f ca="1">IF(ABS(AS23)&gt;ABS(AS24),AS23,AS24)</f>
        <v>1.2924956160000003</v>
      </c>
      <c r="Y23" s="772"/>
      <c r="Z23" s="772">
        <f ca="1">IF(ABS(AT23)&gt;ABS(AT24),AT23,AT24)</f>
        <v>-0.86018458464000014</v>
      </c>
      <c r="AA23" s="773"/>
      <c r="AB23" s="120"/>
      <c r="AC23" s="13"/>
      <c r="AD23" s="13" t="s">
        <v>546</v>
      </c>
      <c r="AE23" s="400">
        <v>0</v>
      </c>
      <c r="AF23" s="43"/>
      <c r="AG23" s="43"/>
      <c r="AH23" s="528" t="s">
        <v>520</v>
      </c>
      <c r="AI23" s="791"/>
      <c r="AJ23" s="791"/>
      <c r="AK23" s="791"/>
      <c r="AL23" s="529"/>
      <c r="AM23" s="43"/>
      <c r="AN23" s="43"/>
      <c r="AO23" s="390" t="s">
        <v>234</v>
      </c>
      <c r="AP23" s="89">
        <f ca="1">+AP9-1.35*$Z$14</f>
        <v>-1.6012434240000002</v>
      </c>
      <c r="AQ23" s="89">
        <f ca="1">+AQ9-1.35*$Z$14</f>
        <v>-1.1574956160000003</v>
      </c>
      <c r="AR23" s="89">
        <f ca="1">+AR9-1.35*$Z$14</f>
        <v>-0.82468476000000013</v>
      </c>
      <c r="AS23" s="89">
        <f ca="1">+AS9-1.35*$Z$14</f>
        <v>0.61749561600000025</v>
      </c>
      <c r="AT23" s="89">
        <f ca="1">+AT9-1.35*$Z$14</f>
        <v>-0.86018458464000014</v>
      </c>
      <c r="AU23" s="788" t="s">
        <v>247</v>
      </c>
    </row>
    <row r="24" spans="1:51" s="136" customFormat="1" ht="17.100000000000001" customHeight="1">
      <c r="A24" s="13"/>
      <c r="B24" s="119"/>
      <c r="C24" s="745" t="s">
        <v>491</v>
      </c>
      <c r="D24" s="745"/>
      <c r="E24" s="745"/>
      <c r="F24" s="745"/>
      <c r="G24" s="745"/>
      <c r="H24" s="745"/>
      <c r="I24" s="745"/>
      <c r="J24" s="745"/>
      <c r="K24" s="745"/>
      <c r="L24" s="745"/>
      <c r="M24" s="745"/>
      <c r="N24" s="745"/>
      <c r="O24" s="23"/>
      <c r="P24" s="744" t="s">
        <v>492</v>
      </c>
      <c r="Q24" s="745"/>
      <c r="R24" s="745"/>
      <c r="S24" s="745"/>
      <c r="T24" s="745"/>
      <c r="U24" s="745"/>
      <c r="V24" s="745"/>
      <c r="W24" s="745"/>
      <c r="X24" s="745"/>
      <c r="Y24" s="745"/>
      <c r="Z24" s="745"/>
      <c r="AA24" s="745"/>
      <c r="AB24" s="120"/>
      <c r="AC24" s="13"/>
      <c r="AD24" s="13" t="s">
        <v>547</v>
      </c>
      <c r="AE24" s="400">
        <v>1</v>
      </c>
      <c r="AF24" s="43"/>
      <c r="AG24" s="43"/>
      <c r="AH24" s="208"/>
      <c r="AI24" s="66"/>
      <c r="AJ24" s="66"/>
      <c r="AK24" s="66"/>
      <c r="AL24" s="209"/>
      <c r="AM24" s="43"/>
      <c r="AN24" s="43"/>
      <c r="AO24" s="390" t="s">
        <v>235</v>
      </c>
      <c r="AP24" s="89">
        <f ca="1">+AP9-1.35*$Z$15</f>
        <v>-0.92624342400000015</v>
      </c>
      <c r="AQ24" s="89">
        <f ca="1">+AQ9-1.35*$Z$15</f>
        <v>-0.48249561600000024</v>
      </c>
      <c r="AR24" s="89">
        <f ca="1">+AR9-1.35*$Z$15</f>
        <v>-0.14968476000000008</v>
      </c>
      <c r="AS24" s="89">
        <f ca="1">+AS9-1.35*$Z$15</f>
        <v>1.2924956160000003</v>
      </c>
      <c r="AT24" s="89">
        <f ca="1">+AT9-1.35*$Z$15</f>
        <v>-0.18518458464000009</v>
      </c>
      <c r="AU24" s="789"/>
    </row>
    <row r="25" spans="1:51" s="136" customFormat="1" ht="17.100000000000001" customHeight="1">
      <c r="A25" s="13"/>
      <c r="B25" s="119"/>
      <c r="C25" s="573" t="s">
        <v>525</v>
      </c>
      <c r="D25" s="574"/>
      <c r="E25" s="574"/>
      <c r="F25" s="574"/>
      <c r="G25" s="574"/>
      <c r="H25" s="574"/>
      <c r="I25" s="574"/>
      <c r="J25" s="574"/>
      <c r="K25" s="574"/>
      <c r="L25" s="574"/>
      <c r="M25" s="574"/>
      <c r="N25" s="575"/>
      <c r="O25" s="23"/>
      <c r="P25" s="573" t="s">
        <v>525</v>
      </c>
      <c r="Q25" s="574"/>
      <c r="R25" s="574"/>
      <c r="S25" s="574"/>
      <c r="T25" s="574"/>
      <c r="U25" s="574"/>
      <c r="V25" s="574"/>
      <c r="W25" s="574"/>
      <c r="X25" s="574"/>
      <c r="Y25" s="574"/>
      <c r="Z25" s="574"/>
      <c r="AA25" s="575"/>
      <c r="AB25" s="120"/>
      <c r="AC25" s="13"/>
      <c r="AD25" s="210" t="s">
        <v>584</v>
      </c>
      <c r="AE25" s="401" t="s">
        <v>115</v>
      </c>
      <c r="AF25" s="43"/>
      <c r="AG25" s="43"/>
      <c r="AH25" s="390" t="b">
        <f>AND(82&lt;=M13)</f>
        <v>0</v>
      </c>
      <c r="AI25" s="390" t="s">
        <v>243</v>
      </c>
      <c r="AJ25" s="388" t="s">
        <v>246</v>
      </c>
      <c r="AK25" s="388"/>
      <c r="AL25" s="211"/>
      <c r="AO25" s="390"/>
      <c r="AP25" s="89"/>
      <c r="AQ25" s="89"/>
      <c r="AR25" s="89" t="s">
        <v>234</v>
      </c>
      <c r="AS25" s="89">
        <f ca="1">+AS10-AL43*Z14</f>
        <v>0.41512202491107753</v>
      </c>
      <c r="AT25" s="89"/>
      <c r="AU25" s="788" t="s">
        <v>248</v>
      </c>
      <c r="AV25" s="573" t="s">
        <v>637</v>
      </c>
      <c r="AW25" s="574"/>
      <c r="AX25" s="574"/>
      <c r="AY25" s="575"/>
    </row>
    <row r="26" spans="1:51" s="136" customFormat="1" ht="17.100000000000001" customHeight="1">
      <c r="A26" s="13"/>
      <c r="B26" s="119"/>
      <c r="C26" s="716" t="s">
        <v>515</v>
      </c>
      <c r="D26" s="717"/>
      <c r="E26" s="717"/>
      <c r="F26" s="717"/>
      <c r="G26" s="717"/>
      <c r="H26" s="717"/>
      <c r="I26" s="717"/>
      <c r="J26" s="717"/>
      <c r="K26" s="717"/>
      <c r="L26" s="717"/>
      <c r="M26" s="550">
        <f>IF(AH25,"-",'wind pressure'!AN22)</f>
        <v>68</v>
      </c>
      <c r="N26" s="551"/>
      <c r="O26" s="23"/>
      <c r="P26" s="702" t="s">
        <v>640</v>
      </c>
      <c r="Q26" s="703"/>
      <c r="R26" s="703"/>
      <c r="S26" s="703"/>
      <c r="T26" s="703"/>
      <c r="U26" s="703"/>
      <c r="V26" s="703"/>
      <c r="W26" s="703"/>
      <c r="X26" s="703"/>
      <c r="Y26" s="678">
        <f>IF('wind pressure'!$L$10='wind pressure'!$AD$8,"-",AL36)</f>
        <v>1.0502380604918711</v>
      </c>
      <c r="Z26" s="678"/>
      <c r="AA26" s="679"/>
      <c r="AB26" s="120"/>
      <c r="AC26" s="13"/>
      <c r="AD26" s="210" t="s">
        <v>548</v>
      </c>
      <c r="AE26" s="401">
        <v>1</v>
      </c>
      <c r="AF26" s="43"/>
      <c r="AG26" s="43"/>
      <c r="AH26" s="390" t="b">
        <f>AND(M13&lt;82,82&lt;=2*M13)</f>
        <v>1</v>
      </c>
      <c r="AI26" s="390" t="s">
        <v>244</v>
      </c>
      <c r="AJ26" s="72">
        <f>82-IF(AH25=TRUE,82,M13)</f>
        <v>2</v>
      </c>
      <c r="AK26" s="388"/>
      <c r="AL26" s="211"/>
      <c r="AO26" s="390"/>
      <c r="AP26" s="89"/>
      <c r="AQ26" s="89"/>
      <c r="AR26" s="89" t="s">
        <v>235</v>
      </c>
      <c r="AS26" s="89">
        <f ca="1">+AS10-AL43*Z15</f>
        <v>0.86953276602769014</v>
      </c>
      <c r="AT26" s="89"/>
      <c r="AU26" s="790"/>
      <c r="AV26" s="418" t="s">
        <v>40</v>
      </c>
      <c r="AW26" s="800" t="str">
        <f>IF(AN41,"Any wind direction","Wind direction")</f>
        <v>Wind direction</v>
      </c>
      <c r="AX26" s="801"/>
      <c r="AY26" s="802"/>
    </row>
    <row r="27" spans="1:51" s="136" customFormat="1" ht="17.100000000000001" customHeight="1" thickBot="1">
      <c r="A27" s="13"/>
      <c r="B27" s="119"/>
      <c r="C27" s="774" t="s">
        <v>668</v>
      </c>
      <c r="D27" s="715"/>
      <c r="E27" s="715"/>
      <c r="F27" s="715"/>
      <c r="G27" s="715"/>
      <c r="H27" s="715"/>
      <c r="I27" s="715"/>
      <c r="J27" s="715"/>
      <c r="K27" s="715"/>
      <c r="L27" s="715"/>
      <c r="M27" s="550" t="str">
        <f>IF(AH25,"-",input!AL43)</f>
        <v>C</v>
      </c>
      <c r="N27" s="551"/>
      <c r="O27" s="23"/>
      <c r="P27" s="536" t="s">
        <v>639</v>
      </c>
      <c r="Q27" s="537"/>
      <c r="R27" s="537"/>
      <c r="S27" s="537"/>
      <c r="T27" s="537"/>
      <c r="U27" s="537"/>
      <c r="V27" s="537"/>
      <c r="W27" s="537"/>
      <c r="X27" s="537"/>
      <c r="Y27" s="550" t="str">
        <f ca="1">IF('wind pressure'!$L$10='wind pressure'!$AD$8,"-",FIXED(AL35,2)&amp;" / "&amp;FIXED(AL38,2))</f>
        <v>1.39 / 0.87</v>
      </c>
      <c r="Z27" s="550"/>
      <c r="AA27" s="551"/>
      <c r="AB27" s="120"/>
      <c r="AC27" s="13"/>
      <c r="AD27" s="210" t="s">
        <v>549</v>
      </c>
      <c r="AE27" s="401">
        <v>2</v>
      </c>
      <c r="AF27" s="43"/>
      <c r="AG27" s="43"/>
      <c r="AH27" s="391" t="b">
        <f>AND(82&gt;2*M13)</f>
        <v>0</v>
      </c>
      <c r="AI27" s="390" t="s">
        <v>245</v>
      </c>
      <c r="AJ27" s="72">
        <f>82-IF(AH27=TRUE,M13,0)-IF(AH25=TRUE,82,M13)</f>
        <v>2</v>
      </c>
      <c r="AK27" s="388"/>
      <c r="AL27" s="211"/>
      <c r="AR27" s="43"/>
      <c r="AS27" s="7"/>
      <c r="AT27" s="43"/>
      <c r="AU27" s="43"/>
      <c r="AV27" s="419">
        <f ca="1">INDEX('wind pressure'!$J$26:$Q$26,1,IF(AN41,1,2*MATCH(input!$Z$14,input!$AI$24:$AI$27,0)-1))</f>
        <v>0.83499999999999996</v>
      </c>
      <c r="AW27" s="803" t="s">
        <v>638</v>
      </c>
      <c r="AX27" s="804"/>
      <c r="AY27" s="805"/>
    </row>
    <row r="28" spans="1:51" s="136" customFormat="1" ht="17.100000000000001" customHeight="1" thickBot="1">
      <c r="A28" s="13"/>
      <c r="B28" s="119"/>
      <c r="C28" s="714" t="s">
        <v>362</v>
      </c>
      <c r="D28" s="715"/>
      <c r="E28" s="715"/>
      <c r="F28" s="715"/>
      <c r="G28" s="715"/>
      <c r="H28" s="715"/>
      <c r="I28" s="715"/>
      <c r="J28" s="715"/>
      <c r="K28" s="715"/>
      <c r="L28" s="715"/>
      <c r="M28" s="550">
        <f ca="1">IF(AH25,"-",input!AL44)</f>
        <v>0.79320000000000013</v>
      </c>
      <c r="N28" s="551"/>
      <c r="O28" s="23"/>
      <c r="P28" s="536" t="s">
        <v>533</v>
      </c>
      <c r="Q28" s="537"/>
      <c r="R28" s="537"/>
      <c r="S28" s="537"/>
      <c r="T28" s="537"/>
      <c r="U28" s="537"/>
      <c r="V28" s="537"/>
      <c r="W28" s="537"/>
      <c r="X28" s="537"/>
      <c r="Y28" s="776" t="str">
        <f ca="1">IF('wind pressure'!$L$10='wind pressure'!$AD$8,"-",FIXED(AL37,2)&amp;" / "&amp;FIXED(AL39,2))</f>
        <v>0.13 / 1.48</v>
      </c>
      <c r="Z28" s="776"/>
      <c r="AA28" s="777"/>
      <c r="AB28" s="120"/>
      <c r="AC28" s="13"/>
      <c r="AD28" s="210" t="s">
        <v>550</v>
      </c>
      <c r="AE28" s="401">
        <v>45</v>
      </c>
      <c r="AF28" s="43"/>
      <c r="AG28" s="43"/>
      <c r="AH28" s="67">
        <f>MATCH(TRUE,AH25:AH27,0)</f>
        <v>2</v>
      </c>
      <c r="AI28" s="70"/>
      <c r="AJ28" s="212" t="s">
        <v>521</v>
      </c>
      <c r="AK28" s="70"/>
      <c r="AL28" s="211"/>
      <c r="AN28" s="136" t="s">
        <v>513</v>
      </c>
      <c r="AO28" s="467" t="str">
        <f>input!$AI$24</f>
        <v>I</v>
      </c>
      <c r="AR28" s="43"/>
      <c r="AS28" s="7"/>
      <c r="AT28" s="43"/>
      <c r="AU28" s="43"/>
      <c r="AV28" s="419">
        <f>IF(AN40,"-",IF(AN41,'wind pressure'!$J$37,input!Z15))</f>
        <v>15</v>
      </c>
      <c r="AW28" s="803" t="s">
        <v>628</v>
      </c>
      <c r="AX28" s="804"/>
      <c r="AY28" s="805"/>
    </row>
    <row r="29" spans="1:51" s="136" customFormat="1" ht="17.100000000000001" customHeight="1">
      <c r="A29" s="13"/>
      <c r="B29" s="119"/>
      <c r="C29" s="714" t="s">
        <v>364</v>
      </c>
      <c r="D29" s="715"/>
      <c r="E29" s="715"/>
      <c r="F29" s="715"/>
      <c r="G29" s="715"/>
      <c r="H29" s="715"/>
      <c r="I29" s="715"/>
      <c r="J29" s="715"/>
      <c r="K29" s="715"/>
      <c r="L29" s="715"/>
      <c r="M29" s="550">
        <f ca="1">IF(AH25,"-",AJ33)</f>
        <v>1.0350000000000001</v>
      </c>
      <c r="N29" s="551"/>
      <c r="O29" s="23"/>
      <c r="P29" s="536" t="s">
        <v>534</v>
      </c>
      <c r="Q29" s="537"/>
      <c r="R29" s="537"/>
      <c r="S29" s="537"/>
      <c r="T29" s="537"/>
      <c r="U29" s="537"/>
      <c r="V29" s="537"/>
      <c r="W29" s="537"/>
      <c r="X29" s="537"/>
      <c r="Y29" s="776" t="str">
        <f ca="1">FIXED(AL40,2)&amp;" / "&amp;FIXED(AL41,2)</f>
        <v>3.78 / 0.98</v>
      </c>
      <c r="Z29" s="776"/>
      <c r="AA29" s="777"/>
      <c r="AB29" s="120"/>
      <c r="AC29" s="13"/>
      <c r="AD29" s="210" t="s">
        <v>586</v>
      </c>
      <c r="AE29" s="401">
        <v>20</v>
      </c>
      <c r="AF29" s="43"/>
      <c r="AG29" s="43"/>
      <c r="AH29" s="213"/>
      <c r="AI29" s="70"/>
      <c r="AJ29" s="70"/>
      <c r="AK29" s="70"/>
      <c r="AL29" s="214"/>
      <c r="AM29" s="43"/>
      <c r="AN29" s="43"/>
      <c r="AO29" s="468" t="str">
        <f>input!$AI$25</f>
        <v>II</v>
      </c>
      <c r="AP29" s="43"/>
      <c r="AQ29" s="43"/>
      <c r="AR29" s="43"/>
      <c r="AS29" s="7"/>
      <c r="AT29" s="43"/>
      <c r="AU29" s="43"/>
      <c r="AV29" s="420">
        <f>IF(AN40,"-",IF(AN41,'wind pressure'!$J$38,input!Z16))</f>
        <v>10</v>
      </c>
      <c r="AW29" s="806" t="s">
        <v>629</v>
      </c>
      <c r="AX29" s="807"/>
      <c r="AY29" s="808"/>
    </row>
    <row r="30" spans="1:51" s="136" customFormat="1" ht="17.100000000000001" customHeight="1">
      <c r="A30" s="13"/>
      <c r="B30" s="119"/>
      <c r="C30" s="554" t="s">
        <v>292</v>
      </c>
      <c r="D30" s="555"/>
      <c r="E30" s="555"/>
      <c r="F30" s="555"/>
      <c r="G30" s="555"/>
      <c r="H30" s="555"/>
      <c r="I30" s="555"/>
      <c r="J30" s="555"/>
      <c r="K30" s="555"/>
      <c r="L30" s="555"/>
      <c r="M30" s="587">
        <f ca="1">IF(AH25,"-",AL42)</f>
        <v>19.368724102007199</v>
      </c>
      <c r="N30" s="588"/>
      <c r="O30" s="23"/>
      <c r="P30" s="554" t="s">
        <v>535</v>
      </c>
      <c r="Q30" s="555"/>
      <c r="R30" s="555"/>
      <c r="S30" s="555"/>
      <c r="T30" s="555"/>
      <c r="U30" s="555"/>
      <c r="V30" s="555"/>
      <c r="W30" s="555"/>
      <c r="X30" s="555"/>
      <c r="Y30" s="587">
        <f ca="1">AL43</f>
        <v>0.90882148223322512</v>
      </c>
      <c r="Z30" s="587"/>
      <c r="AA30" s="588"/>
      <c r="AB30" s="120"/>
      <c r="AC30" s="13"/>
      <c r="AD30" s="210" t="s">
        <v>585</v>
      </c>
      <c r="AE30" s="401">
        <v>90</v>
      </c>
      <c r="AF30" s="43"/>
      <c r="AG30" s="43"/>
      <c r="AH30" s="786" t="s">
        <v>508</v>
      </c>
      <c r="AI30" s="787"/>
      <c r="AJ30" s="215">
        <f>input!AL40</f>
        <v>80</v>
      </c>
      <c r="AK30" s="70"/>
      <c r="AL30" s="211"/>
      <c r="AO30" s="468" t="str">
        <f>input!$AI$26</f>
        <v>III</v>
      </c>
      <c r="AS30" s="7"/>
      <c r="AT30" s="43"/>
      <c r="AU30" s="43"/>
      <c r="AV30" s="798" t="s">
        <v>633</v>
      </c>
      <c r="AW30" s="798"/>
      <c r="AX30" s="798"/>
      <c r="AY30" s="798"/>
    </row>
    <row r="31" spans="1:51" s="136" customFormat="1" ht="17.100000000000001" customHeight="1">
      <c r="A31" s="13"/>
      <c r="B31" s="119"/>
      <c r="C31" s="775" t="s">
        <v>489</v>
      </c>
      <c r="D31" s="775"/>
      <c r="E31" s="775"/>
      <c r="F31" s="775"/>
      <c r="G31" s="775"/>
      <c r="H31" s="775"/>
      <c r="I31" s="775"/>
      <c r="J31" s="775"/>
      <c r="K31" s="775"/>
      <c r="L31" s="775"/>
      <c r="M31" s="775"/>
      <c r="N31" s="775"/>
      <c r="O31" s="23"/>
      <c r="P31" s="784" t="s">
        <v>489</v>
      </c>
      <c r="Q31" s="784"/>
      <c r="R31" s="784"/>
      <c r="S31" s="784"/>
      <c r="T31" s="784"/>
      <c r="U31" s="784"/>
      <c r="V31" s="784"/>
      <c r="W31" s="784"/>
      <c r="X31" s="784"/>
      <c r="Y31" s="784"/>
      <c r="Z31" s="784"/>
      <c r="AA31" s="784"/>
      <c r="AB31" s="120"/>
      <c r="AC31" s="13"/>
      <c r="AD31" s="210" t="s">
        <v>552</v>
      </c>
      <c r="AE31" s="401" t="s">
        <v>465</v>
      </c>
      <c r="AF31" s="43"/>
      <c r="AG31" s="43"/>
      <c r="AH31" s="786" t="s">
        <v>225</v>
      </c>
      <c r="AI31" s="787"/>
      <c r="AJ31" s="216">
        <f>VLOOKUP(input!$AL$26,input!$AL$27:$AN$30,3,FALSE)</f>
        <v>0.1</v>
      </c>
      <c r="AK31" s="70"/>
      <c r="AL31" s="211"/>
      <c r="AO31" s="469" t="str">
        <f>input!$AI$27</f>
        <v>IV</v>
      </c>
      <c r="AU31" s="43"/>
      <c r="AV31" s="799"/>
      <c r="AW31" s="799"/>
      <c r="AX31" s="799"/>
      <c r="AY31" s="799"/>
    </row>
    <row r="32" spans="1:51" s="136" customFormat="1" ht="17.100000000000001" customHeight="1">
      <c r="A32" s="13"/>
      <c r="B32" s="119"/>
      <c r="C32" s="573" t="s">
        <v>496</v>
      </c>
      <c r="D32" s="574"/>
      <c r="E32" s="574"/>
      <c r="F32" s="574"/>
      <c r="G32" s="574"/>
      <c r="H32" s="574"/>
      <c r="I32" s="574"/>
      <c r="J32" s="574"/>
      <c r="K32" s="574"/>
      <c r="L32" s="574"/>
      <c r="M32" s="574"/>
      <c r="N32" s="574"/>
      <c r="O32" s="574"/>
      <c r="P32" s="574"/>
      <c r="Q32" s="574"/>
      <c r="R32" s="574"/>
      <c r="S32" s="574"/>
      <c r="T32" s="575"/>
      <c r="U32" s="23"/>
      <c r="V32" s="23"/>
      <c r="W32" s="23"/>
      <c r="X32" s="23"/>
      <c r="Y32" s="23"/>
      <c r="Z32" s="23"/>
      <c r="AA32" s="23"/>
      <c r="AB32" s="120"/>
      <c r="AC32" s="13"/>
      <c r="AD32" s="210" t="s">
        <v>553</v>
      </c>
      <c r="AE32" s="401" t="s">
        <v>476</v>
      </c>
      <c r="AF32" s="43"/>
      <c r="AG32" s="43"/>
      <c r="AH32" s="190" t="s">
        <v>505</v>
      </c>
      <c r="AI32" s="191"/>
      <c r="AJ32" s="216">
        <f>AJ30/M13</f>
        <v>1</v>
      </c>
      <c r="AK32" s="212" t="s">
        <v>665</v>
      </c>
      <c r="AL32" s="211"/>
      <c r="AU32" s="43"/>
    </row>
    <row r="33" spans="1:47" s="136" customFormat="1" ht="17.100000000000001" customHeight="1">
      <c r="A33" s="13"/>
      <c r="B33" s="119"/>
      <c r="C33" s="748" t="s">
        <v>385</v>
      </c>
      <c r="D33" s="749"/>
      <c r="E33" s="749"/>
      <c r="F33" s="749"/>
      <c r="G33" s="738" t="s">
        <v>76</v>
      </c>
      <c r="H33" s="738"/>
      <c r="I33" s="738" t="s">
        <v>77</v>
      </c>
      <c r="J33" s="738"/>
      <c r="K33" s="738" t="s">
        <v>80</v>
      </c>
      <c r="L33" s="738"/>
      <c r="M33" s="738" t="s">
        <v>497</v>
      </c>
      <c r="N33" s="738"/>
      <c r="O33" s="738" t="s">
        <v>498</v>
      </c>
      <c r="P33" s="738"/>
      <c r="Q33" s="738" t="s">
        <v>499</v>
      </c>
      <c r="R33" s="738"/>
      <c r="S33" s="738" t="s">
        <v>109</v>
      </c>
      <c r="T33" s="771"/>
      <c r="U33" s="23"/>
      <c r="V33" s="23"/>
      <c r="W33" s="23"/>
      <c r="X33" s="23"/>
      <c r="Y33" s="23"/>
      <c r="Z33" s="23"/>
      <c r="AA33" s="23"/>
      <c r="AB33" s="120"/>
      <c r="AC33" s="13"/>
      <c r="AD33" s="210" t="s">
        <v>551</v>
      </c>
      <c r="AE33" s="402">
        <v>0.5</v>
      </c>
      <c r="AF33" s="43"/>
      <c r="AG33" s="43"/>
      <c r="AH33" s="785" t="s">
        <v>507</v>
      </c>
      <c r="AI33" s="785"/>
      <c r="AJ33" s="215">
        <f ca="1">INDEX(input!$AN$33:$AQ$33,1,input!$AL$26)</f>
        <v>1.0350000000000001</v>
      </c>
      <c r="AK33" s="70"/>
      <c r="AL33" s="211"/>
      <c r="AU33" s="43"/>
    </row>
    <row r="34" spans="1:47" s="136" customFormat="1" ht="17.100000000000001" customHeight="1">
      <c r="A34" s="13"/>
      <c r="B34" s="119"/>
      <c r="C34" s="718" t="s">
        <v>418</v>
      </c>
      <c r="D34" s="719"/>
      <c r="E34" s="719"/>
      <c r="F34" s="719"/>
      <c r="G34" s="711">
        <f>VLOOKUP(TRUE,AI14:AT18,3,FALSE)</f>
        <v>-1.2</v>
      </c>
      <c r="H34" s="711"/>
      <c r="I34" s="711">
        <f>IF(AM7&gt;1,VLOOKUP(TRUE,AI14:AT18,4,FALSE),"-")</f>
        <v>-0.8</v>
      </c>
      <c r="J34" s="711"/>
      <c r="K34" s="711" t="str">
        <f>IF(AM7=3,VLOOKUP(TRUE,AI14:AT18,5,FALSE),"-")</f>
        <v>-</v>
      </c>
      <c r="L34" s="711"/>
      <c r="M34" s="711">
        <f>IF(AH28&gt;1,VLOOKUP(TRUE,AI14:AT18,6,FALSE),"-")</f>
        <v>0.8</v>
      </c>
      <c r="N34" s="711"/>
      <c r="O34" s="711" t="str">
        <f>IF(AH28=3,Q34,"-")</f>
        <v>-</v>
      </c>
      <c r="P34" s="711"/>
      <c r="Q34" s="711">
        <f>VLOOKUP(TRUE,AI14:AT18,6,FALSE)</f>
        <v>0.8</v>
      </c>
      <c r="R34" s="711"/>
      <c r="S34" s="711">
        <f>VLOOKUP(TRUE,AI14:AT18,7,FALSE)</f>
        <v>-0.53200000000000003</v>
      </c>
      <c r="T34" s="712"/>
      <c r="U34" s="23"/>
      <c r="V34" s="23"/>
      <c r="W34" s="23"/>
      <c r="X34" s="23"/>
      <c r="Y34" s="23"/>
      <c r="Z34" s="23"/>
      <c r="AA34" s="23"/>
      <c r="AB34" s="120"/>
      <c r="AC34" s="13"/>
      <c r="AD34" s="43" t="s">
        <v>587</v>
      </c>
      <c r="AE34" s="43"/>
      <c r="AF34" s="43"/>
      <c r="AG34" s="43"/>
      <c r="AH34" s="213"/>
      <c r="AI34" s="70"/>
      <c r="AJ34" s="70"/>
      <c r="AK34" s="70"/>
      <c r="AL34" s="211"/>
      <c r="AU34" s="43"/>
    </row>
    <row r="35" spans="1:47" s="136" customFormat="1" ht="17.100000000000001" customHeight="1">
      <c r="A35" s="13"/>
      <c r="B35" s="119"/>
      <c r="C35" s="750" t="s">
        <v>422</v>
      </c>
      <c r="D35" s="751"/>
      <c r="E35" s="751"/>
      <c r="F35" s="751"/>
      <c r="G35" s="746">
        <f ca="1">AP9</f>
        <v>-1.3312434240000002</v>
      </c>
      <c r="H35" s="746"/>
      <c r="I35" s="746">
        <f ca="1">IF(AM7&gt;1,AQ9,"-")</f>
        <v>-0.88749561600000026</v>
      </c>
      <c r="J35" s="746"/>
      <c r="K35" s="746" t="str">
        <f>IF(AM7=3,AR9,"-")</f>
        <v>-</v>
      </c>
      <c r="L35" s="746"/>
      <c r="M35" s="746">
        <f ca="1">IF(AH28&gt;1,AS10,"-")</f>
        <v>0.59688632135772257</v>
      </c>
      <c r="N35" s="746"/>
      <c r="O35" s="746" t="str">
        <f>IF(AH28=3,"linear","-")</f>
        <v>-</v>
      </c>
      <c r="P35" s="746"/>
      <c r="Q35" s="746">
        <f ca="1">AS9</f>
        <v>0.88749561600000026</v>
      </c>
      <c r="R35" s="746"/>
      <c r="S35" s="746">
        <f ca="1">AT9</f>
        <v>-0.59018458464000012</v>
      </c>
      <c r="T35" s="747"/>
      <c r="U35" s="23"/>
      <c r="V35" s="23"/>
      <c r="W35" s="23"/>
      <c r="X35" s="23"/>
      <c r="Y35" s="23"/>
      <c r="Z35" s="23"/>
      <c r="AA35" s="23"/>
      <c r="AB35" s="120"/>
      <c r="AC35" s="13"/>
      <c r="AD35" s="43" t="s">
        <v>588</v>
      </c>
      <c r="AE35" s="43"/>
      <c r="AF35" s="43"/>
      <c r="AG35" s="43"/>
      <c r="AH35" s="781" t="s">
        <v>57</v>
      </c>
      <c r="AI35" s="782"/>
      <c r="AJ35" s="783"/>
      <c r="AK35" s="216" t="s">
        <v>58</v>
      </c>
      <c r="AL35" s="217">
        <f ca="1">VLOOKUP(15,'wind pressure'!$AW$3:$FN$103,119,TRUE)</f>
        <v>1.393743031079782</v>
      </c>
      <c r="AS35" s="7"/>
      <c r="AT35" s="43"/>
      <c r="AU35" s="43"/>
    </row>
    <row r="36" spans="1:47" s="136" customFormat="1" ht="17.100000000000001" customHeight="1">
      <c r="A36" s="13"/>
      <c r="B36" s="119"/>
      <c r="C36" s="756" t="s">
        <v>502</v>
      </c>
      <c r="D36" s="757"/>
      <c r="E36" s="757"/>
      <c r="F36" s="757"/>
      <c r="G36" s="757"/>
      <c r="H36" s="757"/>
      <c r="I36" s="757"/>
      <c r="J36" s="757"/>
      <c r="K36" s="757"/>
      <c r="L36" s="757"/>
      <c r="M36" s="757"/>
      <c r="N36" s="757"/>
      <c r="O36" s="757"/>
      <c r="P36" s="757"/>
      <c r="Q36" s="757"/>
      <c r="R36" s="757"/>
      <c r="S36" s="757"/>
      <c r="T36" s="757"/>
      <c r="U36" s="792" t="s">
        <v>455</v>
      </c>
      <c r="V36" s="793"/>
      <c r="W36" s="793"/>
      <c r="X36" s="794"/>
      <c r="Y36" s="23"/>
      <c r="Z36" s="23"/>
      <c r="AA36" s="23"/>
      <c r="AB36" s="120"/>
      <c r="AC36" s="13"/>
      <c r="AD36" s="43"/>
      <c r="AE36" s="43"/>
      <c r="AF36" s="43"/>
      <c r="AG36" s="43"/>
      <c r="AH36" s="765" t="s">
        <v>86</v>
      </c>
      <c r="AI36" s="766"/>
      <c r="AJ36" s="767"/>
      <c r="AK36" s="216" t="s">
        <v>199</v>
      </c>
      <c r="AL36" s="217">
        <f>VLOOKUP(TRUE,'wind pressure'!$AN$35:$AO$37,2,FALSE)</f>
        <v>1.0502380604918711</v>
      </c>
      <c r="AS36" s="7"/>
      <c r="AT36" s="43"/>
      <c r="AU36" s="43"/>
    </row>
    <row r="37" spans="1:47" s="136" customFormat="1" ht="17.100000000000001" customHeight="1">
      <c r="A37" s="13"/>
      <c r="B37" s="119"/>
      <c r="C37" s="752" t="s">
        <v>393</v>
      </c>
      <c r="D37" s="753"/>
      <c r="E37" s="753"/>
      <c r="F37" s="753"/>
      <c r="G37" s="711">
        <f ca="1">AP23</f>
        <v>-1.6012434240000002</v>
      </c>
      <c r="H37" s="711"/>
      <c r="I37" s="711">
        <f ca="1">IF(AM7&gt;1,AQ23,"-")</f>
        <v>-1.1574956160000003</v>
      </c>
      <c r="J37" s="711"/>
      <c r="K37" s="711" t="str">
        <f>IF(AM7=3,AR23,"-")</f>
        <v>-</v>
      </c>
      <c r="L37" s="711"/>
      <c r="M37" s="711">
        <f ca="1">IF(AH28&gt;1,AS25,"-")</f>
        <v>0.41512202491107753</v>
      </c>
      <c r="N37" s="711"/>
      <c r="O37" s="711" t="str">
        <f>IF(AH28=3,"linear","-")</f>
        <v>-</v>
      </c>
      <c r="P37" s="711"/>
      <c r="Q37" s="711">
        <f ca="1">AS23</f>
        <v>0.61749561600000025</v>
      </c>
      <c r="R37" s="711"/>
      <c r="S37" s="711">
        <f ca="1">AT23</f>
        <v>-0.86018458464000014</v>
      </c>
      <c r="T37" s="711"/>
      <c r="U37" s="795" t="str">
        <f>"case I =   "&amp;FIXED(Z14,3)</f>
        <v>case I =   0.200</v>
      </c>
      <c r="V37" s="711"/>
      <c r="W37" s="711"/>
      <c r="X37" s="712"/>
      <c r="Y37" s="23"/>
      <c r="Z37" s="23"/>
      <c r="AA37" s="23"/>
      <c r="AB37" s="120"/>
      <c r="AC37" s="13"/>
      <c r="AD37" s="43"/>
      <c r="AE37" s="43"/>
      <c r="AF37" s="43"/>
      <c r="AG37" s="43"/>
      <c r="AH37" s="765" t="s">
        <v>201</v>
      </c>
      <c r="AI37" s="766"/>
      <c r="AJ37" s="767"/>
      <c r="AK37" s="216" t="s">
        <v>203</v>
      </c>
      <c r="AL37" s="3">
        <f ca="1">VLOOKUP(15,'wind pressure'!$AW$212:$FN$312,119,TRUE)</f>
        <v>0.13176107016981739</v>
      </c>
      <c r="AM37" s="43"/>
      <c r="AN37" s="43"/>
      <c r="AT37" s="43"/>
      <c r="AU37" s="43"/>
    </row>
    <row r="38" spans="1:47" s="136" customFormat="1" ht="17.100000000000001" customHeight="1">
      <c r="A38" s="13"/>
      <c r="B38" s="119"/>
      <c r="C38" s="754" t="s">
        <v>393</v>
      </c>
      <c r="D38" s="755"/>
      <c r="E38" s="755"/>
      <c r="F38" s="755"/>
      <c r="G38" s="768">
        <f ca="1">AP24</f>
        <v>-0.92624342400000015</v>
      </c>
      <c r="H38" s="768"/>
      <c r="I38" s="768">
        <f ca="1">IF(AM7&gt;1,AQ24,"-")</f>
        <v>-0.48249561600000024</v>
      </c>
      <c r="J38" s="768"/>
      <c r="K38" s="768" t="str">
        <f>IF(AM7=3,AR24,"-")</f>
        <v>-</v>
      </c>
      <c r="L38" s="768"/>
      <c r="M38" s="768">
        <f ca="1">IF(AH28&gt;1,AS26,"-")</f>
        <v>0.86953276602769014</v>
      </c>
      <c r="N38" s="768"/>
      <c r="O38" s="768" t="str">
        <f>IF(AH28=3,"change","-")</f>
        <v>-</v>
      </c>
      <c r="P38" s="768"/>
      <c r="Q38" s="768">
        <f ca="1">AS24</f>
        <v>1.2924956160000003</v>
      </c>
      <c r="R38" s="768"/>
      <c r="S38" s="768">
        <f ca="1">AT24</f>
        <v>-0.18518458464000009</v>
      </c>
      <c r="T38" s="768"/>
      <c r="U38" s="796" t="str">
        <f>"case II =   "&amp;FIXED(Z15,3)</f>
        <v>case II =   -0.300</v>
      </c>
      <c r="V38" s="768"/>
      <c r="W38" s="768"/>
      <c r="X38" s="797"/>
      <c r="Y38" s="23"/>
      <c r="Z38" s="23"/>
      <c r="AA38" s="23"/>
      <c r="AB38" s="120"/>
      <c r="AC38" s="13"/>
      <c r="AD38" s="43"/>
      <c r="AE38" s="43"/>
      <c r="AF38" s="43"/>
      <c r="AG38" s="43"/>
      <c r="AH38" s="765" t="s">
        <v>532</v>
      </c>
      <c r="AI38" s="766"/>
      <c r="AJ38" s="767"/>
      <c r="AK38" s="215" t="s">
        <v>207</v>
      </c>
      <c r="AL38" s="393">
        <f ca="1">VLOOKUP($AN$39,'wind pressure'!AR25:AS26,2,FALSE)</f>
        <v>0.87190733739186166</v>
      </c>
      <c r="AM38" s="43"/>
      <c r="AN38" s="43"/>
      <c r="AT38" s="43"/>
      <c r="AU38" s="43"/>
    </row>
    <row r="39" spans="1:47" s="136" customFormat="1" ht="17.100000000000001" customHeight="1">
      <c r="A39" s="13"/>
      <c r="B39" s="119"/>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120"/>
      <c r="AC39" s="13"/>
      <c r="AD39" s="43"/>
      <c r="AE39" s="43"/>
      <c r="AF39" s="43"/>
      <c r="AG39" s="43"/>
      <c r="AH39" s="765" t="s">
        <v>204</v>
      </c>
      <c r="AI39" s="766"/>
      <c r="AJ39" s="767"/>
      <c r="AK39" s="216" t="s">
        <v>210</v>
      </c>
      <c r="AL39" s="393">
        <f ca="1">VLOOKUP($AN$39,'wind pressure'!AR27:AS28,2,FALSE)</f>
        <v>1.4816094520986864</v>
      </c>
      <c r="AM39" s="43" t="s">
        <v>641</v>
      </c>
      <c r="AN39" s="43">
        <f>MATCH($Y$9,'wind pressure'!$AK$4:$AK$5)</f>
        <v>2</v>
      </c>
      <c r="AT39" s="43"/>
      <c r="AU39" s="43"/>
    </row>
    <row r="40" spans="1:47" s="136" customFormat="1" ht="17.100000000000001" customHeight="1">
      <c r="A40" s="13"/>
      <c r="B40" s="119"/>
      <c r="C40" s="573" t="s">
        <v>488</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5"/>
      <c r="AB40" s="120"/>
      <c r="AC40" s="13"/>
      <c r="AD40" s="43"/>
      <c r="AE40" s="43"/>
      <c r="AF40" s="43"/>
      <c r="AG40" s="43"/>
      <c r="AH40" s="765" t="s">
        <v>61</v>
      </c>
      <c r="AI40" s="766"/>
      <c r="AJ40" s="767"/>
      <c r="AK40" s="216" t="s">
        <v>200</v>
      </c>
      <c r="AL40" s="3">
        <f ca="1">VLOOKUP(15,'wind pressure'!$AW$108:$FN$208,119,TRUE)</f>
        <v>3.7811953860942005</v>
      </c>
      <c r="AM40" s="43" t="s">
        <v>636</v>
      </c>
      <c r="AN40" s="43" t="b">
        <f>'wind pressure'!$L$12='wind pressure'!AD14</f>
        <v>0</v>
      </c>
      <c r="AT40" s="43"/>
      <c r="AU40" s="43"/>
    </row>
    <row r="41" spans="1:47" s="136" customFormat="1" ht="17.100000000000001" customHeight="1">
      <c r="A41" s="13"/>
      <c r="B41" s="119"/>
      <c r="C41" s="35"/>
      <c r="D41" s="36"/>
      <c r="E41" s="36"/>
      <c r="F41" s="36"/>
      <c r="G41" s="36"/>
      <c r="H41" s="36"/>
      <c r="I41" s="36"/>
      <c r="J41" s="36"/>
      <c r="K41" s="36"/>
      <c r="L41" s="36"/>
      <c r="M41" s="36"/>
      <c r="N41" s="36"/>
      <c r="O41" s="36"/>
      <c r="P41" s="36"/>
      <c r="Q41" s="36"/>
      <c r="R41" s="36"/>
      <c r="S41" s="36"/>
      <c r="T41" s="36"/>
      <c r="U41" s="36"/>
      <c r="V41" s="36"/>
      <c r="W41" s="36"/>
      <c r="X41" s="36"/>
      <c r="Y41" s="36"/>
      <c r="Z41" s="36"/>
      <c r="AA41" s="37"/>
      <c r="AB41" s="120"/>
      <c r="AC41" s="13"/>
      <c r="AD41" s="43"/>
      <c r="AE41" s="43"/>
      <c r="AF41" s="43"/>
      <c r="AG41" s="43"/>
      <c r="AH41" s="765" t="s">
        <v>531</v>
      </c>
      <c r="AI41" s="766"/>
      <c r="AJ41" s="767"/>
      <c r="AK41" s="216" t="s">
        <v>190</v>
      </c>
      <c r="AL41" s="393">
        <f ca="1">VLOOKUP($AN$39,'wind pressure'!AR29:AS30,2,FALSE)</f>
        <v>0.9817441525152194</v>
      </c>
      <c r="AM41" s="43" t="s">
        <v>635</v>
      </c>
      <c r="AN41" s="43" t="b">
        <f>'wind pressure'!$L$11='wind pressure'!$AD$11</f>
        <v>0</v>
      </c>
      <c r="AT41" s="43"/>
      <c r="AU41" s="43"/>
    </row>
    <row r="42" spans="1:47" s="136" customFormat="1" ht="17.100000000000001" customHeight="1" thickBot="1">
      <c r="A42" s="13"/>
      <c r="B42" s="119"/>
      <c r="C42" s="25"/>
      <c r="D42" s="26"/>
      <c r="E42" s="737" t="str">
        <f>"b = "&amp;FIXED(M13,2)&amp;"m"</f>
        <v>b = 80.00m</v>
      </c>
      <c r="F42" s="737"/>
      <c r="G42" s="737"/>
      <c r="H42" s="737"/>
      <c r="I42" s="26"/>
      <c r="J42" s="737" t="str">
        <f>E42</f>
        <v>b = 80.00m</v>
      </c>
      <c r="K42" s="737"/>
      <c r="L42" s="737"/>
      <c r="M42" s="737"/>
      <c r="N42" s="26"/>
      <c r="O42" s="26"/>
      <c r="P42" s="26"/>
      <c r="Q42" s="26"/>
      <c r="R42" s="780" t="str">
        <f>IF(AM7&gt;1,"d1","d")&amp;" = "&amp;FIXED(AJ7,2)&amp;"m"</f>
        <v>d1 = 16.00m</v>
      </c>
      <c r="S42" s="780"/>
      <c r="T42" s="780"/>
      <c r="U42" s="550" t="str">
        <f>IF(AM7&gt;1,"d2 = "&amp;FIXED(AK7,2)&amp;"m","")</f>
        <v>d2 = 34.00m</v>
      </c>
      <c r="V42" s="550"/>
      <c r="W42" s="550"/>
      <c r="X42" s="550" t="str">
        <f>IF(AM7=3,"d3 = "&amp;FIXED(AL7,2)&amp;"m","")</f>
        <v/>
      </c>
      <c r="Y42" s="550"/>
      <c r="Z42" s="550"/>
      <c r="AA42" s="38"/>
      <c r="AB42" s="120"/>
      <c r="AC42" s="13"/>
      <c r="AD42" s="43"/>
      <c r="AE42" s="43"/>
      <c r="AF42" s="43"/>
      <c r="AG42" s="43"/>
      <c r="AH42" s="781" t="s">
        <v>526</v>
      </c>
      <c r="AI42" s="782"/>
      <c r="AJ42" s="783"/>
      <c r="AK42" s="216" t="s">
        <v>527</v>
      </c>
      <c r="AL42" s="217">
        <f ca="1">INDEX('wind pressure'!$AR$17:$AU$17,1,IF(AN41,1,MATCH($AV$26,$AO$28:$AO$31,0)))</f>
        <v>19.368724102007199</v>
      </c>
      <c r="AM42" s="154" t="s">
        <v>634</v>
      </c>
      <c r="AN42" s="43" t="b">
        <f>'wind pressure'!$L$10='wind pressure'!$AD$8</f>
        <v>0</v>
      </c>
      <c r="AT42" s="43"/>
      <c r="AU42" s="43"/>
    </row>
    <row r="43" spans="1:47" s="136" customFormat="1" ht="17.100000000000001" customHeight="1">
      <c r="A43" s="13"/>
      <c r="B43" s="119"/>
      <c r="C43" s="25"/>
      <c r="D43" s="741" t="str">
        <f>IF(AH28=2,"h2 = "&amp;FIXED(AJ26,2)&amp;"m",IF(AH28=3,"h3 = "&amp;FIXED($M$13,2)&amp;"m",""))</f>
        <v>h2 = 2.00m</v>
      </c>
      <c r="E43" s="721" t="str">
        <f>IF(AH28&gt;1,"Zone D (upper)","")</f>
        <v>Zone D (upper)</v>
      </c>
      <c r="F43" s="722"/>
      <c r="G43" s="722"/>
      <c r="H43" s="723"/>
      <c r="I43" s="26"/>
      <c r="J43" s="721" t="s">
        <v>495</v>
      </c>
      <c r="K43" s="722"/>
      <c r="L43" s="722"/>
      <c r="M43" s="723"/>
      <c r="N43" s="26"/>
      <c r="O43" s="26"/>
      <c r="P43" s="26"/>
      <c r="Q43" s="778" t="str">
        <f>"h = "&amp;FIXED($M$15,2)&amp;"m"</f>
        <v>h = 82.00m</v>
      </c>
      <c r="R43" s="721" t="s">
        <v>394</v>
      </c>
      <c r="S43" s="722"/>
      <c r="T43" s="723"/>
      <c r="U43" s="721" t="str">
        <f>IF(AM7&gt;1,"Zone B","")</f>
        <v>Zone B</v>
      </c>
      <c r="V43" s="722"/>
      <c r="W43" s="723"/>
      <c r="X43" s="722" t="str">
        <f>IF(AM7=3,"Zone C","")</f>
        <v/>
      </c>
      <c r="Y43" s="722"/>
      <c r="Z43" s="723"/>
      <c r="AA43" s="38"/>
      <c r="AB43" s="120"/>
      <c r="AC43" s="13"/>
      <c r="AD43" s="43"/>
      <c r="AE43" s="43"/>
      <c r="AF43" s="43"/>
      <c r="AG43" s="43"/>
      <c r="AH43" s="762" t="s">
        <v>59</v>
      </c>
      <c r="AI43" s="763"/>
      <c r="AJ43" s="764"/>
      <c r="AK43" s="215" t="s">
        <v>60</v>
      </c>
      <c r="AL43" s="194">
        <f ca="1">IF('wind pressure'!$L$10='wind pressure'!$AD$8,AL40*AL41*0.613*AL42^2/1000,IF('wind pressure'!AN22&lt;=50,AL40*AL41*((AL36+0.6)/1.6)^2*0.613*AL42^2/1000,(1+3*AL37*AL39/AL36)^2*0.613*(AL35*AL36*AL38*AL42)^2/1000))</f>
        <v>0.90882148223322512</v>
      </c>
      <c r="AM43" s="43"/>
      <c r="AN43" s="43"/>
      <c r="AT43" s="43"/>
      <c r="AU43" s="43"/>
    </row>
    <row r="44" spans="1:47" s="136" customFormat="1" ht="17.100000000000001" customHeight="1">
      <c r="A44" s="13"/>
      <c r="B44" s="119"/>
      <c r="C44" s="25"/>
      <c r="D44" s="741"/>
      <c r="E44" s="724"/>
      <c r="F44" s="725"/>
      <c r="G44" s="725"/>
      <c r="H44" s="726"/>
      <c r="I44" s="26"/>
      <c r="J44" s="724"/>
      <c r="K44" s="725"/>
      <c r="L44" s="725"/>
      <c r="M44" s="726"/>
      <c r="N44" s="26"/>
      <c r="O44" s="26"/>
      <c r="P44" s="26"/>
      <c r="Q44" s="778"/>
      <c r="R44" s="724"/>
      <c r="S44" s="725"/>
      <c r="T44" s="726"/>
      <c r="U44" s="724"/>
      <c r="V44" s="725"/>
      <c r="W44" s="726"/>
      <c r="X44" s="725"/>
      <c r="Y44" s="725"/>
      <c r="Z44" s="726"/>
      <c r="AA44" s="38"/>
      <c r="AB44" s="120"/>
      <c r="AC44" s="13"/>
      <c r="AD44" s="43"/>
      <c r="AE44" s="43"/>
      <c r="AF44" s="43"/>
      <c r="AG44" s="43"/>
      <c r="AM44" s="43"/>
      <c r="AN44" s="43"/>
      <c r="AT44" s="43"/>
      <c r="AU44" s="43"/>
    </row>
    <row r="45" spans="1:47" s="136" customFormat="1" ht="17.100000000000001" customHeight="1">
      <c r="A45" s="13"/>
      <c r="B45" s="119"/>
      <c r="C45" s="25"/>
      <c r="D45" s="741"/>
      <c r="E45" s="727" t="str">
        <f ca="1">IF(AH28&gt;1,FIXED(X23,3)&amp;" kN/m2","")</f>
        <v>1.292 kN/m2</v>
      </c>
      <c r="F45" s="728"/>
      <c r="G45" s="728"/>
      <c r="H45" s="729"/>
      <c r="I45" s="26"/>
      <c r="J45" s="724"/>
      <c r="K45" s="725"/>
      <c r="L45" s="725"/>
      <c r="M45" s="726"/>
      <c r="N45" s="26"/>
      <c r="O45" s="26"/>
      <c r="P45" s="26"/>
      <c r="Q45" s="778"/>
      <c r="R45" s="724"/>
      <c r="S45" s="725"/>
      <c r="T45" s="726"/>
      <c r="U45" s="724"/>
      <c r="V45" s="725"/>
      <c r="W45" s="726"/>
      <c r="X45" s="725"/>
      <c r="Y45" s="725"/>
      <c r="Z45" s="726"/>
      <c r="AA45" s="38"/>
      <c r="AB45" s="120"/>
      <c r="AC45" s="13"/>
      <c r="AD45" s="43"/>
      <c r="AE45" s="43"/>
      <c r="AF45" s="43"/>
      <c r="AG45" s="43"/>
      <c r="AH45" s="43"/>
      <c r="AI45" s="43"/>
      <c r="AJ45" s="43"/>
      <c r="AK45" s="43"/>
      <c r="AL45" s="43"/>
      <c r="AM45" s="43"/>
      <c r="AN45" s="43"/>
      <c r="AO45" s="43"/>
      <c r="AP45" s="43"/>
      <c r="AQ45" s="43"/>
      <c r="AR45" s="43"/>
      <c r="AS45" s="7"/>
      <c r="AT45" s="43"/>
      <c r="AU45" s="43"/>
    </row>
    <row r="46" spans="1:47" s="136" customFormat="1" ht="17.100000000000001" customHeight="1" thickBot="1">
      <c r="A46" s="13"/>
      <c r="B46" s="119"/>
      <c r="C46" s="25"/>
      <c r="D46" s="741"/>
      <c r="E46" s="727"/>
      <c r="F46" s="728"/>
      <c r="G46" s="728"/>
      <c r="H46" s="729"/>
      <c r="I46" s="26"/>
      <c r="J46" s="724"/>
      <c r="K46" s="725"/>
      <c r="L46" s="725"/>
      <c r="M46" s="726"/>
      <c r="N46" s="26"/>
      <c r="O46" s="26"/>
      <c r="P46" s="26"/>
      <c r="Q46" s="778"/>
      <c r="R46" s="724"/>
      <c r="S46" s="725"/>
      <c r="T46" s="726"/>
      <c r="U46" s="724"/>
      <c r="V46" s="725"/>
      <c r="W46" s="726"/>
      <c r="X46" s="725"/>
      <c r="Y46" s="725"/>
      <c r="Z46" s="726"/>
      <c r="AA46" s="38"/>
      <c r="AB46" s="120"/>
      <c r="AC46" s="13"/>
      <c r="AD46" s="43"/>
      <c r="AE46" s="43"/>
      <c r="AF46" s="43"/>
      <c r="AG46" s="43"/>
      <c r="AH46" s="43"/>
      <c r="AI46" s="43"/>
      <c r="AJ46" s="43"/>
      <c r="AK46" s="43"/>
      <c r="AL46" s="43"/>
      <c r="AM46" s="43"/>
      <c r="AN46" s="43"/>
      <c r="AO46" s="43"/>
      <c r="AP46" s="43"/>
      <c r="AQ46" s="43"/>
      <c r="AR46" s="43"/>
      <c r="AS46" s="7"/>
      <c r="AT46" s="43"/>
      <c r="AU46" s="43"/>
    </row>
    <row r="47" spans="1:47" s="136" customFormat="1" ht="17.100000000000001" customHeight="1">
      <c r="A47" s="13"/>
      <c r="B47" s="119"/>
      <c r="C47" s="25"/>
      <c r="D47" s="741"/>
      <c r="E47" s="721" t="str">
        <f>IF(AH28=3,"Zone D (middle)","")</f>
        <v/>
      </c>
      <c r="F47" s="722"/>
      <c r="G47" s="722"/>
      <c r="H47" s="723"/>
      <c r="I47" s="26"/>
      <c r="J47" s="724"/>
      <c r="K47" s="725"/>
      <c r="L47" s="725"/>
      <c r="M47" s="726"/>
      <c r="N47" s="26"/>
      <c r="O47" s="26"/>
      <c r="P47" s="26"/>
      <c r="Q47" s="778"/>
      <c r="R47" s="724"/>
      <c r="S47" s="725"/>
      <c r="T47" s="726"/>
      <c r="U47" s="724"/>
      <c r="V47" s="725"/>
      <c r="W47" s="726"/>
      <c r="X47" s="725"/>
      <c r="Y47" s="725"/>
      <c r="Z47" s="726"/>
      <c r="AA47" s="38"/>
      <c r="AB47" s="120"/>
      <c r="AC47" s="13"/>
      <c r="AD47" s="43"/>
      <c r="AE47" s="43"/>
      <c r="AF47" s="43"/>
      <c r="AG47" s="43"/>
      <c r="AH47" s="43"/>
      <c r="AI47" s="43"/>
      <c r="AJ47" s="43"/>
      <c r="AK47" s="43"/>
      <c r="AL47" s="43"/>
      <c r="AM47" s="43"/>
      <c r="AN47" s="43"/>
      <c r="AO47" s="43"/>
      <c r="AP47" s="43"/>
      <c r="AQ47" s="43"/>
      <c r="AR47" s="43"/>
      <c r="AS47" s="7"/>
      <c r="AT47" s="43"/>
      <c r="AU47" s="43"/>
    </row>
    <row r="48" spans="1:47" s="136" customFormat="1" ht="17.100000000000001" customHeight="1">
      <c r="A48" s="13"/>
      <c r="B48" s="119"/>
      <c r="C48" s="25"/>
      <c r="D48" s="742" t="str">
        <f>IF(AH28=2,"h1 = "&amp;FIXED(M13,2)&amp;"m",IF(AH28=3,"h2 = "&amp;FIXED(AJ27,2)&amp;"m","h = "&amp;FIXED($M$15,2)&amp;"m"))</f>
        <v>h1 = 80.00m</v>
      </c>
      <c r="E48" s="724"/>
      <c r="F48" s="725"/>
      <c r="G48" s="725"/>
      <c r="H48" s="726"/>
      <c r="I48" s="26"/>
      <c r="J48" s="724"/>
      <c r="K48" s="725"/>
      <c r="L48" s="725"/>
      <c r="M48" s="726"/>
      <c r="N48" s="26"/>
      <c r="O48" s="26"/>
      <c r="P48" s="26"/>
      <c r="Q48" s="778"/>
      <c r="R48" s="724"/>
      <c r="S48" s="725"/>
      <c r="T48" s="726"/>
      <c r="U48" s="724"/>
      <c r="V48" s="725"/>
      <c r="W48" s="726"/>
      <c r="X48" s="725"/>
      <c r="Y48" s="725"/>
      <c r="Z48" s="726"/>
      <c r="AA48" s="38"/>
      <c r="AB48" s="120"/>
      <c r="AC48" s="13"/>
      <c r="AD48" s="43"/>
      <c r="AE48" s="43"/>
      <c r="AF48" s="43"/>
      <c r="AG48" s="43"/>
      <c r="AH48" s="43"/>
      <c r="AI48" s="43"/>
      <c r="AJ48" s="43"/>
      <c r="AK48" s="43"/>
      <c r="AL48" s="43"/>
      <c r="AM48" s="43"/>
      <c r="AN48" s="43"/>
      <c r="AO48" s="43"/>
      <c r="AP48" s="43"/>
      <c r="AQ48" s="43"/>
      <c r="AR48" s="43"/>
      <c r="AS48" s="7"/>
      <c r="AT48" s="43"/>
      <c r="AU48" s="43"/>
    </row>
    <row r="49" spans="1:47" s="136" customFormat="1" ht="17.100000000000001" customHeight="1">
      <c r="A49" s="13"/>
      <c r="B49" s="119"/>
      <c r="C49" s="25"/>
      <c r="D49" s="742"/>
      <c r="E49" s="724" t="str">
        <f>IF(AH28=1,"Zone D",IF(AH28=2,"Zone D (lower)","Linear change"))</f>
        <v>Zone D (lower)</v>
      </c>
      <c r="F49" s="725"/>
      <c r="G49" s="725"/>
      <c r="H49" s="726"/>
      <c r="I49" s="26"/>
      <c r="J49" s="724"/>
      <c r="K49" s="725"/>
      <c r="L49" s="725"/>
      <c r="M49" s="726"/>
      <c r="N49" s="26"/>
      <c r="O49" s="26"/>
      <c r="P49" s="26"/>
      <c r="Q49" s="778"/>
      <c r="R49" s="724"/>
      <c r="S49" s="725"/>
      <c r="T49" s="726"/>
      <c r="U49" s="724"/>
      <c r="V49" s="725"/>
      <c r="W49" s="726"/>
      <c r="X49" s="725"/>
      <c r="Y49" s="725"/>
      <c r="Z49" s="726"/>
      <c r="AA49" s="38"/>
      <c r="AB49" s="120"/>
      <c r="AC49" s="13"/>
      <c r="AD49" s="43"/>
      <c r="AE49" s="43"/>
      <c r="AF49" s="43"/>
      <c r="AG49" s="43"/>
      <c r="AH49" s="43"/>
      <c r="AI49" s="43"/>
      <c r="AJ49" s="43"/>
      <c r="AK49" s="43"/>
      <c r="AL49" s="43"/>
      <c r="AM49" s="43"/>
      <c r="AN49" s="43"/>
      <c r="AO49" s="43"/>
      <c r="AP49" s="43"/>
      <c r="AQ49" s="43"/>
      <c r="AR49" s="43"/>
      <c r="AS49" s="7"/>
      <c r="AT49" s="43"/>
      <c r="AU49" s="43"/>
    </row>
    <row r="50" spans="1:47" s="136" customFormat="1" ht="17.100000000000001" customHeight="1">
      <c r="A50" s="13"/>
      <c r="B50" s="119"/>
      <c r="C50" s="25"/>
      <c r="D50" s="742"/>
      <c r="E50" s="733" t="str">
        <f ca="1">IF(AH28=3,"between upper and lower part",IF(AH28=2,FIXED(IF(ABS(AS25)&gt;ABS(AS26),AS25,AS26),3)&amp;" kN/m2",FIXED(X23,3)&amp;" kN/m2"))</f>
        <v>0.870 kN/m2</v>
      </c>
      <c r="F50" s="734"/>
      <c r="G50" s="734"/>
      <c r="H50" s="735"/>
      <c r="I50" s="26"/>
      <c r="J50" s="727" t="str">
        <f ca="1">FIXED(Z23,3)&amp;" kN/m2"</f>
        <v>-0.860 kN/m2</v>
      </c>
      <c r="K50" s="728"/>
      <c r="L50" s="728"/>
      <c r="M50" s="729"/>
      <c r="N50" s="26"/>
      <c r="O50" s="26"/>
      <c r="P50" s="26"/>
      <c r="Q50" s="778"/>
      <c r="R50" s="727" t="str">
        <f ca="1">FIXED(R23,3)&amp;" kN/m2"</f>
        <v>-1.601 kN/m2</v>
      </c>
      <c r="S50" s="728"/>
      <c r="T50" s="729"/>
      <c r="U50" s="727" t="str">
        <f ca="1">IF(AM7&gt;1,FIXED(T23,3)&amp;" kN/m2","")</f>
        <v>-1.157 kN/m2</v>
      </c>
      <c r="V50" s="728"/>
      <c r="W50" s="729"/>
      <c r="X50" s="728" t="str">
        <f>IF(AM7=3,FIXED(V23,3)&amp;" kN/m2","")</f>
        <v/>
      </c>
      <c r="Y50" s="728"/>
      <c r="Z50" s="729"/>
      <c r="AA50" s="38"/>
      <c r="AB50" s="120"/>
      <c r="AC50" s="13"/>
      <c r="AD50" s="43"/>
      <c r="AE50" s="43"/>
      <c r="AF50" s="43"/>
      <c r="AG50" s="43"/>
      <c r="AH50" s="43"/>
      <c r="AI50" s="43"/>
      <c r="AJ50" s="43"/>
      <c r="AK50" s="43"/>
      <c r="AL50" s="43"/>
      <c r="AM50" s="43"/>
      <c r="AN50" s="43"/>
      <c r="AO50" s="43"/>
      <c r="AP50" s="43"/>
      <c r="AQ50" s="43"/>
      <c r="AR50" s="43"/>
      <c r="AS50" s="7"/>
      <c r="AT50" s="43"/>
      <c r="AU50" s="43"/>
    </row>
    <row r="51" spans="1:47" s="136" customFormat="1" ht="17.100000000000001" customHeight="1">
      <c r="A51" s="13"/>
      <c r="B51" s="119"/>
      <c r="C51" s="25"/>
      <c r="D51" s="742"/>
      <c r="E51" s="733"/>
      <c r="F51" s="734"/>
      <c r="G51" s="734"/>
      <c r="H51" s="735"/>
      <c r="I51" s="26"/>
      <c r="J51" s="727"/>
      <c r="K51" s="728"/>
      <c r="L51" s="728"/>
      <c r="M51" s="729"/>
      <c r="N51" s="26"/>
      <c r="O51" s="26"/>
      <c r="P51" s="26"/>
      <c r="Q51" s="778"/>
      <c r="R51" s="727"/>
      <c r="S51" s="728"/>
      <c r="T51" s="729"/>
      <c r="U51" s="727"/>
      <c r="V51" s="728"/>
      <c r="W51" s="729"/>
      <c r="X51" s="728"/>
      <c r="Y51" s="728"/>
      <c r="Z51" s="729"/>
      <c r="AA51" s="38"/>
      <c r="AB51" s="120"/>
      <c r="AC51" s="13"/>
      <c r="AD51" s="43"/>
      <c r="AE51" s="43"/>
      <c r="AF51" s="43"/>
      <c r="AG51" s="43"/>
      <c r="AH51" s="43"/>
      <c r="AI51" s="43"/>
      <c r="AJ51" s="43"/>
      <c r="AK51" s="43"/>
      <c r="AL51" s="43"/>
      <c r="AM51" s="43"/>
      <c r="AN51" s="43"/>
      <c r="AO51" s="43"/>
      <c r="AP51" s="43"/>
      <c r="AQ51" s="43"/>
      <c r="AR51" s="43"/>
      <c r="AS51" s="7"/>
      <c r="AT51" s="43"/>
      <c r="AU51" s="43"/>
    </row>
    <row r="52" spans="1:47" s="136" customFormat="1" ht="17.100000000000001" customHeight="1" thickBot="1">
      <c r="A52" s="13"/>
      <c r="B52" s="119"/>
      <c r="C52" s="25"/>
      <c r="D52" s="743" t="str">
        <f>IF(AH28&gt;2,"h1 = "&amp;FIXED($M$13,2)&amp;"m","")</f>
        <v/>
      </c>
      <c r="E52" s="733"/>
      <c r="F52" s="734"/>
      <c r="G52" s="734"/>
      <c r="H52" s="735"/>
      <c r="I52" s="26"/>
      <c r="J52" s="727"/>
      <c r="K52" s="728"/>
      <c r="L52" s="728"/>
      <c r="M52" s="729"/>
      <c r="N52" s="26"/>
      <c r="O52" s="26"/>
      <c r="P52" s="26"/>
      <c r="Q52" s="778"/>
      <c r="R52" s="727"/>
      <c r="S52" s="728"/>
      <c r="T52" s="729"/>
      <c r="U52" s="727"/>
      <c r="V52" s="728"/>
      <c r="W52" s="729"/>
      <c r="X52" s="728"/>
      <c r="Y52" s="728"/>
      <c r="Z52" s="729"/>
      <c r="AA52" s="38"/>
      <c r="AB52" s="120"/>
      <c r="AC52" s="13"/>
      <c r="AD52" s="43"/>
      <c r="AE52" s="43"/>
      <c r="AF52" s="43"/>
      <c r="AG52" s="43"/>
      <c r="AH52" s="43"/>
      <c r="AI52" s="43"/>
      <c r="AJ52" s="43"/>
      <c r="AK52" s="43"/>
      <c r="AL52" s="43"/>
      <c r="AM52" s="43"/>
      <c r="AN52" s="43"/>
      <c r="AO52" s="43"/>
      <c r="AP52" s="43"/>
      <c r="AQ52" s="43"/>
      <c r="AR52" s="43"/>
      <c r="AS52" s="7"/>
      <c r="AT52" s="43"/>
      <c r="AU52" s="43"/>
    </row>
    <row r="53" spans="1:47" s="136" customFormat="1" ht="17.100000000000001" customHeight="1">
      <c r="A53" s="13"/>
      <c r="B53" s="119"/>
      <c r="C53" s="25"/>
      <c r="D53" s="743"/>
      <c r="E53" s="721" t="str">
        <f>IF(AH28&gt;2,"Zone D (lower)","")</f>
        <v/>
      </c>
      <c r="F53" s="722"/>
      <c r="G53" s="722"/>
      <c r="H53" s="723"/>
      <c r="I53" s="26"/>
      <c r="J53" s="727"/>
      <c r="K53" s="728"/>
      <c r="L53" s="728"/>
      <c r="M53" s="729"/>
      <c r="N53" s="26"/>
      <c r="O53" s="26"/>
      <c r="P53" s="26"/>
      <c r="Q53" s="778"/>
      <c r="R53" s="727"/>
      <c r="S53" s="728"/>
      <c r="T53" s="729"/>
      <c r="U53" s="727"/>
      <c r="V53" s="728"/>
      <c r="W53" s="729"/>
      <c r="X53" s="728"/>
      <c r="Y53" s="728"/>
      <c r="Z53" s="729"/>
      <c r="AA53" s="38"/>
      <c r="AB53" s="120"/>
      <c r="AC53" s="13"/>
      <c r="AD53" s="43"/>
      <c r="AE53" s="43"/>
      <c r="AF53" s="43"/>
      <c r="AG53" s="43"/>
      <c r="AH53" s="43"/>
      <c r="AI53" s="43"/>
      <c r="AJ53" s="43"/>
      <c r="AK53" s="43"/>
      <c r="AL53" s="43"/>
      <c r="AM53" s="43"/>
      <c r="AN53" s="43"/>
      <c r="AO53" s="43"/>
      <c r="AP53" s="43"/>
      <c r="AQ53" s="43"/>
      <c r="AR53" s="43"/>
      <c r="AS53" s="7"/>
      <c r="AT53" s="43"/>
      <c r="AU53" s="43"/>
    </row>
    <row r="54" spans="1:47" s="136" customFormat="1" ht="17.100000000000001" customHeight="1">
      <c r="A54" s="13"/>
      <c r="B54" s="119"/>
      <c r="C54" s="25"/>
      <c r="D54" s="743"/>
      <c r="E54" s="724"/>
      <c r="F54" s="725"/>
      <c r="G54" s="725"/>
      <c r="H54" s="726"/>
      <c r="I54" s="26"/>
      <c r="J54" s="727"/>
      <c r="K54" s="728"/>
      <c r="L54" s="728"/>
      <c r="M54" s="729"/>
      <c r="N54" s="26"/>
      <c r="O54" s="26"/>
      <c r="P54" s="26"/>
      <c r="Q54" s="778"/>
      <c r="R54" s="727"/>
      <c r="S54" s="728"/>
      <c r="T54" s="729"/>
      <c r="U54" s="727"/>
      <c r="V54" s="728"/>
      <c r="W54" s="729"/>
      <c r="X54" s="728"/>
      <c r="Y54" s="728"/>
      <c r="Z54" s="729"/>
      <c r="AA54" s="38"/>
      <c r="AB54" s="120"/>
      <c r="AC54" s="13"/>
      <c r="AD54" s="43"/>
      <c r="AE54" s="43"/>
      <c r="AF54" s="43"/>
      <c r="AG54" s="43"/>
      <c r="AH54" s="43"/>
      <c r="AI54" s="43"/>
      <c r="AJ54" s="43"/>
      <c r="AK54" s="43"/>
      <c r="AL54" s="43"/>
      <c r="AM54" s="43"/>
      <c r="AN54" s="43"/>
      <c r="AO54" s="43"/>
      <c r="AP54" s="43"/>
      <c r="AQ54" s="43"/>
      <c r="AR54" s="43"/>
      <c r="AS54" s="7"/>
      <c r="AT54" s="43"/>
      <c r="AU54" s="43"/>
    </row>
    <row r="55" spans="1:47" s="136" customFormat="1" ht="17.100000000000001" customHeight="1">
      <c r="A55" s="13"/>
      <c r="B55" s="119"/>
      <c r="C55" s="25"/>
      <c r="D55" s="743"/>
      <c r="E55" s="727" t="str">
        <f>IF(AH28&gt;2,FIXED(IF(ABS(AS25)&gt;ABS(AS26),AS25,AS26),3)&amp;" kN/m2","")</f>
        <v/>
      </c>
      <c r="F55" s="728"/>
      <c r="G55" s="728"/>
      <c r="H55" s="729"/>
      <c r="I55" s="26"/>
      <c r="J55" s="727"/>
      <c r="K55" s="728"/>
      <c r="L55" s="728"/>
      <c r="M55" s="729"/>
      <c r="N55" s="26"/>
      <c r="O55" s="26"/>
      <c r="P55" s="26"/>
      <c r="Q55" s="778"/>
      <c r="R55" s="727"/>
      <c r="S55" s="728"/>
      <c r="T55" s="729"/>
      <c r="U55" s="727"/>
      <c r="V55" s="728"/>
      <c r="W55" s="729"/>
      <c r="X55" s="728"/>
      <c r="Y55" s="728"/>
      <c r="Z55" s="729"/>
      <c r="AA55" s="38"/>
      <c r="AB55" s="120"/>
      <c r="AC55" s="13"/>
      <c r="AD55" s="43"/>
      <c r="AE55" s="43"/>
      <c r="AF55" s="43"/>
      <c r="AG55" s="43"/>
      <c r="AH55" s="43"/>
      <c r="AI55" s="43"/>
      <c r="AJ55" s="43"/>
      <c r="AK55" s="43"/>
      <c r="AL55" s="43"/>
      <c r="AM55" s="43"/>
      <c r="AN55" s="43"/>
      <c r="AO55" s="43"/>
      <c r="AP55" s="43"/>
      <c r="AQ55" s="43"/>
      <c r="AR55" s="43"/>
      <c r="AS55" s="7"/>
      <c r="AT55" s="43"/>
      <c r="AU55" s="43"/>
    </row>
    <row r="56" spans="1:47" s="136" customFormat="1" ht="17.100000000000001" customHeight="1" thickBot="1">
      <c r="A56" s="13"/>
      <c r="B56" s="119"/>
      <c r="C56" s="25"/>
      <c r="D56" s="743"/>
      <c r="E56" s="730"/>
      <c r="F56" s="731"/>
      <c r="G56" s="731"/>
      <c r="H56" s="732"/>
      <c r="I56" s="26"/>
      <c r="J56" s="730"/>
      <c r="K56" s="731"/>
      <c r="L56" s="731"/>
      <c r="M56" s="732"/>
      <c r="N56" s="26"/>
      <c r="O56" s="26"/>
      <c r="P56" s="26"/>
      <c r="Q56" s="778"/>
      <c r="R56" s="730"/>
      <c r="S56" s="731"/>
      <c r="T56" s="732"/>
      <c r="U56" s="730"/>
      <c r="V56" s="731"/>
      <c r="W56" s="732"/>
      <c r="X56" s="731"/>
      <c r="Y56" s="731"/>
      <c r="Z56" s="732"/>
      <c r="AA56" s="38"/>
      <c r="AB56" s="120"/>
      <c r="AC56" s="13"/>
      <c r="AD56" s="43"/>
      <c r="AE56" s="43"/>
      <c r="AF56" s="43"/>
      <c r="AG56" s="43"/>
      <c r="AH56" s="43"/>
      <c r="AI56" s="43"/>
      <c r="AJ56" s="43"/>
      <c r="AK56" s="43"/>
      <c r="AL56" s="43"/>
      <c r="AM56" s="43"/>
      <c r="AN56" s="43"/>
      <c r="AO56" s="43"/>
      <c r="AP56" s="43"/>
      <c r="AQ56" s="43"/>
      <c r="AR56" s="43"/>
      <c r="AS56" s="7"/>
      <c r="AT56" s="43"/>
      <c r="AU56" s="43"/>
    </row>
    <row r="57" spans="1:47" s="136" customFormat="1" ht="17.100000000000001" customHeight="1">
      <c r="A57" s="13"/>
      <c r="B57" s="119"/>
      <c r="C57" s="25"/>
      <c r="D57" s="26"/>
      <c r="E57" s="736"/>
      <c r="F57" s="736"/>
      <c r="G57" s="736"/>
      <c r="H57" s="736"/>
      <c r="I57" s="180"/>
      <c r="J57" s="736"/>
      <c r="K57" s="736"/>
      <c r="L57" s="736"/>
      <c r="M57" s="736"/>
      <c r="N57" s="26"/>
      <c r="O57" s="26"/>
      <c r="P57" s="26"/>
      <c r="Q57" s="26"/>
      <c r="R57" s="736"/>
      <c r="S57" s="736"/>
      <c r="T57" s="736"/>
      <c r="U57" s="779"/>
      <c r="V57" s="779"/>
      <c r="W57" s="779"/>
      <c r="X57" s="779"/>
      <c r="Y57" s="779"/>
      <c r="Z57" s="779"/>
      <c r="AA57" s="38"/>
      <c r="AB57" s="120"/>
      <c r="AC57" s="13"/>
      <c r="AD57" s="43"/>
      <c r="AE57" s="43"/>
      <c r="AF57" s="43"/>
      <c r="AG57" s="43"/>
      <c r="AH57" s="43"/>
      <c r="AI57" s="43"/>
      <c r="AJ57" s="43"/>
      <c r="AK57" s="43"/>
      <c r="AL57" s="43"/>
      <c r="AM57" s="43"/>
      <c r="AN57" s="43"/>
      <c r="AO57" s="43"/>
      <c r="AP57" s="43"/>
      <c r="AQ57" s="43"/>
      <c r="AR57" s="43"/>
      <c r="AS57" s="7"/>
      <c r="AT57" s="43"/>
      <c r="AU57" s="43"/>
    </row>
    <row r="58" spans="1:47" s="136" customFormat="1" ht="17.100000000000001" customHeight="1">
      <c r="A58" s="13"/>
      <c r="B58" s="119"/>
      <c r="C58" s="25"/>
      <c r="D58" s="26"/>
      <c r="E58" s="720" t="s">
        <v>493</v>
      </c>
      <c r="F58" s="720"/>
      <c r="G58" s="720"/>
      <c r="H58" s="720"/>
      <c r="I58" s="180"/>
      <c r="J58" s="720" t="s">
        <v>494</v>
      </c>
      <c r="K58" s="720"/>
      <c r="L58" s="720"/>
      <c r="M58" s="720"/>
      <c r="N58" s="26"/>
      <c r="O58" s="26"/>
      <c r="P58" s="26"/>
      <c r="Q58" s="26"/>
      <c r="R58" s="720" t="str">
        <f>IF(AM7=1,"SIDE WALL","")</f>
        <v/>
      </c>
      <c r="S58" s="720"/>
      <c r="T58" s="720"/>
      <c r="U58" s="720" t="str">
        <f>IF(AM7&gt;1,"SIDE WALL","")</f>
        <v>SIDE WALL</v>
      </c>
      <c r="V58" s="720"/>
      <c r="W58" s="720"/>
      <c r="X58" s="26"/>
      <c r="Y58" s="26"/>
      <c r="Z58" s="26"/>
      <c r="AA58" s="38"/>
      <c r="AB58" s="120"/>
      <c r="AC58" s="13"/>
      <c r="AD58" s="43"/>
      <c r="AE58" s="43"/>
      <c r="AF58" s="43"/>
      <c r="AG58" s="43"/>
      <c r="AH58" s="43"/>
      <c r="AI58" s="43"/>
      <c r="AJ58" s="43"/>
      <c r="AK58" s="43"/>
      <c r="AL58" s="43"/>
      <c r="AM58" s="43"/>
      <c r="AN58" s="43"/>
      <c r="AO58" s="43"/>
      <c r="AP58" s="43"/>
      <c r="AQ58" s="43"/>
      <c r="AR58" s="43"/>
      <c r="AS58" s="7"/>
      <c r="AT58" s="43"/>
      <c r="AU58" s="43"/>
    </row>
    <row r="59" spans="1:47" s="136" customFormat="1" ht="17.100000000000001" customHeight="1">
      <c r="A59" s="13"/>
      <c r="B59" s="119"/>
      <c r="C59" s="29"/>
      <c r="D59" s="30"/>
      <c r="E59" s="30"/>
      <c r="F59" s="30"/>
      <c r="G59" s="30"/>
      <c r="H59" s="30"/>
      <c r="I59" s="30"/>
      <c r="J59" s="30"/>
      <c r="K59" s="30"/>
      <c r="L59" s="30"/>
      <c r="M59" s="30"/>
      <c r="N59" s="30"/>
      <c r="O59" s="30"/>
      <c r="P59" s="30"/>
      <c r="Q59" s="30"/>
      <c r="R59" s="30"/>
      <c r="S59" s="30"/>
      <c r="T59" s="30"/>
      <c r="U59" s="30"/>
      <c r="V59" s="30"/>
      <c r="W59" s="30"/>
      <c r="X59" s="30"/>
      <c r="Y59" s="30"/>
      <c r="Z59" s="30"/>
      <c r="AA59" s="39"/>
      <c r="AB59" s="120"/>
      <c r="AC59" s="13"/>
      <c r="AD59" s="43"/>
      <c r="AE59" s="43"/>
      <c r="AF59" s="43"/>
      <c r="AG59" s="43"/>
      <c r="AH59" s="43"/>
      <c r="AI59" s="43"/>
      <c r="AJ59" s="43"/>
      <c r="AK59" s="43"/>
      <c r="AL59" s="43"/>
      <c r="AM59" s="43"/>
      <c r="AN59" s="43"/>
      <c r="AO59" s="43"/>
      <c r="AP59" s="43"/>
      <c r="AQ59" s="43"/>
      <c r="AR59" s="43"/>
      <c r="AS59" s="7"/>
      <c r="AT59" s="43"/>
      <c r="AU59" s="43"/>
    </row>
    <row r="60" spans="1:47" s="136" customFormat="1" ht="17.100000000000001" customHeight="1">
      <c r="A60" s="13"/>
      <c r="B60" s="119"/>
      <c r="C60" s="23"/>
      <c r="D60" s="23"/>
      <c r="E60" s="23"/>
      <c r="F60" s="23"/>
      <c r="G60" s="23"/>
      <c r="H60" s="23"/>
      <c r="I60" s="23"/>
      <c r="J60" s="23"/>
      <c r="K60" s="23"/>
      <c r="L60" s="23"/>
      <c r="M60" s="23"/>
      <c r="N60" s="23"/>
      <c r="O60" s="23"/>
      <c r="P60" s="23"/>
      <c r="Q60" s="23"/>
      <c r="R60" s="23"/>
      <c r="S60" s="23"/>
      <c r="T60" s="23"/>
      <c r="U60" s="23"/>
      <c r="V60" s="23"/>
      <c r="W60" s="23"/>
      <c r="X60" s="23"/>
      <c r="Y60" s="23"/>
      <c r="Z60" s="23"/>
      <c r="AA60" s="408" t="s">
        <v>500</v>
      </c>
      <c r="AB60" s="120"/>
      <c r="AC60" s="13"/>
      <c r="AD60" s="43"/>
      <c r="AE60" s="43"/>
      <c r="AF60" s="43"/>
      <c r="AG60" s="43"/>
      <c r="AH60" s="43"/>
      <c r="AI60" s="43"/>
      <c r="AJ60" s="43"/>
      <c r="AK60" s="43"/>
      <c r="AL60" s="43"/>
      <c r="AM60" s="43"/>
      <c r="AN60" s="43"/>
      <c r="AO60" s="43"/>
      <c r="AP60" s="43"/>
      <c r="AQ60" s="43"/>
      <c r="AR60" s="43"/>
      <c r="AS60" s="7"/>
      <c r="AT60" s="43"/>
      <c r="AU60" s="43"/>
    </row>
    <row r="61" spans="1:47" s="136" customFormat="1" ht="17.100000000000001" customHeight="1" thickBot="1">
      <c r="A61" s="13"/>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409" t="s">
        <v>395</v>
      </c>
      <c r="AB61" s="126"/>
      <c r="AC61" s="13"/>
      <c r="AD61" s="43"/>
      <c r="AE61" s="43"/>
      <c r="AF61" s="43"/>
      <c r="AG61" s="43"/>
      <c r="AH61" s="43"/>
      <c r="AI61" s="43"/>
      <c r="AJ61" s="43"/>
      <c r="AK61" s="43"/>
      <c r="AL61" s="43"/>
      <c r="AM61" s="43"/>
      <c r="AN61" s="43"/>
      <c r="AO61" s="43"/>
      <c r="AP61" s="43"/>
      <c r="AQ61" s="43"/>
      <c r="AR61" s="43"/>
      <c r="AS61" s="7"/>
      <c r="AT61" s="43"/>
      <c r="AU61" s="43"/>
    </row>
    <row r="62" spans="1:47" s="136" customFormat="1" ht="1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43"/>
      <c r="AE62" s="43"/>
      <c r="AF62" s="43"/>
      <c r="AG62" s="43"/>
      <c r="AH62" s="43"/>
      <c r="AI62" s="43"/>
      <c r="AJ62" s="43"/>
      <c r="AK62" s="43"/>
      <c r="AL62" s="43"/>
      <c r="AM62" s="43"/>
      <c r="AN62" s="43"/>
      <c r="AO62" s="43"/>
      <c r="AP62" s="43"/>
      <c r="AQ62" s="43"/>
      <c r="AR62" s="43"/>
      <c r="AS62" s="7"/>
      <c r="AT62" s="43"/>
      <c r="AU62" s="43"/>
    </row>
    <row r="63" spans="1:47" s="136" customFormat="1" ht="15" customHeight="1">
      <c r="A63" s="13"/>
      <c r="B63" s="13"/>
      <c r="U63" s="13"/>
      <c r="V63" s="13"/>
      <c r="W63" s="13"/>
      <c r="X63" s="13"/>
      <c r="Y63" s="13"/>
      <c r="Z63" s="13"/>
      <c r="AA63" s="13"/>
      <c r="AB63" s="13"/>
      <c r="AC63" s="13"/>
      <c r="AD63" s="43"/>
      <c r="AE63" s="43"/>
      <c r="AF63" s="43"/>
      <c r="AG63" s="43"/>
      <c r="AH63" s="43"/>
      <c r="AI63" s="43"/>
      <c r="AJ63" s="43"/>
      <c r="AK63" s="43"/>
      <c r="AL63" s="43"/>
      <c r="AM63" s="43"/>
      <c r="AN63" s="43"/>
      <c r="AO63" s="43"/>
      <c r="AP63" s="43"/>
      <c r="AQ63" s="43"/>
      <c r="AR63" s="43"/>
      <c r="AS63" s="7"/>
      <c r="AT63" s="43"/>
      <c r="AU63" s="43"/>
    </row>
    <row r="64" spans="1:47" s="136" customFormat="1" ht="15" customHeight="1">
      <c r="A64" s="13"/>
      <c r="B64" s="13"/>
      <c r="X64" s="13"/>
      <c r="Y64" s="13"/>
      <c r="Z64" s="13"/>
      <c r="AA64" s="13"/>
      <c r="AB64" s="13"/>
      <c r="AC64" s="13"/>
      <c r="AD64" s="43"/>
      <c r="AE64" s="43"/>
      <c r="AF64" s="43"/>
      <c r="AG64" s="43"/>
      <c r="AH64" s="43"/>
      <c r="AI64" s="43"/>
      <c r="AJ64" s="43"/>
      <c r="AK64" s="43"/>
      <c r="AL64" s="43"/>
      <c r="AM64" s="43"/>
      <c r="AN64" s="43"/>
      <c r="AO64" s="43"/>
      <c r="AP64" s="43"/>
      <c r="AQ64" s="43"/>
      <c r="AR64" s="43"/>
      <c r="AS64" s="7"/>
      <c r="AT64" s="43"/>
      <c r="AU64" s="43"/>
    </row>
    <row r="65" spans="1:47" s="136" customFormat="1" ht="15" customHeight="1">
      <c r="A65" s="13"/>
      <c r="B65" s="13"/>
      <c r="X65" s="7"/>
      <c r="Y65" s="7"/>
      <c r="Z65" s="7"/>
      <c r="AA65" s="7"/>
      <c r="AB65" s="13"/>
      <c r="AC65" s="13"/>
      <c r="AD65" s="43"/>
      <c r="AE65" s="43"/>
      <c r="AF65" s="43"/>
      <c r="AG65" s="43"/>
      <c r="AH65" s="43"/>
      <c r="AI65" s="43"/>
      <c r="AJ65" s="43"/>
      <c r="AK65" s="43"/>
      <c r="AL65" s="43"/>
      <c r="AM65" s="43"/>
      <c r="AN65" s="43"/>
      <c r="AO65" s="43"/>
      <c r="AP65" s="43"/>
      <c r="AQ65" s="43"/>
      <c r="AR65" s="43"/>
      <c r="AS65" s="7"/>
      <c r="AT65" s="43"/>
      <c r="AU65" s="43"/>
    </row>
    <row r="66" spans="1:47" s="136" customFormat="1" ht="15" customHeight="1">
      <c r="A66" s="13"/>
      <c r="B66" s="13"/>
      <c r="X66" s="7"/>
      <c r="Y66" s="7"/>
      <c r="Z66" s="7"/>
      <c r="AA66" s="7"/>
      <c r="AB66" s="13"/>
      <c r="AC66" s="13"/>
      <c r="AD66" s="43"/>
      <c r="AE66" s="43"/>
      <c r="AF66" s="43"/>
      <c r="AG66" s="43"/>
      <c r="AH66" s="43"/>
      <c r="AI66" s="43"/>
      <c r="AJ66" s="43"/>
      <c r="AK66" s="43"/>
      <c r="AL66" s="43"/>
      <c r="AM66" s="43"/>
      <c r="AN66" s="43"/>
      <c r="AO66" s="43"/>
      <c r="AP66" s="43"/>
      <c r="AQ66" s="43"/>
      <c r="AR66" s="43"/>
      <c r="AS66" s="7"/>
      <c r="AT66" s="43"/>
      <c r="AU66" s="43"/>
    </row>
  </sheetData>
  <sheetProtection password="CD8C" sheet="1" objects="1" scenarios="1"/>
  <customSheetViews>
    <customSheetView guid="{6C52B67B-3021-4890-8879-9905AB467CFE}" scale="75" showPageBreaks="1" showGridLines="0" printArea="1" hiddenColumns="1">
      <selection activeCell="F5" sqref="F5"/>
      <pageMargins left="0.70866141732283472" right="0.70866141732283472" top="0.74803149606299213" bottom="0.74803149606299213" header="0.31496062992125984" footer="0.31496062992125984"/>
      <printOptions horizontalCentered="1"/>
      <pageSetup paperSize="9" scale="80" orientation="portrait" r:id="rId1"/>
    </customSheetView>
  </customSheetViews>
  <mergeCells count="207">
    <mergeCell ref="E2:P4"/>
    <mergeCell ref="Q2:V3"/>
    <mergeCell ref="W3:X3"/>
    <mergeCell ref="Y3:AB3"/>
    <mergeCell ref="Q4:S4"/>
    <mergeCell ref="T4:V4"/>
    <mergeCell ref="W4:X4"/>
    <mergeCell ref="Y4:AB4"/>
    <mergeCell ref="E5:P5"/>
    <mergeCell ref="Q5:S5"/>
    <mergeCell ref="AV30:AY31"/>
    <mergeCell ref="AV25:AY25"/>
    <mergeCell ref="AW26:AY26"/>
    <mergeCell ref="AW28:AY28"/>
    <mergeCell ref="AW29:AY29"/>
    <mergeCell ref="C21:L21"/>
    <mergeCell ref="M21:N21"/>
    <mergeCell ref="C22:L22"/>
    <mergeCell ref="M22:N22"/>
    <mergeCell ref="P22:Q22"/>
    <mergeCell ref="P23:Q23"/>
    <mergeCell ref="AW27:AY27"/>
    <mergeCell ref="C23:L23"/>
    <mergeCell ref="M23:N23"/>
    <mergeCell ref="AO21:AT21"/>
    <mergeCell ref="AH42:AJ42"/>
    <mergeCell ref="P31:AA31"/>
    <mergeCell ref="P28:X28"/>
    <mergeCell ref="AH33:AI33"/>
    <mergeCell ref="AH31:AI31"/>
    <mergeCell ref="AH30:AI30"/>
    <mergeCell ref="AU23:AU24"/>
    <mergeCell ref="AU25:AU26"/>
    <mergeCell ref="AH23:AL23"/>
    <mergeCell ref="U36:X36"/>
    <mergeCell ref="U37:X37"/>
    <mergeCell ref="U38:X38"/>
    <mergeCell ref="AH41:AJ41"/>
    <mergeCell ref="AH35:AJ35"/>
    <mergeCell ref="AH36:AJ36"/>
    <mergeCell ref="AH37:AJ37"/>
    <mergeCell ref="AH38:AJ38"/>
    <mergeCell ref="Q37:R37"/>
    <mergeCell ref="S37:T37"/>
    <mergeCell ref="P30:X30"/>
    <mergeCell ref="R23:S23"/>
    <mergeCell ref="C40:AA40"/>
    <mergeCell ref="X42:Z42"/>
    <mergeCell ref="G35:H35"/>
    <mergeCell ref="R58:T58"/>
    <mergeCell ref="U58:W58"/>
    <mergeCell ref="C29:L29"/>
    <mergeCell ref="M29:N29"/>
    <mergeCell ref="P25:AA25"/>
    <mergeCell ref="C26:L26"/>
    <mergeCell ref="M26:N26"/>
    <mergeCell ref="C27:L27"/>
    <mergeCell ref="C31:N31"/>
    <mergeCell ref="C30:L30"/>
    <mergeCell ref="M30:N30"/>
    <mergeCell ref="P29:X29"/>
    <mergeCell ref="Y28:AA28"/>
    <mergeCell ref="Y29:AA29"/>
    <mergeCell ref="P26:X26"/>
    <mergeCell ref="Y26:AA26"/>
    <mergeCell ref="E58:H58"/>
    <mergeCell ref="Q43:Q56"/>
    <mergeCell ref="R57:T57"/>
    <mergeCell ref="U57:W57"/>
    <mergeCell ref="X57:Z57"/>
    <mergeCell ref="R42:T42"/>
    <mergeCell ref="U42:W42"/>
    <mergeCell ref="Y30:AA30"/>
    <mergeCell ref="R43:T49"/>
    <mergeCell ref="U43:W49"/>
    <mergeCell ref="X43:Z49"/>
    <mergeCell ref="R50:T56"/>
    <mergeCell ref="U50:W56"/>
    <mergeCell ref="T22:U22"/>
    <mergeCell ref="V22:W22"/>
    <mergeCell ref="X22:Y22"/>
    <mergeCell ref="Z22:AA22"/>
    <mergeCell ref="T23:U23"/>
    <mergeCell ref="V23:W23"/>
    <mergeCell ref="X23:Y23"/>
    <mergeCell ref="Z23:AA23"/>
    <mergeCell ref="X50:Z56"/>
    <mergeCell ref="R22:S22"/>
    <mergeCell ref="S33:T33"/>
    <mergeCell ref="B1:R1"/>
    <mergeCell ref="S1:AB1"/>
    <mergeCell ref="C12:L12"/>
    <mergeCell ref="M12:N12"/>
    <mergeCell ref="C13:L13"/>
    <mergeCell ref="M13:N13"/>
    <mergeCell ref="C10:F10"/>
    <mergeCell ref="G10:N10"/>
    <mergeCell ref="P10:Y10"/>
    <mergeCell ref="Z10:AA10"/>
    <mergeCell ref="C11:F11"/>
    <mergeCell ref="G11:N11"/>
    <mergeCell ref="P11:Y11"/>
    <mergeCell ref="Z11:AA11"/>
    <mergeCell ref="C8:N8"/>
    <mergeCell ref="P8:AA8"/>
    <mergeCell ref="C9:F9"/>
    <mergeCell ref="G9:N9"/>
    <mergeCell ref="P9:X9"/>
    <mergeCell ref="Y9:AA9"/>
    <mergeCell ref="T5:V5"/>
    <mergeCell ref="W5:X5"/>
    <mergeCell ref="Y5:AB5"/>
    <mergeCell ref="C5:D5"/>
    <mergeCell ref="AO7:AT7"/>
    <mergeCell ref="AH43:AJ43"/>
    <mergeCell ref="AH39:AJ39"/>
    <mergeCell ref="AH40:AJ40"/>
    <mergeCell ref="M27:N27"/>
    <mergeCell ref="C28:L28"/>
    <mergeCell ref="M28:N28"/>
    <mergeCell ref="C24:N24"/>
    <mergeCell ref="E42:H42"/>
    <mergeCell ref="G38:H38"/>
    <mergeCell ref="I38:J38"/>
    <mergeCell ref="K38:L38"/>
    <mergeCell ref="M38:N38"/>
    <mergeCell ref="O38:P38"/>
    <mergeCell ref="Q38:R38"/>
    <mergeCell ref="S38:T38"/>
    <mergeCell ref="G37:H37"/>
    <mergeCell ref="I37:J37"/>
    <mergeCell ref="K37:L37"/>
    <mergeCell ref="M37:N37"/>
    <mergeCell ref="O37:P37"/>
    <mergeCell ref="M33:N33"/>
    <mergeCell ref="Z14:AA14"/>
    <mergeCell ref="C15:L15"/>
    <mergeCell ref="C35:F35"/>
    <mergeCell ref="C37:F37"/>
    <mergeCell ref="C38:F38"/>
    <mergeCell ref="C32:T32"/>
    <mergeCell ref="C36:T36"/>
    <mergeCell ref="K33:L33"/>
    <mergeCell ref="O33:P33"/>
    <mergeCell ref="Q33:R33"/>
    <mergeCell ref="AJ12:AO12"/>
    <mergeCell ref="M16:N16"/>
    <mergeCell ref="P15:Y15"/>
    <mergeCell ref="Z15:AA15"/>
    <mergeCell ref="M15:N15"/>
    <mergeCell ref="P19:Y19"/>
    <mergeCell ref="C20:L20"/>
    <mergeCell ref="M20:N20"/>
    <mergeCell ref="C18:N18"/>
    <mergeCell ref="P18:Y18"/>
    <mergeCell ref="Z18:AA18"/>
    <mergeCell ref="C19:L19"/>
    <mergeCell ref="M19:N19"/>
    <mergeCell ref="G34:H34"/>
    <mergeCell ref="I34:J34"/>
    <mergeCell ref="K34:L34"/>
    <mergeCell ref="J42:M42"/>
    <mergeCell ref="J57:M57"/>
    <mergeCell ref="I33:J33"/>
    <mergeCell ref="C16:L16"/>
    <mergeCell ref="P16:Y16"/>
    <mergeCell ref="Z16:AA16"/>
    <mergeCell ref="P17:Y17"/>
    <mergeCell ref="Z17:AA17"/>
    <mergeCell ref="Z19:AA19"/>
    <mergeCell ref="D43:D47"/>
    <mergeCell ref="D48:D51"/>
    <mergeCell ref="D52:D56"/>
    <mergeCell ref="P24:AA24"/>
    <mergeCell ref="P27:X27"/>
    <mergeCell ref="Y27:AA27"/>
    <mergeCell ref="I35:J35"/>
    <mergeCell ref="K35:L35"/>
    <mergeCell ref="M35:N35"/>
    <mergeCell ref="O35:P35"/>
    <mergeCell ref="Q35:R35"/>
    <mergeCell ref="S35:T35"/>
    <mergeCell ref="G33:H33"/>
    <mergeCell ref="C25:N25"/>
    <mergeCell ref="C33:F33"/>
    <mergeCell ref="J58:M58"/>
    <mergeCell ref="J43:M49"/>
    <mergeCell ref="J50:M56"/>
    <mergeCell ref="E43:H44"/>
    <mergeCell ref="E55:H56"/>
    <mergeCell ref="E53:H54"/>
    <mergeCell ref="E45:H46"/>
    <mergeCell ref="E50:H52"/>
    <mergeCell ref="E47:H48"/>
    <mergeCell ref="E49:H49"/>
    <mergeCell ref="E57:H57"/>
    <mergeCell ref="M34:N34"/>
    <mergeCell ref="O34:P34"/>
    <mergeCell ref="Q34:R34"/>
    <mergeCell ref="S34:T34"/>
    <mergeCell ref="P21:AA21"/>
    <mergeCell ref="AP12:AU12"/>
    <mergeCell ref="Q13:Z13"/>
    <mergeCell ref="C14:L14"/>
    <mergeCell ref="M14:N14"/>
    <mergeCell ref="P14:Y14"/>
    <mergeCell ref="C34:F34"/>
  </mergeCells>
  <conditionalFormatting sqref="X43:Z57">
    <cfRule type="expression" dxfId="39" priority="19">
      <formula>$AM$7&lt;3</formula>
    </cfRule>
  </conditionalFormatting>
  <conditionalFormatting sqref="U43:W57">
    <cfRule type="expression" dxfId="38" priority="18">
      <formula>$AM$7&lt;2</formula>
    </cfRule>
  </conditionalFormatting>
  <conditionalFormatting sqref="E49:H49">
    <cfRule type="expression" dxfId="37" priority="17">
      <formula>$AH$27</formula>
    </cfRule>
  </conditionalFormatting>
  <conditionalFormatting sqref="E53:H56">
    <cfRule type="expression" dxfId="36" priority="16">
      <formula>$AH$28&lt;&gt;3</formula>
    </cfRule>
  </conditionalFormatting>
  <conditionalFormatting sqref="E47:H52">
    <cfRule type="expression" dxfId="35" priority="15">
      <formula>$AH$25</formula>
    </cfRule>
  </conditionalFormatting>
  <conditionalFormatting sqref="P25:AA31">
    <cfRule type="expression" dxfId="34" priority="8">
      <formula>$AH$25</formula>
    </cfRule>
  </conditionalFormatting>
  <conditionalFormatting sqref="P25:AA30">
    <cfRule type="expression" dxfId="33" priority="5">
      <formula>$AH$25</formula>
    </cfRule>
  </conditionalFormatting>
  <conditionalFormatting sqref="P27:AA28">
    <cfRule type="expression" dxfId="32" priority="9">
      <formula>$AN$42</formula>
    </cfRule>
  </conditionalFormatting>
  <conditionalFormatting sqref="AV25:AY31">
    <cfRule type="expression" dxfId="31" priority="2">
      <formula>AND($AN$40,$AN$41)</formula>
    </cfRule>
  </conditionalFormatting>
  <conditionalFormatting sqref="AV22:AY24">
    <cfRule type="expression" dxfId="30" priority="3">
      <formula>$AV$22&lt;&gt;""</formula>
    </cfRule>
  </conditionalFormatting>
  <conditionalFormatting sqref="AV26">
    <cfRule type="expression" dxfId="29" priority="4">
      <formula>$AN$41</formula>
    </cfRule>
  </conditionalFormatting>
  <conditionalFormatting sqref="Z11:AA11">
    <cfRule type="expression" dxfId="28" priority="1">
      <formula>$Y$9=INDEX(Site_terrain_type,1)</formula>
    </cfRule>
  </conditionalFormatting>
  <dataValidations count="5">
    <dataValidation type="list" allowBlank="1" showInputMessage="1" showErrorMessage="1" sqref="G11:N11" xr:uid="{00000000-0002-0000-0300-000000000000}">
      <formula1>Type_of_surface</formula1>
    </dataValidation>
    <dataValidation type="list" allowBlank="1" showInputMessage="1" showErrorMessage="1" sqref="G10:N10" xr:uid="{00000000-0002-0000-0300-000001000000}">
      <formula1>Structural_type</formula1>
    </dataValidation>
    <dataValidation type="list" allowBlank="1" showInputMessage="1" showErrorMessage="1" sqref="G9:N9" xr:uid="{00000000-0002-0000-0300-000002000000}">
      <formula1>Structure</formula1>
    </dataValidation>
    <dataValidation type="list" allowBlank="1" showInputMessage="1" showErrorMessage="1" sqref="Y9:AA9" xr:uid="{00000000-0002-0000-0300-000003000000}">
      <formula1>Site_terrain_type</formula1>
    </dataValidation>
    <dataValidation type="list" allowBlank="1" showInputMessage="1" showErrorMessage="1" sqref="AV26" xr:uid="{00000000-0002-0000-0300-000004000000}">
      <formula1>$AO$28:$AO$31</formula1>
    </dataValidation>
  </dataValidations>
  <hyperlinks>
    <hyperlink ref="C61" r:id="rId2" xr:uid="{00000000-0004-0000-0300-000000000000}"/>
  </hyperlinks>
  <printOptions horizontalCentered="1"/>
  <pageMargins left="0.74803149606299213" right="0.31496062992125984" top="0.74803149606299202" bottom="0.43307086614173229" header="0" footer="0"/>
  <pageSetup paperSize="9" scale="74"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20" id="{82B9EDEB-2151-45DD-A7E9-A5BE43EF2A70}">
            <xm:f>'wind pressure'!$L$10='wind pressure'!$AD$8</xm:f>
            <x14:dxf>
              <font>
                <color rgb="FFC0C0C0"/>
              </font>
            </x14:dxf>
          </x14:cfRule>
          <xm:sqref>P26:AA28</xm:sqref>
        </x14:conditionalFormatting>
        <x14:conditionalFormatting xmlns:xm="http://schemas.microsoft.com/office/excel/2006/main">
          <x14:cfRule type="expression" priority="21" id="{270DF12D-F438-493B-A131-A5B5529CDD9B}">
            <xm:f>'wind pressure'!$L$12='wind pressure'!$AD$14</xm:f>
            <x14:dxf>
              <font>
                <color theme="0" tint="-0.24994659260841701"/>
              </font>
              <fill>
                <patternFill>
                  <bgColor theme="0" tint="-0.24994659260841701"/>
                </patternFill>
              </fill>
              <border>
                <left/>
                <right/>
                <top/>
                <bottom/>
              </border>
            </x14:dxf>
          </x14:cfRule>
          <xm:sqref>AV25:AY30</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T63"/>
  <sheetViews>
    <sheetView showGridLines="0" zoomScaleNormal="100" workbookViewId="0">
      <selection activeCell="G9" sqref="G9:N9"/>
    </sheetView>
  </sheetViews>
  <sheetFormatPr defaultRowHeight="15" customHeight="1"/>
  <cols>
    <col min="1" max="1" width="2.5703125" style="136" customWidth="1"/>
    <col min="2" max="2" width="2" style="136" customWidth="1"/>
    <col min="3" max="3" width="6.140625" style="136" customWidth="1"/>
    <col min="4" max="27" width="4.7109375" style="136" customWidth="1"/>
    <col min="28" max="28" width="2" style="136" customWidth="1"/>
    <col min="29" max="29" width="2.5703125" style="136" customWidth="1"/>
    <col min="30" max="33" width="9.140625" style="136" hidden="1" customWidth="1"/>
    <col min="34" max="34" width="9.140625" style="278" hidden="1" customWidth="1"/>
    <col min="35" max="38" width="9.140625" style="252" hidden="1" customWidth="1"/>
    <col min="39" max="39" width="9.140625" style="280" hidden="1" customWidth="1"/>
    <col min="40" max="45" width="9.140625" style="252" hidden="1" customWidth="1"/>
    <col min="46" max="46" width="9.140625" style="252" customWidth="1"/>
    <col min="47" max="16384" width="9.140625" style="136"/>
  </cols>
  <sheetData>
    <row r="1" spans="1:45" ht="15" customHeight="1">
      <c r="A1" s="133"/>
      <c r="B1" s="769" t="s">
        <v>486</v>
      </c>
      <c r="C1" s="769"/>
      <c r="D1" s="769"/>
      <c r="E1" s="769"/>
      <c r="F1" s="769"/>
      <c r="G1" s="769"/>
      <c r="H1" s="769"/>
      <c r="I1" s="769"/>
      <c r="J1" s="769"/>
      <c r="K1" s="769"/>
      <c r="L1" s="769"/>
      <c r="M1" s="769"/>
      <c r="N1" s="769"/>
      <c r="O1" s="769"/>
      <c r="P1" s="769"/>
      <c r="Q1" s="769"/>
      <c r="R1" s="769"/>
      <c r="S1" s="770" t="s">
        <v>487</v>
      </c>
      <c r="T1" s="770"/>
      <c r="U1" s="770"/>
      <c r="V1" s="770"/>
      <c r="W1" s="770"/>
      <c r="X1" s="770"/>
      <c r="Y1" s="770"/>
      <c r="Z1" s="770"/>
      <c r="AA1" s="770"/>
      <c r="AB1" s="770"/>
      <c r="AC1" s="43"/>
      <c r="AD1" s="43"/>
      <c r="AE1" s="43"/>
      <c r="AF1" s="43"/>
      <c r="AG1" s="43"/>
      <c r="AH1" s="98"/>
      <c r="AI1" s="45"/>
      <c r="AJ1" s="45"/>
      <c r="AK1" s="45"/>
      <c r="AL1" s="45"/>
      <c r="AM1" s="276"/>
      <c r="AN1" s="45"/>
      <c r="AO1" s="45"/>
      <c r="AP1" s="45"/>
      <c r="AQ1" s="45"/>
      <c r="AR1" s="45"/>
      <c r="AS1" s="45"/>
    </row>
    <row r="2" spans="1:45" ht="29.25" customHeight="1">
      <c r="A2" s="133"/>
      <c r="AC2" s="43"/>
      <c r="AD2" s="43"/>
      <c r="AE2" s="43"/>
      <c r="AF2" s="43"/>
      <c r="AG2" s="43"/>
      <c r="AH2" s="98"/>
      <c r="AI2" s="45"/>
      <c r="AJ2" s="45"/>
      <c r="AK2" s="45"/>
      <c r="AL2" s="45"/>
      <c r="AM2" s="276"/>
      <c r="AN2" s="45"/>
      <c r="AO2" s="45"/>
      <c r="AP2" s="45"/>
      <c r="AQ2" s="45"/>
      <c r="AR2" s="45"/>
      <c r="AS2" s="45"/>
    </row>
    <row r="3" spans="1:45" ht="19.5" customHeight="1">
      <c r="A3" s="133"/>
      <c r="AC3" s="43"/>
      <c r="AD3" s="43"/>
      <c r="AE3" s="43"/>
      <c r="AF3" s="43"/>
      <c r="AG3" s="43"/>
      <c r="AH3" s="98"/>
      <c r="AI3" s="45"/>
      <c r="AJ3" s="45"/>
      <c r="AK3" s="45"/>
      <c r="AL3" s="45"/>
      <c r="AM3" s="276"/>
      <c r="AN3" s="45"/>
      <c r="AO3" s="45"/>
      <c r="AP3" s="45"/>
      <c r="AQ3" s="45"/>
      <c r="AR3" s="45"/>
      <c r="AS3" s="45"/>
    </row>
    <row r="4" spans="1:45" ht="20.100000000000001" customHeight="1">
      <c r="A4" s="133"/>
      <c r="AC4" s="43"/>
      <c r="AD4" s="43"/>
      <c r="AE4" s="43"/>
      <c r="AF4" s="43"/>
      <c r="AG4" s="43"/>
      <c r="AH4" s="98"/>
      <c r="AI4" s="45"/>
      <c r="AJ4" s="45"/>
      <c r="AK4" s="45"/>
      <c r="AL4" s="45"/>
      <c r="AM4" s="276"/>
      <c r="AN4" s="45"/>
      <c r="AO4" s="45"/>
      <c r="AP4" s="45"/>
      <c r="AQ4" s="45"/>
      <c r="AR4" s="45"/>
      <c r="AS4" s="45"/>
    </row>
    <row r="5" spans="1:45" ht="20.100000000000001" customHeight="1">
      <c r="A5" s="133"/>
      <c r="AC5" s="43"/>
      <c r="AD5" s="43"/>
      <c r="AE5" s="43"/>
      <c r="AF5" s="43"/>
      <c r="AG5" s="43"/>
      <c r="AH5" s="98"/>
      <c r="AI5" s="45"/>
      <c r="AJ5" s="45"/>
      <c r="AK5" s="45"/>
      <c r="AL5" s="45"/>
      <c r="AM5" s="276"/>
      <c r="AN5" s="45"/>
      <c r="AO5" s="45"/>
      <c r="AP5" s="45"/>
      <c r="AQ5" s="45"/>
      <c r="AR5" s="45"/>
      <c r="AS5" s="45"/>
    </row>
    <row r="6" spans="1:45" ht="17.100000000000001" customHeight="1">
      <c r="A6" s="133"/>
      <c r="B6" s="119"/>
      <c r="C6" s="23"/>
      <c r="D6" s="23"/>
      <c r="E6" s="23"/>
      <c r="F6" s="23"/>
      <c r="G6" s="23"/>
      <c r="H6" s="23"/>
      <c r="I6" s="23"/>
      <c r="J6" s="23"/>
      <c r="K6" s="23"/>
      <c r="L6" s="23"/>
      <c r="M6" s="23"/>
      <c r="N6" s="23"/>
      <c r="O6" s="23"/>
      <c r="P6" s="23"/>
      <c r="Q6" s="23"/>
      <c r="R6" s="23"/>
      <c r="S6" s="23"/>
      <c r="T6" s="23"/>
      <c r="U6" s="23"/>
      <c r="V6" s="23"/>
      <c r="W6" s="23"/>
      <c r="X6" s="23"/>
      <c r="Y6" s="23"/>
      <c r="Z6" s="23"/>
      <c r="AA6" s="23"/>
      <c r="AB6" s="120"/>
      <c r="AC6" s="43"/>
      <c r="AD6" s="43"/>
      <c r="AE6" s="43"/>
      <c r="AF6" s="43"/>
      <c r="AG6" s="43"/>
      <c r="AH6" s="98"/>
      <c r="AI6" s="45"/>
      <c r="AJ6" s="45"/>
      <c r="AK6" s="45"/>
      <c r="AL6" s="45"/>
      <c r="AM6" s="276"/>
      <c r="AN6" s="45"/>
      <c r="AO6" s="45"/>
      <c r="AP6" s="45"/>
      <c r="AQ6" s="45"/>
      <c r="AR6" s="45"/>
      <c r="AS6" s="45"/>
    </row>
    <row r="7" spans="1:45" ht="17.100000000000001" customHeight="1">
      <c r="A7" s="13"/>
      <c r="B7" s="119"/>
      <c r="C7" s="23"/>
      <c r="D7" s="23"/>
      <c r="E7" s="23"/>
      <c r="F7" s="23"/>
      <c r="G7" s="23"/>
      <c r="H7" s="23"/>
      <c r="I7" s="23"/>
      <c r="J7" s="23"/>
      <c r="K7" s="23"/>
      <c r="L7" s="23"/>
      <c r="M7" s="23"/>
      <c r="N7" s="23"/>
      <c r="O7" s="23"/>
      <c r="P7" s="23"/>
      <c r="Q7" s="23"/>
      <c r="R7" s="23"/>
      <c r="S7" s="23"/>
      <c r="T7" s="23"/>
      <c r="U7" s="23"/>
      <c r="V7" s="23"/>
      <c r="W7" s="23"/>
      <c r="X7" s="23"/>
      <c r="Y7" s="23"/>
      <c r="Z7" s="23"/>
      <c r="AA7" s="23"/>
      <c r="AB7" s="120"/>
      <c r="AC7" s="43"/>
      <c r="AD7" s="43"/>
      <c r="AE7" s="43"/>
      <c r="AF7" s="43"/>
      <c r="AG7" s="43"/>
      <c r="AH7" s="98"/>
      <c r="AI7" s="45"/>
      <c r="AJ7" s="45"/>
      <c r="AK7" s="45"/>
      <c r="AL7" s="45"/>
      <c r="AM7" s="276"/>
      <c r="AN7" s="45"/>
      <c r="AO7" s="45"/>
      <c r="AP7" s="45"/>
      <c r="AQ7" s="45"/>
      <c r="AR7" s="45"/>
      <c r="AS7" s="45"/>
    </row>
    <row r="8" spans="1:45" ht="17.100000000000001" customHeight="1">
      <c r="A8" s="13"/>
      <c r="B8" s="119"/>
      <c r="C8" s="573" t="s">
        <v>348</v>
      </c>
      <c r="D8" s="574"/>
      <c r="E8" s="574"/>
      <c r="F8" s="574"/>
      <c r="G8" s="574"/>
      <c r="H8" s="574"/>
      <c r="I8" s="574"/>
      <c r="J8" s="574"/>
      <c r="K8" s="574"/>
      <c r="L8" s="574"/>
      <c r="M8" s="574"/>
      <c r="N8" s="575"/>
      <c r="O8" s="23"/>
      <c r="P8" s="573" t="s">
        <v>380</v>
      </c>
      <c r="Q8" s="574"/>
      <c r="R8" s="574"/>
      <c r="S8" s="574"/>
      <c r="T8" s="574"/>
      <c r="U8" s="574"/>
      <c r="V8" s="574"/>
      <c r="W8" s="574"/>
      <c r="X8" s="574"/>
      <c r="Y8" s="574"/>
      <c r="Z8" s="574"/>
      <c r="AA8" s="575"/>
      <c r="AB8" s="120"/>
      <c r="AC8" s="43"/>
      <c r="AD8" s="13" t="s">
        <v>579</v>
      </c>
      <c r="AE8" s="398" t="str">
        <f>G9</f>
        <v>Flat roofs</v>
      </c>
      <c r="AF8" s="43" t="s">
        <v>554</v>
      </c>
      <c r="AG8" s="43"/>
      <c r="AH8" s="98"/>
      <c r="AI8" s="45"/>
      <c r="AJ8" s="45"/>
      <c r="AK8" s="45"/>
      <c r="AL8" s="45"/>
      <c r="AM8" s="276"/>
      <c r="AN8" s="45"/>
      <c r="AO8" s="45"/>
      <c r="AP8" s="45"/>
      <c r="AQ8" s="45"/>
      <c r="AR8" s="45"/>
      <c r="AS8" s="45"/>
    </row>
    <row r="9" spans="1:45" ht="17.100000000000001" customHeight="1">
      <c r="A9" s="13"/>
      <c r="B9" s="119"/>
      <c r="C9" s="690" t="s">
        <v>370</v>
      </c>
      <c r="D9" s="691"/>
      <c r="E9" s="691"/>
      <c r="F9" s="691"/>
      <c r="G9" s="637" t="s">
        <v>572</v>
      </c>
      <c r="H9" s="637"/>
      <c r="I9" s="637"/>
      <c r="J9" s="637"/>
      <c r="K9" s="637"/>
      <c r="L9" s="637"/>
      <c r="M9" s="637"/>
      <c r="N9" s="638"/>
      <c r="O9" s="23"/>
      <c r="P9" s="809" t="s">
        <v>385</v>
      </c>
      <c r="Q9" s="810"/>
      <c r="R9" s="810"/>
      <c r="S9" s="810"/>
      <c r="T9" s="738" t="s">
        <v>76</v>
      </c>
      <c r="U9" s="738"/>
      <c r="V9" s="738" t="s">
        <v>77</v>
      </c>
      <c r="W9" s="738"/>
      <c r="X9" s="738" t="s">
        <v>80</v>
      </c>
      <c r="Y9" s="738"/>
      <c r="Z9" s="738" t="s">
        <v>98</v>
      </c>
      <c r="AA9" s="771"/>
      <c r="AB9" s="120"/>
      <c r="AC9" s="43"/>
      <c r="AD9" s="13" t="s">
        <v>580</v>
      </c>
      <c r="AE9" s="398" t="str">
        <f>G10</f>
        <v>Reinforced concrete building</v>
      </c>
      <c r="AF9" s="43" t="s">
        <v>556</v>
      </c>
      <c r="AG9" s="43"/>
      <c r="AH9" s="145">
        <f>MATCH(M16,AI10:AI11,0)</f>
        <v>1</v>
      </c>
      <c r="AI9" s="45" t="s">
        <v>97</v>
      </c>
      <c r="AJ9" s="45"/>
      <c r="AK9" s="45"/>
      <c r="AL9" s="45"/>
      <c r="AM9" s="276"/>
      <c r="AN9" s="45"/>
      <c r="AO9" s="45"/>
      <c r="AP9" s="45"/>
      <c r="AQ9" s="45"/>
      <c r="AR9" s="45"/>
      <c r="AS9" s="45"/>
    </row>
    <row r="10" spans="1:45" ht="17.100000000000001" customHeight="1">
      <c r="A10" s="13"/>
      <c r="B10" s="119"/>
      <c r="C10" s="696" t="s">
        <v>356</v>
      </c>
      <c r="D10" s="697"/>
      <c r="E10" s="697"/>
      <c r="F10" s="697"/>
      <c r="G10" s="639" t="s">
        <v>353</v>
      </c>
      <c r="H10" s="639"/>
      <c r="I10" s="639"/>
      <c r="J10" s="639"/>
      <c r="K10" s="639"/>
      <c r="L10" s="639"/>
      <c r="M10" s="639"/>
      <c r="N10" s="640"/>
      <c r="O10" s="23"/>
      <c r="P10" s="754" t="s">
        <v>393</v>
      </c>
      <c r="Q10" s="755"/>
      <c r="R10" s="755"/>
      <c r="S10" s="755"/>
      <c r="T10" s="768">
        <f>G37</f>
        <v>3.0885365853658535</v>
      </c>
      <c r="U10" s="768"/>
      <c r="V10" s="768">
        <f>I37</f>
        <v>1.9229268292682926</v>
      </c>
      <c r="W10" s="768"/>
      <c r="X10" s="768" t="str">
        <f>K37</f>
        <v>-</v>
      </c>
      <c r="Y10" s="768"/>
      <c r="Z10" s="768" t="str">
        <f>M37</f>
        <v>-</v>
      </c>
      <c r="AA10" s="797"/>
      <c r="AB10" s="120"/>
      <c r="AC10" s="43"/>
      <c r="AD10" s="13" t="s">
        <v>581</v>
      </c>
      <c r="AE10" s="400" t="s">
        <v>357</v>
      </c>
      <c r="AF10" s="43"/>
      <c r="AG10" s="43"/>
      <c r="AH10" s="98">
        <v>1</v>
      </c>
      <c r="AI10" s="45" t="s">
        <v>95</v>
      </c>
      <c r="AJ10" s="45"/>
      <c r="AK10" s="45"/>
      <c r="AL10" s="45"/>
      <c r="AM10" s="276"/>
      <c r="AN10" s="45"/>
      <c r="AO10" s="45"/>
      <c r="AP10" s="45"/>
      <c r="AQ10" s="45"/>
      <c r="AR10" s="45"/>
      <c r="AS10" s="45"/>
    </row>
    <row r="11" spans="1:45" ht="17.100000000000001" customHeight="1">
      <c r="A11" s="13"/>
      <c r="B11" s="119"/>
      <c r="C11" s="714" t="s">
        <v>347</v>
      </c>
      <c r="D11" s="715"/>
      <c r="E11" s="715"/>
      <c r="F11" s="715"/>
      <c r="G11" s="715"/>
      <c r="H11" s="715"/>
      <c r="I11" s="715"/>
      <c r="J11" s="715"/>
      <c r="K11" s="715"/>
      <c r="L11" s="715"/>
      <c r="M11" s="688">
        <v>1.35</v>
      </c>
      <c r="N11" s="689"/>
      <c r="O11" s="23"/>
      <c r="P11" s="23"/>
      <c r="Q11" s="23"/>
      <c r="R11" s="23"/>
      <c r="S11" s="23"/>
      <c r="T11" s="23"/>
      <c r="U11" s="23"/>
      <c r="V11" s="23"/>
      <c r="W11" s="23"/>
      <c r="X11" s="23"/>
      <c r="Y11" s="23"/>
      <c r="Z11" s="23"/>
      <c r="AA11" s="23"/>
      <c r="AB11" s="120"/>
      <c r="AC11" s="43"/>
      <c r="AD11" s="13" t="s">
        <v>537</v>
      </c>
      <c r="AE11" s="399">
        <f>M11</f>
        <v>1.35</v>
      </c>
      <c r="AF11" s="43" t="s">
        <v>568</v>
      </c>
      <c r="AG11" s="43"/>
      <c r="AH11" s="98">
        <v>2</v>
      </c>
      <c r="AI11" s="45" t="s">
        <v>96</v>
      </c>
      <c r="AJ11" s="45"/>
      <c r="AK11" s="45"/>
      <c r="AL11" s="45"/>
      <c r="AM11" s="276"/>
      <c r="AN11" s="45"/>
      <c r="AO11" s="45"/>
      <c r="AP11" s="45"/>
      <c r="AQ11" s="45"/>
      <c r="AR11" s="45"/>
      <c r="AS11" s="45"/>
    </row>
    <row r="12" spans="1:45" ht="17.100000000000001" customHeight="1">
      <c r="A12" s="13"/>
      <c r="B12" s="119"/>
      <c r="C12" s="714" t="s">
        <v>397</v>
      </c>
      <c r="D12" s="715"/>
      <c r="E12" s="715"/>
      <c r="F12" s="715"/>
      <c r="G12" s="715"/>
      <c r="H12" s="715"/>
      <c r="I12" s="715"/>
      <c r="J12" s="715"/>
      <c r="K12" s="715"/>
      <c r="L12" s="715"/>
      <c r="M12" s="653">
        <v>80</v>
      </c>
      <c r="N12" s="654"/>
      <c r="O12" s="23"/>
      <c r="P12" s="822" t="str">
        <f>IF(M28&lt;0.8,"Solidity is below 80%
Use EN-1991-1-4 part 7.11 for plane lattices.","")</f>
        <v/>
      </c>
      <c r="Q12" s="822"/>
      <c r="R12" s="822"/>
      <c r="S12" s="822"/>
      <c r="T12" s="822"/>
      <c r="U12" s="822"/>
      <c r="V12" s="822"/>
      <c r="W12" s="822"/>
      <c r="X12" s="822"/>
      <c r="Y12" s="822"/>
      <c r="Z12" s="822"/>
      <c r="AA12" s="822"/>
      <c r="AB12" s="120"/>
      <c r="AC12" s="43"/>
      <c r="AD12" s="13" t="s">
        <v>555</v>
      </c>
      <c r="AE12" s="399">
        <f>M12</f>
        <v>80</v>
      </c>
      <c r="AF12" s="43" t="s">
        <v>558</v>
      </c>
      <c r="AG12" s="43"/>
      <c r="AJ12" s="45"/>
      <c r="AK12" s="45"/>
      <c r="AL12" s="45"/>
      <c r="AM12" s="276"/>
      <c r="AN12" s="45"/>
      <c r="AO12" s="45"/>
      <c r="AP12" s="45"/>
      <c r="AQ12" s="45"/>
      <c r="AR12" s="45"/>
      <c r="AS12" s="45"/>
    </row>
    <row r="13" spans="1:45" ht="17.100000000000001" customHeight="1">
      <c r="A13" s="13"/>
      <c r="B13" s="119"/>
      <c r="C13" s="739" t="s">
        <v>398</v>
      </c>
      <c r="D13" s="740"/>
      <c r="E13" s="740"/>
      <c r="F13" s="740"/>
      <c r="G13" s="740"/>
      <c r="H13" s="740"/>
      <c r="I13" s="740"/>
      <c r="J13" s="740"/>
      <c r="K13" s="740"/>
      <c r="L13" s="740"/>
      <c r="M13" s="694">
        <v>81.8</v>
      </c>
      <c r="N13" s="695"/>
      <c r="O13" s="23"/>
      <c r="P13" s="822"/>
      <c r="Q13" s="822"/>
      <c r="R13" s="822"/>
      <c r="S13" s="822"/>
      <c r="T13" s="822"/>
      <c r="U13" s="822"/>
      <c r="V13" s="822"/>
      <c r="W13" s="822"/>
      <c r="X13" s="822"/>
      <c r="Y13" s="822"/>
      <c r="Z13" s="822"/>
      <c r="AA13" s="822"/>
      <c r="AB13" s="120"/>
      <c r="AC13" s="43"/>
      <c r="AD13" s="13" t="s">
        <v>540</v>
      </c>
      <c r="AE13" s="403">
        <v>50</v>
      </c>
      <c r="AF13" s="43"/>
      <c r="AG13" s="43"/>
      <c r="AH13" s="98" t="b">
        <f>IF(M12&lt;=0.3*82,TRUE,FALSE)</f>
        <v>0</v>
      </c>
      <c r="AI13" s="45" t="s">
        <v>402</v>
      </c>
      <c r="AJ13" s="45"/>
      <c r="AK13" s="183"/>
      <c r="AL13" s="183"/>
      <c r="AM13" s="300"/>
      <c r="AN13" s="45"/>
      <c r="AO13" s="45"/>
      <c r="AP13" s="45"/>
      <c r="AQ13" s="45"/>
      <c r="AR13" s="45"/>
      <c r="AS13" s="45"/>
    </row>
    <row r="14" spans="1:45" ht="17.100000000000001" customHeight="1">
      <c r="A14" s="13"/>
      <c r="B14" s="119"/>
      <c r="C14" s="23"/>
      <c r="D14" s="23"/>
      <c r="E14" s="23"/>
      <c r="F14" s="23"/>
      <c r="G14" s="23"/>
      <c r="H14" s="23"/>
      <c r="I14" s="23"/>
      <c r="J14" s="23"/>
      <c r="K14" s="23"/>
      <c r="L14" s="23"/>
      <c r="M14" s="23"/>
      <c r="N14" s="23"/>
      <c r="O14" s="23"/>
      <c r="P14" s="23"/>
      <c r="Q14" s="23"/>
      <c r="R14" s="23"/>
      <c r="S14" s="23"/>
      <c r="T14" s="23"/>
      <c r="U14" s="23"/>
      <c r="V14" s="23"/>
      <c r="W14" s="23"/>
      <c r="X14" s="23"/>
      <c r="Y14" s="23"/>
      <c r="Z14" s="23"/>
      <c r="AA14" s="23"/>
      <c r="AB14" s="120"/>
      <c r="AC14" s="43"/>
      <c r="AD14" s="13" t="s">
        <v>539</v>
      </c>
      <c r="AE14" s="399">
        <f>M13</f>
        <v>81.8</v>
      </c>
      <c r="AF14" s="43" t="s">
        <v>559</v>
      </c>
      <c r="AG14" s="43"/>
      <c r="AH14" s="98" t="b">
        <f>AND(M12&gt;0.3*82,M12&lt;=2*82)</f>
        <v>1</v>
      </c>
      <c r="AI14" s="45" t="s">
        <v>399</v>
      </c>
      <c r="AJ14" s="45"/>
      <c r="AK14" s="45"/>
      <c r="AL14" s="45"/>
      <c r="AM14" s="276"/>
      <c r="AN14" s="45"/>
      <c r="AO14" s="45"/>
      <c r="AP14" s="45"/>
      <c r="AQ14" s="45"/>
      <c r="AR14" s="45"/>
      <c r="AS14" s="45"/>
    </row>
    <row r="15" spans="1:45" ht="17.100000000000001" customHeight="1">
      <c r="A15" s="13"/>
      <c r="B15" s="119"/>
      <c r="C15" s="573" t="s">
        <v>403</v>
      </c>
      <c r="D15" s="574"/>
      <c r="E15" s="574"/>
      <c r="F15" s="574"/>
      <c r="G15" s="574"/>
      <c r="H15" s="574"/>
      <c r="I15" s="574"/>
      <c r="J15" s="574"/>
      <c r="K15" s="574"/>
      <c r="L15" s="574"/>
      <c r="M15" s="574"/>
      <c r="N15" s="575"/>
      <c r="O15" s="23"/>
      <c r="P15" s="23"/>
      <c r="Q15" s="23"/>
      <c r="R15" s="23"/>
      <c r="S15" s="23"/>
      <c r="T15" s="23"/>
      <c r="U15" s="23"/>
      <c r="V15" s="23"/>
      <c r="W15" s="23"/>
      <c r="X15" s="23"/>
      <c r="Y15" s="23"/>
      <c r="Z15" s="23"/>
      <c r="AA15" s="23"/>
      <c r="AB15" s="120"/>
      <c r="AC15" s="43"/>
      <c r="AD15" s="13" t="s">
        <v>538</v>
      </c>
      <c r="AE15" s="403">
        <v>70</v>
      </c>
      <c r="AF15" s="43"/>
      <c r="AG15" s="43"/>
      <c r="AH15" s="98" t="b">
        <f>AND(2*82&lt;M12,M12&lt;=4*82)</f>
        <v>0</v>
      </c>
      <c r="AI15" s="45" t="s">
        <v>400</v>
      </c>
      <c r="AJ15" s="45"/>
      <c r="AK15" s="45"/>
      <c r="AL15" s="45"/>
      <c r="AM15" s="276"/>
      <c r="AN15" s="45"/>
      <c r="AO15" s="45"/>
      <c r="AP15" s="45"/>
      <c r="AQ15" s="45"/>
      <c r="AR15" s="45"/>
      <c r="AS15" s="45"/>
    </row>
    <row r="16" spans="1:45" ht="17.100000000000001" customHeight="1">
      <c r="A16" s="13"/>
      <c r="B16" s="119"/>
      <c r="C16" s="714" t="s">
        <v>377</v>
      </c>
      <c r="D16" s="715"/>
      <c r="E16" s="715"/>
      <c r="F16" s="715"/>
      <c r="G16" s="715"/>
      <c r="H16" s="715"/>
      <c r="I16" s="715"/>
      <c r="J16" s="715"/>
      <c r="K16" s="715"/>
      <c r="L16" s="715"/>
      <c r="M16" s="653" t="s">
        <v>95</v>
      </c>
      <c r="N16" s="654"/>
      <c r="O16" s="23"/>
      <c r="P16" s="23"/>
      <c r="Q16" s="23"/>
      <c r="R16" s="23"/>
      <c r="S16" s="23"/>
      <c r="T16" s="23"/>
      <c r="U16" s="23"/>
      <c r="V16" s="23"/>
      <c r="W16" s="23"/>
      <c r="X16" s="23"/>
      <c r="Y16" s="23"/>
      <c r="Z16" s="23"/>
      <c r="AA16" s="23"/>
      <c r="AB16" s="120"/>
      <c r="AC16" s="43"/>
      <c r="AD16" s="13" t="s">
        <v>582</v>
      </c>
      <c r="AE16" s="400" t="s">
        <v>299</v>
      </c>
      <c r="AF16" s="43"/>
      <c r="AG16" s="43"/>
      <c r="AH16" s="98" t="b">
        <f>M12&gt;4*82</f>
        <v>0</v>
      </c>
      <c r="AI16" s="45" t="s">
        <v>401</v>
      </c>
      <c r="AJ16" s="45"/>
      <c r="AK16" s="45"/>
      <c r="AL16" s="45"/>
      <c r="AM16" s="276"/>
      <c r="AN16" s="45"/>
      <c r="AO16" s="45"/>
      <c r="AP16" s="45"/>
      <c r="AQ16" s="45"/>
      <c r="AR16" s="45"/>
      <c r="AS16" s="45"/>
    </row>
    <row r="17" spans="1:46" ht="17.100000000000001" customHeight="1">
      <c r="A17" s="13"/>
      <c r="B17" s="119"/>
      <c r="C17" s="714" t="s">
        <v>404</v>
      </c>
      <c r="D17" s="715"/>
      <c r="E17" s="715"/>
      <c r="F17" s="715"/>
      <c r="G17" s="715"/>
      <c r="H17" s="715"/>
      <c r="I17" s="715"/>
      <c r="J17" s="715"/>
      <c r="K17" s="715"/>
      <c r="L17" s="715"/>
      <c r="M17" s="653">
        <v>5</v>
      </c>
      <c r="N17" s="654"/>
      <c r="O17" s="23"/>
      <c r="P17" s="23"/>
      <c r="Q17" s="23"/>
      <c r="R17" s="23"/>
      <c r="S17" s="23"/>
      <c r="T17" s="23"/>
      <c r="U17" s="23"/>
      <c r="V17" s="23"/>
      <c r="W17" s="23"/>
      <c r="X17" s="23"/>
      <c r="Y17" s="23"/>
      <c r="Z17" s="23"/>
      <c r="AA17" s="23"/>
      <c r="AB17" s="120"/>
      <c r="AC17" s="43"/>
      <c r="AD17" s="13" t="s">
        <v>541</v>
      </c>
      <c r="AE17" s="403">
        <v>15</v>
      </c>
      <c r="AF17" s="43"/>
      <c r="AG17" s="43"/>
      <c r="AH17" s="98" t="s">
        <v>387</v>
      </c>
      <c r="AI17" s="45">
        <f>MATCH(TRUE,AH13:AH16,0)-1</f>
        <v>1</v>
      </c>
      <c r="AJ17" s="45"/>
      <c r="AK17" s="45"/>
      <c r="AL17" s="45"/>
      <c r="AM17" s="276"/>
      <c r="AN17" s="45"/>
      <c r="AO17" s="45"/>
      <c r="AP17" s="45"/>
      <c r="AQ17" s="45"/>
      <c r="AR17" s="45"/>
      <c r="AS17" s="45"/>
    </row>
    <row r="18" spans="1:46" ht="17.100000000000001" customHeight="1">
      <c r="A18" s="13"/>
      <c r="B18" s="119"/>
      <c r="C18" s="714" t="s">
        <v>374</v>
      </c>
      <c r="D18" s="715"/>
      <c r="E18" s="715"/>
      <c r="F18" s="715"/>
      <c r="G18" s="715"/>
      <c r="H18" s="715"/>
      <c r="I18" s="715"/>
      <c r="J18" s="715"/>
      <c r="K18" s="715"/>
      <c r="L18" s="715"/>
      <c r="M18" s="653">
        <v>0</v>
      </c>
      <c r="N18" s="654"/>
      <c r="O18" s="23"/>
      <c r="P18" s="23"/>
      <c r="Q18" s="23"/>
      <c r="R18" s="23"/>
      <c r="S18" s="23"/>
      <c r="T18" s="23"/>
      <c r="U18" s="23"/>
      <c r="V18" s="23"/>
      <c r="W18" s="23"/>
      <c r="X18" s="23"/>
      <c r="Y18" s="23"/>
      <c r="Z18" s="23"/>
      <c r="AA18" s="23"/>
      <c r="AB18" s="120"/>
      <c r="AC18" s="43"/>
      <c r="AD18" s="13" t="s">
        <v>542</v>
      </c>
      <c r="AE18" s="403">
        <v>10</v>
      </c>
      <c r="AF18" s="43"/>
      <c r="AG18" s="43"/>
      <c r="AH18" s="98"/>
      <c r="AI18" s="45"/>
      <c r="AJ18" s="45"/>
      <c r="AK18" s="45"/>
      <c r="AL18" s="45"/>
      <c r="AM18" s="276"/>
      <c r="AN18" s="45"/>
      <c r="AO18" s="45"/>
      <c r="AP18" s="45"/>
      <c r="AQ18" s="45"/>
      <c r="AR18" s="45"/>
      <c r="AS18" s="45"/>
    </row>
    <row r="19" spans="1:46" ht="17.100000000000001" customHeight="1">
      <c r="A19" s="13"/>
      <c r="B19" s="119"/>
      <c r="C19" s="739" t="s">
        <v>530</v>
      </c>
      <c r="D19" s="740"/>
      <c r="E19" s="740"/>
      <c r="F19" s="740"/>
      <c r="G19" s="740"/>
      <c r="H19" s="740"/>
      <c r="I19" s="740"/>
      <c r="J19" s="740"/>
      <c r="K19" s="740"/>
      <c r="L19" s="740"/>
      <c r="M19" s="682">
        <v>1</v>
      </c>
      <c r="N19" s="683"/>
      <c r="O19" s="23"/>
      <c r="P19" s="23"/>
      <c r="Q19" s="23"/>
      <c r="R19" s="23"/>
      <c r="S19" s="23"/>
      <c r="T19" s="23"/>
      <c r="U19" s="23"/>
      <c r="V19" s="23"/>
      <c r="W19" s="23"/>
      <c r="X19" s="23"/>
      <c r="Y19" s="23"/>
      <c r="Z19" s="23"/>
      <c r="AA19" s="23"/>
      <c r="AB19" s="120"/>
      <c r="AC19" s="43"/>
      <c r="AD19" s="13" t="s">
        <v>543</v>
      </c>
      <c r="AE19" s="403">
        <v>0.2</v>
      </c>
      <c r="AF19" s="43"/>
      <c r="AG19" s="43"/>
      <c r="AH19" s="98"/>
      <c r="AI19" s="301"/>
      <c r="AJ19" s="301"/>
      <c r="AK19" s="301"/>
      <c r="AL19" s="301"/>
      <c r="AM19" s="302"/>
      <c r="AN19" s="301"/>
      <c r="AO19" s="301"/>
      <c r="AP19" s="301"/>
      <c r="AQ19" s="301"/>
      <c r="AR19" s="301"/>
      <c r="AS19" s="301"/>
      <c r="AT19" s="303"/>
    </row>
    <row r="20" spans="1:46" ht="17.100000000000001" customHeight="1">
      <c r="A20" s="13"/>
      <c r="B20" s="119"/>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120"/>
      <c r="AC20" s="43"/>
      <c r="AD20" s="13" t="s">
        <v>544</v>
      </c>
      <c r="AE20" s="403">
        <v>-0.3</v>
      </c>
      <c r="AF20" s="43"/>
      <c r="AG20" s="43"/>
      <c r="AH20" s="45"/>
      <c r="AI20" s="45"/>
      <c r="AJ20" s="45"/>
      <c r="AK20" s="45" t="s">
        <v>378</v>
      </c>
      <c r="AL20" s="45" t="s">
        <v>379</v>
      </c>
      <c r="AM20" s="45" t="s">
        <v>376</v>
      </c>
      <c r="AN20" s="45" t="s">
        <v>94</v>
      </c>
      <c r="AO20" s="45" t="s">
        <v>375</v>
      </c>
      <c r="AP20" s="45" t="s">
        <v>76</v>
      </c>
      <c r="AQ20" s="45" t="s">
        <v>77</v>
      </c>
      <c r="AR20" s="45" t="s">
        <v>80</v>
      </c>
      <c r="AS20" s="45" t="s">
        <v>98</v>
      </c>
      <c r="AT20" s="303"/>
    </row>
    <row r="21" spans="1:46" ht="17.100000000000001" customHeight="1">
      <c r="A21" s="13"/>
      <c r="B21" s="119"/>
      <c r="C21" s="427"/>
      <c r="D21" s="574" t="s">
        <v>391</v>
      </c>
      <c r="E21" s="574"/>
      <c r="F21" s="574"/>
      <c r="G21" s="574"/>
      <c r="H21" s="574"/>
      <c r="I21" s="574"/>
      <c r="J21" s="574"/>
      <c r="K21" s="574"/>
      <c r="L21" s="574"/>
      <c r="M21" s="574"/>
      <c r="N21" s="195" t="s">
        <v>288</v>
      </c>
      <c r="O21" s="23"/>
      <c r="P21" s="23"/>
      <c r="Q21" s="23"/>
      <c r="R21" s="23"/>
      <c r="S21" s="23"/>
      <c r="T21" s="23"/>
      <c r="U21" s="23"/>
      <c r="V21" s="23"/>
      <c r="W21" s="23"/>
      <c r="X21" s="23"/>
      <c r="Y21" s="23"/>
      <c r="Z21" s="23"/>
      <c r="AA21" s="23"/>
      <c r="AB21" s="120"/>
      <c r="AC21" s="43"/>
      <c r="AD21" s="13" t="s">
        <v>583</v>
      </c>
      <c r="AE21" s="399" t="str">
        <f>M16</f>
        <v>Yes</v>
      </c>
      <c r="AF21" s="43" t="s">
        <v>562</v>
      </c>
      <c r="AG21" s="43"/>
      <c r="AH21" s="45"/>
      <c r="AI21" s="45"/>
      <c r="AJ21" s="45"/>
      <c r="AK21" s="45">
        <f>IF($AH$9=1,1,0)</f>
        <v>1</v>
      </c>
      <c r="AL21" s="45">
        <f>IF(AI22&lt;=3,1,0)</f>
        <v>1</v>
      </c>
      <c r="AM21" s="45">
        <f>IF(AND(AK21=0,AL21=1),1,0)</f>
        <v>0</v>
      </c>
      <c r="AN21" s="45">
        <v>1</v>
      </c>
      <c r="AO21" s="304">
        <v>3</v>
      </c>
      <c r="AP21" s="45">
        <v>2.2999999999999998</v>
      </c>
      <c r="AQ21" s="45">
        <v>1.4</v>
      </c>
      <c r="AR21" s="45">
        <v>1.2</v>
      </c>
      <c r="AS21" s="45">
        <v>1.2</v>
      </c>
      <c r="AT21" s="303"/>
    </row>
    <row r="22" spans="1:46" ht="17.100000000000001" customHeight="1">
      <c r="A22" s="13"/>
      <c r="B22" s="119"/>
      <c r="C22" s="716" t="s">
        <v>388</v>
      </c>
      <c r="D22" s="717"/>
      <c r="E22" s="717"/>
      <c r="F22" s="717"/>
      <c r="G22" s="717"/>
      <c r="H22" s="717"/>
      <c r="I22" s="717"/>
      <c r="J22" s="717"/>
      <c r="K22" s="717"/>
      <c r="L22" s="717"/>
      <c r="M22" s="678">
        <f>+input!$Z$26</f>
        <v>0.01</v>
      </c>
      <c r="N22" s="679"/>
      <c r="O22" s="23"/>
      <c r="P22" s="23"/>
      <c r="Q22" s="23"/>
      <c r="R22" s="23"/>
      <c r="S22" s="23"/>
      <c r="T22" s="23"/>
      <c r="U22" s="23"/>
      <c r="V22" s="23"/>
      <c r="W22" s="23"/>
      <c r="X22" s="23"/>
      <c r="Y22" s="23"/>
      <c r="Z22" s="23"/>
      <c r="AA22" s="23"/>
      <c r="AB22" s="120"/>
      <c r="AC22" s="43"/>
      <c r="AD22" s="13" t="s">
        <v>545</v>
      </c>
      <c r="AE22" s="399">
        <f>M17</f>
        <v>5</v>
      </c>
      <c r="AF22" s="43" t="s">
        <v>569</v>
      </c>
      <c r="AG22" s="43"/>
      <c r="AH22" s="186" t="s">
        <v>100</v>
      </c>
      <c r="AI22" s="89">
        <f>ROUND(+M12/82, 2)</f>
        <v>0.98</v>
      </c>
      <c r="AJ22" s="45"/>
      <c r="AK22" s="45">
        <f t="shared" ref="AK22:AK27" si="0">IF($AH$9=1,1,0)</f>
        <v>1</v>
      </c>
      <c r="AL22" s="45">
        <f>IF(AND(AI22&gt;3,AI22&lt;5),1,0)</f>
        <v>0</v>
      </c>
      <c r="AM22" s="45">
        <f t="shared" ref="AM22:AM25" si="1">IF(AND(AK22=0,AL22=1),1,0)</f>
        <v>0</v>
      </c>
      <c r="AN22" s="45">
        <v>1</v>
      </c>
      <c r="AO22" s="305">
        <f>IF(AL22=1,AI22,0)</f>
        <v>0</v>
      </c>
      <c r="AP22" s="305">
        <f>AP23+(AP21-AP23)/($AO21-$AO23)*($AO22-$AO23)</f>
        <v>1.3999999999999997</v>
      </c>
      <c r="AQ22" s="305">
        <f>AQ23+(AQ21-AQ23)/($AO21-$AO23)*($AO22-$AO23)</f>
        <v>0.7999999999999996</v>
      </c>
      <c r="AR22" s="305">
        <f>AR23+(AR21-AR23)/($AO21-$AO23)*($AO22-$AO23)</f>
        <v>0.9</v>
      </c>
      <c r="AS22" s="305">
        <f>AS23+(AS21-AS23)/($AO21-$AO23)*($AO22-$AO23)</f>
        <v>1.2</v>
      </c>
      <c r="AT22" s="303"/>
    </row>
    <row r="23" spans="1:46" ht="17.100000000000001" customHeight="1">
      <c r="A23" s="13"/>
      <c r="B23" s="119"/>
      <c r="C23" s="714" t="s">
        <v>389</v>
      </c>
      <c r="D23" s="715"/>
      <c r="E23" s="715"/>
      <c r="F23" s="715"/>
      <c r="G23" s="715"/>
      <c r="H23" s="715"/>
      <c r="I23" s="715"/>
      <c r="J23" s="715"/>
      <c r="K23" s="715"/>
      <c r="L23" s="715"/>
      <c r="M23" s="550">
        <f>2*82*M12</f>
        <v>13120</v>
      </c>
      <c r="N23" s="551"/>
      <c r="O23" s="23"/>
      <c r="P23" s="23"/>
      <c r="Q23" s="23"/>
      <c r="R23" s="23"/>
      <c r="S23" s="23"/>
      <c r="T23" s="23"/>
      <c r="U23" s="23"/>
      <c r="V23" s="23"/>
      <c r="W23" s="23"/>
      <c r="X23" s="23"/>
      <c r="Y23" s="23"/>
      <c r="Z23" s="23"/>
      <c r="AA23" s="23"/>
      <c r="AB23" s="120"/>
      <c r="AC23" s="43"/>
      <c r="AD23" s="13" t="s">
        <v>546</v>
      </c>
      <c r="AE23" s="399">
        <f>M18</f>
        <v>0</v>
      </c>
      <c r="AF23" s="43" t="s">
        <v>570</v>
      </c>
      <c r="AG23" s="43"/>
      <c r="AH23" s="186" t="s">
        <v>94</v>
      </c>
      <c r="AI23" s="145">
        <f>MAX(AN29,MIN(AN27,$M$28))</f>
        <v>1</v>
      </c>
      <c r="AJ23" s="45"/>
      <c r="AK23" s="45">
        <f t="shared" si="0"/>
        <v>1</v>
      </c>
      <c r="AL23" s="45">
        <f>IF(AI22=5,1,0)</f>
        <v>0</v>
      </c>
      <c r="AM23" s="45">
        <f t="shared" si="1"/>
        <v>0</v>
      </c>
      <c r="AN23" s="45">
        <v>1</v>
      </c>
      <c r="AO23" s="304">
        <v>5</v>
      </c>
      <c r="AP23" s="45">
        <v>2.9</v>
      </c>
      <c r="AQ23" s="45">
        <v>1.8</v>
      </c>
      <c r="AR23" s="45">
        <v>1.4</v>
      </c>
      <c r="AS23" s="45">
        <v>1.2</v>
      </c>
      <c r="AT23" s="303"/>
    </row>
    <row r="24" spans="1:46" ht="17.100000000000001" customHeight="1">
      <c r="A24" s="13"/>
      <c r="B24" s="119"/>
      <c r="C24" s="739" t="s">
        <v>390</v>
      </c>
      <c r="D24" s="740"/>
      <c r="E24" s="740"/>
      <c r="F24" s="740"/>
      <c r="G24" s="740"/>
      <c r="H24" s="740"/>
      <c r="I24" s="740"/>
      <c r="J24" s="740"/>
      <c r="K24" s="740"/>
      <c r="L24" s="740"/>
      <c r="M24" s="587">
        <f>1.35*M22*M23</f>
        <v>177.12000000000003</v>
      </c>
      <c r="N24" s="588"/>
      <c r="O24" s="23"/>
      <c r="P24" s="23"/>
      <c r="Q24" s="23"/>
      <c r="R24" s="23"/>
      <c r="S24" s="23"/>
      <c r="T24" s="23"/>
      <c r="U24" s="23"/>
      <c r="V24" s="23"/>
      <c r="W24" s="23"/>
      <c r="X24" s="23"/>
      <c r="Y24" s="23"/>
      <c r="Z24" s="23"/>
      <c r="AA24" s="23"/>
      <c r="AB24" s="120"/>
      <c r="AC24" s="43"/>
      <c r="AD24" s="13" t="s">
        <v>547</v>
      </c>
      <c r="AE24" s="399">
        <f>M19</f>
        <v>1</v>
      </c>
      <c r="AF24" s="43" t="s">
        <v>571</v>
      </c>
      <c r="AG24" s="43"/>
      <c r="AH24" s="45"/>
      <c r="AI24" s="45"/>
      <c r="AJ24" s="45"/>
      <c r="AK24" s="45">
        <f t="shared" si="0"/>
        <v>1</v>
      </c>
      <c r="AL24" s="45">
        <f>IF(AND(AI22&gt;5,AI22&lt;10),1,0)</f>
        <v>0</v>
      </c>
      <c r="AM24" s="45">
        <f t="shared" si="1"/>
        <v>0</v>
      </c>
      <c r="AN24" s="45">
        <v>1</v>
      </c>
      <c r="AO24" s="305">
        <f>IF(AL24=1,AI22,0)</f>
        <v>0</v>
      </c>
      <c r="AP24" s="305">
        <f>AP25+(AP23-AP25)/($AO23-$AO25)*($AO24-$AO25)</f>
        <v>2.4</v>
      </c>
      <c r="AQ24" s="305">
        <f>AQ25+(AQ23-AQ25)/($AO23-$AO25)*($AO24-$AO25)</f>
        <v>1.5</v>
      </c>
      <c r="AR24" s="305">
        <f>AR25+(AR23-AR25)/($AO23-$AO25)*($AO24-$AO25)</f>
        <v>1.0999999999999999</v>
      </c>
      <c r="AS24" s="305">
        <f>AS25+(AS23-AS25)/($AO23-$AO25)*($AO24-$AO25)</f>
        <v>1.2</v>
      </c>
    </row>
    <row r="25" spans="1:46" ht="17.100000000000001" customHeight="1">
      <c r="A25" s="13"/>
      <c r="B25" s="119"/>
      <c r="C25" s="745" t="s">
        <v>411</v>
      </c>
      <c r="D25" s="745"/>
      <c r="E25" s="745"/>
      <c r="F25" s="745"/>
      <c r="G25" s="745"/>
      <c r="H25" s="745"/>
      <c r="I25" s="745"/>
      <c r="J25" s="745"/>
      <c r="K25" s="745"/>
      <c r="L25" s="745"/>
      <c r="M25" s="745"/>
      <c r="N25" s="745"/>
      <c r="O25" s="23"/>
      <c r="P25" s="23"/>
      <c r="Q25" s="23"/>
      <c r="R25" s="23"/>
      <c r="S25" s="23"/>
      <c r="T25" s="23"/>
      <c r="U25" s="23"/>
      <c r="V25" s="23"/>
      <c r="W25" s="23"/>
      <c r="X25" s="23"/>
      <c r="Y25" s="23"/>
      <c r="Z25" s="23"/>
      <c r="AA25" s="23"/>
      <c r="AB25" s="120"/>
      <c r="AC25" s="43"/>
      <c r="AD25" s="210" t="s">
        <v>584</v>
      </c>
      <c r="AE25" s="401" t="s">
        <v>116</v>
      </c>
      <c r="AF25" s="43"/>
      <c r="AG25" s="43"/>
      <c r="AH25" s="45"/>
      <c r="AI25" s="45"/>
      <c r="AJ25" s="45"/>
      <c r="AK25" s="45">
        <f t="shared" si="0"/>
        <v>1</v>
      </c>
      <c r="AL25" s="45">
        <f>IF(AI22&gt;=10,1,0)</f>
        <v>0</v>
      </c>
      <c r="AM25" s="45">
        <f t="shared" si="1"/>
        <v>0</v>
      </c>
      <c r="AN25" s="45">
        <v>1</v>
      </c>
      <c r="AO25" s="304">
        <v>10</v>
      </c>
      <c r="AP25" s="45">
        <v>3.4</v>
      </c>
      <c r="AQ25" s="45">
        <v>2.1</v>
      </c>
      <c r="AR25" s="45">
        <v>1.7</v>
      </c>
      <c r="AS25" s="45">
        <v>1.2</v>
      </c>
      <c r="AT25" s="136"/>
    </row>
    <row r="26" spans="1:46" ht="17.100000000000001" customHeight="1">
      <c r="A26" s="13"/>
      <c r="B26" s="119"/>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120"/>
      <c r="AC26" s="43"/>
      <c r="AD26" s="210" t="s">
        <v>548</v>
      </c>
      <c r="AE26" s="401">
        <v>1</v>
      </c>
      <c r="AF26" s="43"/>
      <c r="AG26" s="43"/>
      <c r="AH26" s="45"/>
      <c r="AI26" s="45"/>
      <c r="AJ26" s="45"/>
      <c r="AK26" s="45">
        <f>IF($AH$9=1,1,0)</f>
        <v>1</v>
      </c>
      <c r="AL26" s="45"/>
      <c r="AM26" s="45">
        <f>IF(AND(AK26=1,M17&lt;82),1,0)</f>
        <v>1</v>
      </c>
      <c r="AN26" s="45">
        <v>1</v>
      </c>
      <c r="AO26" s="45"/>
      <c r="AP26" s="306">
        <f>INDEX(AP21:AP25,MATCH(1,$AL$21:$AL$25,0))+(AP27-INDEX(AP21:AP25,MATCH(1,$AL$21:$AL$25,0)))*$M$17/82</f>
        <v>2.2878048780487803</v>
      </c>
      <c r="AQ26" s="306">
        <f>INDEX(AQ21:AQ25,MATCH(1,$AL$21:$AL$25,0))+(AQ27-INDEX(AQ21:AQ25,MATCH(1,$AL$21:$AL$25,0)))*$M$17/82</f>
        <v>1.424390243902439</v>
      </c>
      <c r="AR26" s="306">
        <f>INDEX(AR21:AR25,MATCH(1,$AL$21:$AL$25,0))+(AR27-INDEX(AR21:AR25,MATCH(1,$AL$21:$AL$25,0)))*$M$17/82</f>
        <v>1.2121951219512195</v>
      </c>
      <c r="AS26" s="306">
        <f>INDEX(AS21:AS25,MATCH(1,$AL$21:$AL$25,0))+(AS27-INDEX(AS21:AS25,MATCH(1,$AL$21:$AL$25,0)))*$M$17/82</f>
        <v>1.2</v>
      </c>
      <c r="AT26" s="136"/>
    </row>
    <row r="27" spans="1:46" ht="17.100000000000001" customHeight="1">
      <c r="A27" s="13"/>
      <c r="B27" s="119"/>
      <c r="C27" s="573" t="s">
        <v>417</v>
      </c>
      <c r="D27" s="574"/>
      <c r="E27" s="574"/>
      <c r="F27" s="574"/>
      <c r="G27" s="574"/>
      <c r="H27" s="574"/>
      <c r="I27" s="574"/>
      <c r="J27" s="574"/>
      <c r="K27" s="574"/>
      <c r="L27" s="574"/>
      <c r="M27" s="574"/>
      <c r="N27" s="575"/>
      <c r="O27" s="23"/>
      <c r="P27" s="23"/>
      <c r="Q27" s="23"/>
      <c r="R27" s="23"/>
      <c r="S27" s="23"/>
      <c r="T27" s="23"/>
      <c r="U27" s="23"/>
      <c r="V27" s="23"/>
      <c r="W27" s="23"/>
      <c r="X27" s="23"/>
      <c r="Y27" s="23"/>
      <c r="Z27" s="23"/>
      <c r="AA27" s="23"/>
      <c r="AB27" s="120"/>
      <c r="AC27" s="43"/>
      <c r="AD27" s="210" t="s">
        <v>549</v>
      </c>
      <c r="AE27" s="401">
        <v>2</v>
      </c>
      <c r="AF27" s="43"/>
      <c r="AG27" s="43"/>
      <c r="AH27" s="45"/>
      <c r="AI27" s="183"/>
      <c r="AJ27" s="45"/>
      <c r="AK27" s="45">
        <f t="shared" si="0"/>
        <v>1</v>
      </c>
      <c r="AL27" s="45"/>
      <c r="AM27" s="45">
        <f>IF(AND(AK27=1,M17&gt;=82),1,0)</f>
        <v>0</v>
      </c>
      <c r="AN27" s="45">
        <v>1</v>
      </c>
      <c r="AO27" s="45"/>
      <c r="AP27" s="45">
        <v>2.1</v>
      </c>
      <c r="AQ27" s="45">
        <v>1.8</v>
      </c>
      <c r="AR27" s="45">
        <v>1.4</v>
      </c>
      <c r="AS27" s="45">
        <v>1.2</v>
      </c>
      <c r="AT27" s="136"/>
    </row>
    <row r="28" spans="1:46" ht="17.100000000000001" customHeight="1">
      <c r="A28" s="13"/>
      <c r="B28" s="119"/>
      <c r="C28" s="716" t="s">
        <v>381</v>
      </c>
      <c r="D28" s="717"/>
      <c r="E28" s="717"/>
      <c r="F28" s="717"/>
      <c r="G28" s="717"/>
      <c r="H28" s="717"/>
      <c r="I28" s="717"/>
      <c r="J28" s="717"/>
      <c r="K28" s="717"/>
      <c r="L28" s="717"/>
      <c r="M28" s="550">
        <f>+ROUND((82*M12-M18)/(82*M12), 2)</f>
        <v>1</v>
      </c>
      <c r="N28" s="551"/>
      <c r="O28" s="23"/>
      <c r="P28" s="23"/>
      <c r="Q28" s="23"/>
      <c r="R28" s="23"/>
      <c r="S28" s="23"/>
      <c r="T28" s="23"/>
      <c r="U28" s="23"/>
      <c r="V28" s="23"/>
      <c r="W28" s="23"/>
      <c r="X28" s="23"/>
      <c r="Y28" s="23"/>
      <c r="Z28" s="23"/>
      <c r="AA28" s="23"/>
      <c r="AB28" s="120"/>
      <c r="AC28" s="43"/>
      <c r="AD28" s="210" t="s">
        <v>550</v>
      </c>
      <c r="AE28" s="401">
        <v>45</v>
      </c>
      <c r="AF28" s="43"/>
      <c r="AG28" s="43"/>
      <c r="AH28" s="45"/>
      <c r="AI28" s="45"/>
      <c r="AJ28" s="45"/>
      <c r="AK28" s="45"/>
      <c r="AL28" s="45"/>
      <c r="AM28" s="45"/>
      <c r="AN28" s="307">
        <f>AI23</f>
        <v>1</v>
      </c>
      <c r="AO28" s="308"/>
      <c r="AP28" s="308">
        <f>AP29+(INDEX(AP21:AP27,MATCH(1,$AM$21:$AM$27,0))-AP29)/($AN27-$AN29)*($AN28-$AN29)</f>
        <v>2.2878048780487803</v>
      </c>
      <c r="AQ28" s="308">
        <f>AQ29+(INDEX(AQ21:AQ27,MATCH(1,$AM$21:$AM$27,0))-AQ29)/($AN27-$AN29)*($AN28-$AN29)</f>
        <v>1.424390243902439</v>
      </c>
      <c r="AR28" s="308">
        <f>AR29+(INDEX(AR21:AR27,MATCH(1,$AM$21:$AM$27,0))-AR29)/($AN27-$AN29)*($AN28-$AN29)</f>
        <v>1.2121951219512195</v>
      </c>
      <c r="AS28" s="309">
        <f>AS29+(INDEX(AS21:AS27,MATCH(1,$AM$21:$AM$27,0))-AS29)/($AN27-$AN29)*($AN28-$AN29)</f>
        <v>1.2</v>
      </c>
      <c r="AT28" s="136"/>
    </row>
    <row r="29" spans="1:46" ht="17.100000000000001" customHeight="1">
      <c r="A29" s="13"/>
      <c r="B29" s="119"/>
      <c r="C29" s="714" t="s">
        <v>382</v>
      </c>
      <c r="D29" s="715"/>
      <c r="E29" s="715"/>
      <c r="F29" s="715"/>
      <c r="G29" s="715"/>
      <c r="H29" s="715"/>
      <c r="I29" s="715"/>
      <c r="J29" s="715"/>
      <c r="K29" s="715"/>
      <c r="L29" s="715"/>
      <c r="M29" s="550" t="str">
        <f>INDEX(AH13:AI16,MATCH(TRUE,AH13:AH16,0),2)</f>
        <v>L&lt;2h</v>
      </c>
      <c r="N29" s="551"/>
      <c r="O29" s="23"/>
      <c r="P29" s="23"/>
      <c r="Q29" s="23"/>
      <c r="R29" s="23"/>
      <c r="S29" s="23"/>
      <c r="T29" s="23"/>
      <c r="U29" s="23"/>
      <c r="V29" s="23"/>
      <c r="W29" s="23"/>
      <c r="X29" s="23"/>
      <c r="Y29" s="23"/>
      <c r="Z29" s="23"/>
      <c r="AA29" s="23"/>
      <c r="AB29" s="120"/>
      <c r="AC29" s="43"/>
      <c r="AD29" s="210" t="s">
        <v>586</v>
      </c>
      <c r="AE29" s="401">
        <v>20</v>
      </c>
      <c r="AF29" s="43"/>
      <c r="AG29" s="43"/>
      <c r="AH29" s="45"/>
      <c r="AI29" s="45"/>
      <c r="AJ29" s="45"/>
      <c r="AK29" s="45"/>
      <c r="AL29" s="45"/>
      <c r="AM29" s="45"/>
      <c r="AN29" s="45">
        <v>0.8</v>
      </c>
      <c r="AO29" s="45"/>
      <c r="AP29" s="45">
        <v>1.2</v>
      </c>
      <c r="AQ29" s="45">
        <v>1.2</v>
      </c>
      <c r="AR29" s="45">
        <v>1.2</v>
      </c>
      <c r="AS29" s="45">
        <v>1.2</v>
      </c>
      <c r="AT29" s="136"/>
    </row>
    <row r="30" spans="1:46" ht="17.100000000000001" customHeight="1">
      <c r="A30" s="13"/>
      <c r="B30" s="119"/>
      <c r="C30" s="817" t="s">
        <v>384</v>
      </c>
      <c r="D30" s="818"/>
      <c r="E30" s="818"/>
      <c r="F30" s="818"/>
      <c r="G30" s="818"/>
      <c r="H30" s="818"/>
      <c r="I30" s="818"/>
      <c r="J30" s="818"/>
      <c r="K30" s="818"/>
      <c r="L30" s="818"/>
      <c r="M30" s="818"/>
      <c r="N30" s="819"/>
      <c r="O30" s="23"/>
      <c r="P30" s="23"/>
      <c r="Q30" s="310"/>
      <c r="R30" s="310"/>
      <c r="S30" s="310"/>
      <c r="T30" s="310"/>
      <c r="U30" s="310"/>
      <c r="V30" s="310"/>
      <c r="W30" s="310"/>
      <c r="X30" s="310"/>
      <c r="Y30" s="23"/>
      <c r="Z30" s="23"/>
      <c r="AA30" s="23"/>
      <c r="AB30" s="120"/>
      <c r="AC30" s="43"/>
      <c r="AD30" s="210" t="s">
        <v>585</v>
      </c>
      <c r="AE30" s="401">
        <v>90</v>
      </c>
      <c r="AF30" s="43"/>
      <c r="AG30" s="43"/>
      <c r="AH30" s="43"/>
      <c r="AI30" s="43"/>
      <c r="AJ30" s="43"/>
      <c r="AK30" s="43"/>
      <c r="AL30" s="43"/>
      <c r="AM30" s="43"/>
      <c r="AN30" s="43"/>
      <c r="AO30" s="43"/>
      <c r="AP30" s="43"/>
      <c r="AQ30" s="43"/>
      <c r="AR30" s="43"/>
      <c r="AS30" s="43"/>
      <c r="AT30" s="136"/>
    </row>
    <row r="31" spans="1:46" ht="17.100000000000001" customHeight="1">
      <c r="A31" s="13"/>
      <c r="B31" s="119"/>
      <c r="C31" s="748" t="s">
        <v>385</v>
      </c>
      <c r="D31" s="749"/>
      <c r="E31" s="749"/>
      <c r="F31" s="749"/>
      <c r="G31" s="820" t="s">
        <v>76</v>
      </c>
      <c r="H31" s="820"/>
      <c r="I31" s="820" t="s">
        <v>77</v>
      </c>
      <c r="J31" s="820"/>
      <c r="K31" s="820" t="s">
        <v>80</v>
      </c>
      <c r="L31" s="820"/>
      <c r="M31" s="820" t="s">
        <v>98</v>
      </c>
      <c r="N31" s="821"/>
      <c r="O31" s="23"/>
      <c r="P31" s="23"/>
      <c r="Q31" s="310"/>
      <c r="R31" s="310"/>
      <c r="S31" s="310"/>
      <c r="T31" s="310"/>
      <c r="U31" s="310"/>
      <c r="V31" s="310"/>
      <c r="W31" s="310"/>
      <c r="X31" s="310"/>
      <c r="Y31" s="23"/>
      <c r="Z31" s="23"/>
      <c r="AA31" s="23"/>
      <c r="AB31" s="120"/>
      <c r="AC31" s="43"/>
      <c r="AD31" s="210" t="s">
        <v>552</v>
      </c>
      <c r="AE31" s="401" t="s">
        <v>465</v>
      </c>
      <c r="AF31" s="43"/>
      <c r="AG31" s="43"/>
      <c r="AH31" s="43"/>
      <c r="AI31" s="43"/>
      <c r="AJ31" s="43"/>
      <c r="AK31" s="43"/>
      <c r="AL31" s="43"/>
      <c r="AM31" s="43"/>
      <c r="AN31" s="43"/>
      <c r="AO31" s="43"/>
      <c r="AP31" s="43"/>
      <c r="AQ31" s="43"/>
      <c r="AR31" s="43"/>
      <c r="AS31" s="43"/>
      <c r="AT31" s="136"/>
    </row>
    <row r="32" spans="1:46" ht="17.100000000000001" customHeight="1">
      <c r="A32" s="13"/>
      <c r="B32" s="119"/>
      <c r="C32" s="739" t="s">
        <v>386</v>
      </c>
      <c r="D32" s="740"/>
      <c r="E32" s="740"/>
      <c r="F32" s="740"/>
      <c r="G32" s="768">
        <f>AP28</f>
        <v>2.2878048780487803</v>
      </c>
      <c r="H32" s="768"/>
      <c r="I32" s="768">
        <f>IF(AI17&gt;=1,AQ28,"-")</f>
        <v>1.424390243902439</v>
      </c>
      <c r="J32" s="768"/>
      <c r="K32" s="768" t="str">
        <f>IF(AI17&gt;=2,AR28,"-")</f>
        <v>-</v>
      </c>
      <c r="L32" s="768"/>
      <c r="M32" s="768" t="str">
        <f>IF(AI17&gt;=3,AS28,"-")</f>
        <v>-</v>
      </c>
      <c r="N32" s="797"/>
      <c r="O32" s="23"/>
      <c r="P32" s="23"/>
      <c r="Q32" s="23"/>
      <c r="R32" s="23"/>
      <c r="S32" s="23"/>
      <c r="T32" s="23"/>
      <c r="U32" s="23"/>
      <c r="V32" s="23"/>
      <c r="W32" s="23"/>
      <c r="X32" s="23"/>
      <c r="Y32" s="23"/>
      <c r="Z32" s="23"/>
      <c r="AA32" s="23"/>
      <c r="AB32" s="120"/>
      <c r="AC32" s="43"/>
      <c r="AD32" s="210" t="s">
        <v>553</v>
      </c>
      <c r="AE32" s="401" t="s">
        <v>476</v>
      </c>
      <c r="AF32" s="43"/>
      <c r="AG32" s="43"/>
      <c r="AH32" s="43"/>
      <c r="AI32" s="43"/>
      <c r="AJ32" s="43"/>
      <c r="AK32" s="43"/>
      <c r="AL32" s="43"/>
      <c r="AM32" s="43"/>
      <c r="AN32" s="43"/>
      <c r="AO32" s="43"/>
      <c r="AP32" s="43"/>
      <c r="AQ32" s="154"/>
      <c r="AR32" s="154"/>
      <c r="AS32" s="43"/>
      <c r="AT32" s="136"/>
    </row>
    <row r="33" spans="1:46" ht="17.100000000000001" customHeight="1">
      <c r="A33" s="13"/>
      <c r="B33" s="119"/>
      <c r="C33" s="745" t="s">
        <v>383</v>
      </c>
      <c r="D33" s="745"/>
      <c r="E33" s="745"/>
      <c r="F33" s="745"/>
      <c r="G33" s="745"/>
      <c r="H33" s="745"/>
      <c r="I33" s="745"/>
      <c r="J33" s="745"/>
      <c r="K33" s="745"/>
      <c r="L33" s="745"/>
      <c r="M33" s="745"/>
      <c r="N33" s="745"/>
      <c r="O33" s="23"/>
      <c r="P33" s="23"/>
      <c r="Q33" s="23"/>
      <c r="R33" s="23"/>
      <c r="S33" s="23"/>
      <c r="T33" s="23"/>
      <c r="U33" s="23"/>
      <c r="V33" s="23"/>
      <c r="W33" s="23"/>
      <c r="X33" s="23"/>
      <c r="Y33" s="23"/>
      <c r="Z33" s="23"/>
      <c r="AA33" s="23"/>
      <c r="AB33" s="120"/>
      <c r="AC33" s="43"/>
      <c r="AD33" s="210" t="s">
        <v>551</v>
      </c>
      <c r="AE33" s="406">
        <v>0.5</v>
      </c>
      <c r="AF33" s="43"/>
      <c r="AG33" s="43"/>
      <c r="AH33" s="43"/>
      <c r="AI33" s="43"/>
      <c r="AJ33" s="43"/>
      <c r="AK33" s="43"/>
      <c r="AL33" s="43"/>
      <c r="AM33" s="43"/>
      <c r="AN33" s="43"/>
      <c r="AO33" s="43"/>
      <c r="AP33" s="43"/>
      <c r="AQ33" s="43"/>
      <c r="AR33" s="43"/>
      <c r="AS33" s="43"/>
      <c r="AT33" s="136"/>
    </row>
    <row r="34" spans="1:46" ht="17.100000000000001" customHeight="1">
      <c r="A34" s="13"/>
      <c r="B34" s="119"/>
      <c r="C34" s="23"/>
      <c r="D34" s="23"/>
      <c r="E34" s="23"/>
      <c r="F34" s="23"/>
      <c r="G34" s="23"/>
      <c r="H34" s="23"/>
      <c r="I34" s="23"/>
      <c r="J34" s="23"/>
      <c r="K34" s="23"/>
      <c r="L34" s="23"/>
      <c r="M34" s="23"/>
      <c r="N34" s="23"/>
      <c r="O34" s="23"/>
      <c r="P34" s="310"/>
      <c r="Q34" s="310"/>
      <c r="R34" s="310"/>
      <c r="S34" s="310"/>
      <c r="T34" s="310"/>
      <c r="U34" s="310"/>
      <c r="V34" s="310"/>
      <c r="W34" s="310"/>
      <c r="X34" s="310"/>
      <c r="Y34" s="310"/>
      <c r="Z34" s="310"/>
      <c r="AA34" s="23"/>
      <c r="AB34" s="120"/>
      <c r="AC34" s="43"/>
      <c r="AD34" s="43" t="s">
        <v>587</v>
      </c>
      <c r="AE34" s="43"/>
      <c r="AF34" s="43"/>
      <c r="AG34" s="43"/>
      <c r="AH34" s="43"/>
      <c r="AI34" s="43"/>
      <c r="AJ34" s="43"/>
      <c r="AK34" s="43"/>
      <c r="AL34" s="43"/>
      <c r="AM34" s="43"/>
      <c r="AN34" s="43"/>
      <c r="AO34" s="43"/>
      <c r="AP34" s="43"/>
      <c r="AQ34" s="43"/>
      <c r="AR34" s="43"/>
      <c r="AS34" s="43"/>
      <c r="AT34" s="136"/>
    </row>
    <row r="35" spans="1:46" ht="17.100000000000001" customHeight="1">
      <c r="A35" s="13"/>
      <c r="B35" s="119"/>
      <c r="C35" s="573" t="s">
        <v>416</v>
      </c>
      <c r="D35" s="574"/>
      <c r="E35" s="574"/>
      <c r="F35" s="574"/>
      <c r="G35" s="574"/>
      <c r="H35" s="574"/>
      <c r="I35" s="574"/>
      <c r="J35" s="574"/>
      <c r="K35" s="574"/>
      <c r="L35" s="574"/>
      <c r="M35" s="574"/>
      <c r="N35" s="575"/>
      <c r="O35" s="23"/>
      <c r="P35" s="310"/>
      <c r="Q35" s="310"/>
      <c r="R35" s="310"/>
      <c r="S35" s="310"/>
      <c r="T35" s="310"/>
      <c r="U35" s="310"/>
      <c r="V35" s="310"/>
      <c r="W35" s="310"/>
      <c r="X35" s="310"/>
      <c r="Y35" s="310"/>
      <c r="Z35" s="310"/>
      <c r="AA35" s="23"/>
      <c r="AB35" s="120"/>
      <c r="AC35" s="43"/>
      <c r="AD35" s="43" t="s">
        <v>588</v>
      </c>
      <c r="AE35" s="43"/>
      <c r="AF35" s="43"/>
      <c r="AG35" s="43"/>
      <c r="AH35" s="43"/>
      <c r="AI35" s="43"/>
      <c r="AJ35" s="43"/>
      <c r="AK35" s="43"/>
      <c r="AL35" s="43"/>
      <c r="AM35" s="43"/>
      <c r="AN35" s="43"/>
      <c r="AO35" s="43"/>
      <c r="AP35" s="43"/>
      <c r="AQ35" s="43"/>
      <c r="AR35" s="43"/>
      <c r="AS35" s="43"/>
      <c r="AT35" s="136"/>
    </row>
    <row r="36" spans="1:46" ht="17.100000000000001" customHeight="1">
      <c r="A36" s="13"/>
      <c r="B36" s="119"/>
      <c r="C36" s="809" t="s">
        <v>385</v>
      </c>
      <c r="D36" s="810"/>
      <c r="E36" s="810"/>
      <c r="F36" s="810"/>
      <c r="G36" s="738" t="s">
        <v>76</v>
      </c>
      <c r="H36" s="738"/>
      <c r="I36" s="738" t="s">
        <v>77</v>
      </c>
      <c r="J36" s="738"/>
      <c r="K36" s="738" t="s">
        <v>80</v>
      </c>
      <c r="L36" s="738"/>
      <c r="M36" s="738" t="s">
        <v>98</v>
      </c>
      <c r="N36" s="771"/>
      <c r="O36" s="23"/>
      <c r="P36" s="23"/>
      <c r="Q36" s="23"/>
      <c r="R36" s="23"/>
      <c r="S36" s="23"/>
      <c r="T36" s="23"/>
      <c r="U36" s="23"/>
      <c r="V36" s="23"/>
      <c r="W36" s="23"/>
      <c r="X36" s="23"/>
      <c r="Y36" s="23"/>
      <c r="Z36" s="23"/>
      <c r="AA36" s="23"/>
      <c r="AB36" s="120"/>
      <c r="AC36" s="43"/>
      <c r="AD36" s="43"/>
      <c r="AE36" s="43"/>
      <c r="AF36" s="43"/>
      <c r="AG36" s="43"/>
      <c r="AH36" s="43"/>
      <c r="AI36" s="43"/>
      <c r="AJ36" s="43"/>
      <c r="AK36" s="43"/>
      <c r="AL36" s="43"/>
      <c r="AM36" s="43"/>
      <c r="AN36" s="43"/>
      <c r="AO36" s="43"/>
      <c r="AP36" s="43"/>
      <c r="AQ36" s="43"/>
      <c r="AR36" s="43"/>
      <c r="AS36" s="43"/>
      <c r="AT36" s="136"/>
    </row>
    <row r="37" spans="1:46" ht="17.100000000000001" customHeight="1">
      <c r="A37" s="13"/>
      <c r="B37" s="119"/>
      <c r="C37" s="754" t="s">
        <v>393</v>
      </c>
      <c r="D37" s="755"/>
      <c r="E37" s="755"/>
      <c r="F37" s="755"/>
      <c r="G37" s="768">
        <f>1.35*G32</f>
        <v>3.0885365853658535</v>
      </c>
      <c r="H37" s="768"/>
      <c r="I37" s="768">
        <f>IF(AI17&gt;=1,1.35*I32,"-")</f>
        <v>1.9229268292682926</v>
      </c>
      <c r="J37" s="768"/>
      <c r="K37" s="768" t="str">
        <f>IF(AI17&gt;=2,1.35*M19*K32,"-")</f>
        <v>-</v>
      </c>
      <c r="L37" s="768"/>
      <c r="M37" s="768" t="str">
        <f>IF(AI17&gt;=3,1.35*M19*M32,"-")</f>
        <v>-</v>
      </c>
      <c r="N37" s="797"/>
      <c r="O37" s="23"/>
      <c r="P37" s="23"/>
      <c r="Q37" s="23"/>
      <c r="R37" s="23"/>
      <c r="S37" s="23"/>
      <c r="T37" s="23"/>
      <c r="U37" s="23"/>
      <c r="V37" s="23"/>
      <c r="W37" s="23"/>
      <c r="X37" s="23"/>
      <c r="Y37" s="23"/>
      <c r="Z37" s="23"/>
      <c r="AA37" s="23"/>
      <c r="AB37" s="120"/>
      <c r="AC37" s="43"/>
      <c r="AD37" s="43"/>
      <c r="AE37" s="43"/>
      <c r="AF37" s="43"/>
      <c r="AG37" s="43"/>
      <c r="AH37" s="43"/>
      <c r="AI37" s="43"/>
      <c r="AJ37" s="43"/>
      <c r="AK37" s="43"/>
      <c r="AL37" s="43"/>
      <c r="AM37" s="43"/>
      <c r="AN37" s="43"/>
      <c r="AO37" s="43"/>
      <c r="AP37" s="43"/>
      <c r="AQ37" s="43"/>
      <c r="AR37" s="43"/>
      <c r="AS37" s="43"/>
      <c r="AT37" s="136"/>
    </row>
    <row r="38" spans="1:46" ht="17.100000000000001" customHeight="1">
      <c r="A38" s="13"/>
      <c r="B38" s="119"/>
      <c r="C38" s="745" t="s">
        <v>383</v>
      </c>
      <c r="D38" s="745"/>
      <c r="E38" s="745"/>
      <c r="F38" s="745"/>
      <c r="G38" s="745"/>
      <c r="H38" s="745"/>
      <c r="I38" s="745"/>
      <c r="J38" s="745"/>
      <c r="K38" s="745"/>
      <c r="L38" s="745"/>
      <c r="M38" s="745"/>
      <c r="N38" s="745"/>
      <c r="O38" s="23"/>
      <c r="P38" s="23"/>
      <c r="Q38" s="23"/>
      <c r="R38" s="23"/>
      <c r="S38" s="23"/>
      <c r="T38" s="23"/>
      <c r="U38" s="23"/>
      <c r="V38" s="23"/>
      <c r="W38" s="23"/>
      <c r="X38" s="23"/>
      <c r="Y38" s="23"/>
      <c r="Z38" s="23"/>
      <c r="AA38" s="23"/>
      <c r="AB38" s="120"/>
      <c r="AC38" s="43"/>
      <c r="AD38" s="43"/>
      <c r="AE38" s="43"/>
      <c r="AF38" s="43"/>
      <c r="AG38" s="43"/>
      <c r="AH38" s="43"/>
      <c r="AI38" s="43"/>
      <c r="AJ38" s="43"/>
      <c r="AK38" s="43"/>
      <c r="AL38" s="43"/>
      <c r="AM38" s="43"/>
      <c r="AN38" s="43"/>
      <c r="AO38" s="43"/>
      <c r="AP38" s="43"/>
      <c r="AQ38" s="43"/>
      <c r="AR38" s="43"/>
      <c r="AS38" s="43"/>
      <c r="AT38" s="136"/>
    </row>
    <row r="39" spans="1:46" ht="17.100000000000001" customHeight="1">
      <c r="A39" s="13"/>
      <c r="B39" s="119"/>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120"/>
      <c r="AC39" s="43"/>
      <c r="AD39" s="43"/>
      <c r="AE39" s="43"/>
      <c r="AF39" s="43"/>
      <c r="AG39" s="43"/>
      <c r="AH39" s="43"/>
      <c r="AI39" s="43"/>
      <c r="AJ39" s="43"/>
      <c r="AK39" s="43"/>
      <c r="AL39" s="43"/>
      <c r="AM39" s="43"/>
      <c r="AN39" s="43"/>
      <c r="AO39" s="43"/>
      <c r="AP39" s="43"/>
      <c r="AQ39" s="43"/>
      <c r="AR39" s="43"/>
      <c r="AS39" s="43"/>
      <c r="AT39" s="136"/>
    </row>
    <row r="40" spans="1:46" ht="17.100000000000001" customHeight="1">
      <c r="A40" s="13"/>
      <c r="B40" s="119"/>
      <c r="C40" s="573" t="s">
        <v>392</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5"/>
      <c r="AB40" s="120"/>
      <c r="AC40" s="43"/>
      <c r="AD40" s="43"/>
      <c r="AE40" s="43"/>
      <c r="AF40" s="43"/>
      <c r="AG40" s="43"/>
      <c r="AH40" s="43"/>
      <c r="AI40" s="43"/>
      <c r="AJ40" s="43"/>
      <c r="AK40" s="43"/>
      <c r="AL40" s="43"/>
      <c r="AM40" s="43"/>
      <c r="AN40" s="43"/>
      <c r="AO40" s="43"/>
      <c r="AP40" s="43"/>
      <c r="AQ40" s="43"/>
      <c r="AR40" s="43"/>
      <c r="AS40" s="43"/>
      <c r="AT40" s="136"/>
    </row>
    <row r="41" spans="1:46" ht="17.100000000000001" customHeight="1">
      <c r="A41" s="13"/>
      <c r="B41" s="119"/>
      <c r="C41" s="35"/>
      <c r="D41" s="36"/>
      <c r="E41" s="36"/>
      <c r="F41" s="36"/>
      <c r="G41" s="36"/>
      <c r="H41" s="36"/>
      <c r="I41" s="36"/>
      <c r="J41" s="36"/>
      <c r="K41" s="36"/>
      <c r="L41" s="36"/>
      <c r="M41" s="36"/>
      <c r="N41" s="36"/>
      <c r="O41" s="36"/>
      <c r="P41" s="36"/>
      <c r="Q41" s="36"/>
      <c r="R41" s="36"/>
      <c r="S41" s="36"/>
      <c r="T41" s="36"/>
      <c r="U41" s="36"/>
      <c r="V41" s="36"/>
      <c r="W41" s="36"/>
      <c r="X41" s="36"/>
      <c r="Y41" s="36"/>
      <c r="Z41" s="36"/>
      <c r="AA41" s="37"/>
      <c r="AB41" s="120"/>
      <c r="AC41" s="43"/>
      <c r="AD41" s="43"/>
      <c r="AE41" s="43"/>
      <c r="AF41" s="43"/>
      <c r="AG41" s="43"/>
      <c r="AH41" s="43"/>
      <c r="AI41" s="43"/>
      <c r="AJ41" s="43"/>
      <c r="AK41" s="43"/>
      <c r="AL41" s="43"/>
      <c r="AM41" s="43"/>
      <c r="AN41" s="43"/>
      <c r="AO41" s="43"/>
      <c r="AP41" s="43"/>
      <c r="AQ41" s="43"/>
      <c r="AR41" s="43"/>
      <c r="AS41" s="43"/>
      <c r="AT41" s="136"/>
    </row>
    <row r="42" spans="1:46" ht="17.100000000000001" customHeight="1">
      <c r="A42" s="13"/>
      <c r="B42" s="119"/>
      <c r="C42" s="25"/>
      <c r="D42" s="26"/>
      <c r="E42" s="823"/>
      <c r="F42" s="823"/>
      <c r="G42" s="823"/>
      <c r="H42" s="823"/>
      <c r="I42" s="823"/>
      <c r="J42" s="823"/>
      <c r="K42" s="823"/>
      <c r="L42" s="823"/>
      <c r="M42" s="823"/>
      <c r="N42" s="823"/>
      <c r="O42" s="823"/>
      <c r="P42" s="823"/>
      <c r="Q42" s="823"/>
      <c r="R42" s="823"/>
      <c r="S42" s="823"/>
      <c r="T42" s="823"/>
      <c r="U42" s="823"/>
      <c r="V42" s="823"/>
      <c r="W42" s="823"/>
      <c r="X42" s="823"/>
      <c r="Y42" s="823"/>
      <c r="Z42" s="26"/>
      <c r="AA42" s="38"/>
      <c r="AB42" s="120"/>
      <c r="AC42" s="43"/>
      <c r="AD42" s="43"/>
      <c r="AE42" s="43"/>
      <c r="AF42" s="43"/>
      <c r="AG42" s="43"/>
      <c r="AH42" s="43"/>
      <c r="AI42" s="43"/>
      <c r="AJ42" s="43"/>
      <c r="AK42" s="43"/>
      <c r="AL42" s="43"/>
      <c r="AM42" s="43"/>
      <c r="AN42" s="43"/>
      <c r="AO42" s="43"/>
      <c r="AP42" s="43"/>
      <c r="AQ42" s="43"/>
      <c r="AR42" s="43"/>
      <c r="AS42" s="43"/>
      <c r="AT42" s="136"/>
    </row>
    <row r="43" spans="1:46" ht="17.100000000000001" customHeight="1" thickBot="1">
      <c r="A43" s="13"/>
      <c r="B43" s="119"/>
      <c r="C43" s="25"/>
      <c r="D43" s="26"/>
      <c r="E43" s="550" t="str">
        <f>"La = "&amp;FIXED(MIN(M12,0.3*82),2)&amp;"m"</f>
        <v>La = 24.60m</v>
      </c>
      <c r="F43" s="550"/>
      <c r="G43" s="550"/>
      <c r="H43" s="550"/>
      <c r="I43" s="550" t="str">
        <f>IF($AI$17&lt;1,"",IF($AI$17=1,"Lb = "&amp;FIXED(M12-0.3*82,2)&amp;"m","Lb = "&amp;FIXED(2*82-0.3*82,2)&amp;"m"))</f>
        <v>Lb = 55.40m</v>
      </c>
      <c r="J43" s="550"/>
      <c r="K43" s="550"/>
      <c r="L43" s="550"/>
      <c r="M43" s="550"/>
      <c r="N43" s="550"/>
      <c r="O43" s="550" t="str">
        <f>IF($AI$17&lt;2,"",IF($AI$17=2,"Lb = "&amp;FIXED(M12-2*82,2)&amp;"m","Lb = "&amp;FIXED(4*82-2*82-0.3*82,2)&amp;"m"))</f>
        <v/>
      </c>
      <c r="P43" s="550"/>
      <c r="Q43" s="550"/>
      <c r="R43" s="550"/>
      <c r="S43" s="550"/>
      <c r="T43" s="550"/>
      <c r="U43" s="550" t="str">
        <f>IF($AI$17&lt;3,"","Ld = "&amp;FIXED(+M12-4*82,2)&amp;"m")</f>
        <v/>
      </c>
      <c r="V43" s="550"/>
      <c r="W43" s="550"/>
      <c r="X43" s="550"/>
      <c r="Y43" s="550"/>
      <c r="Z43" s="550"/>
      <c r="AA43" s="38"/>
      <c r="AB43" s="120"/>
      <c r="AC43" s="43"/>
      <c r="AD43" s="43"/>
      <c r="AE43" s="43"/>
      <c r="AF43" s="43"/>
      <c r="AG43" s="43"/>
      <c r="AH43" s="43"/>
      <c r="AI43" s="43"/>
      <c r="AJ43" s="43"/>
      <c r="AK43" s="43"/>
      <c r="AL43" s="43"/>
      <c r="AM43" s="43"/>
      <c r="AN43" s="43"/>
      <c r="AO43" s="43"/>
      <c r="AP43" s="43"/>
      <c r="AQ43" s="43"/>
      <c r="AR43" s="43"/>
      <c r="AS43" s="43"/>
      <c r="AT43" s="136"/>
    </row>
    <row r="44" spans="1:46" ht="17.100000000000001" customHeight="1">
      <c r="A44" s="13"/>
      <c r="B44" s="119"/>
      <c r="C44" s="25"/>
      <c r="D44" s="26"/>
      <c r="E44" s="721" t="s">
        <v>394</v>
      </c>
      <c r="F44" s="722"/>
      <c r="G44" s="722"/>
      <c r="H44" s="723"/>
      <c r="I44" s="815" t="str">
        <f>IF($AI$17&lt;1,"","Zone B")</f>
        <v>Zone B</v>
      </c>
      <c r="J44" s="815"/>
      <c r="K44" s="815"/>
      <c r="L44" s="815"/>
      <c r="M44" s="815"/>
      <c r="N44" s="815"/>
      <c r="O44" s="723" t="str">
        <f>IF($AI$17&lt;2,"","Zone C")</f>
        <v/>
      </c>
      <c r="P44" s="815"/>
      <c r="Q44" s="815"/>
      <c r="R44" s="815"/>
      <c r="S44" s="815"/>
      <c r="T44" s="815"/>
      <c r="U44" s="723" t="str">
        <f>IF($AI$17&lt;3,"","Zone D")</f>
        <v/>
      </c>
      <c r="V44" s="815"/>
      <c r="W44" s="815"/>
      <c r="X44" s="815"/>
      <c r="Y44" s="815"/>
      <c r="Z44" s="815"/>
      <c r="AA44" s="38"/>
      <c r="AB44" s="120"/>
      <c r="AC44" s="43"/>
      <c r="AD44" s="43"/>
      <c r="AE44" s="43"/>
      <c r="AF44" s="43"/>
      <c r="AG44" s="43"/>
      <c r="AH44" s="43"/>
      <c r="AI44" s="43"/>
      <c r="AJ44" s="43"/>
      <c r="AK44" s="43"/>
      <c r="AL44" s="43"/>
      <c r="AM44" s="43"/>
      <c r="AN44" s="43"/>
      <c r="AO44" s="43"/>
      <c r="AP44" s="43"/>
      <c r="AQ44" s="43"/>
      <c r="AR44" s="43"/>
      <c r="AS44" s="43"/>
      <c r="AT44" s="136"/>
    </row>
    <row r="45" spans="1:46" ht="17.100000000000001" customHeight="1">
      <c r="A45" s="13"/>
      <c r="B45" s="119"/>
      <c r="C45" s="25"/>
      <c r="D45" s="824" t="str">
        <f>"h = "&amp;FIXED(82,2)&amp;"m"</f>
        <v>h = 82.00m</v>
      </c>
      <c r="E45" s="724"/>
      <c r="F45" s="725"/>
      <c r="G45" s="725"/>
      <c r="H45" s="726"/>
      <c r="I45" s="816"/>
      <c r="J45" s="816"/>
      <c r="K45" s="816"/>
      <c r="L45" s="816"/>
      <c r="M45" s="816"/>
      <c r="N45" s="816"/>
      <c r="O45" s="726"/>
      <c r="P45" s="816"/>
      <c r="Q45" s="816"/>
      <c r="R45" s="816"/>
      <c r="S45" s="816"/>
      <c r="T45" s="816"/>
      <c r="U45" s="726"/>
      <c r="V45" s="816"/>
      <c r="W45" s="816"/>
      <c r="X45" s="816"/>
      <c r="Y45" s="816"/>
      <c r="Z45" s="816"/>
      <c r="AA45" s="38"/>
      <c r="AB45" s="120"/>
      <c r="AC45" s="43"/>
      <c r="AD45" s="43"/>
      <c r="AE45" s="43"/>
      <c r="AF45" s="43"/>
      <c r="AG45" s="43"/>
      <c r="AH45" s="43"/>
      <c r="AI45" s="43"/>
      <c r="AJ45" s="43"/>
      <c r="AK45" s="43"/>
      <c r="AL45" s="43"/>
      <c r="AM45" s="43"/>
      <c r="AN45" s="43"/>
      <c r="AO45" s="43"/>
      <c r="AP45" s="43"/>
      <c r="AQ45" s="43"/>
      <c r="AR45" s="43"/>
      <c r="AS45" s="43"/>
      <c r="AT45" s="136"/>
    </row>
    <row r="46" spans="1:46" ht="17.100000000000001" customHeight="1">
      <c r="A46" s="13"/>
      <c r="B46" s="119"/>
      <c r="C46" s="25"/>
      <c r="D46" s="824"/>
      <c r="E46" s="724"/>
      <c r="F46" s="725"/>
      <c r="G46" s="725"/>
      <c r="H46" s="726"/>
      <c r="I46" s="816"/>
      <c r="J46" s="816"/>
      <c r="K46" s="816"/>
      <c r="L46" s="816"/>
      <c r="M46" s="816"/>
      <c r="N46" s="816"/>
      <c r="O46" s="726"/>
      <c r="P46" s="816"/>
      <c r="Q46" s="816"/>
      <c r="R46" s="816"/>
      <c r="S46" s="816"/>
      <c r="T46" s="816"/>
      <c r="U46" s="726"/>
      <c r="V46" s="816"/>
      <c r="W46" s="816"/>
      <c r="X46" s="816"/>
      <c r="Y46" s="816"/>
      <c r="Z46" s="816"/>
      <c r="AA46" s="38"/>
      <c r="AB46" s="120"/>
      <c r="AC46" s="43"/>
      <c r="AD46" s="43"/>
      <c r="AE46" s="43"/>
      <c r="AF46" s="43"/>
      <c r="AG46" s="43"/>
      <c r="AH46" s="43"/>
      <c r="AI46" s="43"/>
      <c r="AJ46" s="43"/>
      <c r="AK46" s="43"/>
      <c r="AL46" s="43"/>
      <c r="AM46" s="43"/>
      <c r="AN46" s="43"/>
      <c r="AO46" s="43"/>
      <c r="AP46" s="43"/>
      <c r="AQ46" s="43"/>
      <c r="AR46" s="43"/>
      <c r="AS46" s="43"/>
      <c r="AT46" s="136"/>
    </row>
    <row r="47" spans="1:46" ht="17.100000000000001" customHeight="1">
      <c r="A47" s="13"/>
      <c r="B47" s="119"/>
      <c r="C47" s="25"/>
      <c r="D47" s="824"/>
      <c r="E47" s="724"/>
      <c r="F47" s="725"/>
      <c r="G47" s="725"/>
      <c r="H47" s="726"/>
      <c r="I47" s="816"/>
      <c r="J47" s="816"/>
      <c r="K47" s="816"/>
      <c r="L47" s="816"/>
      <c r="M47" s="816"/>
      <c r="N47" s="816"/>
      <c r="O47" s="726"/>
      <c r="P47" s="816"/>
      <c r="Q47" s="816"/>
      <c r="R47" s="816"/>
      <c r="S47" s="816"/>
      <c r="T47" s="816"/>
      <c r="U47" s="726"/>
      <c r="V47" s="816"/>
      <c r="W47" s="816"/>
      <c r="X47" s="816"/>
      <c r="Y47" s="816"/>
      <c r="Z47" s="816"/>
      <c r="AA47" s="38"/>
      <c r="AB47" s="120"/>
      <c r="AC47" s="43"/>
      <c r="AD47" s="43"/>
      <c r="AE47" s="43"/>
      <c r="AF47" s="43"/>
      <c r="AG47" s="43"/>
      <c r="AH47" s="43"/>
      <c r="AI47" s="43"/>
      <c r="AJ47" s="43"/>
      <c r="AK47" s="43"/>
      <c r="AL47" s="43"/>
      <c r="AM47" s="43"/>
      <c r="AN47" s="43"/>
      <c r="AO47" s="43"/>
      <c r="AP47" s="43"/>
      <c r="AQ47" s="43"/>
      <c r="AR47" s="43"/>
      <c r="AS47" s="43"/>
      <c r="AT47" s="136"/>
    </row>
    <row r="48" spans="1:46" ht="17.100000000000001" customHeight="1">
      <c r="A48" s="13"/>
      <c r="B48" s="119"/>
      <c r="C48" s="25"/>
      <c r="D48" s="824"/>
      <c r="E48" s="724"/>
      <c r="F48" s="725"/>
      <c r="G48" s="725"/>
      <c r="H48" s="726"/>
      <c r="I48" s="816"/>
      <c r="J48" s="816"/>
      <c r="K48" s="816"/>
      <c r="L48" s="816"/>
      <c r="M48" s="816"/>
      <c r="N48" s="816"/>
      <c r="O48" s="726"/>
      <c r="P48" s="816"/>
      <c r="Q48" s="816"/>
      <c r="R48" s="816"/>
      <c r="S48" s="816"/>
      <c r="T48" s="816"/>
      <c r="U48" s="726"/>
      <c r="V48" s="816"/>
      <c r="W48" s="816"/>
      <c r="X48" s="816"/>
      <c r="Y48" s="816"/>
      <c r="Z48" s="816"/>
      <c r="AA48" s="38"/>
      <c r="AB48" s="120"/>
      <c r="AC48" s="43"/>
      <c r="AD48" s="43"/>
      <c r="AE48" s="43"/>
      <c r="AF48" s="43"/>
      <c r="AG48" s="43"/>
      <c r="AH48" s="43"/>
      <c r="AI48" s="43"/>
      <c r="AJ48" s="43"/>
      <c r="AK48" s="43"/>
      <c r="AL48" s="43"/>
      <c r="AM48" s="43"/>
      <c r="AN48" s="43"/>
      <c r="AO48" s="43"/>
      <c r="AP48" s="43"/>
      <c r="AQ48" s="43"/>
      <c r="AR48" s="43"/>
      <c r="AS48" s="43"/>
      <c r="AT48" s="136"/>
    </row>
    <row r="49" spans="1:46" ht="17.100000000000001" customHeight="1">
      <c r="A49" s="13"/>
      <c r="B49" s="119"/>
      <c r="C49" s="25"/>
      <c r="D49" s="824"/>
      <c r="E49" s="727" t="str">
        <f>FIXED(G37,3)&amp;" kN/m2"</f>
        <v>3.089 kN/m2</v>
      </c>
      <c r="F49" s="728"/>
      <c r="G49" s="728"/>
      <c r="H49" s="729"/>
      <c r="I49" s="813" t="str">
        <f>IF($AI$17&lt;1,"",FIXED(I37,3)&amp;" kN/m2")</f>
        <v>1.923 kN/m2</v>
      </c>
      <c r="J49" s="813"/>
      <c r="K49" s="813"/>
      <c r="L49" s="813"/>
      <c r="M49" s="813"/>
      <c r="N49" s="813"/>
      <c r="O49" s="729" t="str">
        <f>IF($AI$17&lt;2,"",FIXED(K37,3)&amp;" kN/m2")</f>
        <v/>
      </c>
      <c r="P49" s="813"/>
      <c r="Q49" s="813"/>
      <c r="R49" s="813"/>
      <c r="S49" s="813"/>
      <c r="T49" s="813"/>
      <c r="U49" s="729" t="str">
        <f>IF($AI$17&lt;3,"",FIXED(M37,3)&amp;" kN/m2")</f>
        <v/>
      </c>
      <c r="V49" s="813"/>
      <c r="W49" s="813"/>
      <c r="X49" s="813"/>
      <c r="Y49" s="813"/>
      <c r="Z49" s="813"/>
      <c r="AA49" s="38"/>
      <c r="AB49" s="120"/>
      <c r="AC49" s="43"/>
      <c r="AD49" s="43"/>
      <c r="AE49" s="43"/>
      <c r="AF49" s="43"/>
      <c r="AG49" s="43"/>
      <c r="AH49" s="43"/>
      <c r="AI49" s="43"/>
      <c r="AJ49" s="43"/>
      <c r="AK49" s="43"/>
      <c r="AL49" s="43"/>
      <c r="AM49" s="43"/>
      <c r="AN49" s="43"/>
      <c r="AO49" s="43"/>
      <c r="AP49" s="43"/>
      <c r="AQ49" s="43"/>
      <c r="AR49" s="43"/>
      <c r="AS49" s="43"/>
      <c r="AT49" s="136"/>
    </row>
    <row r="50" spans="1:46" ht="17.100000000000001" customHeight="1">
      <c r="A50" s="13"/>
      <c r="B50" s="119"/>
      <c r="C50" s="25"/>
      <c r="D50" s="824"/>
      <c r="E50" s="727"/>
      <c r="F50" s="728"/>
      <c r="G50" s="728"/>
      <c r="H50" s="729"/>
      <c r="I50" s="813"/>
      <c r="J50" s="813"/>
      <c r="K50" s="813"/>
      <c r="L50" s="813"/>
      <c r="M50" s="813"/>
      <c r="N50" s="813"/>
      <c r="O50" s="729"/>
      <c r="P50" s="813"/>
      <c r="Q50" s="813"/>
      <c r="R50" s="813"/>
      <c r="S50" s="813"/>
      <c r="T50" s="813"/>
      <c r="U50" s="729"/>
      <c r="V50" s="813"/>
      <c r="W50" s="813"/>
      <c r="X50" s="813"/>
      <c r="Y50" s="813"/>
      <c r="Z50" s="813"/>
      <c r="AA50" s="38"/>
      <c r="AB50" s="120"/>
      <c r="AC50" s="43"/>
      <c r="AD50" s="311"/>
      <c r="AE50" s="311"/>
      <c r="AF50" s="311"/>
      <c r="AG50" s="311"/>
      <c r="AH50" s="43"/>
      <c r="AI50" s="43"/>
      <c r="AJ50" s="43"/>
      <c r="AK50" s="43"/>
      <c r="AL50" s="43"/>
      <c r="AM50" s="43"/>
      <c r="AN50" s="43"/>
      <c r="AO50" s="43"/>
      <c r="AP50" s="43"/>
      <c r="AQ50" s="43"/>
      <c r="AR50" s="43"/>
      <c r="AS50" s="43"/>
      <c r="AT50" s="136"/>
    </row>
    <row r="51" spans="1:46" ht="17.100000000000001" customHeight="1">
      <c r="A51" s="13"/>
      <c r="B51" s="119"/>
      <c r="C51" s="25"/>
      <c r="D51" s="824"/>
      <c r="E51" s="727"/>
      <c r="F51" s="728"/>
      <c r="G51" s="728"/>
      <c r="H51" s="729"/>
      <c r="I51" s="813"/>
      <c r="J51" s="813"/>
      <c r="K51" s="813"/>
      <c r="L51" s="813"/>
      <c r="M51" s="813"/>
      <c r="N51" s="813"/>
      <c r="O51" s="729"/>
      <c r="P51" s="813"/>
      <c r="Q51" s="813"/>
      <c r="R51" s="813"/>
      <c r="S51" s="813"/>
      <c r="T51" s="813"/>
      <c r="U51" s="729"/>
      <c r="V51" s="813"/>
      <c r="W51" s="813"/>
      <c r="X51" s="813"/>
      <c r="Y51" s="813"/>
      <c r="Z51" s="813"/>
      <c r="AA51" s="38"/>
      <c r="AB51" s="120"/>
      <c r="AC51" s="43"/>
      <c r="AD51" s="43"/>
      <c r="AE51" s="43"/>
      <c r="AF51" s="43"/>
      <c r="AG51" s="43"/>
      <c r="AH51" s="43"/>
      <c r="AI51" s="43"/>
      <c r="AJ51" s="43"/>
      <c r="AK51" s="43"/>
      <c r="AL51" s="43"/>
      <c r="AM51" s="43"/>
      <c r="AN51" s="43"/>
      <c r="AO51" s="43"/>
      <c r="AP51" s="43"/>
      <c r="AQ51" s="43"/>
      <c r="AR51" s="43"/>
      <c r="AS51" s="43"/>
      <c r="AT51" s="136"/>
    </row>
    <row r="52" spans="1:46" ht="17.100000000000001" customHeight="1">
      <c r="A52" s="13"/>
      <c r="B52" s="119"/>
      <c r="C52" s="25"/>
      <c r="D52" s="824"/>
      <c r="E52" s="727"/>
      <c r="F52" s="728"/>
      <c r="G52" s="728"/>
      <c r="H52" s="729"/>
      <c r="I52" s="813"/>
      <c r="J52" s="813"/>
      <c r="K52" s="813"/>
      <c r="L52" s="813"/>
      <c r="M52" s="813"/>
      <c r="N52" s="813"/>
      <c r="O52" s="729"/>
      <c r="P52" s="813"/>
      <c r="Q52" s="813"/>
      <c r="R52" s="813"/>
      <c r="S52" s="813"/>
      <c r="T52" s="813"/>
      <c r="U52" s="729"/>
      <c r="V52" s="813"/>
      <c r="W52" s="813"/>
      <c r="X52" s="813"/>
      <c r="Y52" s="813"/>
      <c r="Z52" s="813"/>
      <c r="AA52" s="38"/>
      <c r="AB52" s="120"/>
      <c r="AC52" s="43"/>
      <c r="AD52" s="43"/>
      <c r="AE52" s="43"/>
      <c r="AF52" s="43"/>
      <c r="AG52" s="43"/>
      <c r="AH52" s="43"/>
      <c r="AI52" s="43"/>
      <c r="AJ52" s="43"/>
      <c r="AK52" s="43"/>
      <c r="AL52" s="43"/>
      <c r="AM52" s="43"/>
      <c r="AN52" s="43"/>
      <c r="AO52" s="43"/>
      <c r="AP52" s="43"/>
      <c r="AQ52" s="43"/>
      <c r="AR52" s="43"/>
      <c r="AS52" s="43"/>
      <c r="AT52" s="136"/>
    </row>
    <row r="53" spans="1:46" ht="17.100000000000001" customHeight="1" thickBot="1">
      <c r="A53" s="13"/>
      <c r="B53" s="119"/>
      <c r="C53" s="25"/>
      <c r="D53" s="824"/>
      <c r="E53" s="730"/>
      <c r="F53" s="731"/>
      <c r="G53" s="731"/>
      <c r="H53" s="732"/>
      <c r="I53" s="814"/>
      <c r="J53" s="814"/>
      <c r="K53" s="814"/>
      <c r="L53" s="814"/>
      <c r="M53" s="814"/>
      <c r="N53" s="814"/>
      <c r="O53" s="732"/>
      <c r="P53" s="814"/>
      <c r="Q53" s="814"/>
      <c r="R53" s="814"/>
      <c r="S53" s="814"/>
      <c r="T53" s="814"/>
      <c r="U53" s="732"/>
      <c r="V53" s="814"/>
      <c r="W53" s="814"/>
      <c r="X53" s="814"/>
      <c r="Y53" s="814"/>
      <c r="Z53" s="814"/>
      <c r="AA53" s="38"/>
      <c r="AB53" s="120"/>
      <c r="AC53" s="43"/>
      <c r="AD53" s="43"/>
      <c r="AE53" s="43"/>
      <c r="AF53" s="43"/>
      <c r="AG53" s="43"/>
      <c r="AH53" s="43"/>
      <c r="AI53" s="43"/>
      <c r="AJ53" s="43"/>
      <c r="AK53" s="43"/>
      <c r="AL53" s="43"/>
      <c r="AM53" s="43"/>
      <c r="AN53" s="43"/>
      <c r="AO53" s="43"/>
      <c r="AP53" s="43"/>
      <c r="AQ53" s="43"/>
      <c r="AR53" s="43"/>
      <c r="AS53" s="43"/>
      <c r="AT53" s="136"/>
    </row>
    <row r="54" spans="1:46" ht="17.100000000000001" customHeight="1">
      <c r="A54" s="13"/>
      <c r="B54" s="119"/>
      <c r="C54" s="25"/>
      <c r="D54" s="26"/>
      <c r="E54" s="779"/>
      <c r="F54" s="779"/>
      <c r="G54" s="779"/>
      <c r="H54" s="779"/>
      <c r="I54" s="779"/>
      <c r="J54" s="779"/>
      <c r="K54" s="779"/>
      <c r="L54" s="779"/>
      <c r="M54" s="779"/>
      <c r="N54" s="779"/>
      <c r="O54" s="779"/>
      <c r="P54" s="779"/>
      <c r="Q54" s="779"/>
      <c r="R54" s="779"/>
      <c r="S54" s="779"/>
      <c r="T54" s="779"/>
      <c r="U54" s="779"/>
      <c r="V54" s="779"/>
      <c r="W54" s="779"/>
      <c r="X54" s="779"/>
      <c r="Y54" s="779"/>
      <c r="Z54" s="779"/>
      <c r="AA54" s="38"/>
      <c r="AB54" s="120"/>
      <c r="AC54" s="43"/>
      <c r="AD54" s="43"/>
      <c r="AE54" s="43"/>
      <c r="AF54" s="43"/>
      <c r="AG54" s="43"/>
      <c r="AH54" s="43"/>
      <c r="AI54" s="43"/>
      <c r="AJ54" s="43"/>
      <c r="AK54" s="43"/>
      <c r="AL54" s="43"/>
      <c r="AM54" s="43"/>
      <c r="AN54" s="43"/>
      <c r="AO54" s="43"/>
      <c r="AP54" s="43"/>
      <c r="AQ54" s="43"/>
      <c r="AR54" s="43"/>
      <c r="AS54" s="43"/>
      <c r="AT54" s="136"/>
    </row>
    <row r="55" spans="1:46" ht="17.100000000000001" customHeight="1">
      <c r="A55" s="13"/>
      <c r="B55" s="119"/>
      <c r="C55" s="25"/>
      <c r="D55" s="26"/>
      <c r="E55" s="26"/>
      <c r="F55" s="26"/>
      <c r="G55" s="26"/>
      <c r="H55" s="26"/>
      <c r="I55" s="26"/>
      <c r="J55" s="26"/>
      <c r="K55" s="26"/>
      <c r="L55" s="26"/>
      <c r="M55" s="26"/>
      <c r="N55" s="26"/>
      <c r="O55" s="26"/>
      <c r="P55" s="26"/>
      <c r="Q55" s="26"/>
      <c r="R55" s="26"/>
      <c r="S55" s="26"/>
      <c r="T55" s="26"/>
      <c r="U55" s="26"/>
      <c r="V55" s="26"/>
      <c r="W55" s="26"/>
      <c r="X55" s="26"/>
      <c r="Y55" s="26"/>
      <c r="Z55" s="26"/>
      <c r="AA55" s="38"/>
      <c r="AB55" s="120"/>
      <c r="AC55" s="43"/>
      <c r="AD55" s="43"/>
      <c r="AE55" s="43"/>
      <c r="AF55" s="43"/>
      <c r="AG55" s="43"/>
      <c r="AH55" s="43"/>
      <c r="AI55" s="43"/>
      <c r="AJ55" s="43"/>
      <c r="AK55" s="43"/>
      <c r="AL55" s="43"/>
      <c r="AM55" s="43"/>
      <c r="AN55" s="43"/>
      <c r="AO55" s="43"/>
      <c r="AP55" s="43"/>
      <c r="AQ55" s="43"/>
      <c r="AR55" s="43"/>
      <c r="AS55" s="43"/>
      <c r="AT55" s="136"/>
    </row>
    <row r="56" spans="1:46" ht="17.100000000000001" customHeight="1">
      <c r="A56" s="13"/>
      <c r="B56" s="119"/>
      <c r="C56" s="29"/>
      <c r="D56" s="30"/>
      <c r="E56" s="30"/>
      <c r="F56" s="30"/>
      <c r="G56" s="30"/>
      <c r="H56" s="30"/>
      <c r="I56" s="30"/>
      <c r="J56" s="30"/>
      <c r="K56" s="30"/>
      <c r="L56" s="30"/>
      <c r="M56" s="30"/>
      <c r="N56" s="30"/>
      <c r="O56" s="30"/>
      <c r="P56" s="30"/>
      <c r="Q56" s="30"/>
      <c r="R56" s="30"/>
      <c r="S56" s="30"/>
      <c r="T56" s="30"/>
      <c r="U56" s="30"/>
      <c r="V56" s="30"/>
      <c r="W56" s="30"/>
      <c r="X56" s="30"/>
      <c r="Y56" s="30"/>
      <c r="Z56" s="30"/>
      <c r="AA56" s="39"/>
      <c r="AB56" s="120"/>
      <c r="AC56" s="43"/>
      <c r="AD56" s="43"/>
      <c r="AE56" s="43"/>
      <c r="AF56" s="43"/>
      <c r="AG56" s="43"/>
      <c r="AH56" s="43"/>
      <c r="AI56" s="43"/>
      <c r="AJ56" s="43"/>
      <c r="AK56" s="43"/>
      <c r="AL56" s="43"/>
      <c r="AM56" s="43"/>
      <c r="AN56" s="43"/>
      <c r="AO56" s="43"/>
      <c r="AP56" s="43"/>
      <c r="AQ56" s="43"/>
      <c r="AR56" s="43"/>
      <c r="AS56" s="43"/>
      <c r="AT56" s="136"/>
    </row>
    <row r="57" spans="1:46" ht="17.100000000000001" customHeight="1">
      <c r="A57" s="13"/>
      <c r="B57" s="119"/>
      <c r="C57" s="23"/>
      <c r="D57" s="23"/>
      <c r="E57" s="23"/>
      <c r="F57" s="23"/>
      <c r="G57" s="23"/>
      <c r="H57" s="23"/>
      <c r="I57" s="23"/>
      <c r="J57" s="23"/>
      <c r="K57" s="23"/>
      <c r="L57" s="23"/>
      <c r="M57" s="23"/>
      <c r="N57" s="23"/>
      <c r="O57" s="23"/>
      <c r="P57" s="23"/>
      <c r="Q57" s="23"/>
      <c r="R57" s="23"/>
      <c r="S57" s="23"/>
      <c r="T57" s="23"/>
      <c r="U57" s="23"/>
      <c r="V57" s="23"/>
      <c r="W57" s="23"/>
      <c r="X57" s="23"/>
      <c r="Y57" s="23"/>
      <c r="Z57" s="23"/>
      <c r="AA57" s="422" t="s">
        <v>500</v>
      </c>
      <c r="AB57" s="120"/>
      <c r="AC57" s="43"/>
      <c r="AD57" s="43"/>
      <c r="AE57" s="43"/>
      <c r="AF57" s="43"/>
      <c r="AG57" s="43"/>
      <c r="AH57" s="43"/>
      <c r="AI57" s="43"/>
      <c r="AJ57" s="43"/>
      <c r="AK57" s="43"/>
      <c r="AL57" s="43"/>
      <c r="AM57" s="43"/>
      <c r="AN57" s="43"/>
      <c r="AO57" s="43"/>
      <c r="AP57" s="43"/>
      <c r="AQ57" s="43"/>
      <c r="AR57" s="43"/>
      <c r="AS57" s="43"/>
      <c r="AT57" s="136"/>
    </row>
    <row r="58" spans="1:46" ht="17.100000000000001" customHeight="1">
      <c r="A58" s="13"/>
      <c r="B58" s="119"/>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120"/>
      <c r="AC58" s="43"/>
      <c r="AD58" s="43"/>
      <c r="AE58" s="43"/>
      <c r="AF58" s="43"/>
      <c r="AG58" s="43"/>
      <c r="AH58" s="43"/>
      <c r="AI58" s="43"/>
      <c r="AJ58" s="43"/>
      <c r="AK58" s="43"/>
      <c r="AL58" s="43"/>
      <c r="AM58" s="43"/>
      <c r="AN58" s="43"/>
      <c r="AO58" s="43"/>
      <c r="AP58" s="43"/>
      <c r="AQ58" s="43"/>
      <c r="AR58" s="43"/>
      <c r="AS58" s="43"/>
      <c r="AT58" s="136"/>
    </row>
    <row r="59" spans="1:46" ht="17.100000000000001" customHeight="1">
      <c r="A59" s="13"/>
      <c r="B59" s="119"/>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120"/>
      <c r="AC59" s="43"/>
      <c r="AD59" s="43"/>
      <c r="AE59" s="43"/>
      <c r="AF59" s="43"/>
      <c r="AG59" s="43"/>
      <c r="AH59" s="43"/>
      <c r="AI59" s="43"/>
      <c r="AJ59" s="43"/>
      <c r="AK59" s="43"/>
      <c r="AL59" s="43"/>
      <c r="AM59" s="43"/>
      <c r="AN59" s="43"/>
      <c r="AO59" s="43"/>
      <c r="AP59" s="43"/>
      <c r="AQ59" s="43"/>
      <c r="AR59" s="43"/>
      <c r="AS59" s="43"/>
      <c r="AT59" s="136"/>
    </row>
    <row r="60" spans="1:46" ht="17.100000000000001" customHeight="1">
      <c r="A60" s="13"/>
      <c r="B60" s="119"/>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120"/>
      <c r="AC60" s="43"/>
      <c r="AD60" s="43"/>
      <c r="AE60" s="43"/>
      <c r="AF60" s="43"/>
      <c r="AG60" s="43"/>
      <c r="AH60" s="43"/>
      <c r="AI60" s="43"/>
      <c r="AJ60" s="43"/>
      <c r="AK60" s="43"/>
      <c r="AL60" s="43"/>
      <c r="AM60" s="43"/>
      <c r="AN60" s="43"/>
      <c r="AO60" s="43"/>
      <c r="AP60" s="43"/>
      <c r="AQ60" s="43"/>
      <c r="AR60" s="43"/>
      <c r="AS60" s="43"/>
      <c r="AT60" s="136"/>
    </row>
    <row r="61" spans="1:46" ht="17.100000000000001" customHeight="1" thickBot="1">
      <c r="A61" s="13"/>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409" t="s">
        <v>395</v>
      </c>
      <c r="AB61" s="126"/>
      <c r="AC61" s="43"/>
      <c r="AD61" s="43"/>
      <c r="AE61" s="43"/>
      <c r="AF61" s="43"/>
      <c r="AG61" s="43"/>
      <c r="AH61" s="43"/>
      <c r="AI61" s="43"/>
      <c r="AJ61" s="43"/>
      <c r="AK61" s="43"/>
      <c r="AL61" s="43"/>
      <c r="AM61" s="43"/>
      <c r="AN61" s="43"/>
      <c r="AO61" s="43"/>
      <c r="AP61" s="43"/>
      <c r="AQ61" s="43"/>
      <c r="AR61" s="43"/>
      <c r="AS61" s="43"/>
      <c r="AT61" s="136"/>
    </row>
    <row r="62" spans="1:46" ht="15" customHeight="1">
      <c r="A62" s="43"/>
      <c r="B62" s="43"/>
      <c r="C62" s="43"/>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3"/>
      <c r="AG62" s="43"/>
      <c r="AH62" s="43"/>
      <c r="AI62" s="43"/>
      <c r="AJ62" s="43"/>
      <c r="AK62" s="43"/>
      <c r="AL62" s="43"/>
      <c r="AM62" s="43"/>
      <c r="AN62" s="43"/>
      <c r="AO62" s="43"/>
      <c r="AP62" s="43"/>
      <c r="AQ62" s="43"/>
      <c r="AR62" s="43"/>
      <c r="AS62" s="43"/>
      <c r="AT62" s="136"/>
    </row>
    <row r="63" spans="1:46" ht="15" customHeight="1">
      <c r="AH63" s="136"/>
      <c r="AI63" s="136"/>
      <c r="AJ63" s="136"/>
      <c r="AK63" s="136"/>
      <c r="AL63" s="136"/>
      <c r="AM63" s="136"/>
      <c r="AN63" s="136"/>
      <c r="AO63" s="136"/>
      <c r="AP63" s="136"/>
      <c r="AQ63" s="136"/>
      <c r="AR63" s="136"/>
      <c r="AS63" s="136"/>
      <c r="AT63" s="136"/>
    </row>
  </sheetData>
  <sheetProtection password="CD8C" sheet="1" objects="1" scenarios="1"/>
  <customSheetViews>
    <customSheetView guid="{6C52B67B-3021-4890-8879-9905AB467CFE}" scale="75" showPageBreaks="1" showGridLines="0" printArea="1" hiddenColumns="1">
      <selection activeCell="F5" sqref="F5"/>
      <pageMargins left="0.70866141732283472" right="0.70866141732283472" top="0.74803149606299213" bottom="0.74803149606299213" header="0.31496062992125984" footer="0.31496062992125984"/>
      <printOptions horizontalCentered="1"/>
      <pageSetup paperSize="9" scale="80" orientation="portrait" r:id="rId1"/>
    </customSheetView>
  </customSheetViews>
  <mergeCells count="93">
    <mergeCell ref="M36:N36"/>
    <mergeCell ref="M11:N11"/>
    <mergeCell ref="E54:H54"/>
    <mergeCell ref="E43:H43"/>
    <mergeCell ref="P12:AA13"/>
    <mergeCell ref="E42:G42"/>
    <mergeCell ref="H42:M42"/>
    <mergeCell ref="N42:S42"/>
    <mergeCell ref="T42:Y42"/>
    <mergeCell ref="C19:L19"/>
    <mergeCell ref="M19:N19"/>
    <mergeCell ref="D45:D53"/>
    <mergeCell ref="I54:N54"/>
    <mergeCell ref="O54:T54"/>
    <mergeCell ref="U54:Z54"/>
    <mergeCell ref="U44:Z48"/>
    <mergeCell ref="G31:H31"/>
    <mergeCell ref="C12:L12"/>
    <mergeCell ref="M12:N12"/>
    <mergeCell ref="C13:L13"/>
    <mergeCell ref="M13:N13"/>
    <mergeCell ref="C15:N15"/>
    <mergeCell ref="C31:F31"/>
    <mergeCell ref="I31:J31"/>
    <mergeCell ref="K31:L31"/>
    <mergeCell ref="M31:N31"/>
    <mergeCell ref="M22:N22"/>
    <mergeCell ref="D21:M21"/>
    <mergeCell ref="C8:N8"/>
    <mergeCell ref="P8:AA8"/>
    <mergeCell ref="C9:F9"/>
    <mergeCell ref="G9:N9"/>
    <mergeCell ref="C22:L22"/>
    <mergeCell ref="C18:L18"/>
    <mergeCell ref="C16:L16"/>
    <mergeCell ref="C17:L17"/>
    <mergeCell ref="M16:N16"/>
    <mergeCell ref="M17:N17"/>
    <mergeCell ref="M18:N18"/>
    <mergeCell ref="P9:S9"/>
    <mergeCell ref="T9:U9"/>
    <mergeCell ref="V9:W9"/>
    <mergeCell ref="X9:Y9"/>
    <mergeCell ref="C10:F10"/>
    <mergeCell ref="G10:N10"/>
    <mergeCell ref="C11:L11"/>
    <mergeCell ref="B1:R1"/>
    <mergeCell ref="S1:AB1"/>
    <mergeCell ref="M32:N32"/>
    <mergeCell ref="C25:N25"/>
    <mergeCell ref="C23:L23"/>
    <mergeCell ref="C24:L24"/>
    <mergeCell ref="M23:N23"/>
    <mergeCell ref="M24:N24"/>
    <mergeCell ref="C30:N30"/>
    <mergeCell ref="C27:N27"/>
    <mergeCell ref="C28:L28"/>
    <mergeCell ref="C29:L29"/>
    <mergeCell ref="M28:N28"/>
    <mergeCell ref="M29:N29"/>
    <mergeCell ref="C32:F32"/>
    <mergeCell ref="C36:F36"/>
    <mergeCell ref="C37:F37"/>
    <mergeCell ref="C38:N38"/>
    <mergeCell ref="G37:H37"/>
    <mergeCell ref="I37:J37"/>
    <mergeCell ref="G32:H32"/>
    <mergeCell ref="I32:J32"/>
    <mergeCell ref="K37:L37"/>
    <mergeCell ref="M37:N37"/>
    <mergeCell ref="K32:L32"/>
    <mergeCell ref="C33:N33"/>
    <mergeCell ref="C35:N35"/>
    <mergeCell ref="G36:H36"/>
    <mergeCell ref="I36:J36"/>
    <mergeCell ref="K36:L36"/>
    <mergeCell ref="Z9:AA9"/>
    <mergeCell ref="P10:S10"/>
    <mergeCell ref="T10:U10"/>
    <mergeCell ref="V10:W10"/>
    <mergeCell ref="X10:Y10"/>
    <mergeCell ref="Z10:AA10"/>
    <mergeCell ref="E44:H48"/>
    <mergeCell ref="E49:H53"/>
    <mergeCell ref="C40:AA40"/>
    <mergeCell ref="I43:N43"/>
    <mergeCell ref="O43:T43"/>
    <mergeCell ref="U43:Z43"/>
    <mergeCell ref="O49:T53"/>
    <mergeCell ref="I49:N53"/>
    <mergeCell ref="I44:N48"/>
    <mergeCell ref="O44:T48"/>
    <mergeCell ref="U49:Z53"/>
  </mergeCells>
  <conditionalFormatting sqref="P12:AA13">
    <cfRule type="notContainsBlanks" dxfId="25" priority="15">
      <formula>LEN(TRIM(P12))&gt;0</formula>
    </cfRule>
  </conditionalFormatting>
  <conditionalFormatting sqref="E42:M42">
    <cfRule type="expression" dxfId="24" priority="9">
      <formula>$AH$14=TRUE</formula>
    </cfRule>
  </conditionalFormatting>
  <conditionalFormatting sqref="E42:S42">
    <cfRule type="expression" dxfId="23" priority="10">
      <formula>$AH$15=TRUE</formula>
    </cfRule>
  </conditionalFormatting>
  <conditionalFormatting sqref="E42:S42">
    <cfRule type="expression" dxfId="22" priority="162">
      <formula>$AH$16=TRUE</formula>
    </cfRule>
  </conditionalFormatting>
  <conditionalFormatting sqref="U44:Z54">
    <cfRule type="expression" dxfId="21" priority="7">
      <formula>$AI$17&lt;3</formula>
    </cfRule>
  </conditionalFormatting>
  <conditionalFormatting sqref="O44:T54">
    <cfRule type="expression" dxfId="20" priority="6">
      <formula>$AI$17&lt;2</formula>
    </cfRule>
  </conditionalFormatting>
  <conditionalFormatting sqref="I44:N54">
    <cfRule type="expression" dxfId="19" priority="5">
      <formula>$AI$17&lt;1</formula>
    </cfRule>
  </conditionalFormatting>
  <conditionalFormatting sqref="M17:N17">
    <cfRule type="expression" dxfId="18" priority="1">
      <formula>$AH$9=2</formula>
    </cfRule>
  </conditionalFormatting>
  <dataValidations count="3">
    <dataValidation type="list" allowBlank="1" showInputMessage="1" showErrorMessage="1" sqref="M16:N16" xr:uid="{00000000-0002-0000-0400-000000000000}">
      <formula1>$AI$10:$AI$11</formula1>
    </dataValidation>
    <dataValidation type="list" allowBlank="1" showInputMessage="1" showErrorMessage="1" sqref="G9:N9" xr:uid="{00000000-0002-0000-0400-000001000000}">
      <formula1>Structure</formula1>
    </dataValidation>
    <dataValidation type="list" allowBlank="1" showInputMessage="1" showErrorMessage="1" sqref="G10:N10" xr:uid="{00000000-0002-0000-0400-000002000000}">
      <formula1>Structural_type</formula1>
    </dataValidation>
  </dataValidations>
  <hyperlinks>
    <hyperlink ref="C61" r:id="rId2" xr:uid="{00000000-0004-0000-0400-000000000000}"/>
  </hyperlinks>
  <printOptions horizontalCentered="1"/>
  <pageMargins left="0.74803149606299213" right="0.31496062992125984" top="0.74803149606299202" bottom="0.43307086614173229" header="0" footer="0"/>
  <pageSetup paperSize="9" scale="74"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V72"/>
  <sheetViews>
    <sheetView showGridLines="0" topLeftCell="A7" zoomScaleNormal="100" workbookViewId="0">
      <selection activeCell="G9" sqref="G9:N9"/>
    </sheetView>
  </sheetViews>
  <sheetFormatPr defaultRowHeight="15" customHeight="1"/>
  <cols>
    <col min="1" max="1" width="2.5703125" style="13" customWidth="1"/>
    <col min="2" max="2" width="2" style="13" customWidth="1"/>
    <col min="3" max="3" width="6.140625" style="13" customWidth="1"/>
    <col min="4" max="27" width="4.7109375" style="13" customWidth="1"/>
    <col min="28" max="28" width="2" style="13" customWidth="1"/>
    <col min="29" max="29" width="2.5703125" style="13" customWidth="1"/>
    <col min="30" max="46" width="9.140625" style="136" hidden="1" customWidth="1"/>
    <col min="47" max="16384" width="9.140625" style="136"/>
  </cols>
  <sheetData>
    <row r="1" spans="1:48" ht="15" customHeight="1">
      <c r="A1" s="133"/>
      <c r="B1" s="769" t="s">
        <v>486</v>
      </c>
      <c r="C1" s="769"/>
      <c r="D1" s="769"/>
      <c r="E1" s="769"/>
      <c r="F1" s="769"/>
      <c r="G1" s="769"/>
      <c r="H1" s="769"/>
      <c r="I1" s="769"/>
      <c r="J1" s="769"/>
      <c r="K1" s="769"/>
      <c r="L1" s="769"/>
      <c r="M1" s="769"/>
      <c r="N1" s="769"/>
      <c r="O1" s="769"/>
      <c r="P1" s="769"/>
      <c r="Q1" s="769"/>
      <c r="R1" s="769"/>
      <c r="S1" s="770" t="s">
        <v>487</v>
      </c>
      <c r="T1" s="770"/>
      <c r="U1" s="770"/>
      <c r="V1" s="770"/>
      <c r="W1" s="770"/>
      <c r="X1" s="770"/>
      <c r="Y1" s="770"/>
      <c r="Z1" s="770"/>
      <c r="AA1" s="770"/>
      <c r="AB1" s="770"/>
      <c r="AD1" s="43"/>
      <c r="AE1" s="43"/>
      <c r="AF1" s="43"/>
      <c r="AG1" s="43"/>
      <c r="AH1" s="43"/>
      <c r="AI1" s="43"/>
      <c r="AJ1" s="43"/>
      <c r="AK1" s="43"/>
      <c r="AL1" s="43"/>
      <c r="AM1" s="43"/>
      <c r="AN1" s="43"/>
      <c r="AO1" s="43"/>
      <c r="AP1" s="43"/>
      <c r="AQ1" s="43"/>
      <c r="AR1" s="43"/>
      <c r="AS1" s="43"/>
      <c r="AT1" s="43"/>
      <c r="AU1" s="43"/>
      <c r="AV1" s="43"/>
    </row>
    <row r="2" spans="1:48" ht="29.25" customHeight="1" thickBot="1">
      <c r="A2" s="133"/>
      <c r="AD2" s="43"/>
      <c r="AE2" s="43"/>
      <c r="AF2" s="43"/>
      <c r="AG2" s="43"/>
      <c r="AH2" s="43"/>
      <c r="AI2" s="43"/>
      <c r="AJ2" s="43"/>
      <c r="AK2" s="43"/>
      <c r="AL2" s="43"/>
      <c r="AM2" s="43"/>
      <c r="AN2" s="43"/>
      <c r="AO2" s="45"/>
      <c r="AP2" s="45" t="s">
        <v>99</v>
      </c>
      <c r="AQ2" s="45"/>
      <c r="AR2" s="45"/>
      <c r="AS2" s="43"/>
      <c r="AT2" s="43"/>
      <c r="AU2" s="43"/>
      <c r="AV2" s="43"/>
    </row>
    <row r="3" spans="1:48" ht="19.5" customHeight="1" thickBot="1">
      <c r="A3" s="133"/>
      <c r="AD3" s="43"/>
      <c r="AE3" s="43"/>
      <c r="AF3" s="43"/>
      <c r="AG3" s="43"/>
      <c r="AH3" s="43"/>
      <c r="AI3" s="43"/>
      <c r="AJ3" s="137">
        <f>MATCH(G12,AK4:AK7,0)</f>
        <v>1</v>
      </c>
      <c r="AK3" s="66" t="s">
        <v>119</v>
      </c>
      <c r="AL3" s="68"/>
      <c r="AM3" s="43"/>
      <c r="AN3" s="43"/>
      <c r="AO3" s="53">
        <v>1</v>
      </c>
      <c r="AP3" s="66"/>
      <c r="AQ3" s="68"/>
      <c r="AR3" s="43"/>
    </row>
    <row r="4" spans="1:48" ht="19.5" customHeight="1">
      <c r="A4" s="133"/>
      <c r="AD4" s="43"/>
      <c r="AE4" s="43"/>
      <c r="AF4" s="43"/>
      <c r="AG4" s="43"/>
      <c r="AH4" s="43"/>
      <c r="AI4" s="43"/>
      <c r="AJ4" s="71">
        <v>1</v>
      </c>
      <c r="AK4" s="70" t="s">
        <v>115</v>
      </c>
      <c r="AL4" s="80"/>
      <c r="AM4" s="43"/>
      <c r="AN4" s="43"/>
      <c r="AO4" s="71">
        <v>2</v>
      </c>
      <c r="AP4" s="183" t="s">
        <v>125</v>
      </c>
      <c r="AQ4" s="184">
        <f>+M18/AK11</f>
        <v>1.2500000000000001E-2</v>
      </c>
      <c r="AR4" s="45"/>
    </row>
    <row r="5" spans="1:48" ht="19.5" customHeight="1">
      <c r="A5" s="133"/>
      <c r="AD5" s="43"/>
      <c r="AE5" s="43"/>
      <c r="AF5" s="43"/>
      <c r="AG5" s="43"/>
      <c r="AH5" s="43"/>
      <c r="AI5" s="43"/>
      <c r="AJ5" s="71">
        <v>2</v>
      </c>
      <c r="AK5" s="70" t="s">
        <v>116</v>
      </c>
      <c r="AL5" s="80"/>
      <c r="AM5" s="43"/>
      <c r="AN5" s="43"/>
      <c r="AO5" s="71">
        <v>3</v>
      </c>
      <c r="AP5" s="183" t="s">
        <v>126</v>
      </c>
      <c r="AQ5" s="184">
        <f>+M19/AK11</f>
        <v>2.5000000000000001E-2</v>
      </c>
      <c r="AR5" s="45"/>
    </row>
    <row r="6" spans="1:48" ht="17.100000000000001" customHeight="1">
      <c r="A6" s="133"/>
      <c r="B6" s="119"/>
      <c r="C6" s="23"/>
      <c r="D6" s="23"/>
      <c r="E6" s="23"/>
      <c r="F6" s="23"/>
      <c r="G6" s="23"/>
      <c r="H6" s="23"/>
      <c r="I6" s="23"/>
      <c r="J6" s="23"/>
      <c r="K6" s="23"/>
      <c r="L6" s="23"/>
      <c r="M6" s="23"/>
      <c r="N6" s="23"/>
      <c r="O6" s="23"/>
      <c r="P6" s="23"/>
      <c r="Q6" s="23"/>
      <c r="R6" s="23"/>
      <c r="S6" s="23"/>
      <c r="T6" s="23"/>
      <c r="U6" s="23"/>
      <c r="V6" s="23"/>
      <c r="W6" s="23"/>
      <c r="X6" s="23"/>
      <c r="Y6" s="23"/>
      <c r="Z6" s="23"/>
      <c r="AA6" s="23"/>
      <c r="AB6" s="120"/>
      <c r="AD6" s="43"/>
      <c r="AE6" s="43"/>
      <c r="AF6" s="43"/>
      <c r="AG6" s="43"/>
      <c r="AH6" s="43"/>
      <c r="AI6" s="43"/>
      <c r="AJ6" s="71">
        <v>3</v>
      </c>
      <c r="AK6" s="70" t="s">
        <v>117</v>
      </c>
      <c r="AL6" s="80"/>
      <c r="AM6" s="43"/>
      <c r="AN6" s="43"/>
      <c r="AO6" s="71"/>
      <c r="AP6" s="183"/>
      <c r="AQ6" s="184"/>
      <c r="AR6" s="45"/>
    </row>
    <row r="7" spans="1:48" ht="17.100000000000001" customHeight="1" thickBot="1">
      <c r="B7" s="119"/>
      <c r="C7" s="23"/>
      <c r="D7" s="23"/>
      <c r="E7" s="23"/>
      <c r="F7" s="23"/>
      <c r="G7" s="23"/>
      <c r="H7" s="23"/>
      <c r="I7" s="23"/>
      <c r="J7" s="23"/>
      <c r="K7" s="23"/>
      <c r="L7" s="23"/>
      <c r="M7" s="23"/>
      <c r="N7" s="23"/>
      <c r="O7" s="23"/>
      <c r="P7" s="23"/>
      <c r="Q7" s="23"/>
      <c r="R7" s="23"/>
      <c r="S7" s="23"/>
      <c r="T7" s="23"/>
      <c r="U7" s="23"/>
      <c r="V7" s="23"/>
      <c r="W7" s="23"/>
      <c r="X7" s="23"/>
      <c r="Y7" s="23"/>
      <c r="Z7" s="23"/>
      <c r="AA7" s="23"/>
      <c r="AB7" s="120"/>
      <c r="AD7" s="43"/>
      <c r="AE7" s="43"/>
      <c r="AF7" s="43"/>
      <c r="AG7" s="43"/>
      <c r="AH7" s="43"/>
      <c r="AI7" s="43"/>
      <c r="AJ7" s="139">
        <v>4</v>
      </c>
      <c r="AK7" s="75" t="s">
        <v>118</v>
      </c>
      <c r="AL7" s="96"/>
      <c r="AM7" s="43"/>
      <c r="AN7" s="43"/>
      <c r="AO7" s="74"/>
      <c r="AP7" s="76"/>
      <c r="AQ7" s="96"/>
      <c r="AR7" s="45"/>
    </row>
    <row r="8" spans="1:48" ht="17.100000000000001" customHeight="1">
      <c r="B8" s="119"/>
      <c r="C8" s="573" t="s">
        <v>348</v>
      </c>
      <c r="D8" s="574"/>
      <c r="E8" s="574"/>
      <c r="F8" s="574"/>
      <c r="G8" s="574"/>
      <c r="H8" s="574"/>
      <c r="I8" s="574"/>
      <c r="J8" s="574"/>
      <c r="K8" s="574"/>
      <c r="L8" s="574"/>
      <c r="M8" s="574"/>
      <c r="N8" s="575"/>
      <c r="O8" s="23"/>
      <c r="P8" s="573" t="s">
        <v>349</v>
      </c>
      <c r="Q8" s="574"/>
      <c r="R8" s="574"/>
      <c r="S8" s="574"/>
      <c r="T8" s="574"/>
      <c r="U8" s="574"/>
      <c r="V8" s="574"/>
      <c r="W8" s="574"/>
      <c r="X8" s="574"/>
      <c r="Y8" s="574"/>
      <c r="Z8" s="574"/>
      <c r="AA8" s="575"/>
      <c r="AB8" s="120"/>
      <c r="AD8" s="13" t="s">
        <v>579</v>
      </c>
      <c r="AE8" s="398" t="str">
        <f>G9</f>
        <v>Monopitch roofs</v>
      </c>
      <c r="AF8" s="199" t="s">
        <v>554</v>
      </c>
      <c r="AG8" s="43"/>
      <c r="AH8" s="43"/>
      <c r="AI8" s="43"/>
      <c r="AM8" s="43"/>
      <c r="AN8" s="43"/>
      <c r="AO8" s="43"/>
      <c r="AP8" s="43"/>
      <c r="AQ8" s="43"/>
      <c r="AR8" s="45"/>
    </row>
    <row r="9" spans="1:48" ht="17.100000000000001" customHeight="1">
      <c r="B9" s="119"/>
      <c r="C9" s="690" t="s">
        <v>370</v>
      </c>
      <c r="D9" s="691"/>
      <c r="E9" s="691"/>
      <c r="F9" s="691"/>
      <c r="G9" s="637" t="s">
        <v>573</v>
      </c>
      <c r="H9" s="637"/>
      <c r="I9" s="637"/>
      <c r="J9" s="637"/>
      <c r="K9" s="637"/>
      <c r="L9" s="637"/>
      <c r="M9" s="637"/>
      <c r="N9" s="638"/>
      <c r="O9" s="23"/>
      <c r="P9" s="702" t="s">
        <v>368</v>
      </c>
      <c r="Q9" s="703"/>
      <c r="R9" s="703"/>
      <c r="S9" s="703"/>
      <c r="T9" s="703"/>
      <c r="U9" s="703"/>
      <c r="V9" s="703"/>
      <c r="W9" s="703"/>
      <c r="X9" s="703"/>
      <c r="Y9" s="704" t="s">
        <v>299</v>
      </c>
      <c r="Z9" s="704"/>
      <c r="AA9" s="705"/>
      <c r="AB9" s="120"/>
      <c r="AD9" s="13" t="s">
        <v>580</v>
      </c>
      <c r="AE9" s="398" t="str">
        <f>G10</f>
        <v>Steel building</v>
      </c>
      <c r="AF9" s="199" t="s">
        <v>556</v>
      </c>
      <c r="AG9" s="43"/>
      <c r="AH9" s="43"/>
      <c r="AI9" s="43"/>
      <c r="AJ9" s="136" t="str">
        <f>"Roof width b = "&amp;FIXED(M14,2)&amp;"m"</f>
        <v>Roof width b = 80.00m</v>
      </c>
      <c r="AM9" s="43"/>
      <c r="AN9" s="43"/>
      <c r="AO9" s="43"/>
      <c r="AP9" s="43"/>
      <c r="AQ9" s="43"/>
      <c r="AR9" s="45"/>
    </row>
    <row r="10" spans="1:48" ht="17.100000000000001" customHeight="1">
      <c r="B10" s="119"/>
      <c r="C10" s="696" t="s">
        <v>351</v>
      </c>
      <c r="D10" s="697"/>
      <c r="E10" s="697"/>
      <c r="F10" s="697"/>
      <c r="G10" s="639" t="s">
        <v>354</v>
      </c>
      <c r="H10" s="639"/>
      <c r="I10" s="639"/>
      <c r="J10" s="639"/>
      <c r="K10" s="639"/>
      <c r="L10" s="639"/>
      <c r="M10" s="639"/>
      <c r="N10" s="640"/>
      <c r="O10" s="23"/>
      <c r="P10" s="592" t="s">
        <v>366</v>
      </c>
      <c r="Q10" s="593"/>
      <c r="R10" s="593"/>
      <c r="S10" s="593"/>
      <c r="T10" s="593"/>
      <c r="U10" s="593"/>
      <c r="V10" s="593"/>
      <c r="W10" s="593"/>
      <c r="X10" s="593"/>
      <c r="Y10" s="593"/>
      <c r="Z10" s="688">
        <v>15</v>
      </c>
      <c r="AA10" s="689"/>
      <c r="AB10" s="120"/>
      <c r="AD10" s="13" t="s">
        <v>581</v>
      </c>
      <c r="AE10" s="398" t="str">
        <f>G11</f>
        <v>Very rough (e.g. ripples, ribs, folds)</v>
      </c>
      <c r="AF10" s="199" t="s">
        <v>557</v>
      </c>
      <c r="AG10" s="43"/>
      <c r="AH10" s="43"/>
      <c r="AI10" s="43"/>
      <c r="AJ10" s="43"/>
      <c r="AK10" s="43"/>
      <c r="AL10" s="43"/>
      <c r="AM10" s="43"/>
      <c r="AN10" s="43"/>
      <c r="AO10" s="43"/>
      <c r="AP10" s="43"/>
      <c r="AQ10" s="43"/>
      <c r="AR10" s="43"/>
    </row>
    <row r="11" spans="1:48" ht="17.100000000000001" customHeight="1">
      <c r="B11" s="119"/>
      <c r="C11" s="696" t="s">
        <v>356</v>
      </c>
      <c r="D11" s="697"/>
      <c r="E11" s="697"/>
      <c r="F11" s="697"/>
      <c r="G11" s="639" t="s">
        <v>369</v>
      </c>
      <c r="H11" s="639"/>
      <c r="I11" s="639"/>
      <c r="J11" s="639"/>
      <c r="K11" s="639"/>
      <c r="L11" s="639"/>
      <c r="M11" s="639"/>
      <c r="N11" s="640"/>
      <c r="O11" s="23"/>
      <c r="P11" s="692" t="s">
        <v>367</v>
      </c>
      <c r="Q11" s="693"/>
      <c r="R11" s="693"/>
      <c r="S11" s="693"/>
      <c r="T11" s="693"/>
      <c r="U11" s="693"/>
      <c r="V11" s="693"/>
      <c r="W11" s="693"/>
      <c r="X11" s="693"/>
      <c r="Y11" s="693"/>
      <c r="Z11" s="694">
        <v>10</v>
      </c>
      <c r="AA11" s="695"/>
      <c r="AB11" s="120"/>
      <c r="AD11" s="13" t="s">
        <v>537</v>
      </c>
      <c r="AE11" s="399">
        <f>1.35</f>
        <v>1.35</v>
      </c>
      <c r="AF11" s="199">
        <v>1.35</v>
      </c>
      <c r="AG11" s="43"/>
      <c r="AH11" s="43"/>
      <c r="AI11" s="43"/>
      <c r="AJ11" s="186" t="s">
        <v>107</v>
      </c>
      <c r="AK11" s="186">
        <f>+MIN(M14, 2*M17)</f>
        <v>80</v>
      </c>
      <c r="AL11" s="43"/>
      <c r="AM11" s="43"/>
      <c r="AN11" s="43"/>
      <c r="AR11" s="43"/>
    </row>
    <row r="12" spans="1:48" ht="17.100000000000001" customHeight="1">
      <c r="B12" s="119"/>
      <c r="C12" s="696" t="s">
        <v>412</v>
      </c>
      <c r="D12" s="697"/>
      <c r="E12" s="697"/>
      <c r="F12" s="697"/>
      <c r="G12" s="639" t="s">
        <v>115</v>
      </c>
      <c r="H12" s="639"/>
      <c r="I12" s="639"/>
      <c r="J12" s="639"/>
      <c r="K12" s="639"/>
      <c r="L12" s="639"/>
      <c r="M12" s="639"/>
      <c r="N12" s="640"/>
      <c r="O12" s="23"/>
      <c r="P12" s="23"/>
      <c r="Q12" s="23"/>
      <c r="R12" s="23"/>
      <c r="S12" s="23"/>
      <c r="T12" s="23"/>
      <c r="U12" s="23"/>
      <c r="V12" s="23"/>
      <c r="W12" s="23"/>
      <c r="X12" s="23"/>
      <c r="Y12" s="23"/>
      <c r="Z12" s="23"/>
      <c r="AA12" s="23"/>
      <c r="AB12" s="120"/>
      <c r="AD12" s="13" t="s">
        <v>555</v>
      </c>
      <c r="AE12" s="399">
        <f>M14</f>
        <v>80</v>
      </c>
      <c r="AF12" s="199" t="s">
        <v>560</v>
      </c>
      <c r="AG12" s="43"/>
      <c r="AH12" s="43"/>
      <c r="AI12" s="43"/>
      <c r="AJ12" s="186" t="s">
        <v>153</v>
      </c>
      <c r="AK12" s="186">
        <f>+AK11/2</f>
        <v>40</v>
      </c>
      <c r="AL12" s="43"/>
      <c r="AM12" s="43"/>
      <c r="AN12" s="43"/>
      <c r="AO12" s="43"/>
      <c r="AP12" s="43"/>
      <c r="AQ12" s="43"/>
      <c r="AR12" s="43"/>
    </row>
    <row r="13" spans="1:48" ht="17.100000000000001" customHeight="1">
      <c r="B13" s="119"/>
      <c r="C13" s="714" t="s">
        <v>347</v>
      </c>
      <c r="D13" s="715"/>
      <c r="E13" s="715"/>
      <c r="F13" s="715"/>
      <c r="G13" s="715"/>
      <c r="H13" s="715"/>
      <c r="I13" s="715"/>
      <c r="J13" s="715"/>
      <c r="K13" s="715"/>
      <c r="L13" s="715"/>
      <c r="M13" s="688">
        <v>1.35</v>
      </c>
      <c r="N13" s="689"/>
      <c r="O13" s="23"/>
      <c r="P13" s="427"/>
      <c r="Q13" s="574" t="s">
        <v>363</v>
      </c>
      <c r="R13" s="574"/>
      <c r="S13" s="574"/>
      <c r="T13" s="574"/>
      <c r="U13" s="574"/>
      <c r="V13" s="574"/>
      <c r="W13" s="574"/>
      <c r="X13" s="574"/>
      <c r="Y13" s="574"/>
      <c r="Z13" s="574"/>
      <c r="AA13" s="195" t="s">
        <v>288</v>
      </c>
      <c r="AB13" s="120"/>
      <c r="AD13" s="13" t="s">
        <v>540</v>
      </c>
      <c r="AE13" s="399">
        <f>M15</f>
        <v>50</v>
      </c>
      <c r="AF13" s="199" t="s">
        <v>561</v>
      </c>
      <c r="AG13" s="43"/>
      <c r="AH13" s="43"/>
      <c r="AI13" s="43"/>
      <c r="AJ13" s="43"/>
      <c r="AK13" s="43"/>
      <c r="AL13" s="43"/>
      <c r="AM13" s="43"/>
      <c r="AN13" s="43"/>
      <c r="AO13" s="43"/>
      <c r="AP13" s="43"/>
      <c r="AQ13" s="43"/>
      <c r="AR13" s="43"/>
      <c r="AS13" s="43"/>
      <c r="AT13" s="43"/>
      <c r="AU13" s="43"/>
      <c r="AV13" s="140"/>
    </row>
    <row r="14" spans="1:48" ht="17.100000000000001" customHeight="1" thickBot="1">
      <c r="B14" s="119"/>
      <c r="C14" s="714" t="s">
        <v>409</v>
      </c>
      <c r="D14" s="715"/>
      <c r="E14" s="715"/>
      <c r="F14" s="715"/>
      <c r="G14" s="715"/>
      <c r="H14" s="715"/>
      <c r="I14" s="715"/>
      <c r="J14" s="715"/>
      <c r="K14" s="715"/>
      <c r="L14" s="715"/>
      <c r="M14" s="653">
        <v>80</v>
      </c>
      <c r="N14" s="654"/>
      <c r="O14" s="23"/>
      <c r="P14" s="716" t="s">
        <v>360</v>
      </c>
      <c r="Q14" s="717"/>
      <c r="R14" s="717"/>
      <c r="S14" s="717"/>
      <c r="T14" s="717"/>
      <c r="U14" s="717"/>
      <c r="V14" s="717"/>
      <c r="W14" s="717"/>
      <c r="X14" s="717"/>
      <c r="Y14" s="717"/>
      <c r="Z14" s="653">
        <v>0.2</v>
      </c>
      <c r="AA14" s="654"/>
      <c r="AB14" s="120"/>
      <c r="AD14" s="13" t="s">
        <v>539</v>
      </c>
      <c r="AE14" s="399">
        <f>M16</f>
        <v>81.8</v>
      </c>
      <c r="AF14" s="199" t="s">
        <v>562</v>
      </c>
      <c r="AG14" s="43"/>
      <c r="AH14" s="43"/>
      <c r="AI14" s="43"/>
      <c r="AJ14" s="43"/>
      <c r="AK14" s="43"/>
      <c r="AL14" s="758" t="s">
        <v>123</v>
      </c>
      <c r="AM14" s="758"/>
      <c r="AN14" s="758"/>
      <c r="AO14" s="758"/>
      <c r="AP14" s="834" t="s">
        <v>124</v>
      </c>
      <c r="AQ14" s="834"/>
      <c r="AR14" s="834"/>
      <c r="AS14" s="834"/>
      <c r="AT14" s="43"/>
      <c r="AU14" s="43"/>
      <c r="AV14" s="43"/>
    </row>
    <row r="15" spans="1:48" ht="17.100000000000001" customHeight="1" thickBot="1">
      <c r="B15" s="119"/>
      <c r="C15" s="714" t="s">
        <v>410</v>
      </c>
      <c r="D15" s="715"/>
      <c r="E15" s="715"/>
      <c r="F15" s="715"/>
      <c r="G15" s="715"/>
      <c r="H15" s="715"/>
      <c r="I15" s="715"/>
      <c r="J15" s="715"/>
      <c r="K15" s="715"/>
      <c r="L15" s="715"/>
      <c r="M15" s="653">
        <v>50</v>
      </c>
      <c r="N15" s="654"/>
      <c r="O15" s="23"/>
      <c r="P15" s="714" t="s">
        <v>359</v>
      </c>
      <c r="Q15" s="715"/>
      <c r="R15" s="715"/>
      <c r="S15" s="715"/>
      <c r="T15" s="715"/>
      <c r="U15" s="715"/>
      <c r="V15" s="715"/>
      <c r="W15" s="715"/>
      <c r="X15" s="715"/>
      <c r="Y15" s="715"/>
      <c r="Z15" s="653">
        <v>-0.3</v>
      </c>
      <c r="AA15" s="654"/>
      <c r="AB15" s="120"/>
      <c r="AD15" s="13" t="s">
        <v>538</v>
      </c>
      <c r="AE15" s="399">
        <f>M17</f>
        <v>70</v>
      </c>
      <c r="AF15" s="199" t="s">
        <v>569</v>
      </c>
      <c r="AG15" s="43"/>
      <c r="AH15" s="43"/>
      <c r="AI15" s="186" t="s">
        <v>130</v>
      </c>
      <c r="AJ15" s="186" t="s">
        <v>122</v>
      </c>
      <c r="AK15" s="186" t="s">
        <v>99</v>
      </c>
      <c r="AL15" s="186" t="s">
        <v>120</v>
      </c>
      <c r="AM15" s="186" t="s">
        <v>121</v>
      </c>
      <c r="AN15" s="186" t="s">
        <v>93</v>
      </c>
      <c r="AO15" s="86" t="s">
        <v>128</v>
      </c>
      <c r="AP15" s="141" t="s">
        <v>120</v>
      </c>
      <c r="AQ15" s="142" t="s">
        <v>121</v>
      </c>
      <c r="AR15" s="142" t="s">
        <v>93</v>
      </c>
      <c r="AS15" s="143" t="s">
        <v>128</v>
      </c>
      <c r="AT15" s="43"/>
      <c r="AU15" s="43"/>
      <c r="AV15" s="43"/>
    </row>
    <row r="16" spans="1:48" ht="17.100000000000001" customHeight="1">
      <c r="B16" s="119"/>
      <c r="C16" s="714" t="s">
        <v>407</v>
      </c>
      <c r="D16" s="715"/>
      <c r="E16" s="715"/>
      <c r="F16" s="715"/>
      <c r="G16" s="715"/>
      <c r="H16" s="715"/>
      <c r="I16" s="715"/>
      <c r="J16" s="715"/>
      <c r="K16" s="715"/>
      <c r="L16" s="715"/>
      <c r="M16" s="688">
        <v>81.8</v>
      </c>
      <c r="N16" s="689"/>
      <c r="O16" s="23"/>
      <c r="P16" s="714" t="s">
        <v>361</v>
      </c>
      <c r="Q16" s="715"/>
      <c r="R16" s="715"/>
      <c r="S16" s="715"/>
      <c r="T16" s="715"/>
      <c r="U16" s="715"/>
      <c r="V16" s="715"/>
      <c r="W16" s="715"/>
      <c r="X16" s="715"/>
      <c r="Y16" s="715"/>
      <c r="Z16" s="550" t="str">
        <f>input!Z24</f>
        <v>C</v>
      </c>
      <c r="AA16" s="551"/>
      <c r="AB16" s="120"/>
      <c r="AD16" s="13" t="s">
        <v>582</v>
      </c>
      <c r="AE16" s="398" t="str">
        <f>Y9</f>
        <v>town</v>
      </c>
      <c r="AF16" s="199" t="s">
        <v>563</v>
      </c>
      <c r="AG16" s="43"/>
      <c r="AH16" s="43" t="str">
        <f>AK4</f>
        <v>Sharp eaves</v>
      </c>
      <c r="AI16" s="186" t="b">
        <f>AND(AJ16=TRUE,AK16=TRUE)</f>
        <v>1</v>
      </c>
      <c r="AJ16" s="186" t="b">
        <f>AND(AJ3=1)</f>
        <v>1</v>
      </c>
      <c r="AK16" s="144" t="b">
        <v>1</v>
      </c>
      <c r="AL16" s="145">
        <v>-2</v>
      </c>
      <c r="AM16" s="145">
        <v>-1.4</v>
      </c>
      <c r="AN16" s="145">
        <v>-0.7</v>
      </c>
      <c r="AO16" s="146">
        <v>-0.2</v>
      </c>
      <c r="AP16" s="147">
        <f t="shared" ref="AP16:AP31" ca="1" si="0">1.35*$Z$17*$Z$28*AL16</f>
        <v>-2.2187390400000004</v>
      </c>
      <c r="AQ16" s="148">
        <f t="shared" ref="AQ16:AQ31" ca="1" si="1">1.35*$Z$17*$Z$28*AM16</f>
        <v>-1.5531173280000001</v>
      </c>
      <c r="AR16" s="148">
        <f t="shared" ref="AR16:AR31" ca="1" si="2">1.35*$Z$17*$Z$28*AN16</f>
        <v>-0.77655866400000007</v>
      </c>
      <c r="AS16" s="149">
        <f t="shared" ref="AS16:AS31" ca="1" si="3">1.35*$Z$17*$Z$28*AO16</f>
        <v>-0.22187390400000007</v>
      </c>
      <c r="AT16" s="43"/>
      <c r="AU16" s="43"/>
      <c r="AV16" s="43"/>
    </row>
    <row r="17" spans="2:48" ht="17.100000000000001" customHeight="1">
      <c r="B17" s="119"/>
      <c r="C17" s="714" t="s">
        <v>431</v>
      </c>
      <c r="D17" s="715"/>
      <c r="E17" s="715"/>
      <c r="F17" s="715"/>
      <c r="G17" s="715"/>
      <c r="H17" s="715"/>
      <c r="I17" s="715"/>
      <c r="J17" s="715"/>
      <c r="K17" s="715"/>
      <c r="L17" s="715"/>
      <c r="M17" s="653">
        <v>70</v>
      </c>
      <c r="N17" s="654"/>
      <c r="O17" s="23"/>
      <c r="P17" s="714" t="s">
        <v>362</v>
      </c>
      <c r="Q17" s="715"/>
      <c r="R17" s="715"/>
      <c r="S17" s="715"/>
      <c r="T17" s="715"/>
      <c r="U17" s="715"/>
      <c r="V17" s="715"/>
      <c r="W17" s="715"/>
      <c r="X17" s="715"/>
      <c r="Y17" s="715"/>
      <c r="Z17" s="550">
        <f ca="1">+input!Z25</f>
        <v>0.79320000000000002</v>
      </c>
      <c r="AA17" s="551"/>
      <c r="AB17" s="120"/>
      <c r="AD17" s="13" t="s">
        <v>541</v>
      </c>
      <c r="AE17" s="399">
        <f>Z10</f>
        <v>15</v>
      </c>
      <c r="AF17" s="199" t="s">
        <v>564</v>
      </c>
      <c r="AG17" s="43"/>
      <c r="AH17" s="43" t="str">
        <f>AK5</f>
        <v>With parapets</v>
      </c>
      <c r="AI17" s="186" t="b">
        <f t="shared" ref="AI17:AI31" si="4">AND(AJ17=TRUE,AK17=TRUE)</f>
        <v>0</v>
      </c>
      <c r="AJ17" s="186" t="b">
        <f>AJ3=2</f>
        <v>0</v>
      </c>
      <c r="AK17" s="186" t="b">
        <f>AND(AQ4&lt;=0.05)</f>
        <v>1</v>
      </c>
      <c r="AL17" s="145">
        <v>-1.9</v>
      </c>
      <c r="AM17" s="145">
        <v>-1.3</v>
      </c>
      <c r="AN17" s="145">
        <v>-0.7</v>
      </c>
      <c r="AO17" s="146">
        <v>-0.2</v>
      </c>
      <c r="AP17" s="150">
        <f t="shared" ca="1" si="0"/>
        <v>-2.1078020880000001</v>
      </c>
      <c r="AQ17" s="145">
        <f t="shared" ca="1" si="1"/>
        <v>-1.4421803760000003</v>
      </c>
      <c r="AR17" s="145">
        <f t="shared" ca="1" si="2"/>
        <v>-0.77655866400000007</v>
      </c>
      <c r="AS17" s="151">
        <f t="shared" ca="1" si="3"/>
        <v>-0.22187390400000007</v>
      </c>
      <c r="AT17" s="43">
        <v>0.05</v>
      </c>
      <c r="AU17" s="43"/>
      <c r="AV17" s="43"/>
    </row>
    <row r="18" spans="2:48" ht="17.100000000000001" customHeight="1">
      <c r="B18" s="119"/>
      <c r="C18" s="714" t="s">
        <v>413</v>
      </c>
      <c r="D18" s="715"/>
      <c r="E18" s="715"/>
      <c r="F18" s="715"/>
      <c r="G18" s="715"/>
      <c r="H18" s="715"/>
      <c r="I18" s="715"/>
      <c r="J18" s="715"/>
      <c r="K18" s="715"/>
      <c r="L18" s="715"/>
      <c r="M18" s="653">
        <v>1</v>
      </c>
      <c r="N18" s="654"/>
      <c r="O18" s="23"/>
      <c r="P18" s="714" t="s">
        <v>445</v>
      </c>
      <c r="Q18" s="715"/>
      <c r="R18" s="715"/>
      <c r="S18" s="715"/>
      <c r="T18" s="715"/>
      <c r="U18" s="715"/>
      <c r="V18" s="715"/>
      <c r="W18" s="715"/>
      <c r="X18" s="715"/>
      <c r="Y18" s="715"/>
      <c r="Z18" s="550">
        <f>+input!$Z$26</f>
        <v>0.01</v>
      </c>
      <c r="AA18" s="551"/>
      <c r="AB18" s="120"/>
      <c r="AD18" s="13" t="s">
        <v>542</v>
      </c>
      <c r="AE18" s="399">
        <f>Z11</f>
        <v>10</v>
      </c>
      <c r="AF18" s="199" t="s">
        <v>565</v>
      </c>
      <c r="AG18" s="43"/>
      <c r="AH18" s="43"/>
      <c r="AI18" s="186" t="b">
        <f t="shared" si="4"/>
        <v>0</v>
      </c>
      <c r="AJ18" s="186" t="b">
        <f>AJ3=2</f>
        <v>0</v>
      </c>
      <c r="AK18" s="186" t="b">
        <f>AND(AQ4&gt;0.05,AQ4&lt;0.1)</f>
        <v>0</v>
      </c>
      <c r="AL18" s="145">
        <f>AL19+(AL17-AL19)/($AT17-$AT19)*($AQ$4-$AT19)</f>
        <v>-1.9374999999999998</v>
      </c>
      <c r="AM18" s="145">
        <f t="shared" ref="AM18:AO18" si="5">AM19+(AM17-AM19)/($AT17-$AT19)*($AQ$4-$AT19)</f>
        <v>-1.3</v>
      </c>
      <c r="AN18" s="145">
        <f t="shared" si="5"/>
        <v>-0.7</v>
      </c>
      <c r="AO18" s="145">
        <f t="shared" si="5"/>
        <v>-0.2</v>
      </c>
      <c r="AP18" s="150">
        <f t="shared" ca="1" si="0"/>
        <v>-2.1494034450000004</v>
      </c>
      <c r="AQ18" s="145">
        <f t="shared" ca="1" si="1"/>
        <v>-1.4421803760000003</v>
      </c>
      <c r="AR18" s="145">
        <f t="shared" ca="1" si="2"/>
        <v>-0.77655866400000007</v>
      </c>
      <c r="AS18" s="151">
        <f t="shared" ca="1" si="3"/>
        <v>-0.22187390400000007</v>
      </c>
      <c r="AT18" s="43"/>
      <c r="AU18" s="43"/>
      <c r="AV18" s="43"/>
    </row>
    <row r="19" spans="2:48" ht="17.100000000000001" customHeight="1">
      <c r="B19" s="119"/>
      <c r="C19" s="714" t="s">
        <v>414</v>
      </c>
      <c r="D19" s="715"/>
      <c r="E19" s="715"/>
      <c r="F19" s="715"/>
      <c r="G19" s="715"/>
      <c r="H19" s="715"/>
      <c r="I19" s="715"/>
      <c r="J19" s="715"/>
      <c r="K19" s="715"/>
      <c r="L19" s="715"/>
      <c r="M19" s="653">
        <v>2</v>
      </c>
      <c r="N19" s="654"/>
      <c r="O19" s="23"/>
      <c r="P19" s="739" t="s">
        <v>415</v>
      </c>
      <c r="Q19" s="740"/>
      <c r="R19" s="740"/>
      <c r="S19" s="740"/>
      <c r="T19" s="740"/>
      <c r="U19" s="740"/>
      <c r="V19" s="740"/>
      <c r="W19" s="740"/>
      <c r="X19" s="740"/>
      <c r="Y19" s="740"/>
      <c r="Z19" s="587">
        <f>AK11</f>
        <v>80</v>
      </c>
      <c r="AA19" s="588"/>
      <c r="AB19" s="120"/>
      <c r="AD19" s="13" t="s">
        <v>543</v>
      </c>
      <c r="AE19" s="399">
        <f>Z14</f>
        <v>0.2</v>
      </c>
      <c r="AF19" s="199" t="s">
        <v>566</v>
      </c>
      <c r="AG19" s="43"/>
      <c r="AH19" s="43"/>
      <c r="AI19" s="186" t="b">
        <f t="shared" si="4"/>
        <v>0</v>
      </c>
      <c r="AJ19" s="186" t="b">
        <f>AND(AJ3=2)</f>
        <v>0</v>
      </c>
      <c r="AK19" s="186" t="b">
        <f>AQ4=0.1</f>
        <v>0</v>
      </c>
      <c r="AL19" s="145">
        <v>-1.85</v>
      </c>
      <c r="AM19" s="145">
        <v>-1.3</v>
      </c>
      <c r="AN19" s="145">
        <v>-0.7</v>
      </c>
      <c r="AO19" s="146">
        <v>-0.2</v>
      </c>
      <c r="AP19" s="150">
        <f t="shared" ca="1" si="0"/>
        <v>-2.0523336120000004</v>
      </c>
      <c r="AQ19" s="145">
        <f t="shared" ca="1" si="1"/>
        <v>-1.4421803760000003</v>
      </c>
      <c r="AR19" s="145">
        <f t="shared" ca="1" si="2"/>
        <v>-0.77655866400000007</v>
      </c>
      <c r="AS19" s="151">
        <f t="shared" ca="1" si="3"/>
        <v>-0.22187390400000007</v>
      </c>
      <c r="AT19" s="43">
        <v>0.1</v>
      </c>
      <c r="AU19" s="43"/>
      <c r="AV19" s="43"/>
    </row>
    <row r="20" spans="2:48" ht="17.100000000000001" customHeight="1">
      <c r="B20" s="119"/>
      <c r="C20" s="739" t="s">
        <v>529</v>
      </c>
      <c r="D20" s="740"/>
      <c r="E20" s="740"/>
      <c r="F20" s="740"/>
      <c r="G20" s="740"/>
      <c r="H20" s="740"/>
      <c r="I20" s="740"/>
      <c r="J20" s="740"/>
      <c r="K20" s="740"/>
      <c r="L20" s="740"/>
      <c r="M20" s="832">
        <v>45</v>
      </c>
      <c r="N20" s="833"/>
      <c r="O20" s="23"/>
      <c r="P20" s="23"/>
      <c r="Q20" s="23"/>
      <c r="R20" s="23"/>
      <c r="S20" s="23"/>
      <c r="T20" s="23"/>
      <c r="U20" s="23"/>
      <c r="V20" s="23"/>
      <c r="W20" s="23"/>
      <c r="X20" s="23"/>
      <c r="Y20" s="23"/>
      <c r="Z20" s="23"/>
      <c r="AA20" s="23"/>
      <c r="AB20" s="120"/>
      <c r="AD20" s="13" t="s">
        <v>544</v>
      </c>
      <c r="AE20" s="399">
        <f>Z15</f>
        <v>-0.3</v>
      </c>
      <c r="AF20" s="199" t="s">
        <v>567</v>
      </c>
      <c r="AG20" s="43"/>
      <c r="AH20" s="43"/>
      <c r="AI20" s="186" t="b">
        <f t="shared" si="4"/>
        <v>0</v>
      </c>
      <c r="AJ20" s="186" t="b">
        <f>AJ3=2</f>
        <v>0</v>
      </c>
      <c r="AK20" s="186" t="b">
        <f>AND(AQ4&gt;0.1,AQ4&lt;0.2)</f>
        <v>0</v>
      </c>
      <c r="AL20" s="145">
        <f>AL21+(AL19-AL21)/($AT19-$AT21)*($AQ$4-$AT21)</f>
        <v>-2.2437500000000004</v>
      </c>
      <c r="AM20" s="145">
        <f t="shared" ref="AM20" si="6">AM21+(AM19-AM21)/($AT19-$AT21)*($AQ$4-$AT21)</f>
        <v>-1.5625</v>
      </c>
      <c r="AN20" s="145">
        <f t="shared" ref="AN20" si="7">AN21+(AN19-AN21)/($AT19-$AT21)*($AQ$4-$AT21)</f>
        <v>-0.7</v>
      </c>
      <c r="AO20" s="145">
        <f t="shared" ref="AO20" si="8">AO21+(AO19-AO21)/($AT19-$AT21)*($AQ$4-$AT21)</f>
        <v>-0.2</v>
      </c>
      <c r="AP20" s="150">
        <f t="shared" ca="1" si="0"/>
        <v>-2.489147860500001</v>
      </c>
      <c r="AQ20" s="145">
        <f t="shared" ca="1" si="1"/>
        <v>-1.7333898750000003</v>
      </c>
      <c r="AR20" s="145">
        <f t="shared" ca="1" si="2"/>
        <v>-0.77655866400000007</v>
      </c>
      <c r="AS20" s="151">
        <f t="shared" ca="1" si="3"/>
        <v>-0.22187390400000007</v>
      </c>
      <c r="AT20" s="43"/>
      <c r="AU20" s="43"/>
      <c r="AV20" s="43"/>
    </row>
    <row r="21" spans="2:48" ht="17.100000000000001" customHeight="1">
      <c r="B21" s="119"/>
      <c r="C21" s="23"/>
      <c r="D21" s="23"/>
      <c r="E21" s="23"/>
      <c r="F21" s="23"/>
      <c r="G21" s="23"/>
      <c r="H21" s="23"/>
      <c r="I21" s="23"/>
      <c r="J21" s="23"/>
      <c r="K21" s="23"/>
      <c r="L21" s="23"/>
      <c r="M21" s="23"/>
      <c r="N21" s="23"/>
      <c r="O21" s="23"/>
      <c r="P21" s="573" t="s">
        <v>380</v>
      </c>
      <c r="Q21" s="574"/>
      <c r="R21" s="574"/>
      <c r="S21" s="574"/>
      <c r="T21" s="574"/>
      <c r="U21" s="574"/>
      <c r="V21" s="574"/>
      <c r="W21" s="574"/>
      <c r="X21" s="574"/>
      <c r="Y21" s="574"/>
      <c r="Z21" s="574"/>
      <c r="AA21" s="575"/>
      <c r="AB21" s="120"/>
      <c r="AD21" s="13" t="s">
        <v>583</v>
      </c>
      <c r="AE21" s="403" t="s">
        <v>95</v>
      </c>
      <c r="AF21" s="199"/>
      <c r="AG21" s="43"/>
      <c r="AH21" s="43"/>
      <c r="AI21" s="186" t="b">
        <f t="shared" si="4"/>
        <v>0</v>
      </c>
      <c r="AJ21" s="186" t="b">
        <f>AND(AJ3=2)</f>
        <v>0</v>
      </c>
      <c r="AK21" s="186" t="b">
        <f>AND(AQ4&gt;=0.2)</f>
        <v>0</v>
      </c>
      <c r="AL21" s="145">
        <v>-1.4</v>
      </c>
      <c r="AM21" s="145">
        <v>-1</v>
      </c>
      <c r="AN21" s="145">
        <v>-0.7</v>
      </c>
      <c r="AO21" s="146">
        <v>-0.2</v>
      </c>
      <c r="AP21" s="150">
        <f t="shared" ca="1" si="0"/>
        <v>-1.5531173280000001</v>
      </c>
      <c r="AQ21" s="145">
        <f t="shared" ca="1" si="1"/>
        <v>-1.1093695200000002</v>
      </c>
      <c r="AR21" s="145">
        <f t="shared" ca="1" si="2"/>
        <v>-0.77655866400000007</v>
      </c>
      <c r="AS21" s="151">
        <f t="shared" ca="1" si="3"/>
        <v>-0.22187390400000007</v>
      </c>
      <c r="AT21" s="43">
        <v>0.2</v>
      </c>
      <c r="AU21" s="43"/>
      <c r="AV21" s="43"/>
    </row>
    <row r="22" spans="2:48" ht="17.100000000000001" customHeight="1">
      <c r="B22" s="119"/>
      <c r="C22" s="23"/>
      <c r="D22" s="23"/>
      <c r="E22" s="23"/>
      <c r="F22" s="23"/>
      <c r="G22" s="23"/>
      <c r="H22" s="23"/>
      <c r="I22" s="23"/>
      <c r="J22" s="23"/>
      <c r="K22" s="23"/>
      <c r="L22" s="23"/>
      <c r="M22" s="23"/>
      <c r="N22" s="23"/>
      <c r="O22" s="23"/>
      <c r="P22" s="809" t="s">
        <v>385</v>
      </c>
      <c r="Q22" s="810"/>
      <c r="R22" s="810"/>
      <c r="S22" s="810"/>
      <c r="T22" s="738" t="s">
        <v>120</v>
      </c>
      <c r="U22" s="738"/>
      <c r="V22" s="738" t="s">
        <v>121</v>
      </c>
      <c r="W22" s="738"/>
      <c r="X22" s="738" t="s">
        <v>93</v>
      </c>
      <c r="Y22" s="738"/>
      <c r="Z22" s="738" t="s">
        <v>40</v>
      </c>
      <c r="AA22" s="771"/>
      <c r="AB22" s="120"/>
      <c r="AD22" s="13" t="s">
        <v>545</v>
      </c>
      <c r="AE22" s="403">
        <v>5</v>
      </c>
      <c r="AF22" s="199"/>
      <c r="AG22" s="43"/>
      <c r="AH22" s="43" t="str">
        <f>AK6</f>
        <v>Curved eaves</v>
      </c>
      <c r="AI22" s="186" t="b">
        <f t="shared" si="4"/>
        <v>0</v>
      </c>
      <c r="AJ22" s="186" t="b">
        <f>AJ3=3</f>
        <v>0</v>
      </c>
      <c r="AK22" s="186" t="b">
        <f>AND(AQ5&lt;=0.05)</f>
        <v>1</v>
      </c>
      <c r="AL22" s="145">
        <v>-1.05</v>
      </c>
      <c r="AM22" s="145">
        <v>-1.2</v>
      </c>
      <c r="AN22" s="145">
        <v>-0.4</v>
      </c>
      <c r="AO22" s="146">
        <v>-0.2</v>
      </c>
      <c r="AP22" s="150">
        <f t="shared" ca="1" si="0"/>
        <v>-1.1648379960000004</v>
      </c>
      <c r="AQ22" s="145">
        <f t="shared" ca="1" si="1"/>
        <v>-1.3312434240000002</v>
      </c>
      <c r="AR22" s="145">
        <f t="shared" ca="1" si="2"/>
        <v>-0.44374780800000013</v>
      </c>
      <c r="AS22" s="151">
        <f t="shared" ca="1" si="3"/>
        <v>-0.22187390400000007</v>
      </c>
      <c r="AT22" s="43">
        <v>0.05</v>
      </c>
      <c r="AU22" s="43"/>
      <c r="AV22" s="43"/>
    </row>
    <row r="23" spans="2:48" ht="17.100000000000001" customHeight="1">
      <c r="B23" s="119"/>
      <c r="C23" s="23"/>
      <c r="D23" s="23"/>
      <c r="E23" s="23"/>
      <c r="F23" s="23"/>
      <c r="G23" s="23"/>
      <c r="H23" s="23"/>
      <c r="I23" s="23"/>
      <c r="J23" s="23"/>
      <c r="K23" s="23"/>
      <c r="L23" s="23"/>
      <c r="M23" s="23"/>
      <c r="N23" s="23"/>
      <c r="O23" s="23"/>
      <c r="P23" s="754" t="s">
        <v>393</v>
      </c>
      <c r="Q23" s="755"/>
      <c r="R23" s="755"/>
      <c r="S23" s="755"/>
      <c r="T23" s="768">
        <f ca="1">IF(ABS(G36)&gt;ABS(G37),G36,G37)</f>
        <v>-2.4887390400000005</v>
      </c>
      <c r="U23" s="768"/>
      <c r="V23" s="768">
        <f ca="1">IF(ABS(I36)&gt;ABS(I37),I36,I37)</f>
        <v>-1.8231173280000001</v>
      </c>
      <c r="W23" s="768"/>
      <c r="X23" s="768">
        <f ca="1">IF(ABS(K36)&gt;ABS(K37),K36,K37)</f>
        <v>-1.046558664</v>
      </c>
      <c r="Y23" s="768"/>
      <c r="Z23" s="768" t="str">
        <f ca="1">IF(AK12&gt;=M15,"-","+/-"&amp;FIXED(MAX(ABS(AM42),ABS(AM43)),3))</f>
        <v>+/-0.627</v>
      </c>
      <c r="AA23" s="797"/>
      <c r="AB23" s="120"/>
      <c r="AD23" s="13" t="s">
        <v>546</v>
      </c>
      <c r="AE23" s="403">
        <v>0</v>
      </c>
      <c r="AF23" s="199"/>
      <c r="AG23" s="43"/>
      <c r="AH23" s="43"/>
      <c r="AI23" s="186" t="b">
        <f t="shared" si="4"/>
        <v>0</v>
      </c>
      <c r="AJ23" s="186" t="b">
        <f>AJ3=3</f>
        <v>0</v>
      </c>
      <c r="AK23" s="186" t="b">
        <f>AND(AQ5&gt;0.05,AQ5&lt;0.1)</f>
        <v>0</v>
      </c>
      <c r="AL23" s="145">
        <f>AL24+(AL22-AL24)/($AT22-$AT24)*($AQ$5-$AT24)</f>
        <v>-1.2000000000000002</v>
      </c>
      <c r="AM23" s="145">
        <f t="shared" ref="AM23:AO23" si="9">AM24+(AM22-AM24)/($AT22-$AT24)*($AQ$5-$AT24)</f>
        <v>-1.4</v>
      </c>
      <c r="AN23" s="145">
        <f t="shared" si="9"/>
        <v>-0.45000000000000007</v>
      </c>
      <c r="AO23" s="145">
        <f t="shared" si="9"/>
        <v>-0.2</v>
      </c>
      <c r="AP23" s="150">
        <f t="shared" ca="1" si="0"/>
        <v>-1.3312434240000004</v>
      </c>
      <c r="AQ23" s="145">
        <f t="shared" ca="1" si="1"/>
        <v>-1.5531173280000001</v>
      </c>
      <c r="AR23" s="145">
        <f t="shared" ca="1" si="2"/>
        <v>-0.49921628400000018</v>
      </c>
      <c r="AS23" s="151">
        <f t="shared" ca="1" si="3"/>
        <v>-0.22187390400000007</v>
      </c>
      <c r="AT23" s="43"/>
      <c r="AU23" s="43"/>
      <c r="AV23" s="43"/>
    </row>
    <row r="24" spans="2:48" ht="17.100000000000001" customHeight="1">
      <c r="B24" s="119"/>
      <c r="C24" s="23"/>
      <c r="D24" s="23"/>
      <c r="E24" s="23"/>
      <c r="F24" s="23"/>
      <c r="G24" s="23"/>
      <c r="H24" s="23"/>
      <c r="I24" s="23"/>
      <c r="J24" s="23"/>
      <c r="K24" s="23"/>
      <c r="L24" s="23"/>
      <c r="M24" s="23"/>
      <c r="N24" s="23"/>
      <c r="O24" s="23"/>
      <c r="P24" s="23"/>
      <c r="Q24" s="23"/>
      <c r="R24" s="23"/>
      <c r="S24" s="23"/>
      <c r="T24" s="23"/>
      <c r="U24" s="23"/>
      <c r="V24" s="23"/>
      <c r="W24" s="23"/>
      <c r="X24" s="23"/>
      <c r="Y24" s="23"/>
      <c r="Z24" s="23"/>
      <c r="AA24" s="23"/>
      <c r="AB24" s="120"/>
      <c r="AD24" s="13" t="s">
        <v>547</v>
      </c>
      <c r="AE24" s="403">
        <v>1</v>
      </c>
      <c r="AF24" s="199"/>
      <c r="AG24" s="43"/>
      <c r="AH24" s="43"/>
      <c r="AI24" s="186" t="b">
        <f t="shared" si="4"/>
        <v>0</v>
      </c>
      <c r="AJ24" s="186" t="b">
        <f>AJ3=3</f>
        <v>0</v>
      </c>
      <c r="AK24" s="186" t="b">
        <f>AQ5=0.1</f>
        <v>0</v>
      </c>
      <c r="AL24" s="145">
        <v>-0.75</v>
      </c>
      <c r="AM24" s="145">
        <v>-0.8</v>
      </c>
      <c r="AN24" s="145">
        <v>-0.3</v>
      </c>
      <c r="AO24" s="146">
        <v>-0.2</v>
      </c>
      <c r="AP24" s="150">
        <f t="shared" ca="1" si="0"/>
        <v>-0.83202714000000011</v>
      </c>
      <c r="AQ24" s="145">
        <f t="shared" ca="1" si="1"/>
        <v>-0.88749561600000026</v>
      </c>
      <c r="AR24" s="145">
        <f t="shared" ca="1" si="2"/>
        <v>-0.33281085600000004</v>
      </c>
      <c r="AS24" s="151">
        <f t="shared" ca="1" si="3"/>
        <v>-0.22187390400000007</v>
      </c>
      <c r="AT24" s="43">
        <v>0.1</v>
      </c>
      <c r="AU24" s="43"/>
      <c r="AV24" s="43"/>
    </row>
    <row r="25" spans="2:48" ht="17.100000000000001" customHeight="1">
      <c r="B25" s="119"/>
      <c r="C25" s="23"/>
      <c r="D25" s="23"/>
      <c r="E25" s="23"/>
      <c r="F25" s="23"/>
      <c r="G25" s="23"/>
      <c r="H25" s="23"/>
      <c r="I25" s="23"/>
      <c r="J25" s="23"/>
      <c r="K25" s="23"/>
      <c r="L25" s="23"/>
      <c r="M25" s="23"/>
      <c r="N25" s="23"/>
      <c r="O25" s="23"/>
      <c r="P25" s="23"/>
      <c r="Q25" s="23"/>
      <c r="R25" s="23"/>
      <c r="S25" s="23"/>
      <c r="T25" s="23"/>
      <c r="U25" s="23"/>
      <c r="V25" s="23"/>
      <c r="W25" s="23"/>
      <c r="X25" s="23"/>
      <c r="Y25" s="23"/>
      <c r="Z25" s="23"/>
      <c r="AA25" s="23"/>
      <c r="AB25" s="120"/>
      <c r="AD25" s="210" t="s">
        <v>584</v>
      </c>
      <c r="AE25" s="399" t="str">
        <f>G12</f>
        <v>Sharp eaves</v>
      </c>
      <c r="AF25" s="199" t="s">
        <v>578</v>
      </c>
      <c r="AG25" s="43"/>
      <c r="AH25" s="43"/>
      <c r="AI25" s="186" t="b">
        <f t="shared" si="4"/>
        <v>0</v>
      </c>
      <c r="AJ25" s="186" t="b">
        <f>AJ3=3</f>
        <v>0</v>
      </c>
      <c r="AK25" s="186" t="b">
        <f>AND(AQ5&gt;0.1,AQ5&lt;0.2)</f>
        <v>0</v>
      </c>
      <c r="AL25" s="145">
        <f>AL26+(AL24-AL26)/($AT24-$AT26)*($AQ$5-$AT26)</f>
        <v>-0.45000000000000007</v>
      </c>
      <c r="AM25" s="145">
        <f t="shared" ref="AM25" si="10">AM26+(AM24-AM26)/($AT24-$AT26)*($AQ$5-$AT26)</f>
        <v>-0.42500000000000004</v>
      </c>
      <c r="AN25" s="145">
        <f t="shared" ref="AN25" si="11">AN26+(AN24-AN26)/($AT24-$AT26)*($AQ$5-$AT26)</f>
        <v>-0.3</v>
      </c>
      <c r="AO25" s="145">
        <f t="shared" ref="AO25" si="12">AO26+(AO24-AO26)/($AT24-$AT26)*($AQ$5-$AT26)</f>
        <v>-0.2</v>
      </c>
      <c r="AP25" s="150">
        <f t="shared" ca="1" si="0"/>
        <v>-0.49921628400000018</v>
      </c>
      <c r="AQ25" s="145">
        <f t="shared" ca="1" si="1"/>
        <v>-0.47148204600000015</v>
      </c>
      <c r="AR25" s="145">
        <f t="shared" ca="1" si="2"/>
        <v>-0.33281085600000004</v>
      </c>
      <c r="AS25" s="151">
        <f t="shared" ca="1" si="3"/>
        <v>-0.22187390400000007</v>
      </c>
      <c r="AT25" s="43"/>
      <c r="AU25" s="43"/>
      <c r="AV25" s="43"/>
    </row>
    <row r="26" spans="2:48" ht="17.100000000000001" customHeight="1">
      <c r="B26" s="119"/>
      <c r="C26" s="573" t="s">
        <v>419</v>
      </c>
      <c r="D26" s="574"/>
      <c r="E26" s="574"/>
      <c r="F26" s="574"/>
      <c r="G26" s="574"/>
      <c r="H26" s="574"/>
      <c r="I26" s="574"/>
      <c r="J26" s="574"/>
      <c r="K26" s="574"/>
      <c r="L26" s="574"/>
      <c r="M26" s="574"/>
      <c r="N26" s="575"/>
      <c r="O26" s="23"/>
      <c r="P26" s="573" t="s">
        <v>429</v>
      </c>
      <c r="Q26" s="574"/>
      <c r="R26" s="574"/>
      <c r="S26" s="574"/>
      <c r="T26" s="574"/>
      <c r="U26" s="574"/>
      <c r="V26" s="574"/>
      <c r="W26" s="574"/>
      <c r="X26" s="574"/>
      <c r="Y26" s="574"/>
      <c r="Z26" s="574"/>
      <c r="AA26" s="575"/>
      <c r="AB26" s="120"/>
      <c r="AD26" s="210" t="s">
        <v>548</v>
      </c>
      <c r="AE26" s="399">
        <f>M18</f>
        <v>1</v>
      </c>
      <c r="AF26" s="199" t="s">
        <v>570</v>
      </c>
      <c r="AG26" s="43"/>
      <c r="AH26" s="43"/>
      <c r="AI26" s="186" t="b">
        <f t="shared" si="4"/>
        <v>0</v>
      </c>
      <c r="AJ26" s="186" t="b">
        <f>AJ3=3</f>
        <v>0</v>
      </c>
      <c r="AK26" s="186" t="b">
        <f>AND(AQ5&gt;=0.2)</f>
        <v>0</v>
      </c>
      <c r="AL26" s="145">
        <v>-0.55000000000000004</v>
      </c>
      <c r="AM26" s="145">
        <v>-0.55000000000000004</v>
      </c>
      <c r="AN26" s="145">
        <v>-0.3</v>
      </c>
      <c r="AO26" s="146">
        <v>-0.2</v>
      </c>
      <c r="AP26" s="150">
        <f t="shared" ca="1" si="0"/>
        <v>-0.61015323600000015</v>
      </c>
      <c r="AQ26" s="145">
        <f t="shared" ca="1" si="1"/>
        <v>-0.61015323600000015</v>
      </c>
      <c r="AR26" s="145">
        <f t="shared" ca="1" si="2"/>
        <v>-0.33281085600000004</v>
      </c>
      <c r="AS26" s="151">
        <f t="shared" ca="1" si="3"/>
        <v>-0.22187390400000007</v>
      </c>
      <c r="AT26" s="43">
        <v>0.05</v>
      </c>
      <c r="AU26" s="43"/>
      <c r="AV26" s="43"/>
    </row>
    <row r="27" spans="2:48" ht="17.100000000000001" customHeight="1">
      <c r="B27" s="119"/>
      <c r="C27" s="748" t="s">
        <v>385</v>
      </c>
      <c r="D27" s="749"/>
      <c r="E27" s="749"/>
      <c r="F27" s="749"/>
      <c r="G27" s="820" t="s">
        <v>120</v>
      </c>
      <c r="H27" s="820"/>
      <c r="I27" s="820" t="s">
        <v>121</v>
      </c>
      <c r="J27" s="820"/>
      <c r="K27" s="820" t="s">
        <v>93</v>
      </c>
      <c r="L27" s="820"/>
      <c r="M27" s="820" t="s">
        <v>40</v>
      </c>
      <c r="N27" s="821"/>
      <c r="O27" s="23"/>
      <c r="P27" s="716" t="s">
        <v>365</v>
      </c>
      <c r="Q27" s="717"/>
      <c r="R27" s="717"/>
      <c r="S27" s="717"/>
      <c r="T27" s="717"/>
      <c r="U27" s="717"/>
      <c r="V27" s="717"/>
      <c r="W27" s="717"/>
      <c r="X27" s="717"/>
      <c r="Y27" s="717"/>
      <c r="Z27" s="678">
        <f>input!$M$19</f>
        <v>0.1</v>
      </c>
      <c r="AA27" s="679"/>
      <c r="AB27" s="120"/>
      <c r="AD27" s="210" t="s">
        <v>549</v>
      </c>
      <c r="AE27" s="399">
        <f>M19</f>
        <v>2</v>
      </c>
      <c r="AF27" s="199" t="s">
        <v>571</v>
      </c>
      <c r="AG27" s="43"/>
      <c r="AH27" s="43" t="str">
        <f>AK7</f>
        <v>Mansard eaves</v>
      </c>
      <c r="AI27" s="186" t="b">
        <f t="shared" si="4"/>
        <v>0</v>
      </c>
      <c r="AJ27" s="186" t="b">
        <f>AJ3=4</f>
        <v>0</v>
      </c>
      <c r="AK27" s="186" t="b">
        <f>M20&lt;=30</f>
        <v>0</v>
      </c>
      <c r="AL27" s="145">
        <v>-0.95</v>
      </c>
      <c r="AM27" s="145">
        <v>-1</v>
      </c>
      <c r="AN27" s="145">
        <v>-0.3</v>
      </c>
      <c r="AO27" s="146">
        <v>-0.2</v>
      </c>
      <c r="AP27" s="150">
        <f t="shared" ca="1" si="0"/>
        <v>-1.0539010440000001</v>
      </c>
      <c r="AQ27" s="145">
        <f t="shared" ca="1" si="1"/>
        <v>-1.1093695200000002</v>
      </c>
      <c r="AR27" s="145">
        <f t="shared" ca="1" si="2"/>
        <v>-0.33281085600000004</v>
      </c>
      <c r="AS27" s="151">
        <f t="shared" ca="1" si="3"/>
        <v>-0.22187390400000007</v>
      </c>
      <c r="AT27" s="43">
        <v>30</v>
      </c>
      <c r="AU27" s="43"/>
      <c r="AV27" s="43"/>
    </row>
    <row r="28" spans="2:48" ht="17.100000000000001" customHeight="1">
      <c r="B28" s="119"/>
      <c r="C28" s="739" t="s">
        <v>418</v>
      </c>
      <c r="D28" s="740"/>
      <c r="E28" s="740"/>
      <c r="F28" s="740"/>
      <c r="G28" s="768">
        <f>VLOOKUP(TRUE,AI16:AS31,4,FALSE)</f>
        <v>-2</v>
      </c>
      <c r="H28" s="768"/>
      <c r="I28" s="768">
        <f>VLOOKUP(TRUE,AI16:AS31,5,FALSE)</f>
        <v>-1.4</v>
      </c>
      <c r="J28" s="768"/>
      <c r="K28" s="768">
        <f>VLOOKUP(TRUE,AI16:AS31,6,FALSE)</f>
        <v>-0.7</v>
      </c>
      <c r="L28" s="768"/>
      <c r="M28" s="768" t="str">
        <f>IF(AK12&gt;=M15,"-","+/-"&amp;FIXED(ABS(VLOOKUP(TRUE,AI16:AS31,7,FALSE)),3))</f>
        <v>+/-0.200</v>
      </c>
      <c r="N28" s="797"/>
      <c r="O28" s="23"/>
      <c r="P28" s="739" t="s">
        <v>364</v>
      </c>
      <c r="Q28" s="740"/>
      <c r="R28" s="740"/>
      <c r="S28" s="740"/>
      <c r="T28" s="740"/>
      <c r="U28" s="740"/>
      <c r="V28" s="740"/>
      <c r="W28" s="740"/>
      <c r="X28" s="740"/>
      <c r="Y28" s="740"/>
      <c r="Z28" s="587">
        <f ca="1">input!$M$20</f>
        <v>1.036</v>
      </c>
      <c r="AA28" s="588"/>
      <c r="AB28" s="120"/>
      <c r="AD28" s="210" t="s">
        <v>550</v>
      </c>
      <c r="AE28" s="405">
        <f>M20</f>
        <v>45</v>
      </c>
      <c r="AF28" s="199" t="s">
        <v>644</v>
      </c>
      <c r="AG28" s="43"/>
      <c r="AH28" s="43"/>
      <c r="AI28" s="186" t="b">
        <f t="shared" si="4"/>
        <v>0</v>
      </c>
      <c r="AJ28" s="186" t="b">
        <f>AJ3=4</f>
        <v>0</v>
      </c>
      <c r="AK28" s="186" t="b">
        <f>AND(M20&gt;30,M20&lt;45)</f>
        <v>0</v>
      </c>
      <c r="AL28" s="145">
        <f>AL29+(AL27-AL29)/($AT27-$AT29)*($M$20-$AT29)</f>
        <v>-1.2</v>
      </c>
      <c r="AM28" s="145">
        <f>AM29+(AM27-AM29)/($AT27-$AT29)*($M$20-$AT29)</f>
        <v>-1.3</v>
      </c>
      <c r="AN28" s="145">
        <f>AN29+(AN27-AN29)/($AT27-$AT29)*($M$20-$AT29)</f>
        <v>-0.4</v>
      </c>
      <c r="AO28" s="145">
        <f>AO29+(AO27-AO29)/($AT27-$AT29)*($M$20-$AT29)</f>
        <v>-0.2</v>
      </c>
      <c r="AP28" s="150">
        <f t="shared" ca="1" si="0"/>
        <v>-1.3312434240000002</v>
      </c>
      <c r="AQ28" s="145">
        <f t="shared" ca="1" si="1"/>
        <v>-1.4421803760000003</v>
      </c>
      <c r="AR28" s="145">
        <f t="shared" ca="1" si="2"/>
        <v>-0.44374780800000013</v>
      </c>
      <c r="AS28" s="151">
        <f t="shared" ca="1" si="3"/>
        <v>-0.22187390400000007</v>
      </c>
      <c r="AT28" s="43"/>
      <c r="AU28" s="43"/>
      <c r="AV28" s="43"/>
    </row>
    <row r="29" spans="2:48" ht="17.100000000000001" customHeight="1">
      <c r="B29" s="119"/>
      <c r="C29" s="23"/>
      <c r="D29" s="23"/>
      <c r="E29" s="23"/>
      <c r="F29" s="23"/>
      <c r="G29" s="23"/>
      <c r="H29" s="23"/>
      <c r="I29" s="23"/>
      <c r="J29" s="23"/>
      <c r="K29" s="23"/>
      <c r="L29" s="23"/>
      <c r="M29" s="23"/>
      <c r="N29" s="23"/>
      <c r="O29" s="23"/>
      <c r="P29" s="23"/>
      <c r="Q29" s="23"/>
      <c r="R29" s="23"/>
      <c r="S29" s="23"/>
      <c r="T29" s="23"/>
      <c r="U29" s="23"/>
      <c r="V29" s="23"/>
      <c r="W29" s="23"/>
      <c r="X29" s="23"/>
      <c r="Y29" s="23"/>
      <c r="Z29" s="23"/>
      <c r="AA29" s="23"/>
      <c r="AB29" s="120"/>
      <c r="AD29" s="210" t="s">
        <v>586</v>
      </c>
      <c r="AE29" s="401">
        <v>20</v>
      </c>
      <c r="AF29" s="199"/>
      <c r="AG29" s="43"/>
      <c r="AH29" s="43"/>
      <c r="AI29" s="186" t="b">
        <f t="shared" si="4"/>
        <v>0</v>
      </c>
      <c r="AJ29" s="186" t="b">
        <f>AJ3=4</f>
        <v>0</v>
      </c>
      <c r="AK29" s="186" t="b">
        <f>M20=45</f>
        <v>1</v>
      </c>
      <c r="AL29" s="145">
        <v>-1.2</v>
      </c>
      <c r="AM29" s="145">
        <v>-1.3</v>
      </c>
      <c r="AN29" s="145">
        <v>-0.4</v>
      </c>
      <c r="AO29" s="146">
        <v>-0.2</v>
      </c>
      <c r="AP29" s="150">
        <f t="shared" ca="1" si="0"/>
        <v>-1.3312434240000002</v>
      </c>
      <c r="AQ29" s="145">
        <f t="shared" ca="1" si="1"/>
        <v>-1.4421803760000003</v>
      </c>
      <c r="AR29" s="145">
        <f t="shared" ca="1" si="2"/>
        <v>-0.44374780800000013</v>
      </c>
      <c r="AS29" s="151">
        <f t="shared" ca="1" si="3"/>
        <v>-0.22187390400000007</v>
      </c>
      <c r="AT29" s="43">
        <v>45</v>
      </c>
      <c r="AU29" s="43"/>
      <c r="AV29" s="43"/>
    </row>
    <row r="30" spans="2:48" ht="17.100000000000001" customHeight="1">
      <c r="B30" s="119"/>
      <c r="C30" s="573" t="s">
        <v>428</v>
      </c>
      <c r="D30" s="574"/>
      <c r="E30" s="574"/>
      <c r="F30" s="574"/>
      <c r="G30" s="574"/>
      <c r="H30" s="574"/>
      <c r="I30" s="574"/>
      <c r="J30" s="574"/>
      <c r="K30" s="574"/>
      <c r="L30" s="574"/>
      <c r="M30" s="574"/>
      <c r="N30" s="575"/>
      <c r="O30" s="23"/>
      <c r="P30" s="427"/>
      <c r="Q30" s="574" t="s">
        <v>391</v>
      </c>
      <c r="R30" s="574"/>
      <c r="S30" s="574"/>
      <c r="T30" s="574"/>
      <c r="U30" s="574"/>
      <c r="V30" s="574"/>
      <c r="W30" s="574"/>
      <c r="X30" s="574"/>
      <c r="Y30" s="574"/>
      <c r="Z30" s="574"/>
      <c r="AA30" s="195" t="s">
        <v>288</v>
      </c>
      <c r="AB30" s="120"/>
      <c r="AD30" s="210" t="s">
        <v>585</v>
      </c>
      <c r="AE30" s="401">
        <v>90</v>
      </c>
      <c r="AF30" s="199"/>
      <c r="AG30" s="43"/>
      <c r="AH30" s="43"/>
      <c r="AI30" s="186" t="b">
        <f t="shared" si="4"/>
        <v>0</v>
      </c>
      <c r="AJ30" s="186" t="b">
        <f>AJ3=4</f>
        <v>0</v>
      </c>
      <c r="AK30" s="186" t="b">
        <f>AND(M20&gt;45,M20&lt;60)</f>
        <v>0</v>
      </c>
      <c r="AL30" s="145">
        <f>AL31+(AL29-AL31)/($AT29-$AT31)*($M$20-$AT31)</f>
        <v>-1.2</v>
      </c>
      <c r="AM30" s="145">
        <f>AM31+(AM29-AM31)/($AT29-$AT31)*($M$20-$AT31)</f>
        <v>-1.3</v>
      </c>
      <c r="AN30" s="145">
        <f>AN31+(AN29-AN31)/($AT29-$AT31)*($M$20-$AT31)</f>
        <v>-0.4</v>
      </c>
      <c r="AO30" s="145">
        <f>AO31+(AO29-AO31)/($AT29-$AT31)*($M$20-$AT31)</f>
        <v>-0.2</v>
      </c>
      <c r="AP30" s="150">
        <f t="shared" ca="1" si="0"/>
        <v>-1.3312434240000002</v>
      </c>
      <c r="AQ30" s="145">
        <f t="shared" ca="1" si="1"/>
        <v>-1.4421803760000003</v>
      </c>
      <c r="AR30" s="145">
        <f t="shared" ca="1" si="2"/>
        <v>-0.44374780800000013</v>
      </c>
      <c r="AS30" s="151">
        <f t="shared" ca="1" si="3"/>
        <v>-0.22187390400000007</v>
      </c>
      <c r="AT30" s="43"/>
      <c r="AU30" s="43"/>
      <c r="AV30" s="43"/>
    </row>
    <row r="31" spans="2:48" ht="17.100000000000001" customHeight="1" thickBot="1">
      <c r="B31" s="119"/>
      <c r="C31" s="809" t="s">
        <v>385</v>
      </c>
      <c r="D31" s="810"/>
      <c r="E31" s="810"/>
      <c r="F31" s="810"/>
      <c r="G31" s="738" t="s">
        <v>120</v>
      </c>
      <c r="H31" s="738"/>
      <c r="I31" s="738" t="s">
        <v>121</v>
      </c>
      <c r="J31" s="738"/>
      <c r="K31" s="738" t="s">
        <v>93</v>
      </c>
      <c r="L31" s="738"/>
      <c r="M31" s="738" t="s">
        <v>40</v>
      </c>
      <c r="N31" s="771"/>
      <c r="O31" s="23"/>
      <c r="P31" s="714" t="s">
        <v>389</v>
      </c>
      <c r="Q31" s="715"/>
      <c r="R31" s="715"/>
      <c r="S31" s="715"/>
      <c r="T31" s="715"/>
      <c r="U31" s="715"/>
      <c r="V31" s="715"/>
      <c r="W31" s="715"/>
      <c r="X31" s="715"/>
      <c r="Y31" s="715"/>
      <c r="Z31" s="550">
        <f>+M14*M15</f>
        <v>4000</v>
      </c>
      <c r="AA31" s="551"/>
      <c r="AB31" s="120"/>
      <c r="AD31" s="210" t="s">
        <v>552</v>
      </c>
      <c r="AE31" s="401" t="s">
        <v>465</v>
      </c>
      <c r="AF31" s="199"/>
      <c r="AG31" s="43"/>
      <c r="AH31" s="43"/>
      <c r="AI31" s="186" t="b">
        <f t="shared" si="4"/>
        <v>0</v>
      </c>
      <c r="AJ31" s="186" t="b">
        <f>AJ3=4</f>
        <v>0</v>
      </c>
      <c r="AK31" s="186" t="b">
        <f>M20&gt;=60</f>
        <v>0</v>
      </c>
      <c r="AL31" s="145">
        <v>-1.35</v>
      </c>
      <c r="AM31" s="145">
        <v>-1.25</v>
      </c>
      <c r="AN31" s="145">
        <v>-0.6</v>
      </c>
      <c r="AO31" s="146">
        <v>-0.2</v>
      </c>
      <c r="AP31" s="62">
        <f t="shared" ca="1" si="0"/>
        <v>-1.4976488520000004</v>
      </c>
      <c r="AQ31" s="63">
        <f t="shared" ca="1" si="1"/>
        <v>-1.3867119000000003</v>
      </c>
      <c r="AR31" s="63">
        <f t="shared" ca="1" si="2"/>
        <v>-0.66562171200000009</v>
      </c>
      <c r="AS31" s="152">
        <f t="shared" ca="1" si="3"/>
        <v>-0.22187390400000007</v>
      </c>
      <c r="AT31" s="43">
        <v>60</v>
      </c>
      <c r="AU31" s="43"/>
      <c r="AV31" s="43"/>
    </row>
    <row r="32" spans="2:48" ht="17.100000000000001" customHeight="1">
      <c r="B32" s="119"/>
      <c r="C32" s="754" t="s">
        <v>422</v>
      </c>
      <c r="D32" s="755"/>
      <c r="E32" s="755"/>
      <c r="F32" s="755"/>
      <c r="G32" s="768">
        <f ca="1">AJ36</f>
        <v>-2.2187390400000004</v>
      </c>
      <c r="H32" s="768"/>
      <c r="I32" s="768">
        <f ca="1">AK36</f>
        <v>-1.5531173280000001</v>
      </c>
      <c r="J32" s="768"/>
      <c r="K32" s="768">
        <f ca="1">AL36</f>
        <v>-0.77655866400000007</v>
      </c>
      <c r="L32" s="768"/>
      <c r="M32" s="768" t="str">
        <f ca="1">IF(AK12&gt;=M15,"-","+/-"&amp;FIXED(ABS(AM36),3))</f>
        <v>+/-0.222</v>
      </c>
      <c r="N32" s="797"/>
      <c r="O32" s="23"/>
      <c r="P32" s="739" t="s">
        <v>390</v>
      </c>
      <c r="Q32" s="740"/>
      <c r="R32" s="740"/>
      <c r="S32" s="740"/>
      <c r="T32" s="740"/>
      <c r="U32" s="740"/>
      <c r="V32" s="740"/>
      <c r="W32" s="740"/>
      <c r="X32" s="740"/>
      <c r="Y32" s="740"/>
      <c r="Z32" s="587">
        <f>1.35*Z18*Z31</f>
        <v>54.000000000000007</v>
      </c>
      <c r="AA32" s="588"/>
      <c r="AB32" s="120"/>
      <c r="AD32" s="210" t="s">
        <v>553</v>
      </c>
      <c r="AE32" s="401" t="s">
        <v>476</v>
      </c>
      <c r="AF32" s="199"/>
      <c r="AG32" s="43"/>
      <c r="AH32" s="43"/>
      <c r="AI32" s="43"/>
      <c r="AJ32" s="45"/>
      <c r="AK32" s="45"/>
      <c r="AL32" s="45"/>
      <c r="AM32" s="45"/>
      <c r="AN32" s="45"/>
      <c r="AO32" s="45"/>
      <c r="AP32" s="45">
        <v>8</v>
      </c>
      <c r="AQ32" s="45">
        <v>9</v>
      </c>
      <c r="AR32" s="45">
        <v>10</v>
      </c>
      <c r="AS32" s="45">
        <v>11</v>
      </c>
      <c r="AT32" s="43"/>
      <c r="AU32" s="43"/>
      <c r="AV32" s="43"/>
    </row>
    <row r="33" spans="2:48" ht="17.100000000000001" customHeight="1">
      <c r="B33" s="119"/>
      <c r="C33" s="23"/>
      <c r="D33" s="23"/>
      <c r="E33" s="23"/>
      <c r="F33" s="23"/>
      <c r="G33" s="23"/>
      <c r="H33" s="23"/>
      <c r="I33" s="23"/>
      <c r="J33" s="23"/>
      <c r="K33" s="23"/>
      <c r="L33" s="23"/>
      <c r="M33" s="23"/>
      <c r="N33" s="23"/>
      <c r="O33" s="23"/>
      <c r="P33" s="23"/>
      <c r="Q33" s="23"/>
      <c r="R33" s="23"/>
      <c r="S33" s="23"/>
      <c r="T33" s="23"/>
      <c r="U33" s="23"/>
      <c r="V33" s="23"/>
      <c r="W33" s="23"/>
      <c r="X33" s="23"/>
      <c r="Y33" s="23"/>
      <c r="Z33" s="23"/>
      <c r="AA33" s="23"/>
      <c r="AB33" s="120"/>
      <c r="AD33" s="210" t="s">
        <v>551</v>
      </c>
      <c r="AE33" s="401">
        <v>0.5</v>
      </c>
      <c r="AF33" s="199"/>
      <c r="AG33" s="43"/>
      <c r="AH33" s="43"/>
      <c r="AI33" s="43"/>
      <c r="AK33" s="45"/>
      <c r="AL33" s="45"/>
      <c r="AM33" s="45"/>
      <c r="AN33" s="45"/>
      <c r="AO33" s="45"/>
      <c r="AP33" s="45"/>
      <c r="AQ33" s="45"/>
      <c r="AR33" s="45"/>
      <c r="AS33" s="45"/>
      <c r="AT33" s="43"/>
      <c r="AU33" s="43"/>
      <c r="AV33" s="43"/>
    </row>
    <row r="34" spans="2:48" ht="17.100000000000001" customHeight="1">
      <c r="B34" s="119"/>
      <c r="C34" s="573" t="s">
        <v>424</v>
      </c>
      <c r="D34" s="574"/>
      <c r="E34" s="574"/>
      <c r="F34" s="574"/>
      <c r="G34" s="574"/>
      <c r="H34" s="574"/>
      <c r="I34" s="574"/>
      <c r="J34" s="574"/>
      <c r="K34" s="574"/>
      <c r="L34" s="574"/>
      <c r="M34" s="574"/>
      <c r="N34" s="574"/>
      <c r="O34" s="574"/>
      <c r="P34" s="574"/>
      <c r="Q34" s="574"/>
      <c r="R34" s="574"/>
      <c r="S34" s="575"/>
      <c r="T34" s="23"/>
      <c r="U34" s="23"/>
      <c r="V34" s="23"/>
      <c r="W34" s="23"/>
      <c r="X34" s="23"/>
      <c r="Y34" s="23"/>
      <c r="Z34" s="23"/>
      <c r="AA34" s="23"/>
      <c r="AB34" s="120"/>
      <c r="AD34" s="43" t="s">
        <v>587</v>
      </c>
      <c r="AE34" s="43"/>
      <c r="AF34" s="43"/>
      <c r="AG34" s="43"/>
      <c r="AH34" s="43"/>
      <c r="AI34" s="831" t="s">
        <v>231</v>
      </c>
      <c r="AJ34" s="831"/>
      <c r="AK34" s="831"/>
      <c r="AL34" s="831"/>
      <c r="AM34" s="831"/>
      <c r="AN34" s="45"/>
      <c r="AO34" s="45"/>
      <c r="AP34" s="45"/>
      <c r="AQ34" s="45"/>
      <c r="AR34" s="45"/>
      <c r="AS34" s="45"/>
      <c r="AT34" s="43"/>
      <c r="AU34" s="43"/>
      <c r="AV34" s="43"/>
    </row>
    <row r="35" spans="2:48" ht="17.100000000000001" customHeight="1">
      <c r="B35" s="119"/>
      <c r="C35" s="809" t="s">
        <v>385</v>
      </c>
      <c r="D35" s="810"/>
      <c r="E35" s="810"/>
      <c r="F35" s="810"/>
      <c r="G35" s="738" t="s">
        <v>120</v>
      </c>
      <c r="H35" s="738"/>
      <c r="I35" s="738" t="s">
        <v>121</v>
      </c>
      <c r="J35" s="738"/>
      <c r="K35" s="738" t="s">
        <v>93</v>
      </c>
      <c r="L35" s="738"/>
      <c r="M35" s="738" t="s">
        <v>40</v>
      </c>
      <c r="N35" s="738"/>
      <c r="O35" s="826" t="s">
        <v>420</v>
      </c>
      <c r="P35" s="793"/>
      <c r="Q35" s="793"/>
      <c r="R35" s="793"/>
      <c r="S35" s="794"/>
      <c r="T35" s="23"/>
      <c r="U35" s="23"/>
      <c r="V35" s="23"/>
      <c r="W35" s="23"/>
      <c r="X35" s="23"/>
      <c r="Y35" s="23"/>
      <c r="Z35" s="23"/>
      <c r="AA35" s="23"/>
      <c r="AB35" s="120"/>
      <c r="AD35" s="43" t="s">
        <v>588</v>
      </c>
      <c r="AE35" s="43"/>
      <c r="AF35" s="43"/>
      <c r="AG35" s="43"/>
      <c r="AH35" s="43"/>
      <c r="AI35" s="186"/>
      <c r="AJ35" s="186" t="s">
        <v>120</v>
      </c>
      <c r="AK35" s="186" t="s">
        <v>121</v>
      </c>
      <c r="AL35" s="186" t="s">
        <v>93</v>
      </c>
      <c r="AM35" s="186" t="s">
        <v>129</v>
      </c>
      <c r="AN35" s="45"/>
      <c r="AO35" s="45"/>
      <c r="AP35" s="45"/>
      <c r="AQ35" s="45"/>
      <c r="AR35" s="45"/>
      <c r="AS35" s="45"/>
      <c r="AT35" s="43"/>
      <c r="AU35" s="43"/>
      <c r="AV35" s="43"/>
    </row>
    <row r="36" spans="2:48" ht="17.100000000000001" customHeight="1">
      <c r="B36" s="119"/>
      <c r="C36" s="752" t="s">
        <v>393</v>
      </c>
      <c r="D36" s="753"/>
      <c r="E36" s="753"/>
      <c r="F36" s="753"/>
      <c r="G36" s="711">
        <f ca="1">AJ42</f>
        <v>-2.4887390400000005</v>
      </c>
      <c r="H36" s="711"/>
      <c r="I36" s="711">
        <f ca="1">AK42</f>
        <v>-1.8231173280000001</v>
      </c>
      <c r="J36" s="711"/>
      <c r="K36" s="711">
        <f ca="1">AL42</f>
        <v>-1.046558664</v>
      </c>
      <c r="L36" s="711"/>
      <c r="M36" s="711" t="str">
        <f ca="1">IF(AK12&gt;=M15,"-","+/-"&amp;FIXED(ABS(AM42),3))</f>
        <v>+/-0.492</v>
      </c>
      <c r="N36" s="711"/>
      <c r="O36" s="827" t="str">
        <f>"case I =   "&amp;FIXED(Z14,3)</f>
        <v>case I =   0.200</v>
      </c>
      <c r="P36" s="711"/>
      <c r="Q36" s="711"/>
      <c r="R36" s="711"/>
      <c r="S36" s="712"/>
      <c r="T36" s="23"/>
      <c r="U36" s="23"/>
      <c r="V36" s="23"/>
      <c r="W36" s="23"/>
      <c r="X36" s="23"/>
      <c r="Y36" s="23"/>
      <c r="Z36" s="23"/>
      <c r="AA36" s="23"/>
      <c r="AB36" s="120"/>
      <c r="AD36" s="43"/>
      <c r="AE36" s="43"/>
      <c r="AF36" s="43"/>
      <c r="AG36" s="43"/>
      <c r="AH36" s="43"/>
      <c r="AI36" s="138" t="s">
        <v>421</v>
      </c>
      <c r="AJ36" s="186">
        <f ca="1">VLOOKUP(TRUE,AI16:AS31,8,FALSE)</f>
        <v>-2.2187390400000004</v>
      </c>
      <c r="AK36" s="186">
        <f ca="1">VLOOKUP(TRUE,AI16:AS31,9,FALSE)</f>
        <v>-1.5531173280000001</v>
      </c>
      <c r="AL36" s="186">
        <f ca="1">VLOOKUP(TRUE,AI16:AS31,10,FALSE)</f>
        <v>-0.77655866400000007</v>
      </c>
      <c r="AM36" s="186">
        <f ca="1">VLOOKUP(TRUE,AI16:AS31,11,FALSE)</f>
        <v>-0.22187390400000007</v>
      </c>
      <c r="AN36" s="45"/>
      <c r="AO36" s="45"/>
      <c r="AP36" s="45"/>
      <c r="AQ36" s="45"/>
      <c r="AR36" s="45"/>
      <c r="AS36" s="45"/>
      <c r="AT36" s="43"/>
      <c r="AU36" s="43"/>
      <c r="AV36" s="43"/>
    </row>
    <row r="37" spans="2:48" ht="17.100000000000001" customHeight="1">
      <c r="B37" s="119"/>
      <c r="C37" s="754" t="s">
        <v>393</v>
      </c>
      <c r="D37" s="755"/>
      <c r="E37" s="755"/>
      <c r="F37" s="755"/>
      <c r="G37" s="768">
        <f ca="1">AJ43</f>
        <v>-1.8137390400000004</v>
      </c>
      <c r="H37" s="768"/>
      <c r="I37" s="768">
        <f ca="1">AK43</f>
        <v>-1.1481173280000001</v>
      </c>
      <c r="J37" s="768"/>
      <c r="K37" s="768">
        <f ca="1">AL43</f>
        <v>-0.37155866400000004</v>
      </c>
      <c r="L37" s="768"/>
      <c r="M37" s="768" t="str">
        <f ca="1">IF(AK12&gt;=M15,"-","+/-"&amp;FIXED(ABS(AM43),3))</f>
        <v>+/-0.627</v>
      </c>
      <c r="N37" s="768"/>
      <c r="O37" s="828" t="str">
        <f>"case II =   "&amp;FIXED(Z15,3)</f>
        <v>case II =   -0.300</v>
      </c>
      <c r="P37" s="768"/>
      <c r="Q37" s="768"/>
      <c r="R37" s="768"/>
      <c r="S37" s="797"/>
      <c r="T37" s="23"/>
      <c r="U37" s="23"/>
      <c r="V37" s="23"/>
      <c r="W37" s="23"/>
      <c r="X37" s="23"/>
      <c r="Y37" s="23"/>
      <c r="Z37" s="23"/>
      <c r="AA37" s="23"/>
      <c r="AB37" s="120"/>
      <c r="AD37" s="43"/>
      <c r="AE37" s="43"/>
      <c r="AF37" s="43"/>
      <c r="AG37" s="43"/>
      <c r="AH37" s="43"/>
      <c r="AI37" s="45"/>
      <c r="AJ37" s="45"/>
      <c r="AK37" s="45"/>
      <c r="AL37" s="45"/>
      <c r="AM37" s="45"/>
      <c r="AN37" s="45"/>
      <c r="AO37" s="45"/>
      <c r="AP37" s="45"/>
      <c r="AQ37" s="45"/>
      <c r="AR37" s="45"/>
      <c r="AS37" s="45"/>
      <c r="AT37" s="43"/>
      <c r="AU37" s="43"/>
      <c r="AV37" s="43"/>
    </row>
    <row r="38" spans="2:48" ht="17.100000000000001" customHeight="1">
      <c r="B38" s="119"/>
      <c r="C38" s="23"/>
      <c r="D38" s="23"/>
      <c r="E38" s="23"/>
      <c r="F38" s="23"/>
      <c r="G38" s="23"/>
      <c r="H38" s="23"/>
      <c r="I38" s="23"/>
      <c r="J38" s="23"/>
      <c r="K38" s="23"/>
      <c r="L38" s="23"/>
      <c r="M38" s="23"/>
      <c r="N38" s="23"/>
      <c r="O38" s="23"/>
      <c r="P38" s="23"/>
      <c r="Q38" s="23"/>
      <c r="R38" s="23"/>
      <c r="S38" s="23"/>
      <c r="T38" s="23"/>
      <c r="U38" s="23"/>
      <c r="V38" s="23"/>
      <c r="W38" s="23"/>
      <c r="X38" s="23"/>
      <c r="Y38" s="23"/>
      <c r="Z38" s="23"/>
      <c r="AA38" s="23"/>
      <c r="AB38" s="120"/>
      <c r="AD38" s="43"/>
      <c r="AE38" s="43"/>
      <c r="AF38" s="43"/>
      <c r="AG38" s="43"/>
      <c r="AH38" s="43"/>
      <c r="AI38" s="43"/>
      <c r="AJ38" s="45"/>
      <c r="AK38" s="45"/>
      <c r="AL38" s="45"/>
      <c r="AM38" s="45"/>
      <c r="AN38" s="45"/>
      <c r="AO38" s="45"/>
      <c r="AP38" s="45"/>
      <c r="AQ38" s="45"/>
      <c r="AR38" s="45"/>
      <c r="AS38" s="45"/>
      <c r="AT38" s="43"/>
      <c r="AU38" s="43"/>
      <c r="AV38" s="43"/>
    </row>
    <row r="39" spans="2:48" ht="17.100000000000001" customHeight="1">
      <c r="B39" s="119"/>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120"/>
      <c r="AD39" s="43"/>
      <c r="AE39" s="43"/>
      <c r="AF39" s="43"/>
      <c r="AG39" s="43"/>
      <c r="AH39" s="43"/>
      <c r="AI39" s="43"/>
      <c r="AJ39" s="45"/>
      <c r="AK39" s="45"/>
      <c r="AL39" s="45"/>
      <c r="AM39" s="45"/>
      <c r="AN39" s="45"/>
      <c r="AO39" s="45"/>
      <c r="AP39" s="45"/>
      <c r="AQ39" s="45"/>
      <c r="AR39" s="45"/>
      <c r="AS39" s="45"/>
      <c r="AT39" s="43"/>
      <c r="AU39" s="43"/>
      <c r="AV39" s="43"/>
    </row>
    <row r="40" spans="2:48" ht="17.100000000000001" customHeight="1">
      <c r="B40" s="119"/>
      <c r="C40" s="573" t="s">
        <v>423</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5"/>
      <c r="AB40" s="120"/>
      <c r="AD40" s="43"/>
      <c r="AE40" s="43"/>
      <c r="AF40" s="43"/>
      <c r="AG40" s="43"/>
      <c r="AH40" s="43"/>
      <c r="AI40" s="831" t="s">
        <v>236</v>
      </c>
      <c r="AJ40" s="831"/>
      <c r="AK40" s="831"/>
      <c r="AL40" s="831"/>
      <c r="AM40" s="831"/>
      <c r="AN40" s="45"/>
      <c r="AO40" s="45"/>
      <c r="AP40" s="45"/>
      <c r="AQ40" s="45"/>
      <c r="AR40" s="45"/>
      <c r="AS40" s="45"/>
      <c r="AT40" s="43"/>
      <c r="AU40" s="43"/>
      <c r="AV40" s="43"/>
    </row>
    <row r="41" spans="2:48" ht="17.100000000000001" customHeight="1">
      <c r="B41" s="119"/>
      <c r="C41" s="35"/>
      <c r="D41" s="36"/>
      <c r="E41" s="36"/>
      <c r="F41" s="36"/>
      <c r="G41" s="36"/>
      <c r="H41" s="36"/>
      <c r="I41" s="36"/>
      <c r="J41" s="36"/>
      <c r="K41" s="36"/>
      <c r="L41" s="36"/>
      <c r="M41" s="36"/>
      <c r="N41" s="36"/>
      <c r="O41" s="36"/>
      <c r="P41" s="36"/>
      <c r="Q41" s="36"/>
      <c r="R41" s="36"/>
      <c r="S41" s="36"/>
      <c r="T41" s="36"/>
      <c r="U41" s="36"/>
      <c r="V41" s="36"/>
      <c r="W41" s="36"/>
      <c r="X41" s="36"/>
      <c r="Y41" s="36"/>
      <c r="Z41" s="36"/>
      <c r="AA41" s="37"/>
      <c r="AB41" s="120"/>
      <c r="AD41" s="43"/>
      <c r="AE41" s="43"/>
      <c r="AF41" s="43"/>
      <c r="AG41" s="43"/>
      <c r="AH41" s="43"/>
      <c r="AI41" s="186" t="s">
        <v>101</v>
      </c>
      <c r="AJ41" s="186" t="s">
        <v>120</v>
      </c>
      <c r="AK41" s="186" t="s">
        <v>121</v>
      </c>
      <c r="AL41" s="186" t="s">
        <v>93</v>
      </c>
      <c r="AM41" s="186" t="s">
        <v>129</v>
      </c>
      <c r="AN41" s="45"/>
      <c r="AO41" s="45"/>
      <c r="AP41" s="45"/>
      <c r="AQ41" s="45"/>
      <c r="AR41" s="45"/>
      <c r="AS41" s="45"/>
      <c r="AT41" s="43"/>
      <c r="AU41" s="43"/>
      <c r="AV41" s="43"/>
    </row>
    <row r="42" spans="2:48" ht="17.100000000000001" customHeight="1">
      <c r="B42" s="119"/>
      <c r="C42" s="25"/>
      <c r="D42" s="26"/>
      <c r="E42" s="26"/>
      <c r="F42" s="26"/>
      <c r="G42" s="26"/>
      <c r="H42" s="26"/>
      <c r="I42" s="26"/>
      <c r="J42" s="26"/>
      <c r="K42" s="26"/>
      <c r="L42" s="26"/>
      <c r="M42" s="26"/>
      <c r="N42" s="26"/>
      <c r="O42" s="26"/>
      <c r="P42" s="26"/>
      <c r="Q42" s="26"/>
      <c r="R42" s="26"/>
      <c r="S42" s="26"/>
      <c r="T42" s="26"/>
      <c r="U42" s="26"/>
      <c r="V42" s="26"/>
      <c r="W42" s="26"/>
      <c r="X42" s="26"/>
      <c r="Y42" s="26"/>
      <c r="Z42" s="26"/>
      <c r="AA42" s="38"/>
      <c r="AB42" s="120"/>
      <c r="AD42" s="43"/>
      <c r="AE42" s="43"/>
      <c r="AF42" s="43"/>
      <c r="AG42" s="43"/>
      <c r="AH42" s="43"/>
      <c r="AI42" s="186" t="s">
        <v>234</v>
      </c>
      <c r="AJ42" s="186">
        <f ca="1">+AJ36-1.35*$Z$14</f>
        <v>-2.4887390400000005</v>
      </c>
      <c r="AK42" s="186">
        <f ca="1">+AK36-1.35*$Z$14</f>
        <v>-1.8231173280000001</v>
      </c>
      <c r="AL42" s="186">
        <f ca="1">+AL36-1.35*$Z$14</f>
        <v>-1.046558664</v>
      </c>
      <c r="AM42" s="186">
        <f ca="1">+AM36-1.35*$Z$14</f>
        <v>-0.49187390400000008</v>
      </c>
      <c r="AN42" s="43"/>
      <c r="AO42" s="43"/>
      <c r="AP42" s="43"/>
      <c r="AQ42" s="43"/>
      <c r="AR42" s="43"/>
      <c r="AS42" s="43"/>
      <c r="AT42" s="43"/>
      <c r="AU42" s="43"/>
      <c r="AV42" s="43"/>
    </row>
    <row r="43" spans="2:48" ht="17.100000000000001" customHeight="1" thickBot="1">
      <c r="B43" s="119"/>
      <c r="C43" s="25"/>
      <c r="D43" s="26"/>
      <c r="E43" s="26"/>
      <c r="F43" s="26"/>
      <c r="G43" s="26"/>
      <c r="H43" s="829" t="str">
        <f>"d1 = "&amp;FIXED(AK11/10,2)&amp;"m"</f>
        <v>d1 = 8.00m</v>
      </c>
      <c r="I43" s="829"/>
      <c r="J43" s="829"/>
      <c r="K43" s="829"/>
      <c r="L43" s="829" t="str">
        <f>"d2 = "&amp;FIXED(MIN(M15,AK12)-AK11/10,2)&amp;"m"</f>
        <v>d2 = 32.00m</v>
      </c>
      <c r="M43" s="829"/>
      <c r="N43" s="829"/>
      <c r="O43" s="829"/>
      <c r="P43" s="829"/>
      <c r="Q43" s="829"/>
      <c r="R43" s="830" t="str">
        <f>IF(AK12&gt;=M15,"","d3 = "&amp;FIXED(M15-AK12,2)&amp;"m")</f>
        <v>d3 = 10.00m</v>
      </c>
      <c r="S43" s="830"/>
      <c r="T43" s="830"/>
      <c r="U43" s="830"/>
      <c r="V43" s="830"/>
      <c r="W43" s="830"/>
      <c r="X43" s="830"/>
      <c r="Y43" s="830"/>
      <c r="Z43" s="830"/>
      <c r="AA43" s="38"/>
      <c r="AB43" s="120"/>
      <c r="AD43" s="43"/>
      <c r="AE43" s="43"/>
      <c r="AF43" s="43"/>
      <c r="AG43" s="43"/>
      <c r="AH43" s="43"/>
      <c r="AI43" s="186" t="s">
        <v>235</v>
      </c>
      <c r="AJ43" s="186">
        <f ca="1">+AJ36-1.35*$Z$15</f>
        <v>-1.8137390400000004</v>
      </c>
      <c r="AK43" s="186">
        <f ca="1">+AK36-1.35*$Z$15</f>
        <v>-1.1481173280000001</v>
      </c>
      <c r="AL43" s="186">
        <f ca="1">+AL36-1.35*$Z$15</f>
        <v>-0.37155866400000004</v>
      </c>
      <c r="AM43" s="186">
        <f ca="1">ABS(+AM36+1.35*$Z$15)</f>
        <v>0.62687390400000009</v>
      </c>
      <c r="AN43" s="43"/>
      <c r="AO43" s="43"/>
      <c r="AP43" s="43"/>
      <c r="AQ43" s="43"/>
      <c r="AR43" s="43"/>
      <c r="AS43" s="43"/>
      <c r="AT43" s="43"/>
      <c r="AU43" s="43"/>
      <c r="AV43" s="43"/>
    </row>
    <row r="44" spans="2:48" ht="17.100000000000001" customHeight="1">
      <c r="B44" s="119"/>
      <c r="C44" s="25"/>
      <c r="D44" s="26"/>
      <c r="E44" s="26"/>
      <c r="F44" s="26"/>
      <c r="G44" s="825" t="str">
        <f>"b3 = "&amp;FIXED(+AK11/4,2)&amp;"m"</f>
        <v>b3 = 20.00m</v>
      </c>
      <c r="H44" s="721" t="s">
        <v>425</v>
      </c>
      <c r="I44" s="722"/>
      <c r="J44" s="722"/>
      <c r="K44" s="723"/>
      <c r="L44" s="721" t="s">
        <v>427</v>
      </c>
      <c r="M44" s="722"/>
      <c r="N44" s="722"/>
      <c r="O44" s="722"/>
      <c r="P44" s="722"/>
      <c r="Q44" s="722"/>
      <c r="R44" s="721" t="str">
        <f>IF(AK12&gt;=M15,"","Zone I")</f>
        <v>Zone I</v>
      </c>
      <c r="S44" s="722"/>
      <c r="T44" s="722"/>
      <c r="U44" s="722"/>
      <c r="V44" s="722"/>
      <c r="W44" s="722"/>
      <c r="X44" s="722"/>
      <c r="Y44" s="722"/>
      <c r="Z44" s="723"/>
      <c r="AA44" s="38"/>
      <c r="AB44" s="120"/>
      <c r="AD44" s="43"/>
      <c r="AE44" s="43"/>
      <c r="AF44" s="43"/>
      <c r="AG44" s="43"/>
      <c r="AH44" s="43"/>
      <c r="AN44" s="43"/>
      <c r="AO44" s="43"/>
      <c r="AP44" s="43"/>
      <c r="AQ44" s="43"/>
      <c r="AR44" s="43"/>
      <c r="AS44" s="43"/>
      <c r="AT44" s="43"/>
      <c r="AU44" s="43"/>
      <c r="AV44" s="43"/>
    </row>
    <row r="45" spans="2:48" ht="17.100000000000001" customHeight="1">
      <c r="B45" s="119"/>
      <c r="C45" s="25"/>
      <c r="D45" s="26"/>
      <c r="E45" s="26"/>
      <c r="F45" s="26"/>
      <c r="G45" s="825"/>
      <c r="H45" s="724"/>
      <c r="I45" s="725"/>
      <c r="J45" s="725"/>
      <c r="K45" s="726"/>
      <c r="L45" s="724"/>
      <c r="M45" s="725"/>
      <c r="N45" s="725"/>
      <c r="O45" s="725"/>
      <c r="P45" s="725"/>
      <c r="Q45" s="725"/>
      <c r="R45" s="724"/>
      <c r="S45" s="725"/>
      <c r="T45" s="725"/>
      <c r="U45" s="725"/>
      <c r="V45" s="725"/>
      <c r="W45" s="725"/>
      <c r="X45" s="725"/>
      <c r="Y45" s="725"/>
      <c r="Z45" s="726"/>
      <c r="AA45" s="38"/>
      <c r="AB45" s="120"/>
      <c r="AD45" s="43"/>
      <c r="AE45" s="43"/>
      <c r="AF45" s="43"/>
      <c r="AG45" s="43"/>
      <c r="AH45" s="43"/>
      <c r="AN45" s="43"/>
      <c r="AO45" s="43"/>
      <c r="AP45" s="43"/>
      <c r="AQ45" s="43"/>
      <c r="AR45" s="43"/>
      <c r="AS45" s="43"/>
      <c r="AT45" s="43"/>
      <c r="AU45" s="43"/>
      <c r="AV45" s="43"/>
    </row>
    <row r="46" spans="2:48" ht="17.100000000000001" customHeight="1">
      <c r="B46" s="119"/>
      <c r="C46" s="25"/>
      <c r="D46" s="26"/>
      <c r="E46" s="26"/>
      <c r="F46" s="26"/>
      <c r="G46" s="825"/>
      <c r="H46" s="727" t="str">
        <f ca="1">FIXED(T23,3)&amp;" kN/m2"</f>
        <v>-2.489 kN/m2</v>
      </c>
      <c r="I46" s="728"/>
      <c r="J46" s="728"/>
      <c r="K46" s="729"/>
      <c r="L46" s="724"/>
      <c r="M46" s="725"/>
      <c r="N46" s="725"/>
      <c r="O46" s="725"/>
      <c r="P46" s="725"/>
      <c r="Q46" s="725"/>
      <c r="R46" s="724"/>
      <c r="S46" s="725"/>
      <c r="T46" s="725"/>
      <c r="U46" s="725"/>
      <c r="V46" s="725"/>
      <c r="W46" s="725"/>
      <c r="X46" s="725"/>
      <c r="Y46" s="725"/>
      <c r="Z46" s="726"/>
      <c r="AA46" s="38"/>
      <c r="AB46" s="120"/>
      <c r="AD46" s="43"/>
      <c r="AE46" s="43"/>
      <c r="AF46" s="43"/>
      <c r="AG46" s="43"/>
      <c r="AH46" s="43"/>
      <c r="AN46" s="43"/>
      <c r="AO46" s="43"/>
      <c r="AP46" s="43"/>
      <c r="AQ46" s="43"/>
      <c r="AR46" s="43"/>
      <c r="AS46" s="43"/>
      <c r="AT46" s="43"/>
      <c r="AU46" s="43"/>
      <c r="AV46" s="43"/>
    </row>
    <row r="47" spans="2:48" ht="17.100000000000001" customHeight="1" thickBot="1">
      <c r="B47" s="119"/>
      <c r="C47" s="25"/>
      <c r="D47" s="26"/>
      <c r="E47" s="26"/>
      <c r="F47" s="26"/>
      <c r="G47" s="825"/>
      <c r="H47" s="730"/>
      <c r="I47" s="731"/>
      <c r="J47" s="731"/>
      <c r="K47" s="732"/>
      <c r="L47" s="724"/>
      <c r="M47" s="725"/>
      <c r="N47" s="725"/>
      <c r="O47" s="725"/>
      <c r="P47" s="725"/>
      <c r="Q47" s="725"/>
      <c r="R47" s="724"/>
      <c r="S47" s="725"/>
      <c r="T47" s="725"/>
      <c r="U47" s="725"/>
      <c r="V47" s="725"/>
      <c r="W47" s="725"/>
      <c r="X47" s="725"/>
      <c r="Y47" s="725"/>
      <c r="Z47" s="726"/>
      <c r="AA47" s="38"/>
      <c r="AB47" s="120"/>
      <c r="AD47" s="43"/>
      <c r="AE47" s="43"/>
      <c r="AF47" s="43"/>
      <c r="AG47" s="43"/>
      <c r="AH47" s="43"/>
      <c r="AN47" s="43"/>
      <c r="AO47" s="43"/>
      <c r="AP47" s="43"/>
      <c r="AQ47" s="43"/>
      <c r="AR47" s="43"/>
      <c r="AS47" s="43"/>
      <c r="AT47" s="43"/>
      <c r="AU47" s="43"/>
      <c r="AV47" s="43"/>
    </row>
    <row r="48" spans="2:48" ht="17.100000000000001" customHeight="1">
      <c r="B48" s="119"/>
      <c r="C48" s="25"/>
      <c r="D48" s="26"/>
      <c r="E48" s="26"/>
      <c r="F48" s="26"/>
      <c r="G48" s="825" t="str">
        <f>"b2 = "&amp;FIXED(M14-2*AK11/4,2)&amp;"m"</f>
        <v>b2 = 40.00m</v>
      </c>
      <c r="H48" s="721" t="s">
        <v>426</v>
      </c>
      <c r="I48" s="722"/>
      <c r="J48" s="722"/>
      <c r="K48" s="723"/>
      <c r="L48" s="724"/>
      <c r="M48" s="725"/>
      <c r="N48" s="725"/>
      <c r="O48" s="725"/>
      <c r="P48" s="725"/>
      <c r="Q48" s="725"/>
      <c r="R48" s="724"/>
      <c r="S48" s="725"/>
      <c r="T48" s="725"/>
      <c r="U48" s="725"/>
      <c r="V48" s="725"/>
      <c r="W48" s="725"/>
      <c r="X48" s="725"/>
      <c r="Y48" s="725"/>
      <c r="Z48" s="726"/>
      <c r="AA48" s="38"/>
      <c r="AB48" s="120"/>
      <c r="AD48" s="43"/>
      <c r="AE48" s="43"/>
      <c r="AF48" s="43"/>
      <c r="AG48" s="43"/>
      <c r="AH48" s="43"/>
      <c r="AN48" s="43"/>
      <c r="AO48" s="43"/>
      <c r="AP48" s="43"/>
      <c r="AQ48" s="43"/>
      <c r="AR48" s="43"/>
      <c r="AS48" s="43"/>
      <c r="AT48" s="43"/>
      <c r="AU48" s="43"/>
      <c r="AV48" s="43"/>
    </row>
    <row r="49" spans="2:48" ht="17.100000000000001" customHeight="1">
      <c r="B49" s="119"/>
      <c r="C49" s="25"/>
      <c r="D49" s="26"/>
      <c r="E49" s="26"/>
      <c r="F49" s="26"/>
      <c r="G49" s="825"/>
      <c r="H49" s="724"/>
      <c r="I49" s="725"/>
      <c r="J49" s="725"/>
      <c r="K49" s="726"/>
      <c r="L49" s="724"/>
      <c r="M49" s="725"/>
      <c r="N49" s="725"/>
      <c r="O49" s="725"/>
      <c r="P49" s="725"/>
      <c r="Q49" s="725"/>
      <c r="R49" s="724"/>
      <c r="S49" s="725"/>
      <c r="T49" s="725"/>
      <c r="U49" s="725"/>
      <c r="V49" s="725"/>
      <c r="W49" s="725"/>
      <c r="X49" s="725"/>
      <c r="Y49" s="725"/>
      <c r="Z49" s="726"/>
      <c r="AA49" s="38"/>
      <c r="AB49" s="120"/>
      <c r="AD49" s="43"/>
      <c r="AE49" s="43"/>
      <c r="AF49" s="43"/>
      <c r="AG49" s="43"/>
      <c r="AH49" s="43"/>
      <c r="AN49" s="43"/>
      <c r="AO49" s="43"/>
      <c r="AP49" s="43"/>
      <c r="AQ49" s="43"/>
      <c r="AR49" s="43"/>
      <c r="AS49" s="43"/>
      <c r="AT49" s="43"/>
      <c r="AU49" s="43"/>
      <c r="AV49" s="43"/>
    </row>
    <row r="50" spans="2:48" ht="17.100000000000001" customHeight="1">
      <c r="B50" s="119"/>
      <c r="C50" s="25"/>
      <c r="D50" s="26"/>
      <c r="E50" s="26"/>
      <c r="F50" s="26"/>
      <c r="G50" s="825"/>
      <c r="H50" s="724"/>
      <c r="I50" s="725"/>
      <c r="J50" s="725"/>
      <c r="K50" s="726"/>
      <c r="L50" s="724"/>
      <c r="M50" s="725"/>
      <c r="N50" s="725"/>
      <c r="O50" s="725"/>
      <c r="P50" s="725"/>
      <c r="Q50" s="725"/>
      <c r="R50" s="724"/>
      <c r="S50" s="725"/>
      <c r="T50" s="725"/>
      <c r="U50" s="725"/>
      <c r="V50" s="725"/>
      <c r="W50" s="725"/>
      <c r="X50" s="725"/>
      <c r="Y50" s="725"/>
      <c r="Z50" s="726"/>
      <c r="AA50" s="38"/>
      <c r="AB50" s="120"/>
      <c r="AD50" s="43"/>
      <c r="AE50" s="43"/>
      <c r="AF50" s="43"/>
      <c r="AG50" s="43"/>
      <c r="AH50" s="43"/>
      <c r="AN50" s="43"/>
      <c r="AO50" s="43"/>
      <c r="AP50" s="43"/>
      <c r="AQ50" s="43"/>
      <c r="AR50" s="43"/>
      <c r="AS50" s="43"/>
      <c r="AT50" s="43"/>
      <c r="AU50" s="43"/>
      <c r="AV50" s="43"/>
    </row>
    <row r="51" spans="2:48" ht="17.100000000000001" customHeight="1">
      <c r="B51" s="119"/>
      <c r="C51" s="25"/>
      <c r="D51" s="26"/>
      <c r="E51" s="26"/>
      <c r="F51" s="26"/>
      <c r="G51" s="825"/>
      <c r="H51" s="727" t="str">
        <f ca="1">FIXED(V23,3)&amp;" kN/m2"</f>
        <v>-1.823 kN/m2</v>
      </c>
      <c r="I51" s="728"/>
      <c r="J51" s="728"/>
      <c r="K51" s="729"/>
      <c r="L51" s="727" t="str">
        <f ca="1">FIXED(X23,3)&amp;" kN/m2"</f>
        <v>-1.047 kN/m2</v>
      </c>
      <c r="M51" s="728"/>
      <c r="N51" s="728"/>
      <c r="O51" s="728"/>
      <c r="P51" s="728"/>
      <c r="Q51" s="728"/>
      <c r="R51" s="727" t="str">
        <f ca="1">IF(AK12&gt;=M15,"",Z23&amp;" kN/m2")</f>
        <v>+/-0.627 kN/m2</v>
      </c>
      <c r="S51" s="728"/>
      <c r="T51" s="728"/>
      <c r="U51" s="728"/>
      <c r="V51" s="728"/>
      <c r="W51" s="728"/>
      <c r="X51" s="728"/>
      <c r="Y51" s="728"/>
      <c r="Z51" s="729"/>
      <c r="AA51" s="38"/>
      <c r="AB51" s="120"/>
      <c r="AD51" s="43"/>
      <c r="AE51" s="43"/>
      <c r="AF51" s="43"/>
      <c r="AG51" s="43"/>
      <c r="AH51" s="43"/>
      <c r="AN51" s="43"/>
      <c r="AO51" s="43"/>
      <c r="AP51" s="43"/>
      <c r="AQ51" s="43"/>
      <c r="AR51" s="43"/>
      <c r="AS51" s="43"/>
      <c r="AT51" s="43"/>
      <c r="AU51" s="43"/>
      <c r="AV51" s="43"/>
    </row>
    <row r="52" spans="2:48" ht="17.100000000000001" customHeight="1">
      <c r="B52" s="119"/>
      <c r="C52" s="25"/>
      <c r="D52" s="26"/>
      <c r="E52" s="26"/>
      <c r="F52" s="26"/>
      <c r="G52" s="825"/>
      <c r="H52" s="727"/>
      <c r="I52" s="728"/>
      <c r="J52" s="728"/>
      <c r="K52" s="729"/>
      <c r="L52" s="727"/>
      <c r="M52" s="728"/>
      <c r="N52" s="728"/>
      <c r="O52" s="728"/>
      <c r="P52" s="728"/>
      <c r="Q52" s="728"/>
      <c r="R52" s="727"/>
      <c r="S52" s="728"/>
      <c r="T52" s="728"/>
      <c r="U52" s="728"/>
      <c r="V52" s="728"/>
      <c r="W52" s="728"/>
      <c r="X52" s="728"/>
      <c r="Y52" s="728"/>
      <c r="Z52" s="729"/>
      <c r="AA52" s="38"/>
      <c r="AB52" s="120"/>
      <c r="AD52" s="43"/>
      <c r="AE52" s="43"/>
      <c r="AF52" s="43"/>
      <c r="AG52" s="43"/>
      <c r="AH52" s="43"/>
      <c r="AN52" s="43"/>
      <c r="AO52" s="43"/>
      <c r="AP52" s="43"/>
      <c r="AQ52" s="43"/>
      <c r="AR52" s="43"/>
      <c r="AS52" s="43"/>
      <c r="AT52" s="43"/>
      <c r="AU52" s="43"/>
      <c r="AV52" s="43"/>
    </row>
    <row r="53" spans="2:48" ht="17.100000000000001" customHeight="1" thickBot="1">
      <c r="B53" s="119"/>
      <c r="C53" s="25"/>
      <c r="D53" s="26"/>
      <c r="E53" s="26"/>
      <c r="F53" s="26"/>
      <c r="G53" s="825"/>
      <c r="H53" s="730"/>
      <c r="I53" s="731"/>
      <c r="J53" s="731"/>
      <c r="K53" s="732"/>
      <c r="L53" s="727"/>
      <c r="M53" s="728"/>
      <c r="N53" s="728"/>
      <c r="O53" s="728"/>
      <c r="P53" s="728"/>
      <c r="Q53" s="728"/>
      <c r="R53" s="727"/>
      <c r="S53" s="728"/>
      <c r="T53" s="728"/>
      <c r="U53" s="728"/>
      <c r="V53" s="728"/>
      <c r="W53" s="728"/>
      <c r="X53" s="728"/>
      <c r="Y53" s="728"/>
      <c r="Z53" s="729"/>
      <c r="AA53" s="38"/>
      <c r="AB53" s="120"/>
      <c r="AD53" s="43"/>
      <c r="AE53" s="43"/>
      <c r="AF53" s="43"/>
      <c r="AG53" s="43"/>
      <c r="AH53" s="43"/>
      <c r="AN53" s="43"/>
      <c r="AO53" s="43"/>
      <c r="AP53" s="43"/>
      <c r="AQ53" s="43"/>
      <c r="AR53" s="43"/>
      <c r="AS53" s="43"/>
      <c r="AT53" s="43"/>
      <c r="AU53" s="43"/>
      <c r="AV53" s="43"/>
    </row>
    <row r="54" spans="2:48" ht="17.100000000000001" customHeight="1">
      <c r="B54" s="119"/>
      <c r="C54" s="25"/>
      <c r="D54" s="26"/>
      <c r="E54" s="26"/>
      <c r="F54" s="26"/>
      <c r="G54" s="825" t="str">
        <f>"b1 = "&amp;FIXED(+AK11/4,2)&amp;"m"</f>
        <v>b1 = 20.00m</v>
      </c>
      <c r="H54" s="721" t="s">
        <v>425</v>
      </c>
      <c r="I54" s="722"/>
      <c r="J54" s="722"/>
      <c r="K54" s="723"/>
      <c r="L54" s="727"/>
      <c r="M54" s="728"/>
      <c r="N54" s="728"/>
      <c r="O54" s="728"/>
      <c r="P54" s="728"/>
      <c r="Q54" s="728"/>
      <c r="R54" s="727"/>
      <c r="S54" s="728"/>
      <c r="T54" s="728"/>
      <c r="U54" s="728"/>
      <c r="V54" s="728"/>
      <c r="W54" s="728"/>
      <c r="X54" s="728"/>
      <c r="Y54" s="728"/>
      <c r="Z54" s="729"/>
      <c r="AA54" s="38"/>
      <c r="AB54" s="120"/>
      <c r="AD54" s="43"/>
      <c r="AE54" s="43"/>
      <c r="AF54" s="43"/>
      <c r="AG54" s="43"/>
      <c r="AH54" s="43"/>
      <c r="AI54" s="43"/>
      <c r="AJ54" s="43"/>
      <c r="AK54" s="43"/>
      <c r="AL54" s="43"/>
      <c r="AM54" s="43"/>
      <c r="AN54" s="43"/>
      <c r="AO54" s="43"/>
      <c r="AP54" s="43"/>
      <c r="AQ54" s="43"/>
      <c r="AR54" s="43"/>
      <c r="AS54" s="43"/>
      <c r="AT54" s="43"/>
      <c r="AU54" s="43"/>
      <c r="AV54" s="43"/>
    </row>
    <row r="55" spans="2:48" ht="17.100000000000001" customHeight="1">
      <c r="B55" s="119"/>
      <c r="C55" s="25"/>
      <c r="D55" s="26"/>
      <c r="E55" s="26"/>
      <c r="F55" s="26"/>
      <c r="G55" s="825"/>
      <c r="H55" s="724"/>
      <c r="I55" s="725"/>
      <c r="J55" s="725"/>
      <c r="K55" s="726"/>
      <c r="L55" s="727"/>
      <c r="M55" s="728"/>
      <c r="N55" s="728"/>
      <c r="O55" s="728"/>
      <c r="P55" s="728"/>
      <c r="Q55" s="728"/>
      <c r="R55" s="727"/>
      <c r="S55" s="728"/>
      <c r="T55" s="728"/>
      <c r="U55" s="728"/>
      <c r="V55" s="728"/>
      <c r="W55" s="728"/>
      <c r="X55" s="728"/>
      <c r="Y55" s="728"/>
      <c r="Z55" s="729"/>
      <c r="AA55" s="38"/>
      <c r="AB55" s="120"/>
      <c r="AD55" s="43"/>
      <c r="AE55" s="43"/>
      <c r="AF55" s="43"/>
      <c r="AG55" s="43"/>
      <c r="AH55" s="43"/>
      <c r="AI55" s="43"/>
      <c r="AJ55" s="43"/>
      <c r="AK55" s="43"/>
      <c r="AL55" s="43"/>
      <c r="AM55" s="43"/>
      <c r="AN55" s="43"/>
      <c r="AO55" s="43"/>
      <c r="AP55" s="43"/>
      <c r="AQ55" s="43"/>
      <c r="AR55" s="43"/>
      <c r="AS55" s="43"/>
      <c r="AT55" s="43"/>
      <c r="AU55" s="43"/>
      <c r="AV55" s="43"/>
    </row>
    <row r="56" spans="2:48" ht="17.100000000000001" customHeight="1">
      <c r="B56" s="119"/>
      <c r="C56" s="25"/>
      <c r="D56" s="26"/>
      <c r="E56" s="26"/>
      <c r="F56" s="26"/>
      <c r="G56" s="825"/>
      <c r="H56" s="727" t="str">
        <f ca="1">H46</f>
        <v>-2.489 kN/m2</v>
      </c>
      <c r="I56" s="728"/>
      <c r="J56" s="728"/>
      <c r="K56" s="729"/>
      <c r="L56" s="727"/>
      <c r="M56" s="728"/>
      <c r="N56" s="728"/>
      <c r="O56" s="728"/>
      <c r="P56" s="728"/>
      <c r="Q56" s="728"/>
      <c r="R56" s="727"/>
      <c r="S56" s="728"/>
      <c r="T56" s="728"/>
      <c r="U56" s="728"/>
      <c r="V56" s="728"/>
      <c r="W56" s="728"/>
      <c r="X56" s="728"/>
      <c r="Y56" s="728"/>
      <c r="Z56" s="729"/>
      <c r="AA56" s="38"/>
      <c r="AB56" s="120"/>
      <c r="AD56" s="43"/>
      <c r="AE56" s="43"/>
      <c r="AF56" s="43"/>
      <c r="AG56" s="43"/>
      <c r="AH56" s="43"/>
      <c r="AI56" s="43"/>
      <c r="AJ56" s="43"/>
      <c r="AK56" s="43"/>
      <c r="AL56" s="43"/>
      <c r="AM56" s="43"/>
      <c r="AN56" s="43"/>
      <c r="AO56" s="43"/>
      <c r="AP56" s="43"/>
      <c r="AQ56" s="43"/>
      <c r="AR56" s="43"/>
      <c r="AS56" s="43"/>
      <c r="AT56" s="43"/>
      <c r="AU56" s="43"/>
      <c r="AV56" s="43"/>
    </row>
    <row r="57" spans="2:48" ht="17.100000000000001" customHeight="1" thickBot="1">
      <c r="B57" s="119"/>
      <c r="C57" s="25"/>
      <c r="D57" s="26"/>
      <c r="E57" s="26"/>
      <c r="F57" s="26"/>
      <c r="G57" s="825"/>
      <c r="H57" s="730"/>
      <c r="I57" s="731"/>
      <c r="J57" s="731"/>
      <c r="K57" s="732"/>
      <c r="L57" s="730"/>
      <c r="M57" s="731"/>
      <c r="N57" s="731"/>
      <c r="O57" s="731"/>
      <c r="P57" s="731"/>
      <c r="Q57" s="731"/>
      <c r="R57" s="730"/>
      <c r="S57" s="731"/>
      <c r="T57" s="731"/>
      <c r="U57" s="731"/>
      <c r="V57" s="731"/>
      <c r="W57" s="731"/>
      <c r="X57" s="731"/>
      <c r="Y57" s="731"/>
      <c r="Z57" s="732"/>
      <c r="AA57" s="38"/>
      <c r="AB57" s="120"/>
      <c r="AD57" s="43"/>
      <c r="AE57" s="43"/>
      <c r="AF57" s="43"/>
      <c r="AG57" s="43"/>
      <c r="AH57" s="43"/>
      <c r="AI57" s="43"/>
      <c r="AJ57" s="43"/>
      <c r="AK57" s="43"/>
      <c r="AL57" s="43"/>
      <c r="AM57" s="43"/>
      <c r="AN57" s="43"/>
      <c r="AO57" s="43"/>
      <c r="AP57" s="43"/>
      <c r="AQ57" s="43"/>
      <c r="AR57" s="43"/>
      <c r="AS57" s="43"/>
      <c r="AT57" s="43"/>
      <c r="AU57" s="43"/>
      <c r="AV57" s="43"/>
    </row>
    <row r="58" spans="2:48" ht="17.100000000000001" customHeight="1">
      <c r="B58" s="119"/>
      <c r="C58" s="25"/>
      <c r="D58" s="26"/>
      <c r="E58" s="26"/>
      <c r="F58" s="26"/>
      <c r="G58" s="26"/>
      <c r="H58" s="26"/>
      <c r="I58" s="26"/>
      <c r="J58" s="26"/>
      <c r="K58" s="26"/>
      <c r="L58" s="26"/>
      <c r="M58" s="26"/>
      <c r="N58" s="26"/>
      <c r="O58" s="26"/>
      <c r="P58" s="26"/>
      <c r="Q58" s="26"/>
      <c r="R58" s="26"/>
      <c r="S58" s="26"/>
      <c r="T58" s="26"/>
      <c r="U58" s="26"/>
      <c r="V58" s="26"/>
      <c r="W58" s="26"/>
      <c r="X58" s="26"/>
      <c r="Y58" s="26"/>
      <c r="Z58" s="26"/>
      <c r="AA58" s="38"/>
      <c r="AB58" s="120"/>
      <c r="AD58" s="43"/>
      <c r="AE58" s="43"/>
      <c r="AF58" s="43"/>
      <c r="AG58" s="43"/>
      <c r="AH58" s="43"/>
      <c r="AI58" s="43"/>
      <c r="AJ58" s="43"/>
      <c r="AK58" s="43"/>
      <c r="AL58" s="43"/>
      <c r="AM58" s="43"/>
      <c r="AN58" s="43"/>
      <c r="AO58" s="43"/>
      <c r="AP58" s="43"/>
      <c r="AQ58" s="43"/>
      <c r="AR58" s="43"/>
      <c r="AS58" s="43"/>
      <c r="AT58" s="43"/>
      <c r="AU58" s="43"/>
      <c r="AV58" s="43"/>
    </row>
    <row r="59" spans="2:48" ht="17.100000000000001" customHeight="1">
      <c r="B59" s="119"/>
      <c r="C59" s="29"/>
      <c r="D59" s="30"/>
      <c r="E59" s="30"/>
      <c r="F59" s="30"/>
      <c r="G59" s="30"/>
      <c r="H59" s="30"/>
      <c r="I59" s="30"/>
      <c r="J59" s="30"/>
      <c r="K59" s="30"/>
      <c r="L59" s="30"/>
      <c r="M59" s="30"/>
      <c r="N59" s="30"/>
      <c r="O59" s="30"/>
      <c r="P59" s="30"/>
      <c r="Q59" s="30"/>
      <c r="R59" s="30"/>
      <c r="S59" s="30"/>
      <c r="T59" s="30"/>
      <c r="U59" s="30"/>
      <c r="V59" s="30"/>
      <c r="W59" s="30"/>
      <c r="X59" s="30"/>
      <c r="Y59" s="30"/>
      <c r="Z59" s="30"/>
      <c r="AA59" s="39"/>
      <c r="AB59" s="120"/>
      <c r="AD59" s="43"/>
      <c r="AE59" s="43"/>
      <c r="AF59" s="43"/>
      <c r="AG59" s="43"/>
      <c r="AH59" s="43"/>
      <c r="AI59" s="43"/>
      <c r="AJ59" s="43"/>
      <c r="AK59" s="43"/>
      <c r="AL59" s="43"/>
      <c r="AM59" s="43"/>
      <c r="AN59" s="43"/>
      <c r="AO59" s="43"/>
      <c r="AP59" s="43"/>
      <c r="AQ59" s="43"/>
      <c r="AR59" s="43"/>
      <c r="AS59" s="43"/>
      <c r="AT59" s="43"/>
      <c r="AU59" s="43"/>
      <c r="AV59" s="43"/>
    </row>
    <row r="60" spans="2:48" ht="17.100000000000001" customHeight="1">
      <c r="B60" s="119"/>
      <c r="C60" s="23"/>
      <c r="D60" s="23"/>
      <c r="E60" s="23"/>
      <c r="F60" s="23"/>
      <c r="G60" s="23"/>
      <c r="H60" s="23"/>
      <c r="I60" s="23"/>
      <c r="J60" s="23"/>
      <c r="K60" s="23"/>
      <c r="L60" s="23"/>
      <c r="M60" s="23"/>
      <c r="N60" s="23"/>
      <c r="O60" s="23"/>
      <c r="P60" s="23"/>
      <c r="Q60" s="23"/>
      <c r="R60" s="23"/>
      <c r="S60" s="23"/>
      <c r="T60" s="23"/>
      <c r="U60" s="23"/>
      <c r="V60" s="23"/>
      <c r="W60" s="23"/>
      <c r="X60" s="23"/>
      <c r="Y60" s="23"/>
      <c r="Z60" s="23"/>
      <c r="AA60" s="421" t="s">
        <v>500</v>
      </c>
      <c r="AB60" s="120"/>
      <c r="AD60" s="43"/>
      <c r="AE60" s="43"/>
      <c r="AF60" s="43"/>
      <c r="AG60" s="43"/>
      <c r="AH60" s="43"/>
      <c r="AI60" s="43"/>
      <c r="AJ60" s="43"/>
      <c r="AK60" s="43"/>
      <c r="AL60" s="43"/>
      <c r="AM60" s="43"/>
      <c r="AN60" s="43"/>
      <c r="AO60" s="43"/>
      <c r="AP60" s="43"/>
      <c r="AQ60" s="43"/>
      <c r="AR60" s="43"/>
      <c r="AS60" s="43"/>
      <c r="AT60" s="43"/>
      <c r="AU60" s="43"/>
      <c r="AV60" s="43"/>
    </row>
    <row r="61" spans="2:48" ht="17.100000000000001" customHeight="1" thickBot="1">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409" t="s">
        <v>395</v>
      </c>
      <c r="AB61" s="126"/>
      <c r="AD61" s="43"/>
      <c r="AE61" s="43"/>
      <c r="AF61" s="43"/>
      <c r="AG61" s="43"/>
      <c r="AH61" s="43"/>
      <c r="AI61" s="43"/>
      <c r="AJ61" s="43"/>
      <c r="AK61" s="43"/>
      <c r="AL61" s="43"/>
      <c r="AM61" s="43"/>
      <c r="AN61" s="43"/>
      <c r="AO61" s="43"/>
      <c r="AP61" s="43"/>
      <c r="AQ61" s="43"/>
      <c r="AR61" s="43"/>
      <c r="AS61" s="43"/>
      <c r="AT61" s="43"/>
      <c r="AU61" s="43"/>
      <c r="AV61" s="43"/>
    </row>
    <row r="62" spans="2:48" ht="15" customHeight="1">
      <c r="AD62" s="43"/>
      <c r="AE62" s="43"/>
      <c r="AF62" s="43"/>
      <c r="AG62" s="43"/>
      <c r="AH62" s="43"/>
      <c r="AI62" s="43"/>
      <c r="AJ62" s="43"/>
      <c r="AK62" s="43"/>
      <c r="AL62" s="43"/>
      <c r="AM62" s="43"/>
      <c r="AN62" s="43"/>
      <c r="AO62" s="43"/>
      <c r="AP62" s="43"/>
      <c r="AQ62" s="43"/>
      <c r="AR62" s="43"/>
      <c r="AS62" s="43"/>
      <c r="AT62" s="43"/>
      <c r="AU62" s="43"/>
      <c r="AV62" s="43"/>
    </row>
    <row r="63" spans="2:48" ht="15" customHeight="1">
      <c r="AD63" s="43"/>
      <c r="AE63" s="43"/>
      <c r="AF63" s="43"/>
      <c r="AG63" s="43"/>
      <c r="AH63" s="43"/>
      <c r="AI63" s="43"/>
      <c r="AJ63" s="43"/>
      <c r="AK63" s="43"/>
      <c r="AL63" s="43"/>
      <c r="AM63" s="43"/>
      <c r="AN63" s="43"/>
      <c r="AO63" s="43"/>
      <c r="AP63" s="43"/>
      <c r="AQ63" s="43"/>
      <c r="AR63" s="43"/>
      <c r="AS63" s="43"/>
      <c r="AT63" s="43"/>
      <c r="AU63" s="43"/>
      <c r="AV63" s="43"/>
    </row>
    <row r="64" spans="2:48" ht="15" customHeight="1">
      <c r="AD64" s="43"/>
      <c r="AE64" s="43"/>
      <c r="AF64" s="43"/>
      <c r="AG64" s="43"/>
      <c r="AH64" s="43"/>
      <c r="AI64" s="43"/>
      <c r="AJ64" s="43"/>
      <c r="AK64" s="43"/>
      <c r="AL64" s="43"/>
      <c r="AM64" s="43"/>
      <c r="AN64" s="43"/>
      <c r="AO64" s="43"/>
      <c r="AP64" s="43"/>
      <c r="AQ64" s="43"/>
      <c r="AR64" s="43"/>
      <c r="AS64" s="43"/>
      <c r="AT64" s="43"/>
      <c r="AU64" s="43"/>
      <c r="AV64" s="43"/>
    </row>
    <row r="65" spans="30:48" ht="15" customHeight="1">
      <c r="AD65" s="154"/>
      <c r="AE65" s="154"/>
      <c r="AF65" s="154"/>
      <c r="AG65" s="154"/>
      <c r="AH65" s="154"/>
      <c r="AI65" s="43"/>
      <c r="AJ65" s="43"/>
      <c r="AK65" s="43"/>
      <c r="AL65" s="43"/>
      <c r="AM65" s="43"/>
      <c r="AN65" s="43"/>
      <c r="AO65" s="43"/>
      <c r="AP65" s="43"/>
      <c r="AQ65" s="43"/>
      <c r="AR65" s="43"/>
      <c r="AS65" s="43"/>
      <c r="AT65" s="43"/>
      <c r="AU65" s="43"/>
      <c r="AV65" s="43"/>
    </row>
    <row r="66" spans="30:48" ht="15" customHeight="1">
      <c r="AD66" s="43"/>
      <c r="AE66" s="43"/>
      <c r="AF66" s="43"/>
      <c r="AG66" s="43"/>
      <c r="AH66" s="43"/>
      <c r="AI66" s="43"/>
      <c r="AJ66" s="43"/>
      <c r="AK66" s="43"/>
      <c r="AL66" s="43"/>
      <c r="AM66" s="43"/>
      <c r="AN66" s="43"/>
      <c r="AO66" s="43"/>
      <c r="AP66" s="43"/>
      <c r="AQ66" s="43"/>
      <c r="AR66" s="43"/>
      <c r="AS66" s="43"/>
      <c r="AT66" s="43"/>
      <c r="AU66" s="43"/>
      <c r="AV66" s="43"/>
    </row>
    <row r="67" spans="30:48" ht="15" customHeight="1">
      <c r="AI67" s="43"/>
      <c r="AJ67" s="43"/>
      <c r="AK67" s="43"/>
      <c r="AL67" s="43"/>
      <c r="AM67" s="43"/>
      <c r="AN67" s="43"/>
      <c r="AO67" s="43"/>
      <c r="AP67" s="43"/>
      <c r="AQ67" s="43"/>
      <c r="AR67" s="43"/>
      <c r="AS67" s="43"/>
    </row>
    <row r="68" spans="30:48" ht="15" customHeight="1">
      <c r="AI68" s="43"/>
      <c r="AJ68" s="43"/>
      <c r="AK68" s="43"/>
      <c r="AL68" s="43"/>
      <c r="AM68" s="43"/>
      <c r="AN68" s="43"/>
      <c r="AO68" s="43"/>
      <c r="AP68" s="43"/>
      <c r="AQ68" s="43"/>
      <c r="AR68" s="43"/>
      <c r="AS68" s="43"/>
    </row>
    <row r="69" spans="30:48" ht="15" customHeight="1">
      <c r="AI69" s="43"/>
      <c r="AJ69" s="43"/>
      <c r="AK69" s="43"/>
      <c r="AL69" s="43"/>
      <c r="AM69" s="43"/>
      <c r="AN69" s="43"/>
      <c r="AO69" s="43"/>
      <c r="AP69" s="43"/>
      <c r="AQ69" s="43"/>
      <c r="AR69" s="43"/>
      <c r="AS69" s="43"/>
    </row>
    <row r="70" spans="30:48" ht="15" customHeight="1">
      <c r="AI70" s="43"/>
      <c r="AJ70" s="43"/>
      <c r="AK70" s="43"/>
      <c r="AL70" s="43"/>
      <c r="AM70" s="43"/>
      <c r="AN70" s="43"/>
      <c r="AO70" s="43"/>
      <c r="AP70" s="43"/>
      <c r="AQ70" s="43"/>
      <c r="AR70" s="43"/>
      <c r="AS70" s="43"/>
    </row>
    <row r="71" spans="30:48" ht="15" customHeight="1">
      <c r="AI71" s="43"/>
      <c r="AJ71" s="43"/>
      <c r="AK71" s="43"/>
      <c r="AL71" s="43"/>
      <c r="AM71" s="43"/>
      <c r="AN71" s="43"/>
      <c r="AO71" s="43"/>
      <c r="AP71" s="43"/>
      <c r="AQ71" s="43"/>
      <c r="AR71" s="43"/>
      <c r="AS71" s="43"/>
    </row>
    <row r="72" spans="30:48" ht="15" customHeight="1">
      <c r="AI72" s="43"/>
      <c r="AJ72" s="43"/>
      <c r="AK72" s="43"/>
      <c r="AL72" s="43"/>
      <c r="AM72" s="43"/>
      <c r="AN72" s="43"/>
      <c r="AO72" s="43"/>
      <c r="AP72" s="43"/>
      <c r="AQ72" s="43"/>
      <c r="AR72" s="43"/>
      <c r="AS72" s="43"/>
    </row>
  </sheetData>
  <sheetProtection password="CD8C" sheet="1" objects="1" scenarios="1"/>
  <customSheetViews>
    <customSheetView guid="{6C52B67B-3021-4890-8879-9905AB467CFE}" scale="75" showPageBreaks="1" showGridLines="0" printArea="1" hiddenColumns="1">
      <selection activeCell="F5" sqref="F5"/>
      <pageMargins left="0.70866141732283472" right="0.70866141732283472" top="0.74803149606299213" bottom="0.74803149606299213" header="0.31496062992125984" footer="0.31496062992125984"/>
      <printOptions horizontalCentered="1"/>
      <pageSetup paperSize="9" scale="80" orientation="portrait" r:id="rId1"/>
    </customSheetView>
  </customSheetViews>
  <mergeCells count="130">
    <mergeCell ref="AP14:AS14"/>
    <mergeCell ref="B1:R1"/>
    <mergeCell ref="S1:AB1"/>
    <mergeCell ref="C8:N8"/>
    <mergeCell ref="P8:AA8"/>
    <mergeCell ref="C9:F9"/>
    <mergeCell ref="G9:N9"/>
    <mergeCell ref="P9:X9"/>
    <mergeCell ref="Y9:AA9"/>
    <mergeCell ref="Z14:AA14"/>
    <mergeCell ref="C14:L14"/>
    <mergeCell ref="M14:N14"/>
    <mergeCell ref="C10:F10"/>
    <mergeCell ref="G10:N10"/>
    <mergeCell ref="P10:Y10"/>
    <mergeCell ref="Z10:AA10"/>
    <mergeCell ref="C11:F11"/>
    <mergeCell ref="G11:N11"/>
    <mergeCell ref="P28:Y28"/>
    <mergeCell ref="Z28:AA28"/>
    <mergeCell ref="P26:AA26"/>
    <mergeCell ref="P18:Y18"/>
    <mergeCell ref="P27:Y27"/>
    <mergeCell ref="Z27:AA27"/>
    <mergeCell ref="Z16:AA16"/>
    <mergeCell ref="P17:Y17"/>
    <mergeCell ref="Z17:AA17"/>
    <mergeCell ref="P19:Y19"/>
    <mergeCell ref="X22:Y22"/>
    <mergeCell ref="Z22:AA22"/>
    <mergeCell ref="P23:S23"/>
    <mergeCell ref="T23:U23"/>
    <mergeCell ref="V23:W23"/>
    <mergeCell ref="X23:Y23"/>
    <mergeCell ref="Z23:AA23"/>
    <mergeCell ref="G27:H27"/>
    <mergeCell ref="I27:J27"/>
    <mergeCell ref="K27:L27"/>
    <mergeCell ref="M27:N27"/>
    <mergeCell ref="P16:Y16"/>
    <mergeCell ref="P11:Y11"/>
    <mergeCell ref="Z11:AA11"/>
    <mergeCell ref="C12:F12"/>
    <mergeCell ref="G12:N12"/>
    <mergeCell ref="Q13:Z13"/>
    <mergeCell ref="C13:L13"/>
    <mergeCell ref="M13:N13"/>
    <mergeCell ref="C15:L15"/>
    <mergeCell ref="M15:N15"/>
    <mergeCell ref="P14:Y14"/>
    <mergeCell ref="M17:N17"/>
    <mergeCell ref="P15:Y15"/>
    <mergeCell ref="C17:L17"/>
    <mergeCell ref="C16:L16"/>
    <mergeCell ref="M16:N16"/>
    <mergeCell ref="P21:AA21"/>
    <mergeCell ref="P22:S22"/>
    <mergeCell ref="T22:U22"/>
    <mergeCell ref="V22:W22"/>
    <mergeCell ref="C28:F28"/>
    <mergeCell ref="G28:H28"/>
    <mergeCell ref="I28:J28"/>
    <mergeCell ref="K28:L28"/>
    <mergeCell ref="M28:N28"/>
    <mergeCell ref="AI40:AM40"/>
    <mergeCell ref="AL14:AO14"/>
    <mergeCell ref="AI34:AM34"/>
    <mergeCell ref="C34:S34"/>
    <mergeCell ref="C26:N26"/>
    <mergeCell ref="P31:Y31"/>
    <mergeCell ref="Z31:AA31"/>
    <mergeCell ref="P32:Y32"/>
    <mergeCell ref="Z32:AA32"/>
    <mergeCell ref="Z15:AA15"/>
    <mergeCell ref="Z18:AA18"/>
    <mergeCell ref="Z19:AA19"/>
    <mergeCell ref="C18:L18"/>
    <mergeCell ref="C20:L20"/>
    <mergeCell ref="M18:N18"/>
    <mergeCell ref="M20:N20"/>
    <mergeCell ref="C19:L19"/>
    <mergeCell ref="M19:N19"/>
    <mergeCell ref="C27:F27"/>
    <mergeCell ref="C32:F32"/>
    <mergeCell ref="G32:H32"/>
    <mergeCell ref="I32:J32"/>
    <mergeCell ref="K32:L32"/>
    <mergeCell ref="M32:N32"/>
    <mergeCell ref="C30:N30"/>
    <mergeCell ref="C31:F31"/>
    <mergeCell ref="G31:H31"/>
    <mergeCell ref="I31:J31"/>
    <mergeCell ref="K31:L31"/>
    <mergeCell ref="M31:N31"/>
    <mergeCell ref="Q30:Z30"/>
    <mergeCell ref="H46:K47"/>
    <mergeCell ref="H48:K50"/>
    <mergeCell ref="H51:K53"/>
    <mergeCell ref="H43:K43"/>
    <mergeCell ref="L43:Q43"/>
    <mergeCell ref="L44:Q50"/>
    <mergeCell ref="L51:Q57"/>
    <mergeCell ref="R43:Z43"/>
    <mergeCell ref="R44:Z50"/>
    <mergeCell ref="R51:Z57"/>
    <mergeCell ref="I36:J36"/>
    <mergeCell ref="K36:L36"/>
    <mergeCell ref="M36:N36"/>
    <mergeCell ref="M35:N35"/>
    <mergeCell ref="G37:H37"/>
    <mergeCell ref="I37:J37"/>
    <mergeCell ref="K37:L37"/>
    <mergeCell ref="M37:N37"/>
    <mergeCell ref="C40:AA40"/>
    <mergeCell ref="H44:K45"/>
    <mergeCell ref="C35:F35"/>
    <mergeCell ref="G35:H35"/>
    <mergeCell ref="I35:J35"/>
    <mergeCell ref="G44:G47"/>
    <mergeCell ref="G48:G53"/>
    <mergeCell ref="G54:G57"/>
    <mergeCell ref="H54:K55"/>
    <mergeCell ref="H56:K57"/>
    <mergeCell ref="O35:S35"/>
    <mergeCell ref="O36:S36"/>
    <mergeCell ref="O37:S37"/>
    <mergeCell ref="C36:F36"/>
    <mergeCell ref="G36:H36"/>
    <mergeCell ref="C37:F37"/>
    <mergeCell ref="K35:L35"/>
  </mergeCells>
  <conditionalFormatting sqref="M18:N18">
    <cfRule type="expression" dxfId="17" priority="166">
      <formula>$G$12&lt;&gt;$AK$5</formula>
    </cfRule>
  </conditionalFormatting>
  <conditionalFormatting sqref="M19:N19">
    <cfRule type="expression" dxfId="16" priority="167">
      <formula>$G$12&lt;&gt;$AK$6</formula>
    </cfRule>
  </conditionalFormatting>
  <conditionalFormatting sqref="M20:N20">
    <cfRule type="expression" dxfId="15" priority="168">
      <formula>$G$12&lt;&gt;$AK$7</formula>
    </cfRule>
  </conditionalFormatting>
  <conditionalFormatting sqref="R44:Z57">
    <cfRule type="expression" dxfId="14" priority="169">
      <formula>$M$15&lt;=$AK$12</formula>
    </cfRule>
  </conditionalFormatting>
  <conditionalFormatting sqref="Z11:AA11">
    <cfRule type="expression" dxfId="13" priority="1">
      <formula>$Y$9=INDEX(Site_terrain_type,1)</formula>
    </cfRule>
  </conditionalFormatting>
  <dataValidations count="5">
    <dataValidation type="list" allowBlank="1" showInputMessage="1" showErrorMessage="1" sqref="G12:N12" xr:uid="{00000000-0002-0000-0500-000000000000}">
      <formula1>$AK$4:$AK$7</formula1>
    </dataValidation>
    <dataValidation type="list" allowBlank="1" showInputMessage="1" showErrorMessage="1" sqref="G11:N11" xr:uid="{00000000-0002-0000-0500-000001000000}">
      <formula1>Type_of_surface</formula1>
    </dataValidation>
    <dataValidation type="list" allowBlank="1" showInputMessage="1" showErrorMessage="1" sqref="G10:N10" xr:uid="{00000000-0002-0000-0500-000002000000}">
      <formula1>Structural_type</formula1>
    </dataValidation>
    <dataValidation type="list" allowBlank="1" showInputMessage="1" showErrorMessage="1" sqref="G9:N9" xr:uid="{00000000-0002-0000-0500-000003000000}">
      <formula1>Structure</formula1>
    </dataValidation>
    <dataValidation type="list" allowBlank="1" showInputMessage="1" showErrorMessage="1" sqref="Y9:AA9" xr:uid="{00000000-0002-0000-0500-000004000000}">
      <formula1>Site_terrain_type</formula1>
    </dataValidation>
  </dataValidations>
  <hyperlinks>
    <hyperlink ref="C61" r:id="rId2" xr:uid="{00000000-0004-0000-0500-000000000000}"/>
  </hyperlinks>
  <printOptions horizontalCentered="1"/>
  <pageMargins left="0.74803149606299213" right="0.31496062992125984" top="0.74803149606299202" bottom="0.43307086614173229" header="0" footer="0"/>
  <pageSetup paperSize="9" scale="74" orientation="portrait" r:id="rId3"/>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K227"/>
  <sheetViews>
    <sheetView showGridLines="0" topLeftCell="A7" zoomScaleNormal="100" zoomScaleSheetLayoutView="70" workbookViewId="0">
      <selection activeCell="G9" sqref="G9:N9"/>
    </sheetView>
  </sheetViews>
  <sheetFormatPr defaultRowHeight="15" customHeight="1"/>
  <cols>
    <col min="1" max="1" width="2.5703125" style="13" customWidth="1"/>
    <col min="2" max="2" width="2" style="13" customWidth="1"/>
    <col min="3" max="3" width="6.140625" style="13" customWidth="1"/>
    <col min="4" max="27" width="4.7109375" style="13" customWidth="1"/>
    <col min="28" max="28" width="2" style="13" customWidth="1"/>
    <col min="29" max="29" width="2.5703125" style="13" customWidth="1"/>
    <col min="30" max="34" width="9.140625" style="43" hidden="1" customWidth="1"/>
    <col min="35" max="36" width="9.140625" style="45" hidden="1" customWidth="1"/>
    <col min="37" max="37" width="9.140625" style="281" hidden="1" customWidth="1"/>
    <col min="38" max="42" width="9.140625" style="98" hidden="1" customWidth="1"/>
    <col min="43" max="43" width="9.140625" style="45" hidden="1" customWidth="1"/>
    <col min="44" max="48" width="9.140625" style="98" hidden="1" customWidth="1"/>
    <col min="49" max="50" width="9.140625" style="45" hidden="1" customWidth="1"/>
    <col min="51" max="55" width="9.140625" style="98" hidden="1" customWidth="1"/>
    <col min="56" max="56" width="9.140625" style="45" hidden="1" customWidth="1"/>
    <col min="57" max="61" width="9.140625" style="98" hidden="1" customWidth="1"/>
    <col min="62" max="62" width="9.140625" style="45" hidden="1" customWidth="1"/>
    <col min="63" max="63" width="9.140625" style="45" customWidth="1"/>
    <col min="64" max="16384" width="9.140625" style="136"/>
  </cols>
  <sheetData>
    <row r="1" spans="1:63" ht="15" customHeight="1">
      <c r="A1" s="133"/>
      <c r="B1" s="769" t="s">
        <v>486</v>
      </c>
      <c r="C1" s="769"/>
      <c r="D1" s="769"/>
      <c r="E1" s="769"/>
      <c r="F1" s="769"/>
      <c r="G1" s="769"/>
      <c r="H1" s="769"/>
      <c r="I1" s="769"/>
      <c r="J1" s="769"/>
      <c r="K1" s="769"/>
      <c r="L1" s="769"/>
      <c r="M1" s="769"/>
      <c r="N1" s="769"/>
      <c r="O1" s="769"/>
      <c r="P1" s="769"/>
      <c r="Q1" s="769"/>
      <c r="R1" s="769"/>
      <c r="S1" s="770" t="s">
        <v>487</v>
      </c>
      <c r="T1" s="770"/>
      <c r="U1" s="770"/>
      <c r="V1" s="770"/>
      <c r="W1" s="770"/>
      <c r="X1" s="770"/>
      <c r="Y1" s="770"/>
      <c r="Z1" s="770"/>
      <c r="AA1" s="770"/>
      <c r="AB1" s="770"/>
    </row>
    <row r="2" spans="1:63" ht="29.25" customHeight="1">
      <c r="A2" s="133"/>
    </row>
    <row r="3" spans="1:63" ht="19.5" customHeight="1">
      <c r="A3" s="133"/>
      <c r="AH3" s="290" t="s">
        <v>320</v>
      </c>
      <c r="AL3" s="872" t="s">
        <v>233</v>
      </c>
      <c r="AM3" s="872"/>
      <c r="AN3" s="872"/>
      <c r="AO3" s="872"/>
      <c r="AP3" s="872"/>
      <c r="AQ3" s="872"/>
      <c r="AR3" s="291"/>
      <c r="AS3" s="881" t="s">
        <v>236</v>
      </c>
      <c r="AT3" s="881"/>
      <c r="AU3" s="881"/>
      <c r="AV3" s="881"/>
      <c r="AW3" s="881"/>
    </row>
    <row r="4" spans="1:63" ht="19.5" customHeight="1">
      <c r="A4" s="133"/>
      <c r="AH4" s="186">
        <f>MATCH(AE30,AI5:AI7,0)</f>
        <v>2</v>
      </c>
      <c r="AL4" s="245" t="s">
        <v>421</v>
      </c>
      <c r="AM4" s="246" t="s">
        <v>120</v>
      </c>
      <c r="AN4" s="246" t="s">
        <v>121</v>
      </c>
      <c r="AO4" s="246" t="s">
        <v>93</v>
      </c>
      <c r="AP4" s="246" t="s">
        <v>40</v>
      </c>
      <c r="AQ4" s="246" t="s">
        <v>132</v>
      </c>
      <c r="AR4" s="291"/>
      <c r="AS4" s="282" t="s">
        <v>101</v>
      </c>
      <c r="AT4" s="246" t="s">
        <v>120</v>
      </c>
      <c r="AU4" s="246" t="s">
        <v>121</v>
      </c>
      <c r="AV4" s="246" t="s">
        <v>93</v>
      </c>
      <c r="AW4" s="246" t="s">
        <v>40</v>
      </c>
      <c r="AX4" s="246" t="s">
        <v>132</v>
      </c>
    </row>
    <row r="5" spans="1:63" ht="19.5" customHeight="1">
      <c r="A5" s="133"/>
      <c r="AH5" s="45">
        <v>1</v>
      </c>
      <c r="AI5" s="45">
        <v>0</v>
      </c>
      <c r="AL5" s="875" t="s">
        <v>237</v>
      </c>
      <c r="AM5" s="873">
        <f ca="1">VLOOKUP(TRUE,AK15:AV227,8,FALSE)</f>
        <v>-1.6640542800000002</v>
      </c>
      <c r="AN5" s="873">
        <f ca="1">VLOOKUP(TRUE,AK15:AV227,9,FALSE)</f>
        <v>-1.257285456</v>
      </c>
      <c r="AO5" s="873">
        <f ca="1">VLOOKUP(TRUE,AK15:AV227,10,FALSE)</f>
        <v>-0.96145358400000014</v>
      </c>
      <c r="AP5" s="873">
        <f ca="1">VLOOKUP(TRUE,AK15:AV227,11,FALSE)</f>
        <v>-0.88749561600000026</v>
      </c>
      <c r="AQ5" s="873">
        <f ca="1">VLOOKUP(TRUE,AK15:AV227,12,FALSE)</f>
        <v>-2.5515498960000005</v>
      </c>
      <c r="AR5" s="291"/>
      <c r="AS5" s="284" t="s">
        <v>239</v>
      </c>
      <c r="AT5" s="285">
        <f ca="1">+AM5-1.35*$Z$14</f>
        <v>-1.9340542800000002</v>
      </c>
      <c r="AU5" s="285">
        <f ca="1">+AN5-1.35*$Z$14</f>
        <v>-1.527285456</v>
      </c>
      <c r="AV5" s="285">
        <f ca="1">+AO5-1.35*$Z$14</f>
        <v>-1.231453584</v>
      </c>
      <c r="AW5" s="285">
        <f ca="1">+AP5-1.35*$Z$14</f>
        <v>-1.1574956160000003</v>
      </c>
      <c r="AX5" s="285">
        <f ca="1">+AQ5-1.35*$Z$14</f>
        <v>-2.8215498960000005</v>
      </c>
    </row>
    <row r="6" spans="1:63" ht="17.100000000000001" customHeight="1">
      <c r="A6" s="133"/>
      <c r="B6" s="119"/>
      <c r="C6" s="23"/>
      <c r="D6" s="23"/>
      <c r="E6" s="23"/>
      <c r="F6" s="23"/>
      <c r="G6" s="23"/>
      <c r="H6" s="23"/>
      <c r="I6" s="23"/>
      <c r="J6" s="23"/>
      <c r="K6" s="23"/>
      <c r="L6" s="23"/>
      <c r="M6" s="23"/>
      <c r="N6" s="23"/>
      <c r="O6" s="23"/>
      <c r="P6" s="23"/>
      <c r="Q6" s="23"/>
      <c r="R6" s="23"/>
      <c r="S6" s="23"/>
      <c r="T6" s="23"/>
      <c r="U6" s="23"/>
      <c r="V6" s="23"/>
      <c r="W6" s="23"/>
      <c r="X6" s="23"/>
      <c r="Y6" s="23"/>
      <c r="Z6" s="23"/>
      <c r="AA6" s="23"/>
      <c r="AB6" s="120"/>
      <c r="AH6" s="45">
        <v>2</v>
      </c>
      <c r="AI6" s="45">
        <v>90</v>
      </c>
      <c r="AL6" s="876"/>
      <c r="AM6" s="874"/>
      <c r="AN6" s="874"/>
      <c r="AO6" s="874"/>
      <c r="AP6" s="874"/>
      <c r="AQ6" s="874"/>
      <c r="AR6" s="291"/>
      <c r="AS6" s="284" t="s">
        <v>240</v>
      </c>
      <c r="AT6" s="285">
        <f ca="1">+AM5-1.35*$Z$15</f>
        <v>-1.2590542800000002</v>
      </c>
      <c r="AU6" s="285">
        <f ca="1">+AN5-1.35*$Z$15</f>
        <v>-0.85228545599999994</v>
      </c>
      <c r="AV6" s="285">
        <f ca="1">+AO5-1.35*$Z$15</f>
        <v>-0.55645358400000011</v>
      </c>
      <c r="AW6" s="285">
        <f ca="1">+AP5-1.35*$Z$15</f>
        <v>-0.48249561600000024</v>
      </c>
      <c r="AX6" s="285">
        <f ca="1">+AQ5-1.35*$Z$15</f>
        <v>-2.1465498960000007</v>
      </c>
    </row>
    <row r="7" spans="1:63" ht="17.100000000000001" customHeight="1">
      <c r="B7" s="119"/>
      <c r="C7" s="23"/>
      <c r="D7" s="23"/>
      <c r="E7" s="23"/>
      <c r="F7" s="23"/>
      <c r="G7" s="23"/>
      <c r="H7" s="23"/>
      <c r="I7" s="23"/>
      <c r="J7" s="23"/>
      <c r="K7" s="23"/>
      <c r="L7" s="23"/>
      <c r="M7" s="23"/>
      <c r="N7" s="23"/>
      <c r="O7" s="23"/>
      <c r="P7" s="23"/>
      <c r="Q7" s="23"/>
      <c r="R7" s="23"/>
      <c r="S7" s="23"/>
      <c r="T7" s="23"/>
      <c r="U7" s="23"/>
      <c r="V7" s="23"/>
      <c r="W7" s="23"/>
      <c r="X7" s="23"/>
      <c r="Y7" s="23"/>
      <c r="Z7" s="23"/>
      <c r="AA7" s="23"/>
      <c r="AB7" s="120"/>
      <c r="AH7" s="45">
        <v>3</v>
      </c>
      <c r="AI7" s="45">
        <v>180</v>
      </c>
      <c r="AL7" s="875" t="s">
        <v>238</v>
      </c>
      <c r="AM7" s="873">
        <f ca="1">VLOOKUP(TRUE,AK15:BI227,21,FALSE)</f>
        <v>0.3328108560000001</v>
      </c>
      <c r="AN7" s="873">
        <f ca="1">VLOOKUP(TRUE,AK15:BI227,22,FALSE)</f>
        <v>0.29583187200000005</v>
      </c>
      <c r="AO7" s="873">
        <f ca="1">VLOOKUP(TRUE,AK15:BI227,23,FALSE)</f>
        <v>0.258852888</v>
      </c>
      <c r="AP7" s="873">
        <f ca="1">VLOOKUP(TRUE,AK15:BI227,24,FALSE)</f>
        <v>0.22187390400000007</v>
      </c>
      <c r="AQ7" s="873">
        <f ca="1">VLOOKUP(TRUE,AK15:BI227,25,FALSE)</f>
        <v>0.3328108560000001</v>
      </c>
      <c r="AR7" s="291"/>
      <c r="AS7" s="284" t="s">
        <v>241</v>
      </c>
      <c r="AT7" s="285">
        <f ca="1">+AM7-1.35*$Z$14</f>
        <v>6.2810856000000082E-2</v>
      </c>
      <c r="AU7" s="285">
        <f ca="1">+AN7-1.35*$Z$14</f>
        <v>2.5831872000000033E-2</v>
      </c>
      <c r="AV7" s="285">
        <f ca="1">+AO7-1.35*$Z$14</f>
        <v>-1.1147112000000015E-2</v>
      </c>
      <c r="AW7" s="285">
        <f ca="1">+AP7-1.35*$Z$14</f>
        <v>-4.8126095999999952E-2</v>
      </c>
      <c r="AX7" s="285">
        <f ca="1">+AQ7-1.35*$Z$14</f>
        <v>6.2810856000000082E-2</v>
      </c>
    </row>
    <row r="8" spans="1:63" ht="17.100000000000001" customHeight="1">
      <c r="B8" s="119"/>
      <c r="C8" s="573" t="s">
        <v>348</v>
      </c>
      <c r="D8" s="574"/>
      <c r="E8" s="574"/>
      <c r="F8" s="574"/>
      <c r="G8" s="574"/>
      <c r="H8" s="574"/>
      <c r="I8" s="574"/>
      <c r="J8" s="574"/>
      <c r="K8" s="574"/>
      <c r="L8" s="574"/>
      <c r="M8" s="574"/>
      <c r="N8" s="575"/>
      <c r="O8" s="23"/>
      <c r="P8" s="573" t="s">
        <v>349</v>
      </c>
      <c r="Q8" s="574"/>
      <c r="R8" s="574"/>
      <c r="S8" s="574"/>
      <c r="T8" s="574"/>
      <c r="U8" s="574"/>
      <c r="V8" s="574"/>
      <c r="W8" s="574"/>
      <c r="X8" s="574"/>
      <c r="Y8" s="574"/>
      <c r="Z8" s="574"/>
      <c r="AA8" s="575"/>
      <c r="AB8" s="120"/>
      <c r="AD8" s="13" t="s">
        <v>579</v>
      </c>
      <c r="AE8" s="398" t="str">
        <f>G9</f>
        <v>Duopitch roofs</v>
      </c>
      <c r="AF8" s="199" t="s">
        <v>554</v>
      </c>
      <c r="AL8" s="876"/>
      <c r="AM8" s="874"/>
      <c r="AN8" s="874"/>
      <c r="AO8" s="874"/>
      <c r="AP8" s="874"/>
      <c r="AQ8" s="874"/>
      <c r="AR8" s="291"/>
      <c r="AS8" s="284" t="s">
        <v>242</v>
      </c>
      <c r="AT8" s="285">
        <f ca="1">+AM7-1.35*$Z$15</f>
        <v>0.73781085600000007</v>
      </c>
      <c r="AU8" s="285">
        <f ca="1">+AN7-1.35*$Z$15</f>
        <v>0.70083187200000008</v>
      </c>
      <c r="AV8" s="285">
        <f ca="1">+AO7-1.35*$Z$15</f>
        <v>0.66385288800000009</v>
      </c>
      <c r="AW8" s="285">
        <f ca="1">+AP7-1.35*$Z$15</f>
        <v>0.62687390400000009</v>
      </c>
      <c r="AX8" s="285">
        <f ca="1">+AQ7-1.35*$Z$15</f>
        <v>0.73781085600000007</v>
      </c>
    </row>
    <row r="9" spans="1:63" ht="17.100000000000001" customHeight="1">
      <c r="B9" s="119"/>
      <c r="C9" s="690" t="s">
        <v>370</v>
      </c>
      <c r="D9" s="691"/>
      <c r="E9" s="691"/>
      <c r="F9" s="691"/>
      <c r="G9" s="637" t="s">
        <v>574</v>
      </c>
      <c r="H9" s="637"/>
      <c r="I9" s="637"/>
      <c r="J9" s="637"/>
      <c r="K9" s="637"/>
      <c r="L9" s="637"/>
      <c r="M9" s="637"/>
      <c r="N9" s="638"/>
      <c r="O9" s="23"/>
      <c r="P9" s="702" t="s">
        <v>368</v>
      </c>
      <c r="Q9" s="703"/>
      <c r="R9" s="703"/>
      <c r="S9" s="703"/>
      <c r="T9" s="703"/>
      <c r="U9" s="703"/>
      <c r="V9" s="703"/>
      <c r="W9" s="703"/>
      <c r="X9" s="703"/>
      <c r="Y9" s="704" t="s">
        <v>299</v>
      </c>
      <c r="Z9" s="704"/>
      <c r="AA9" s="705"/>
      <c r="AB9" s="120"/>
      <c r="AD9" s="13" t="s">
        <v>580</v>
      </c>
      <c r="AE9" s="398" t="str">
        <f>G10</f>
        <v>Reinforced concrete building</v>
      </c>
      <c r="AF9" s="199" t="s">
        <v>556</v>
      </c>
      <c r="AI9" s="45" t="str">
        <f>"Roof width b = "&amp;FIXED(M13,2)&amp;"m"</f>
        <v>Roof width b = 80.00m</v>
      </c>
      <c r="AL9" s="98" t="s">
        <v>440</v>
      </c>
      <c r="AM9" s="292">
        <f>VLOOKUP(TRUE,$AK$15:$AV$227,2,FALSE)</f>
        <v>-1.5</v>
      </c>
      <c r="AN9" s="292">
        <f>VLOOKUP(TRUE,$AK$15:$AV$227,3,FALSE)</f>
        <v>-1.1333333333333331</v>
      </c>
      <c r="AO9" s="292">
        <f>VLOOKUP(TRUE,$AK$15:$AV$227,4,FALSE)</f>
        <v>-0.86666666666666659</v>
      </c>
      <c r="AP9" s="292">
        <f>VLOOKUP(TRUE,$AK$15:$AV$227,5,FALSE)</f>
        <v>-0.8</v>
      </c>
      <c r="AQ9" s="292">
        <f>VLOOKUP(TRUE,$AK$15:$AV$227,6,FALSE)</f>
        <v>-2.2999999999999998</v>
      </c>
    </row>
    <row r="10" spans="1:63" ht="17.100000000000001" customHeight="1">
      <c r="B10" s="119"/>
      <c r="C10" s="696" t="s">
        <v>351</v>
      </c>
      <c r="D10" s="697"/>
      <c r="E10" s="697"/>
      <c r="F10" s="697"/>
      <c r="G10" s="639" t="s">
        <v>353</v>
      </c>
      <c r="H10" s="639"/>
      <c r="I10" s="639"/>
      <c r="J10" s="639"/>
      <c r="K10" s="639"/>
      <c r="L10" s="639"/>
      <c r="M10" s="639"/>
      <c r="N10" s="640"/>
      <c r="O10" s="23"/>
      <c r="P10" s="592" t="s">
        <v>366</v>
      </c>
      <c r="Q10" s="593"/>
      <c r="R10" s="593"/>
      <c r="S10" s="593"/>
      <c r="T10" s="593"/>
      <c r="U10" s="593"/>
      <c r="V10" s="593"/>
      <c r="W10" s="593"/>
      <c r="X10" s="593"/>
      <c r="Y10" s="593"/>
      <c r="Z10" s="688">
        <v>15</v>
      </c>
      <c r="AA10" s="689"/>
      <c r="AB10" s="120"/>
      <c r="AD10" s="13" t="s">
        <v>581</v>
      </c>
      <c r="AE10" s="398" t="str">
        <f>G11</f>
        <v>Smooth (e.g. smooth concrete, steel)</v>
      </c>
      <c r="AF10" s="199" t="s">
        <v>557</v>
      </c>
      <c r="AH10" s="45" t="s">
        <v>433</v>
      </c>
      <c r="AI10" s="45">
        <f>AI11</f>
        <v>80</v>
      </c>
      <c r="AL10" s="98" t="s">
        <v>441</v>
      </c>
      <c r="AM10" s="292">
        <f>VLOOKUP(TRUE,$AK$15:$BI$227,15,FALSE)</f>
        <v>0.30000000000000004</v>
      </c>
      <c r="AN10" s="292">
        <f>VLOOKUP(TRUE,$AK$15:$BI$227,16,FALSE)</f>
        <v>0.26666666666666666</v>
      </c>
      <c r="AO10" s="292">
        <f>VLOOKUP(TRUE,$AK$15:$BI$227,17,FALSE)</f>
        <v>0.23333333333333328</v>
      </c>
      <c r="AP10" s="292">
        <f>VLOOKUP(TRUE,$AK$15:$BI$227,18,FALSE)</f>
        <v>0.2</v>
      </c>
      <c r="AQ10" s="292">
        <f>VLOOKUP(TRUE,$AK$15:$BI$227,19,FALSE)</f>
        <v>0.30000000000000004</v>
      </c>
      <c r="AS10" s="281"/>
      <c r="AU10" s="281"/>
      <c r="AW10" s="281"/>
      <c r="AX10" s="98"/>
      <c r="AY10" s="281"/>
      <c r="BA10" s="281"/>
      <c r="BC10" s="281"/>
      <c r="BD10" s="98"/>
      <c r="BE10" s="293"/>
      <c r="BF10" s="271"/>
      <c r="BG10" s="293"/>
      <c r="BH10" s="271"/>
      <c r="BI10" s="293"/>
    </row>
    <row r="11" spans="1:63" ht="17.100000000000001" customHeight="1">
      <c r="B11" s="119"/>
      <c r="C11" s="696" t="s">
        <v>356</v>
      </c>
      <c r="D11" s="697"/>
      <c r="E11" s="697"/>
      <c r="F11" s="697"/>
      <c r="G11" s="639" t="s">
        <v>357</v>
      </c>
      <c r="H11" s="639"/>
      <c r="I11" s="639"/>
      <c r="J11" s="639"/>
      <c r="K11" s="639"/>
      <c r="L11" s="639"/>
      <c r="M11" s="639"/>
      <c r="N11" s="640"/>
      <c r="O11" s="23"/>
      <c r="P11" s="692" t="s">
        <v>367</v>
      </c>
      <c r="Q11" s="693"/>
      <c r="R11" s="693"/>
      <c r="S11" s="693"/>
      <c r="T11" s="693"/>
      <c r="U11" s="693"/>
      <c r="V11" s="693"/>
      <c r="W11" s="693"/>
      <c r="X11" s="693"/>
      <c r="Y11" s="693"/>
      <c r="Z11" s="694">
        <v>10</v>
      </c>
      <c r="AA11" s="695"/>
      <c r="AB11" s="120"/>
      <c r="AD11" s="13" t="s">
        <v>537</v>
      </c>
      <c r="AE11" s="399">
        <f>1.35</f>
        <v>1.35</v>
      </c>
      <c r="AF11" s="199">
        <v>1.35</v>
      </c>
      <c r="AH11" s="186" t="s">
        <v>107</v>
      </c>
      <c r="AI11" s="186">
        <f>+MIN(M13, 2*M16)</f>
        <v>80</v>
      </c>
      <c r="AJ11" s="45" t="s">
        <v>106</v>
      </c>
      <c r="AK11" s="294">
        <f>+M14</f>
        <v>50</v>
      </c>
      <c r="AL11" s="878" t="s">
        <v>140</v>
      </c>
      <c r="AM11" s="878"/>
      <c r="AN11" s="878"/>
      <c r="AO11" s="878"/>
      <c r="AP11" s="878"/>
      <c r="AQ11" s="878"/>
      <c r="AR11" s="878"/>
      <c r="AS11" s="878"/>
      <c r="AT11" s="878"/>
      <c r="AU11" s="878"/>
      <c r="AV11" s="878"/>
      <c r="AW11" s="878"/>
      <c r="AY11" s="878" t="s">
        <v>143</v>
      </c>
      <c r="AZ11" s="878"/>
      <c r="BA11" s="878"/>
      <c r="BB11" s="878"/>
      <c r="BC11" s="878"/>
      <c r="BD11" s="878"/>
      <c r="BE11" s="878"/>
      <c r="BF11" s="878"/>
      <c r="BG11" s="878"/>
      <c r="BH11" s="878"/>
      <c r="BI11" s="878"/>
      <c r="BJ11" s="878"/>
    </row>
    <row r="12" spans="1:63" ht="17.100000000000001" customHeight="1">
      <c r="B12" s="119"/>
      <c r="C12" s="714" t="s">
        <v>347</v>
      </c>
      <c r="D12" s="715"/>
      <c r="E12" s="715"/>
      <c r="F12" s="715"/>
      <c r="G12" s="715"/>
      <c r="H12" s="715"/>
      <c r="I12" s="715"/>
      <c r="J12" s="715"/>
      <c r="K12" s="715"/>
      <c r="L12" s="715"/>
      <c r="M12" s="688">
        <v>1.35</v>
      </c>
      <c r="N12" s="689"/>
      <c r="O12" s="23"/>
      <c r="P12" s="23"/>
      <c r="Q12" s="23"/>
      <c r="R12" s="23"/>
      <c r="S12" s="23"/>
      <c r="T12" s="23"/>
      <c r="U12" s="23"/>
      <c r="V12" s="23"/>
      <c r="W12" s="23"/>
      <c r="X12" s="23"/>
      <c r="Y12" s="23"/>
      <c r="Z12" s="23"/>
      <c r="AA12" s="23"/>
      <c r="AB12" s="120"/>
      <c r="AD12" s="13" t="s">
        <v>555</v>
      </c>
      <c r="AE12" s="399">
        <f>M13</f>
        <v>80</v>
      </c>
      <c r="AF12" s="199" t="s">
        <v>559</v>
      </c>
      <c r="AH12" s="186" t="s">
        <v>153</v>
      </c>
      <c r="AI12" s="186">
        <f>+AI11/2</f>
        <v>40</v>
      </c>
    </row>
    <row r="13" spans="1:63" ht="17.100000000000001" customHeight="1">
      <c r="B13" s="119"/>
      <c r="C13" s="714" t="s">
        <v>409</v>
      </c>
      <c r="D13" s="715"/>
      <c r="E13" s="715"/>
      <c r="F13" s="715"/>
      <c r="G13" s="715"/>
      <c r="H13" s="715"/>
      <c r="I13" s="715"/>
      <c r="J13" s="715"/>
      <c r="K13" s="715"/>
      <c r="L13" s="715"/>
      <c r="M13" s="653">
        <v>80</v>
      </c>
      <c r="N13" s="654"/>
      <c r="O13" s="23"/>
      <c r="P13" s="427"/>
      <c r="Q13" s="574" t="s">
        <v>363</v>
      </c>
      <c r="R13" s="574"/>
      <c r="S13" s="574"/>
      <c r="T13" s="574"/>
      <c r="U13" s="574"/>
      <c r="V13" s="574"/>
      <c r="W13" s="574"/>
      <c r="X13" s="574"/>
      <c r="Y13" s="574"/>
      <c r="Z13" s="574"/>
      <c r="AA13" s="195" t="s">
        <v>288</v>
      </c>
      <c r="AB13" s="120"/>
      <c r="AD13" s="13" t="s">
        <v>540</v>
      </c>
      <c r="AE13" s="399">
        <f>M14</f>
        <v>50</v>
      </c>
      <c r="AF13" s="199" t="s">
        <v>560</v>
      </c>
      <c r="AL13" s="879" t="s">
        <v>139</v>
      </c>
      <c r="AM13" s="879"/>
      <c r="AN13" s="879"/>
      <c r="AO13" s="879"/>
      <c r="AP13" s="879"/>
      <c r="AQ13" s="43"/>
      <c r="AR13" s="879" t="s">
        <v>111</v>
      </c>
      <c r="AS13" s="879"/>
      <c r="AT13" s="879"/>
      <c r="AU13" s="879"/>
      <c r="AV13" s="879"/>
      <c r="AW13" s="43"/>
      <c r="AX13" s="43"/>
      <c r="AY13" s="879" t="s">
        <v>139</v>
      </c>
      <c r="AZ13" s="879"/>
      <c r="BA13" s="879"/>
      <c r="BB13" s="879"/>
      <c r="BC13" s="879"/>
      <c r="BD13" s="43"/>
      <c r="BE13" s="879" t="s">
        <v>111</v>
      </c>
      <c r="BF13" s="879"/>
      <c r="BG13" s="879"/>
      <c r="BH13" s="879"/>
      <c r="BI13" s="879"/>
      <c r="BJ13" s="43"/>
      <c r="BK13" s="43"/>
    </row>
    <row r="14" spans="1:63" ht="17.100000000000001" customHeight="1">
      <c r="B14" s="119"/>
      <c r="C14" s="714" t="s">
        <v>410</v>
      </c>
      <c r="D14" s="715"/>
      <c r="E14" s="715"/>
      <c r="F14" s="715"/>
      <c r="G14" s="715"/>
      <c r="H14" s="715"/>
      <c r="I14" s="715"/>
      <c r="J14" s="715"/>
      <c r="K14" s="715"/>
      <c r="L14" s="715"/>
      <c r="M14" s="653">
        <v>50</v>
      </c>
      <c r="N14" s="654"/>
      <c r="O14" s="23"/>
      <c r="P14" s="716" t="s">
        <v>360</v>
      </c>
      <c r="Q14" s="717"/>
      <c r="R14" s="717"/>
      <c r="S14" s="717"/>
      <c r="T14" s="717"/>
      <c r="U14" s="717"/>
      <c r="V14" s="717"/>
      <c r="W14" s="717"/>
      <c r="X14" s="717"/>
      <c r="Y14" s="717"/>
      <c r="Z14" s="653">
        <v>0.2</v>
      </c>
      <c r="AA14" s="654"/>
      <c r="AB14" s="120"/>
      <c r="AD14" s="13" t="s">
        <v>539</v>
      </c>
      <c r="AE14" s="399">
        <f>M15</f>
        <v>81.8</v>
      </c>
      <c r="AF14" s="199" t="s">
        <v>561</v>
      </c>
      <c r="AH14" s="295" t="s">
        <v>131</v>
      </c>
      <c r="AI14" s="187" t="s">
        <v>134</v>
      </c>
      <c r="AJ14" s="187" t="s">
        <v>133</v>
      </c>
      <c r="AK14" s="296" t="s">
        <v>138</v>
      </c>
      <c r="AL14" s="297" t="s">
        <v>120</v>
      </c>
      <c r="AM14" s="297" t="s">
        <v>121</v>
      </c>
      <c r="AN14" s="297" t="s">
        <v>93</v>
      </c>
      <c r="AO14" s="297" t="s">
        <v>40</v>
      </c>
      <c r="AP14" s="297" t="s">
        <v>132</v>
      </c>
      <c r="AQ14" s="187"/>
      <c r="AR14" s="297" t="s">
        <v>120</v>
      </c>
      <c r="AS14" s="297" t="s">
        <v>121</v>
      </c>
      <c r="AT14" s="297" t="s">
        <v>93</v>
      </c>
      <c r="AU14" s="297" t="s">
        <v>40</v>
      </c>
      <c r="AV14" s="297" t="s">
        <v>132</v>
      </c>
      <c r="AW14" s="187"/>
      <c r="AY14" s="297" t="s">
        <v>120</v>
      </c>
      <c r="AZ14" s="297" t="s">
        <v>121</v>
      </c>
      <c r="BA14" s="297" t="s">
        <v>93</v>
      </c>
      <c r="BB14" s="297" t="s">
        <v>40</v>
      </c>
      <c r="BC14" s="297" t="s">
        <v>132</v>
      </c>
      <c r="BD14" s="187"/>
      <c r="BE14" s="297" t="s">
        <v>120</v>
      </c>
      <c r="BF14" s="297" t="s">
        <v>121</v>
      </c>
      <c r="BG14" s="297" t="s">
        <v>93</v>
      </c>
      <c r="BH14" s="297" t="s">
        <v>40</v>
      </c>
      <c r="BI14" s="297" t="s">
        <v>132</v>
      </c>
      <c r="BJ14" s="187"/>
    </row>
    <row r="15" spans="1:63" ht="17.100000000000001" customHeight="1">
      <c r="B15" s="119"/>
      <c r="C15" s="714" t="s">
        <v>407</v>
      </c>
      <c r="D15" s="715"/>
      <c r="E15" s="715"/>
      <c r="F15" s="715"/>
      <c r="G15" s="715"/>
      <c r="H15" s="715"/>
      <c r="I15" s="715"/>
      <c r="J15" s="715"/>
      <c r="K15" s="715"/>
      <c r="L15" s="715"/>
      <c r="M15" s="688">
        <v>81.8</v>
      </c>
      <c r="N15" s="689"/>
      <c r="O15" s="23"/>
      <c r="P15" s="714" t="s">
        <v>359</v>
      </c>
      <c r="Q15" s="715"/>
      <c r="R15" s="715"/>
      <c r="S15" s="715"/>
      <c r="T15" s="715"/>
      <c r="U15" s="715"/>
      <c r="V15" s="715"/>
      <c r="W15" s="715"/>
      <c r="X15" s="715"/>
      <c r="Y15" s="715"/>
      <c r="Z15" s="653">
        <v>-0.3</v>
      </c>
      <c r="AA15" s="654"/>
      <c r="AB15" s="120"/>
      <c r="AD15" s="13" t="s">
        <v>538</v>
      </c>
      <c r="AE15" s="399">
        <f>M16</f>
        <v>70</v>
      </c>
      <c r="AF15" s="199" t="s">
        <v>562</v>
      </c>
      <c r="AH15" s="186">
        <v>5</v>
      </c>
      <c r="AI15" s="186" t="b">
        <f t="shared" ref="AI15:AI78" si="0">AND($M$17=AH15)</f>
        <v>0</v>
      </c>
      <c r="AJ15" s="186" t="b">
        <f>AND($AH$4=1)</f>
        <v>0</v>
      </c>
      <c r="AK15" s="298" t="b">
        <f>AND(AI15=TRUE,AJ15=TRUE)</f>
        <v>0</v>
      </c>
      <c r="AL15" s="287">
        <v>-1.8</v>
      </c>
      <c r="AM15" s="287">
        <v>-1.2</v>
      </c>
      <c r="AN15" s="287">
        <v>-0.6</v>
      </c>
      <c r="AO15" s="287">
        <v>0</v>
      </c>
      <c r="AP15" s="287">
        <v>0</v>
      </c>
      <c r="AQ15" s="877" t="s">
        <v>135</v>
      </c>
      <c r="AR15" s="287">
        <f t="shared" ref="AR15:AR78" ca="1" si="1">1.35*$Z$17*$M$22*AL15</f>
        <v>-1.9968651360000005</v>
      </c>
      <c r="AS15" s="287">
        <f t="shared" ref="AS15:AS78" ca="1" si="2">1.35*$Z$17*$M$22*AM15</f>
        <v>-1.3312434240000002</v>
      </c>
      <c r="AT15" s="287">
        <f t="shared" ref="AT15:AT78" ca="1" si="3">1.35*$Z$17*$M$22*AN15</f>
        <v>-0.66562171200000009</v>
      </c>
      <c r="AU15" s="287">
        <f t="shared" ref="AU15:AU78" ca="1" si="4">1.35*$Z$17*$M$22*AO15</f>
        <v>0</v>
      </c>
      <c r="AV15" s="287">
        <f t="shared" ref="AV15:AV78" ca="1" si="5">1.35*$Z$17*$M$22*AP15</f>
        <v>0</v>
      </c>
      <c r="AW15" s="877" t="s">
        <v>135</v>
      </c>
      <c r="AY15" s="287">
        <v>0</v>
      </c>
      <c r="AZ15" s="287">
        <v>0</v>
      </c>
      <c r="BA15" s="287">
        <v>0</v>
      </c>
      <c r="BB15" s="287">
        <v>0</v>
      </c>
      <c r="BC15" s="287">
        <v>0</v>
      </c>
      <c r="BD15" s="877" t="s">
        <v>451</v>
      </c>
      <c r="BE15" s="287">
        <f t="shared" ref="BE15:BE78" ca="1" si="6">1.35*$Z$17*$M$22*AY15</f>
        <v>0</v>
      </c>
      <c r="BF15" s="287">
        <f t="shared" ref="BF15:BF78" ca="1" si="7">1.35*$Z$17*$M$22*AZ15</f>
        <v>0</v>
      </c>
      <c r="BG15" s="287">
        <f t="shared" ref="BG15:BG78" ca="1" si="8">1.35*$Z$17*$M$22*BA15</f>
        <v>0</v>
      </c>
      <c r="BH15" s="287">
        <f t="shared" ref="BH15:BH78" ca="1" si="9">1.35*$Z$17*$M$22*BB15</f>
        <v>0</v>
      </c>
      <c r="BI15" s="287">
        <f t="shared" ref="BI15:BI78" ca="1" si="10">1.35*$Z$17*$M$22*BC15</f>
        <v>0</v>
      </c>
      <c r="BJ15" s="877" t="s">
        <v>451</v>
      </c>
    </row>
    <row r="16" spans="1:63" ht="17.100000000000001" customHeight="1">
      <c r="B16" s="119"/>
      <c r="C16" s="714" t="s">
        <v>431</v>
      </c>
      <c r="D16" s="715"/>
      <c r="E16" s="715"/>
      <c r="F16" s="715"/>
      <c r="G16" s="715"/>
      <c r="H16" s="715"/>
      <c r="I16" s="715"/>
      <c r="J16" s="715"/>
      <c r="K16" s="715"/>
      <c r="L16" s="715"/>
      <c r="M16" s="653">
        <v>70</v>
      </c>
      <c r="N16" s="654"/>
      <c r="O16" s="23"/>
      <c r="P16" s="714" t="s">
        <v>361</v>
      </c>
      <c r="Q16" s="715"/>
      <c r="R16" s="715"/>
      <c r="S16" s="715"/>
      <c r="T16" s="715"/>
      <c r="U16" s="715"/>
      <c r="V16" s="715"/>
      <c r="W16" s="715"/>
      <c r="X16" s="715"/>
      <c r="Y16" s="715"/>
      <c r="Z16" s="550" t="str">
        <f>input!Z24</f>
        <v>C</v>
      </c>
      <c r="AA16" s="551"/>
      <c r="AB16" s="120"/>
      <c r="AD16" s="13" t="s">
        <v>582</v>
      </c>
      <c r="AE16" s="398" t="str">
        <f>Y9</f>
        <v>town</v>
      </c>
      <c r="AF16" s="199" t="s">
        <v>563</v>
      </c>
      <c r="AH16" s="186">
        <v>6</v>
      </c>
      <c r="AI16" s="186" t="b">
        <f t="shared" si="0"/>
        <v>0</v>
      </c>
      <c r="AJ16" s="186" t="b">
        <f t="shared" ref="AJ16:AJ79" si="11">AND($AH$4=1)</f>
        <v>0</v>
      </c>
      <c r="AK16" s="298" t="b">
        <f t="shared" ref="AK16:AK79" si="12">AND(AI16=TRUE,AJ16=TRUE)</f>
        <v>0</v>
      </c>
      <c r="AL16" s="145">
        <f>+ABS($AL$15-$AL$25)/10+AL15</f>
        <v>-1.73</v>
      </c>
      <c r="AM16" s="145">
        <f>+ABS($AM$15-$AM$25)/10+AM15</f>
        <v>-1.1599999999999999</v>
      </c>
      <c r="AN16" s="145">
        <f>+ABS($AN$15-$AN$25)/10+AN15</f>
        <v>-0.57999999999999996</v>
      </c>
      <c r="AO16" s="145">
        <v>0</v>
      </c>
      <c r="AP16" s="145">
        <v>0</v>
      </c>
      <c r="AQ16" s="877"/>
      <c r="AR16" s="287">
        <f t="shared" ca="1" si="1"/>
        <v>-1.9192092696000003</v>
      </c>
      <c r="AS16" s="287">
        <f t="shared" ca="1" si="2"/>
        <v>-1.2868686432000003</v>
      </c>
      <c r="AT16" s="287">
        <f t="shared" ca="1" si="3"/>
        <v>-0.64343432160000014</v>
      </c>
      <c r="AU16" s="287">
        <f t="shared" ca="1" si="4"/>
        <v>0</v>
      </c>
      <c r="AV16" s="287">
        <f t="shared" ca="1" si="5"/>
        <v>0</v>
      </c>
      <c r="AW16" s="877"/>
      <c r="AY16" s="145">
        <f>+ABS($AY$15-$AY$25)/10+AY15</f>
        <v>0.02</v>
      </c>
      <c r="AZ16" s="145">
        <f>+ABS($AZ$15-$AZ$25)/10+AZ15</f>
        <v>0.02</v>
      </c>
      <c r="BA16" s="145">
        <f>+ABS($BA$15-$BA$25)/10+BA15</f>
        <v>0.02</v>
      </c>
      <c r="BB16" s="145">
        <v>0</v>
      </c>
      <c r="BC16" s="145">
        <v>0</v>
      </c>
      <c r="BD16" s="877"/>
      <c r="BE16" s="287">
        <f t="shared" ca="1" si="6"/>
        <v>2.2187390400000003E-2</v>
      </c>
      <c r="BF16" s="287">
        <f t="shared" ca="1" si="7"/>
        <v>2.2187390400000003E-2</v>
      </c>
      <c r="BG16" s="287">
        <f t="shared" ca="1" si="8"/>
        <v>2.2187390400000003E-2</v>
      </c>
      <c r="BH16" s="287">
        <f t="shared" ca="1" si="9"/>
        <v>0</v>
      </c>
      <c r="BI16" s="287">
        <f t="shared" ca="1" si="10"/>
        <v>0</v>
      </c>
      <c r="BJ16" s="877"/>
    </row>
    <row r="17" spans="2:62" ht="17.100000000000001" customHeight="1">
      <c r="B17" s="119"/>
      <c r="C17" s="714" t="s">
        <v>528</v>
      </c>
      <c r="D17" s="715"/>
      <c r="E17" s="715"/>
      <c r="F17" s="715"/>
      <c r="G17" s="715"/>
      <c r="H17" s="715"/>
      <c r="I17" s="715"/>
      <c r="J17" s="715"/>
      <c r="K17" s="715"/>
      <c r="L17" s="715"/>
      <c r="M17" s="653">
        <v>20</v>
      </c>
      <c r="N17" s="654"/>
      <c r="O17" s="23"/>
      <c r="P17" s="714" t="s">
        <v>362</v>
      </c>
      <c r="Q17" s="715"/>
      <c r="R17" s="715"/>
      <c r="S17" s="715"/>
      <c r="T17" s="715"/>
      <c r="U17" s="715"/>
      <c r="V17" s="715"/>
      <c r="W17" s="715"/>
      <c r="X17" s="715"/>
      <c r="Y17" s="715"/>
      <c r="Z17" s="550">
        <f ca="1">+input!Z25</f>
        <v>0.79320000000000002</v>
      </c>
      <c r="AA17" s="551"/>
      <c r="AB17" s="120"/>
      <c r="AD17" s="13" t="s">
        <v>541</v>
      </c>
      <c r="AE17" s="399">
        <f>Z10</f>
        <v>15</v>
      </c>
      <c r="AF17" s="199" t="s">
        <v>564</v>
      </c>
      <c r="AH17" s="186">
        <v>7</v>
      </c>
      <c r="AI17" s="186" t="b">
        <f t="shared" si="0"/>
        <v>0</v>
      </c>
      <c r="AJ17" s="186" t="b">
        <f t="shared" si="11"/>
        <v>0</v>
      </c>
      <c r="AK17" s="298" t="b">
        <f t="shared" si="12"/>
        <v>0</v>
      </c>
      <c r="AL17" s="145">
        <f t="shared" ref="AL17:AL24" si="13">+ABS($AL$15-$AL$25)/10+AL16</f>
        <v>-1.66</v>
      </c>
      <c r="AM17" s="145">
        <f t="shared" ref="AM17:AM24" si="14">+ABS($AM$15-$AM$25)/10+AM16</f>
        <v>-1.1199999999999999</v>
      </c>
      <c r="AN17" s="145">
        <f t="shared" ref="AN17:AN24" si="15">+ABS($AN$15-$AN$25)/10+AN16</f>
        <v>-0.55999999999999994</v>
      </c>
      <c r="AO17" s="145">
        <v>0</v>
      </c>
      <c r="AP17" s="145">
        <v>0</v>
      </c>
      <c r="AQ17" s="877"/>
      <c r="AR17" s="287">
        <f t="shared" ca="1" si="1"/>
        <v>-1.8415534032000003</v>
      </c>
      <c r="AS17" s="287">
        <f t="shared" ca="1" si="2"/>
        <v>-1.2424938624000001</v>
      </c>
      <c r="AT17" s="287">
        <f t="shared" ca="1" si="3"/>
        <v>-0.62124693120000007</v>
      </c>
      <c r="AU17" s="287">
        <f t="shared" ca="1" si="4"/>
        <v>0</v>
      </c>
      <c r="AV17" s="287">
        <f t="shared" ca="1" si="5"/>
        <v>0</v>
      </c>
      <c r="AW17" s="877"/>
      <c r="AY17" s="145">
        <f t="shared" ref="AY17:AY24" si="16">+ABS($AY$15-$AY$25)/10+AY16</f>
        <v>0.04</v>
      </c>
      <c r="AZ17" s="145">
        <f t="shared" ref="AZ17:AZ24" si="17">+ABS($AZ$15-$AZ$25)/10+AZ16</f>
        <v>0.04</v>
      </c>
      <c r="BA17" s="145">
        <f t="shared" ref="BA17:BA24" si="18">+ABS($BA$15-$BA$25)/10+BA16</f>
        <v>0.04</v>
      </c>
      <c r="BB17" s="145">
        <v>0</v>
      </c>
      <c r="BC17" s="145">
        <v>0</v>
      </c>
      <c r="BD17" s="877"/>
      <c r="BE17" s="287">
        <f t="shared" ca="1" si="6"/>
        <v>4.4374780800000006E-2</v>
      </c>
      <c r="BF17" s="287">
        <f t="shared" ca="1" si="7"/>
        <v>4.4374780800000006E-2</v>
      </c>
      <c r="BG17" s="287">
        <f t="shared" ca="1" si="8"/>
        <v>4.4374780800000006E-2</v>
      </c>
      <c r="BH17" s="287">
        <f t="shared" ca="1" si="9"/>
        <v>0</v>
      </c>
      <c r="BI17" s="287">
        <f t="shared" ca="1" si="10"/>
        <v>0</v>
      </c>
      <c r="BJ17" s="877"/>
    </row>
    <row r="18" spans="2:62" ht="17.100000000000001" customHeight="1">
      <c r="B18" s="119"/>
      <c r="C18" s="739" t="s">
        <v>430</v>
      </c>
      <c r="D18" s="740"/>
      <c r="E18" s="740"/>
      <c r="F18" s="740"/>
      <c r="G18" s="740"/>
      <c r="H18" s="740"/>
      <c r="I18" s="740"/>
      <c r="J18" s="740"/>
      <c r="K18" s="740"/>
      <c r="L18" s="740"/>
      <c r="M18" s="832">
        <v>90</v>
      </c>
      <c r="N18" s="833"/>
      <c r="O18" s="23"/>
      <c r="P18" s="714" t="s">
        <v>445</v>
      </c>
      <c r="Q18" s="715"/>
      <c r="R18" s="715"/>
      <c r="S18" s="715"/>
      <c r="T18" s="715"/>
      <c r="U18" s="715"/>
      <c r="V18" s="715"/>
      <c r="W18" s="715"/>
      <c r="X18" s="715"/>
      <c r="Y18" s="715"/>
      <c r="Z18" s="550">
        <f>+input!$Z$26</f>
        <v>0.01</v>
      </c>
      <c r="AA18" s="551"/>
      <c r="AB18" s="120"/>
      <c r="AD18" s="13" t="s">
        <v>542</v>
      </c>
      <c r="AE18" s="399">
        <f>Z11</f>
        <v>10</v>
      </c>
      <c r="AF18" s="199" t="s">
        <v>565</v>
      </c>
      <c r="AH18" s="186">
        <v>8</v>
      </c>
      <c r="AI18" s="186" t="b">
        <f t="shared" si="0"/>
        <v>0</v>
      </c>
      <c r="AJ18" s="186" t="b">
        <f t="shared" si="11"/>
        <v>0</v>
      </c>
      <c r="AK18" s="298" t="b">
        <f t="shared" si="12"/>
        <v>0</v>
      </c>
      <c r="AL18" s="145">
        <f t="shared" si="13"/>
        <v>-1.5899999999999999</v>
      </c>
      <c r="AM18" s="145">
        <f t="shared" si="14"/>
        <v>-1.0799999999999998</v>
      </c>
      <c r="AN18" s="145">
        <f t="shared" si="15"/>
        <v>-0.53999999999999992</v>
      </c>
      <c r="AO18" s="145">
        <v>0</v>
      </c>
      <c r="AP18" s="145">
        <v>0</v>
      </c>
      <c r="AQ18" s="877"/>
      <c r="AR18" s="287">
        <f t="shared" ca="1" si="1"/>
        <v>-1.7638975368000003</v>
      </c>
      <c r="AS18" s="287">
        <f t="shared" ca="1" si="2"/>
        <v>-1.1981190816</v>
      </c>
      <c r="AT18" s="287">
        <f t="shared" ca="1" si="3"/>
        <v>-0.59905954080000001</v>
      </c>
      <c r="AU18" s="287">
        <f t="shared" ca="1" si="4"/>
        <v>0</v>
      </c>
      <c r="AV18" s="287">
        <f t="shared" ca="1" si="5"/>
        <v>0</v>
      </c>
      <c r="AW18" s="877"/>
      <c r="AY18" s="145">
        <f t="shared" si="16"/>
        <v>0.06</v>
      </c>
      <c r="AZ18" s="145">
        <f t="shared" si="17"/>
        <v>0.06</v>
      </c>
      <c r="BA18" s="145">
        <f t="shared" si="18"/>
        <v>0.06</v>
      </c>
      <c r="BB18" s="145">
        <v>0</v>
      </c>
      <c r="BC18" s="145">
        <v>0</v>
      </c>
      <c r="BD18" s="877"/>
      <c r="BE18" s="287">
        <f t="shared" ca="1" si="6"/>
        <v>6.6562171200000006E-2</v>
      </c>
      <c r="BF18" s="287">
        <f t="shared" ca="1" si="7"/>
        <v>6.6562171200000006E-2</v>
      </c>
      <c r="BG18" s="287">
        <f t="shared" ca="1" si="8"/>
        <v>6.6562171200000006E-2</v>
      </c>
      <c r="BH18" s="287">
        <f t="shared" ca="1" si="9"/>
        <v>0</v>
      </c>
      <c r="BI18" s="287">
        <f t="shared" ca="1" si="10"/>
        <v>0</v>
      </c>
      <c r="BJ18" s="877"/>
    </row>
    <row r="19" spans="2:62" ht="17.100000000000001" customHeight="1">
      <c r="B19" s="119"/>
      <c r="C19" s="23"/>
      <c r="D19" s="23"/>
      <c r="E19" s="23"/>
      <c r="F19" s="23"/>
      <c r="G19" s="23"/>
      <c r="H19" s="23"/>
      <c r="I19" s="23"/>
      <c r="J19" s="23"/>
      <c r="K19" s="23"/>
      <c r="L19" s="23"/>
      <c r="M19" s="23"/>
      <c r="N19" s="23"/>
      <c r="O19" s="23"/>
      <c r="P19" s="739" t="s">
        <v>415</v>
      </c>
      <c r="Q19" s="740"/>
      <c r="R19" s="740"/>
      <c r="S19" s="740"/>
      <c r="T19" s="740"/>
      <c r="U19" s="740"/>
      <c r="V19" s="740"/>
      <c r="W19" s="740"/>
      <c r="X19" s="740"/>
      <c r="Y19" s="740"/>
      <c r="Z19" s="587">
        <f>AI11</f>
        <v>80</v>
      </c>
      <c r="AA19" s="588"/>
      <c r="AB19" s="120"/>
      <c r="AD19" s="13" t="s">
        <v>543</v>
      </c>
      <c r="AE19" s="399">
        <f>Z14</f>
        <v>0.2</v>
      </c>
      <c r="AF19" s="199" t="s">
        <v>566</v>
      </c>
      <c r="AH19" s="186">
        <v>9</v>
      </c>
      <c r="AI19" s="186" t="b">
        <f t="shared" si="0"/>
        <v>0</v>
      </c>
      <c r="AJ19" s="186" t="b">
        <f t="shared" si="11"/>
        <v>0</v>
      </c>
      <c r="AK19" s="298" t="b">
        <f t="shared" si="12"/>
        <v>0</v>
      </c>
      <c r="AL19" s="145">
        <f t="shared" si="13"/>
        <v>-1.5199999999999998</v>
      </c>
      <c r="AM19" s="145">
        <f t="shared" si="14"/>
        <v>-1.0399999999999998</v>
      </c>
      <c r="AN19" s="145">
        <f t="shared" si="15"/>
        <v>-0.51999999999999991</v>
      </c>
      <c r="AO19" s="145">
        <v>0</v>
      </c>
      <c r="AP19" s="145">
        <v>0</v>
      </c>
      <c r="AQ19" s="877"/>
      <c r="AR19" s="287">
        <f t="shared" ca="1" si="1"/>
        <v>-1.6862416704000001</v>
      </c>
      <c r="AS19" s="287">
        <f t="shared" ca="1" si="2"/>
        <v>-1.1537443008000001</v>
      </c>
      <c r="AT19" s="287">
        <f t="shared" ca="1" si="3"/>
        <v>-0.57687215040000006</v>
      </c>
      <c r="AU19" s="287">
        <f t="shared" ca="1" si="4"/>
        <v>0</v>
      </c>
      <c r="AV19" s="287">
        <f t="shared" ca="1" si="5"/>
        <v>0</v>
      </c>
      <c r="AW19" s="877"/>
      <c r="AY19" s="145">
        <f t="shared" si="16"/>
        <v>0.08</v>
      </c>
      <c r="AZ19" s="145">
        <f t="shared" si="17"/>
        <v>0.08</v>
      </c>
      <c r="BA19" s="145">
        <f t="shared" si="18"/>
        <v>0.08</v>
      </c>
      <c r="BB19" s="145">
        <v>0</v>
      </c>
      <c r="BC19" s="145">
        <v>0</v>
      </c>
      <c r="BD19" s="877"/>
      <c r="BE19" s="287">
        <f t="shared" ca="1" si="6"/>
        <v>8.8749561600000013E-2</v>
      </c>
      <c r="BF19" s="287">
        <f t="shared" ca="1" si="7"/>
        <v>8.8749561600000013E-2</v>
      </c>
      <c r="BG19" s="287">
        <f t="shared" ca="1" si="8"/>
        <v>8.8749561600000013E-2</v>
      </c>
      <c r="BH19" s="287">
        <f t="shared" ca="1" si="9"/>
        <v>0</v>
      </c>
      <c r="BI19" s="287">
        <f t="shared" ca="1" si="10"/>
        <v>0</v>
      </c>
      <c r="BJ19" s="877"/>
    </row>
    <row r="20" spans="2:62" ht="17.100000000000001" customHeight="1">
      <c r="B20" s="119"/>
      <c r="C20" s="573" t="s">
        <v>645</v>
      </c>
      <c r="D20" s="574"/>
      <c r="E20" s="574"/>
      <c r="F20" s="574"/>
      <c r="G20" s="574"/>
      <c r="H20" s="574"/>
      <c r="I20" s="574"/>
      <c r="J20" s="574"/>
      <c r="K20" s="574"/>
      <c r="L20" s="574"/>
      <c r="M20" s="574"/>
      <c r="N20" s="575"/>
      <c r="O20" s="23"/>
      <c r="P20" s="23"/>
      <c r="Q20" s="23"/>
      <c r="R20" s="23"/>
      <c r="S20" s="23"/>
      <c r="T20" s="23"/>
      <c r="U20" s="23"/>
      <c r="V20" s="23"/>
      <c r="W20" s="23"/>
      <c r="X20" s="23"/>
      <c r="Y20" s="23"/>
      <c r="Z20" s="23"/>
      <c r="AA20" s="23"/>
      <c r="AB20" s="120"/>
      <c r="AD20" s="13" t="s">
        <v>544</v>
      </c>
      <c r="AE20" s="399">
        <f>Z15</f>
        <v>-0.3</v>
      </c>
      <c r="AF20" s="199" t="s">
        <v>567</v>
      </c>
      <c r="AH20" s="186">
        <v>10</v>
      </c>
      <c r="AI20" s="186" t="b">
        <f t="shared" si="0"/>
        <v>0</v>
      </c>
      <c r="AJ20" s="186" t="b">
        <f t="shared" si="11"/>
        <v>0</v>
      </c>
      <c r="AK20" s="298" t="b">
        <f t="shared" si="12"/>
        <v>0</v>
      </c>
      <c r="AL20" s="145">
        <f t="shared" si="13"/>
        <v>-1.4499999999999997</v>
      </c>
      <c r="AM20" s="145">
        <f t="shared" si="14"/>
        <v>-0.99999999999999978</v>
      </c>
      <c r="AN20" s="145">
        <f t="shared" si="15"/>
        <v>-0.49999999999999989</v>
      </c>
      <c r="AO20" s="145">
        <v>0</v>
      </c>
      <c r="AP20" s="145">
        <v>0</v>
      </c>
      <c r="AQ20" s="877"/>
      <c r="AR20" s="287">
        <f t="shared" ca="1" si="1"/>
        <v>-1.6085858040000001</v>
      </c>
      <c r="AS20" s="287">
        <f t="shared" ca="1" si="2"/>
        <v>-1.10936952</v>
      </c>
      <c r="AT20" s="287">
        <f t="shared" ca="1" si="3"/>
        <v>-0.55468476</v>
      </c>
      <c r="AU20" s="287">
        <f t="shared" ca="1" si="4"/>
        <v>0</v>
      </c>
      <c r="AV20" s="287">
        <f t="shared" ca="1" si="5"/>
        <v>0</v>
      </c>
      <c r="AW20" s="877"/>
      <c r="AY20" s="145">
        <f t="shared" si="16"/>
        <v>0.1</v>
      </c>
      <c r="AZ20" s="145">
        <f t="shared" si="17"/>
        <v>0.1</v>
      </c>
      <c r="BA20" s="145">
        <f t="shared" si="18"/>
        <v>0.1</v>
      </c>
      <c r="BB20" s="145">
        <v>0</v>
      </c>
      <c r="BC20" s="145">
        <v>0</v>
      </c>
      <c r="BD20" s="877"/>
      <c r="BE20" s="287">
        <f t="shared" ca="1" si="6"/>
        <v>0.11093695200000003</v>
      </c>
      <c r="BF20" s="287">
        <f t="shared" ca="1" si="7"/>
        <v>0.11093695200000003</v>
      </c>
      <c r="BG20" s="287">
        <f t="shared" ca="1" si="8"/>
        <v>0.11093695200000003</v>
      </c>
      <c r="BH20" s="287">
        <f t="shared" ca="1" si="9"/>
        <v>0</v>
      </c>
      <c r="BI20" s="287">
        <f t="shared" ca="1" si="10"/>
        <v>0</v>
      </c>
      <c r="BJ20" s="877"/>
    </row>
    <row r="21" spans="2:62" ht="17.100000000000001" customHeight="1">
      <c r="B21" s="119"/>
      <c r="C21" s="716" t="s">
        <v>365</v>
      </c>
      <c r="D21" s="717"/>
      <c r="E21" s="717"/>
      <c r="F21" s="717"/>
      <c r="G21" s="717"/>
      <c r="H21" s="717"/>
      <c r="I21" s="717"/>
      <c r="J21" s="717"/>
      <c r="K21" s="717"/>
      <c r="L21" s="717"/>
      <c r="M21" s="678">
        <f>input!$M$19</f>
        <v>0.1</v>
      </c>
      <c r="N21" s="679"/>
      <c r="O21" s="23"/>
      <c r="P21" s="573" t="s">
        <v>380</v>
      </c>
      <c r="Q21" s="574"/>
      <c r="R21" s="574"/>
      <c r="S21" s="574"/>
      <c r="T21" s="574"/>
      <c r="U21" s="574"/>
      <c r="V21" s="574"/>
      <c r="W21" s="574"/>
      <c r="X21" s="574"/>
      <c r="Y21" s="574"/>
      <c r="Z21" s="574"/>
      <c r="AA21" s="575"/>
      <c r="AB21" s="120"/>
      <c r="AD21" s="13" t="s">
        <v>583</v>
      </c>
      <c r="AE21" s="403" t="s">
        <v>95</v>
      </c>
      <c r="AF21" s="199"/>
      <c r="AH21" s="186">
        <v>11</v>
      </c>
      <c r="AI21" s="186" t="b">
        <f t="shared" si="0"/>
        <v>0</v>
      </c>
      <c r="AJ21" s="186" t="b">
        <f t="shared" si="11"/>
        <v>0</v>
      </c>
      <c r="AK21" s="298" t="b">
        <f t="shared" si="12"/>
        <v>0</v>
      </c>
      <c r="AL21" s="145">
        <f t="shared" si="13"/>
        <v>-1.3799999999999997</v>
      </c>
      <c r="AM21" s="145">
        <f t="shared" si="14"/>
        <v>-0.95999999999999974</v>
      </c>
      <c r="AN21" s="145">
        <f t="shared" si="15"/>
        <v>-0.47999999999999987</v>
      </c>
      <c r="AO21" s="145">
        <v>0</v>
      </c>
      <c r="AP21" s="145">
        <v>0</v>
      </c>
      <c r="AQ21" s="877"/>
      <c r="AR21" s="287">
        <f t="shared" ca="1" si="1"/>
        <v>-1.5309299375999998</v>
      </c>
      <c r="AS21" s="287">
        <f t="shared" ca="1" si="2"/>
        <v>-1.0649947391999999</v>
      </c>
      <c r="AT21" s="287">
        <f t="shared" ca="1" si="3"/>
        <v>-0.53249736959999994</v>
      </c>
      <c r="AU21" s="287">
        <f t="shared" ca="1" si="4"/>
        <v>0</v>
      </c>
      <c r="AV21" s="287">
        <f t="shared" ca="1" si="5"/>
        <v>0</v>
      </c>
      <c r="AW21" s="877"/>
      <c r="AY21" s="145">
        <f t="shared" si="16"/>
        <v>0.12000000000000001</v>
      </c>
      <c r="AZ21" s="145">
        <f t="shared" si="17"/>
        <v>0.12000000000000001</v>
      </c>
      <c r="BA21" s="145">
        <f t="shared" si="18"/>
        <v>0.12000000000000001</v>
      </c>
      <c r="BB21" s="145">
        <v>0</v>
      </c>
      <c r="BC21" s="145">
        <v>0</v>
      </c>
      <c r="BD21" s="877"/>
      <c r="BE21" s="287">
        <f t="shared" ca="1" si="6"/>
        <v>0.13312434240000004</v>
      </c>
      <c r="BF21" s="287">
        <f t="shared" ca="1" si="7"/>
        <v>0.13312434240000004</v>
      </c>
      <c r="BG21" s="287">
        <f t="shared" ca="1" si="8"/>
        <v>0.13312434240000004</v>
      </c>
      <c r="BH21" s="287">
        <f t="shared" ca="1" si="9"/>
        <v>0</v>
      </c>
      <c r="BI21" s="287">
        <f t="shared" ca="1" si="10"/>
        <v>0</v>
      </c>
      <c r="BJ21" s="877"/>
    </row>
    <row r="22" spans="2:62" ht="17.100000000000001" customHeight="1">
      <c r="B22" s="119"/>
      <c r="C22" s="714" t="s">
        <v>364</v>
      </c>
      <c r="D22" s="715"/>
      <c r="E22" s="715"/>
      <c r="F22" s="715"/>
      <c r="G22" s="715"/>
      <c r="H22" s="715"/>
      <c r="I22" s="715"/>
      <c r="J22" s="715"/>
      <c r="K22" s="715"/>
      <c r="L22" s="715"/>
      <c r="M22" s="550">
        <f ca="1">+input!M20</f>
        <v>1.036</v>
      </c>
      <c r="N22" s="551"/>
      <c r="O22" s="23"/>
      <c r="P22" s="809" t="s">
        <v>385</v>
      </c>
      <c r="Q22" s="810"/>
      <c r="R22" s="810"/>
      <c r="S22" s="738" t="s">
        <v>432</v>
      </c>
      <c r="T22" s="738"/>
      <c r="U22" s="738"/>
      <c r="V22" s="738" t="s">
        <v>121</v>
      </c>
      <c r="W22" s="738"/>
      <c r="X22" s="738" t="s">
        <v>93</v>
      </c>
      <c r="Y22" s="738"/>
      <c r="Z22" s="738" t="s">
        <v>40</v>
      </c>
      <c r="AA22" s="771"/>
      <c r="AB22" s="120"/>
      <c r="AD22" s="13" t="s">
        <v>545</v>
      </c>
      <c r="AE22" s="403">
        <v>5</v>
      </c>
      <c r="AF22" s="199"/>
      <c r="AH22" s="186">
        <v>12</v>
      </c>
      <c r="AI22" s="186" t="b">
        <f t="shared" si="0"/>
        <v>0</v>
      </c>
      <c r="AJ22" s="186" t="b">
        <f t="shared" si="11"/>
        <v>0</v>
      </c>
      <c r="AK22" s="298" t="b">
        <f t="shared" si="12"/>
        <v>0</v>
      </c>
      <c r="AL22" s="145">
        <f t="shared" si="13"/>
        <v>-1.3099999999999996</v>
      </c>
      <c r="AM22" s="145">
        <f t="shared" si="14"/>
        <v>-0.91999999999999971</v>
      </c>
      <c r="AN22" s="145">
        <f t="shared" si="15"/>
        <v>-0.45999999999999985</v>
      </c>
      <c r="AO22" s="145">
        <v>0</v>
      </c>
      <c r="AP22" s="145">
        <v>0</v>
      </c>
      <c r="AQ22" s="877"/>
      <c r="AR22" s="287">
        <f t="shared" ca="1" si="1"/>
        <v>-1.4532740711999999</v>
      </c>
      <c r="AS22" s="287">
        <f t="shared" ca="1" si="2"/>
        <v>-1.0206199584</v>
      </c>
      <c r="AT22" s="287">
        <f t="shared" ca="1" si="3"/>
        <v>-0.51030997919999999</v>
      </c>
      <c r="AU22" s="287">
        <f t="shared" ca="1" si="4"/>
        <v>0</v>
      </c>
      <c r="AV22" s="287">
        <f t="shared" ca="1" si="5"/>
        <v>0</v>
      </c>
      <c r="AW22" s="877"/>
      <c r="AY22" s="145">
        <f t="shared" si="16"/>
        <v>0.14000000000000001</v>
      </c>
      <c r="AZ22" s="145">
        <f t="shared" si="17"/>
        <v>0.14000000000000001</v>
      </c>
      <c r="BA22" s="145">
        <f t="shared" si="18"/>
        <v>0.14000000000000001</v>
      </c>
      <c r="BB22" s="145">
        <v>0</v>
      </c>
      <c r="BC22" s="145">
        <v>0</v>
      </c>
      <c r="BD22" s="877"/>
      <c r="BE22" s="287">
        <f t="shared" ca="1" si="6"/>
        <v>0.15531173280000005</v>
      </c>
      <c r="BF22" s="287">
        <f t="shared" ca="1" si="7"/>
        <v>0.15531173280000005</v>
      </c>
      <c r="BG22" s="287">
        <f t="shared" ca="1" si="8"/>
        <v>0.15531173280000005</v>
      </c>
      <c r="BH22" s="287">
        <f t="shared" ca="1" si="9"/>
        <v>0</v>
      </c>
      <c r="BI22" s="287">
        <f t="shared" ca="1" si="10"/>
        <v>0</v>
      </c>
      <c r="BJ22" s="877"/>
    </row>
    <row r="23" spans="2:62" ht="17.100000000000001" customHeight="1">
      <c r="B23" s="119"/>
      <c r="C23" s="862" t="s">
        <v>646</v>
      </c>
      <c r="D23" s="715"/>
      <c r="E23" s="715"/>
      <c r="F23" s="715"/>
      <c r="G23" s="715"/>
      <c r="H23" s="715"/>
      <c r="I23" s="715"/>
      <c r="J23" s="715"/>
      <c r="K23" s="715"/>
      <c r="L23" s="715"/>
      <c r="M23" s="550">
        <f>+M13*M14/COS(M17*3.14/180)</f>
        <v>4256.437004882252</v>
      </c>
      <c r="N23" s="551"/>
      <c r="O23" s="23"/>
      <c r="P23" s="752" t="s">
        <v>443</v>
      </c>
      <c r="Q23" s="753"/>
      <c r="R23" s="753"/>
      <c r="S23" s="842" t="str">
        <f ca="1">FIXED(MIN(AT5:AT8),3)&amp;IF(AH4=2,"/"&amp;FIXED(MIN(AX5:AX8),3),"")</f>
        <v>-1.934/-2.822</v>
      </c>
      <c r="T23" s="842"/>
      <c r="U23" s="842"/>
      <c r="V23" s="711" t="str">
        <f ca="1">FIXED(MIN(AU5:AU8),3)</f>
        <v>-1.527</v>
      </c>
      <c r="W23" s="711"/>
      <c r="X23" s="711" t="str">
        <f ca="1">FIXED(MIN(AV5:AV8),3)</f>
        <v>-1.231</v>
      </c>
      <c r="Y23" s="711"/>
      <c r="Z23" s="711" t="str">
        <f ca="1">IF(OR($AH$4&lt;&gt;2,AI12&gt;=M14),"-",FIXED(MIN(AW5:AW8),3))</f>
        <v>-1.157</v>
      </c>
      <c r="AA23" s="712"/>
      <c r="AB23" s="120"/>
      <c r="AD23" s="13" t="s">
        <v>546</v>
      </c>
      <c r="AE23" s="403">
        <v>0</v>
      </c>
      <c r="AF23" s="199"/>
      <c r="AH23" s="186">
        <v>13</v>
      </c>
      <c r="AI23" s="186" t="b">
        <f t="shared" si="0"/>
        <v>0</v>
      </c>
      <c r="AJ23" s="186" t="b">
        <f t="shared" si="11"/>
        <v>0</v>
      </c>
      <c r="AK23" s="298" t="b">
        <f t="shared" si="12"/>
        <v>0</v>
      </c>
      <c r="AL23" s="145">
        <f t="shared" si="13"/>
        <v>-1.2399999999999995</v>
      </c>
      <c r="AM23" s="145">
        <f t="shared" si="14"/>
        <v>-0.87999999999999967</v>
      </c>
      <c r="AN23" s="145">
        <f t="shared" si="15"/>
        <v>-0.43999999999999984</v>
      </c>
      <c r="AO23" s="145">
        <v>0</v>
      </c>
      <c r="AP23" s="145">
        <v>0</v>
      </c>
      <c r="AQ23" s="877"/>
      <c r="AR23" s="287">
        <f t="shared" ca="1" si="1"/>
        <v>-1.3756182047999999</v>
      </c>
      <c r="AS23" s="287">
        <f t="shared" ca="1" si="2"/>
        <v>-0.97624517759999985</v>
      </c>
      <c r="AT23" s="287">
        <f t="shared" ca="1" si="3"/>
        <v>-0.48812258879999992</v>
      </c>
      <c r="AU23" s="287">
        <f t="shared" ca="1" si="4"/>
        <v>0</v>
      </c>
      <c r="AV23" s="287">
        <f t="shared" ca="1" si="5"/>
        <v>0</v>
      </c>
      <c r="AW23" s="877"/>
      <c r="AY23" s="145">
        <f t="shared" si="16"/>
        <v>0.16</v>
      </c>
      <c r="AZ23" s="145">
        <f t="shared" si="17"/>
        <v>0.16</v>
      </c>
      <c r="BA23" s="145">
        <f t="shared" si="18"/>
        <v>0.16</v>
      </c>
      <c r="BB23" s="145">
        <v>0</v>
      </c>
      <c r="BC23" s="145">
        <v>0</v>
      </c>
      <c r="BD23" s="877"/>
      <c r="BE23" s="287">
        <f t="shared" ca="1" si="6"/>
        <v>0.17749912320000003</v>
      </c>
      <c r="BF23" s="287">
        <f t="shared" ca="1" si="7"/>
        <v>0.17749912320000003</v>
      </c>
      <c r="BG23" s="287">
        <f t="shared" ca="1" si="8"/>
        <v>0.17749912320000003</v>
      </c>
      <c r="BH23" s="287">
        <f t="shared" ca="1" si="9"/>
        <v>0</v>
      </c>
      <c r="BI23" s="287">
        <f t="shared" ca="1" si="10"/>
        <v>0</v>
      </c>
      <c r="BJ23" s="877"/>
    </row>
    <row r="24" spans="2:62" ht="17.100000000000001" customHeight="1">
      <c r="B24" s="119"/>
      <c r="C24" s="739" t="s">
        <v>390</v>
      </c>
      <c r="D24" s="740"/>
      <c r="E24" s="740"/>
      <c r="F24" s="740"/>
      <c r="G24" s="740"/>
      <c r="H24" s="740"/>
      <c r="I24" s="740"/>
      <c r="J24" s="740"/>
      <c r="K24" s="740"/>
      <c r="L24" s="740"/>
      <c r="M24" s="587">
        <f>1.35*M23*Z18</f>
        <v>57.461899565910407</v>
      </c>
      <c r="N24" s="588"/>
      <c r="O24" s="23"/>
      <c r="P24" s="754" t="s">
        <v>444</v>
      </c>
      <c r="Q24" s="755"/>
      <c r="R24" s="755"/>
      <c r="S24" s="863" t="str">
        <f ca="1">FIXED(MAX(AT5:AT8),3)&amp;IF(AH4=2,"/"&amp;FIXED(MAX(AX5:AX8),3),"")</f>
        <v>0.738/0.738</v>
      </c>
      <c r="T24" s="863"/>
      <c r="U24" s="863"/>
      <c r="V24" s="768" t="str">
        <f ca="1">FIXED(MAX(AU5:AU8),3)</f>
        <v>0.701</v>
      </c>
      <c r="W24" s="768"/>
      <c r="X24" s="768" t="str">
        <f ca="1">FIXED(MAX(AV5:AV8),3)</f>
        <v>0.664</v>
      </c>
      <c r="Y24" s="768"/>
      <c r="Z24" s="768" t="str">
        <f ca="1">IF(OR($AH$4&lt;&gt;2,AI12&gt;=M14),"-",FIXED(MAX(AW5:AW8),3))</f>
        <v>0.627</v>
      </c>
      <c r="AA24" s="797"/>
      <c r="AB24" s="120"/>
      <c r="AD24" s="13" t="s">
        <v>547</v>
      </c>
      <c r="AE24" s="403">
        <v>1</v>
      </c>
      <c r="AF24" s="199"/>
      <c r="AH24" s="186">
        <v>14</v>
      </c>
      <c r="AI24" s="186" t="b">
        <f t="shared" si="0"/>
        <v>0</v>
      </c>
      <c r="AJ24" s="186" t="b">
        <f t="shared" si="11"/>
        <v>0</v>
      </c>
      <c r="AK24" s="298" t="b">
        <f t="shared" si="12"/>
        <v>0</v>
      </c>
      <c r="AL24" s="145">
        <f t="shared" si="13"/>
        <v>-1.1699999999999995</v>
      </c>
      <c r="AM24" s="145">
        <f t="shared" si="14"/>
        <v>-0.83999999999999964</v>
      </c>
      <c r="AN24" s="145">
        <f t="shared" si="15"/>
        <v>-0.41999999999999982</v>
      </c>
      <c r="AO24" s="145">
        <v>0</v>
      </c>
      <c r="AP24" s="145">
        <v>0</v>
      </c>
      <c r="AQ24" s="877"/>
      <c r="AR24" s="287">
        <f t="shared" ca="1" si="1"/>
        <v>-1.2979623383999996</v>
      </c>
      <c r="AS24" s="287">
        <f t="shared" ca="1" si="2"/>
        <v>-0.93187039679999983</v>
      </c>
      <c r="AT24" s="287">
        <f t="shared" ca="1" si="3"/>
        <v>-0.46593519839999992</v>
      </c>
      <c r="AU24" s="287">
        <f t="shared" ca="1" si="4"/>
        <v>0</v>
      </c>
      <c r="AV24" s="287">
        <f t="shared" ca="1" si="5"/>
        <v>0</v>
      </c>
      <c r="AW24" s="877"/>
      <c r="AY24" s="145">
        <f t="shared" si="16"/>
        <v>0.18</v>
      </c>
      <c r="AZ24" s="145">
        <f t="shared" si="17"/>
        <v>0.18</v>
      </c>
      <c r="BA24" s="145">
        <f t="shared" si="18"/>
        <v>0.18</v>
      </c>
      <c r="BB24" s="145">
        <v>0</v>
      </c>
      <c r="BC24" s="145">
        <v>0</v>
      </c>
      <c r="BD24" s="877"/>
      <c r="BE24" s="287">
        <f t="shared" ca="1" si="6"/>
        <v>0.19968651360000003</v>
      </c>
      <c r="BF24" s="287">
        <f t="shared" ca="1" si="7"/>
        <v>0.19968651360000003</v>
      </c>
      <c r="BG24" s="287">
        <f t="shared" ca="1" si="8"/>
        <v>0.19968651360000003</v>
      </c>
      <c r="BH24" s="287">
        <f t="shared" ca="1" si="9"/>
        <v>0</v>
      </c>
      <c r="BI24" s="287">
        <f t="shared" ca="1" si="10"/>
        <v>0</v>
      </c>
      <c r="BJ24" s="877"/>
    </row>
    <row r="25" spans="2:62" ht="17.100000000000001" customHeight="1">
      <c r="B25" s="119"/>
      <c r="C25" s="23"/>
      <c r="D25" s="23"/>
      <c r="E25" s="23"/>
      <c r="F25" s="23"/>
      <c r="G25" s="23"/>
      <c r="H25" s="23"/>
      <c r="I25" s="23"/>
      <c r="J25" s="23"/>
      <c r="K25" s="23"/>
      <c r="L25" s="23"/>
      <c r="M25" s="23"/>
      <c r="N25" s="23"/>
      <c r="O25" s="23"/>
      <c r="P25" s="869" t="s">
        <v>442</v>
      </c>
      <c r="Q25" s="784"/>
      <c r="R25" s="784"/>
      <c r="S25" s="784"/>
      <c r="T25" s="784"/>
      <c r="U25" s="784"/>
      <c r="V25" s="784"/>
      <c r="W25" s="784"/>
      <c r="X25" s="784"/>
      <c r="Y25" s="784"/>
      <c r="Z25" s="784"/>
      <c r="AA25" s="784"/>
      <c r="AB25" s="120"/>
      <c r="AD25" s="210" t="s">
        <v>584</v>
      </c>
      <c r="AE25" s="403" t="s">
        <v>115</v>
      </c>
      <c r="AF25" s="199"/>
      <c r="AH25" s="186">
        <v>15</v>
      </c>
      <c r="AI25" s="186" t="b">
        <f t="shared" si="0"/>
        <v>0</v>
      </c>
      <c r="AJ25" s="186" t="b">
        <f t="shared" si="11"/>
        <v>0</v>
      </c>
      <c r="AK25" s="298" t="b">
        <f t="shared" si="12"/>
        <v>0</v>
      </c>
      <c r="AL25" s="287">
        <v>-1.1000000000000001</v>
      </c>
      <c r="AM25" s="287">
        <v>-0.8</v>
      </c>
      <c r="AN25" s="287">
        <v>-0.4</v>
      </c>
      <c r="AO25" s="287">
        <v>0</v>
      </c>
      <c r="AP25" s="287">
        <v>0</v>
      </c>
      <c r="AQ25" s="877"/>
      <c r="AR25" s="287">
        <f t="shared" ca="1" si="1"/>
        <v>-1.2203064720000003</v>
      </c>
      <c r="AS25" s="287">
        <f t="shared" ca="1" si="2"/>
        <v>-0.88749561600000026</v>
      </c>
      <c r="AT25" s="287">
        <f t="shared" ca="1" si="3"/>
        <v>-0.44374780800000013</v>
      </c>
      <c r="AU25" s="287">
        <f t="shared" ca="1" si="4"/>
        <v>0</v>
      </c>
      <c r="AV25" s="287">
        <f t="shared" ca="1" si="5"/>
        <v>0</v>
      </c>
      <c r="AW25" s="877"/>
      <c r="AY25" s="287">
        <v>0.2</v>
      </c>
      <c r="AZ25" s="287">
        <v>0.2</v>
      </c>
      <c r="BA25" s="287">
        <v>0.2</v>
      </c>
      <c r="BB25" s="287">
        <v>0</v>
      </c>
      <c r="BC25" s="287">
        <v>0</v>
      </c>
      <c r="BD25" s="877"/>
      <c r="BE25" s="287">
        <f t="shared" ca="1" si="6"/>
        <v>0.22187390400000007</v>
      </c>
      <c r="BF25" s="287">
        <f t="shared" ca="1" si="7"/>
        <v>0.22187390400000007</v>
      </c>
      <c r="BG25" s="287">
        <f t="shared" ca="1" si="8"/>
        <v>0.22187390400000007</v>
      </c>
      <c r="BH25" s="287">
        <f t="shared" ca="1" si="9"/>
        <v>0</v>
      </c>
      <c r="BI25" s="287">
        <f t="shared" ca="1" si="10"/>
        <v>0</v>
      </c>
      <c r="BJ25" s="877"/>
    </row>
    <row r="26" spans="2:62" ht="17.100000000000001" customHeight="1">
      <c r="B26" s="119"/>
      <c r="C26" s="573" t="s">
        <v>428</v>
      </c>
      <c r="D26" s="574"/>
      <c r="E26" s="574"/>
      <c r="F26" s="574"/>
      <c r="G26" s="574"/>
      <c r="H26" s="574"/>
      <c r="I26" s="574"/>
      <c r="J26" s="574"/>
      <c r="K26" s="574"/>
      <c r="L26" s="574"/>
      <c r="M26" s="574"/>
      <c r="N26" s="574"/>
      <c r="O26" s="574"/>
      <c r="P26" s="575"/>
      <c r="Q26" s="23"/>
      <c r="R26" s="23"/>
      <c r="S26" s="23"/>
      <c r="T26" s="23"/>
      <c r="U26" s="23"/>
      <c r="V26" s="23"/>
      <c r="W26" s="23"/>
      <c r="X26" s="23"/>
      <c r="Y26" s="23"/>
      <c r="Z26" s="23"/>
      <c r="AA26" s="23"/>
      <c r="AB26" s="120"/>
      <c r="AD26" s="210" t="s">
        <v>548</v>
      </c>
      <c r="AE26" s="403">
        <v>1</v>
      </c>
      <c r="AF26" s="199"/>
      <c r="AH26" s="186">
        <v>16</v>
      </c>
      <c r="AI26" s="186" t="b">
        <f t="shared" si="0"/>
        <v>0</v>
      </c>
      <c r="AJ26" s="186" t="b">
        <f t="shared" si="11"/>
        <v>0</v>
      </c>
      <c r="AK26" s="298" t="b">
        <f t="shared" si="12"/>
        <v>0</v>
      </c>
      <c r="AL26" s="145">
        <f>+ABS($AL$25-$AL$40)/15+AL25</f>
        <v>-1.06</v>
      </c>
      <c r="AM26" s="145">
        <f>+ABS($AM$25-$AM$40)/15+AM25</f>
        <v>-0.78</v>
      </c>
      <c r="AN26" s="145">
        <f>+ABS($AN$25-$AN$40)/15+AN25</f>
        <v>-0.36</v>
      </c>
      <c r="AO26" s="145">
        <v>0</v>
      </c>
      <c r="AP26" s="145">
        <v>0</v>
      </c>
      <c r="AQ26" s="877"/>
      <c r="AR26" s="287">
        <f t="shared" ca="1" si="1"/>
        <v>-1.1759316912000002</v>
      </c>
      <c r="AS26" s="287">
        <f t="shared" ca="1" si="2"/>
        <v>-0.8653082256000002</v>
      </c>
      <c r="AT26" s="287">
        <f t="shared" ca="1" si="3"/>
        <v>-0.39937302720000006</v>
      </c>
      <c r="AU26" s="287">
        <f t="shared" ca="1" si="4"/>
        <v>0</v>
      </c>
      <c r="AV26" s="287">
        <f t="shared" ca="1" si="5"/>
        <v>0</v>
      </c>
      <c r="AW26" s="877"/>
      <c r="AY26" s="145">
        <f>+ABS($AY$25-$AY$40)/15+AY25</f>
        <v>0.24000000000000002</v>
      </c>
      <c r="AZ26" s="145">
        <f>+ABS($AZ$25-$AZ$40)/15+AZ25</f>
        <v>0.22</v>
      </c>
      <c r="BA26" s="145">
        <f>+ABS($BA$25-$BA$40)/15+BA25</f>
        <v>0.21333333333333335</v>
      </c>
      <c r="BB26" s="145">
        <v>0</v>
      </c>
      <c r="BC26" s="145">
        <v>0</v>
      </c>
      <c r="BD26" s="877"/>
      <c r="BE26" s="287">
        <f t="shared" ca="1" si="6"/>
        <v>0.26624868480000008</v>
      </c>
      <c r="BF26" s="287">
        <f t="shared" ca="1" si="7"/>
        <v>0.24406129440000005</v>
      </c>
      <c r="BG26" s="287">
        <f t="shared" ca="1" si="8"/>
        <v>0.23666549760000005</v>
      </c>
      <c r="BH26" s="287">
        <f t="shared" ca="1" si="9"/>
        <v>0</v>
      </c>
      <c r="BI26" s="287">
        <f t="shared" ca="1" si="10"/>
        <v>0</v>
      </c>
      <c r="BJ26" s="877"/>
    </row>
    <row r="27" spans="2:62" ht="17.100000000000001" customHeight="1">
      <c r="B27" s="119"/>
      <c r="C27" s="870" t="s">
        <v>385</v>
      </c>
      <c r="D27" s="871"/>
      <c r="E27" s="871"/>
      <c r="F27" s="871"/>
      <c r="G27" s="871"/>
      <c r="H27" s="867" t="s">
        <v>432</v>
      </c>
      <c r="I27" s="867"/>
      <c r="J27" s="867"/>
      <c r="K27" s="867" t="s">
        <v>121</v>
      </c>
      <c r="L27" s="867"/>
      <c r="M27" s="867" t="s">
        <v>93</v>
      </c>
      <c r="N27" s="867"/>
      <c r="O27" s="867" t="s">
        <v>40</v>
      </c>
      <c r="P27" s="868"/>
      <c r="Q27" s="23"/>
      <c r="R27" s="23"/>
      <c r="S27" s="23"/>
      <c r="T27" s="23"/>
      <c r="U27" s="23"/>
      <c r="V27" s="23"/>
      <c r="W27" s="23"/>
      <c r="X27" s="23"/>
      <c r="Y27" s="23"/>
      <c r="Z27" s="23"/>
      <c r="AA27" s="23"/>
      <c r="AB27" s="120"/>
      <c r="AD27" s="210" t="s">
        <v>549</v>
      </c>
      <c r="AE27" s="403">
        <v>2</v>
      </c>
      <c r="AF27" s="199"/>
      <c r="AH27" s="186">
        <v>17</v>
      </c>
      <c r="AI27" s="186" t="b">
        <f t="shared" si="0"/>
        <v>0</v>
      </c>
      <c r="AJ27" s="186" t="b">
        <f t="shared" si="11"/>
        <v>0</v>
      </c>
      <c r="AK27" s="298" t="b">
        <f t="shared" si="12"/>
        <v>0</v>
      </c>
      <c r="AL27" s="145">
        <f t="shared" ref="AL27:AL39" si="19">+ABS($AL$25-$AL$40)/15+AL26</f>
        <v>-1.02</v>
      </c>
      <c r="AM27" s="145">
        <f t="shared" ref="AM27:AM39" si="20">+ABS($AM$25-$AM$40)/15+AM26</f>
        <v>-0.76</v>
      </c>
      <c r="AN27" s="145">
        <f t="shared" ref="AN27:AN39" si="21">+ABS($AN$25-$AN$40)/15+AN26</f>
        <v>-0.31999999999999995</v>
      </c>
      <c r="AO27" s="145">
        <v>0</v>
      </c>
      <c r="AP27" s="145">
        <v>0</v>
      </c>
      <c r="AQ27" s="877"/>
      <c r="AR27" s="287">
        <f t="shared" ca="1" si="1"/>
        <v>-1.1315569104000003</v>
      </c>
      <c r="AS27" s="287">
        <f t="shared" ca="1" si="2"/>
        <v>-0.84312083520000014</v>
      </c>
      <c r="AT27" s="287">
        <f t="shared" ca="1" si="3"/>
        <v>-0.35499824639999999</v>
      </c>
      <c r="AU27" s="287">
        <f t="shared" ca="1" si="4"/>
        <v>0</v>
      </c>
      <c r="AV27" s="287">
        <f t="shared" ca="1" si="5"/>
        <v>0</v>
      </c>
      <c r="AW27" s="877"/>
      <c r="AY27" s="145">
        <f t="shared" ref="AY27:AY39" si="22">+ABS($AY$25-$AY$40)/15+AY26</f>
        <v>0.28000000000000003</v>
      </c>
      <c r="AZ27" s="145">
        <f t="shared" ref="AZ27:AZ39" si="23">+ABS($AZ$25-$AZ$40)/15+AZ26</f>
        <v>0.24</v>
      </c>
      <c r="BA27" s="145">
        <f t="shared" ref="BA27:BA39" si="24">+ABS($BA$25-$BA$40)/15+BA26</f>
        <v>0.22666666666666668</v>
      </c>
      <c r="BB27" s="145">
        <v>0</v>
      </c>
      <c r="BC27" s="145">
        <v>0</v>
      </c>
      <c r="BD27" s="877"/>
      <c r="BE27" s="287">
        <f t="shared" ca="1" si="6"/>
        <v>0.31062346560000009</v>
      </c>
      <c r="BF27" s="287">
        <f t="shared" ca="1" si="7"/>
        <v>0.26624868480000002</v>
      </c>
      <c r="BG27" s="287">
        <f t="shared" ca="1" si="8"/>
        <v>0.25145709120000009</v>
      </c>
      <c r="BH27" s="287">
        <f t="shared" ca="1" si="9"/>
        <v>0</v>
      </c>
      <c r="BI27" s="287">
        <f t="shared" ca="1" si="10"/>
        <v>0</v>
      </c>
      <c r="BJ27" s="877"/>
    </row>
    <row r="28" spans="2:62" ht="17.100000000000001" customHeight="1">
      <c r="B28" s="119"/>
      <c r="C28" s="865" t="s">
        <v>434</v>
      </c>
      <c r="D28" s="866"/>
      <c r="E28" s="719" t="s">
        <v>501</v>
      </c>
      <c r="F28" s="719"/>
      <c r="G28" s="719"/>
      <c r="H28" s="842" t="str">
        <f>FIXED(AM9,3)&amp;IF(AH4=2,"/"&amp;FIXED(AQ9,3),"")</f>
        <v>-1.500/-2.300</v>
      </c>
      <c r="I28" s="842"/>
      <c r="J28" s="842"/>
      <c r="K28" s="711" t="str">
        <f>FIXED(AN9,3)</f>
        <v>-1.133</v>
      </c>
      <c r="L28" s="711"/>
      <c r="M28" s="711" t="str">
        <f>FIXED(AO9,3)</f>
        <v>-0.867</v>
      </c>
      <c r="N28" s="711"/>
      <c r="O28" s="711" t="str">
        <f>IF(OR($AH$4&lt;&gt;2,AI12&gt;=M14),"-",FIXED(AP9,3))</f>
        <v>-0.800</v>
      </c>
      <c r="P28" s="712"/>
      <c r="Q28" s="23"/>
      <c r="R28" s="23"/>
      <c r="S28" s="23"/>
      <c r="T28" s="23"/>
      <c r="U28" s="23"/>
      <c r="V28" s="23"/>
      <c r="W28" s="23"/>
      <c r="X28" s="23"/>
      <c r="Y28" s="23"/>
      <c r="Z28" s="23"/>
      <c r="AA28" s="23"/>
      <c r="AB28" s="120"/>
      <c r="AD28" s="210" t="s">
        <v>550</v>
      </c>
      <c r="AE28" s="404">
        <v>45</v>
      </c>
      <c r="AF28" s="199"/>
      <c r="AH28" s="186">
        <v>18</v>
      </c>
      <c r="AI28" s="186" t="b">
        <f t="shared" si="0"/>
        <v>0</v>
      </c>
      <c r="AJ28" s="186" t="b">
        <f t="shared" si="11"/>
        <v>0</v>
      </c>
      <c r="AK28" s="298" t="b">
        <f t="shared" si="12"/>
        <v>0</v>
      </c>
      <c r="AL28" s="145">
        <f t="shared" si="19"/>
        <v>-0.98</v>
      </c>
      <c r="AM28" s="145">
        <f t="shared" si="20"/>
        <v>-0.74</v>
      </c>
      <c r="AN28" s="145">
        <f t="shared" si="21"/>
        <v>-0.27999999999999992</v>
      </c>
      <c r="AO28" s="145">
        <v>0</v>
      </c>
      <c r="AP28" s="145">
        <v>0</v>
      </c>
      <c r="AQ28" s="877"/>
      <c r="AR28" s="287">
        <f t="shared" ca="1" si="1"/>
        <v>-1.0871821296000002</v>
      </c>
      <c r="AS28" s="287">
        <f t="shared" ca="1" si="2"/>
        <v>-0.82093344480000019</v>
      </c>
      <c r="AT28" s="287">
        <f t="shared" ca="1" si="3"/>
        <v>-0.31062346559999998</v>
      </c>
      <c r="AU28" s="287">
        <f t="shared" ca="1" si="4"/>
        <v>0</v>
      </c>
      <c r="AV28" s="287">
        <f t="shared" ca="1" si="5"/>
        <v>0</v>
      </c>
      <c r="AW28" s="877"/>
      <c r="AY28" s="145">
        <f t="shared" si="22"/>
        <v>0.32000000000000006</v>
      </c>
      <c r="AZ28" s="145">
        <f t="shared" si="23"/>
        <v>0.26</v>
      </c>
      <c r="BA28" s="145">
        <f t="shared" si="24"/>
        <v>0.24000000000000002</v>
      </c>
      <c r="BB28" s="145">
        <v>0</v>
      </c>
      <c r="BC28" s="145">
        <v>0</v>
      </c>
      <c r="BD28" s="877"/>
      <c r="BE28" s="287">
        <f t="shared" ca="1" si="6"/>
        <v>0.35499824640000016</v>
      </c>
      <c r="BF28" s="287">
        <f t="shared" ca="1" si="7"/>
        <v>0.28843607520000009</v>
      </c>
      <c r="BG28" s="287">
        <f t="shared" ca="1" si="8"/>
        <v>0.26624868480000008</v>
      </c>
      <c r="BH28" s="287">
        <f t="shared" ca="1" si="9"/>
        <v>0</v>
      </c>
      <c r="BI28" s="287">
        <f t="shared" ca="1" si="10"/>
        <v>0</v>
      </c>
      <c r="BJ28" s="877"/>
    </row>
    <row r="29" spans="2:62" ht="17.100000000000001" customHeight="1">
      <c r="B29" s="119"/>
      <c r="C29" s="835" t="s">
        <v>435</v>
      </c>
      <c r="D29" s="836"/>
      <c r="E29" s="837" t="s">
        <v>501</v>
      </c>
      <c r="F29" s="837"/>
      <c r="G29" s="837"/>
      <c r="H29" s="864" t="str">
        <f>FIXED(AM10,3)&amp;IF(AH4=2,"/"&amp;FIXED(AQ10,3),"")</f>
        <v>0.300/0.300</v>
      </c>
      <c r="I29" s="864"/>
      <c r="J29" s="864"/>
      <c r="K29" s="746" t="str">
        <f>FIXED(AN10,3)</f>
        <v>0.267</v>
      </c>
      <c r="L29" s="746"/>
      <c r="M29" s="746" t="str">
        <f>FIXED(AO10,3)</f>
        <v>0.233</v>
      </c>
      <c r="N29" s="746"/>
      <c r="O29" s="746" t="str">
        <f>IF(OR($AH$4&lt;&gt;2,AI12&gt;=M14),"-",FIXED(AP10,3))</f>
        <v>0.200</v>
      </c>
      <c r="P29" s="747"/>
      <c r="Q29" s="23"/>
      <c r="R29" s="23"/>
      <c r="S29" s="23"/>
      <c r="T29" s="23"/>
      <c r="U29" s="23"/>
      <c r="V29" s="23"/>
      <c r="W29" s="23"/>
      <c r="X29" s="23"/>
      <c r="Y29" s="23"/>
      <c r="Z29" s="23"/>
      <c r="AA29" s="23"/>
      <c r="AB29" s="120"/>
      <c r="AD29" s="210" t="s">
        <v>586</v>
      </c>
      <c r="AE29" s="399">
        <f>M17</f>
        <v>20</v>
      </c>
      <c r="AF29" s="199" t="s">
        <v>569</v>
      </c>
      <c r="AH29" s="186">
        <v>19</v>
      </c>
      <c r="AI29" s="186" t="b">
        <f t="shared" si="0"/>
        <v>0</v>
      </c>
      <c r="AJ29" s="186" t="b">
        <f t="shared" si="11"/>
        <v>0</v>
      </c>
      <c r="AK29" s="298" t="b">
        <f t="shared" si="12"/>
        <v>0</v>
      </c>
      <c r="AL29" s="145">
        <f t="shared" si="19"/>
        <v>-0.94</v>
      </c>
      <c r="AM29" s="145">
        <f t="shared" si="20"/>
        <v>-0.72</v>
      </c>
      <c r="AN29" s="145">
        <f t="shared" si="21"/>
        <v>-0.23999999999999991</v>
      </c>
      <c r="AO29" s="145">
        <v>0</v>
      </c>
      <c r="AP29" s="145">
        <v>0</v>
      </c>
      <c r="AQ29" s="877"/>
      <c r="AR29" s="287">
        <f t="shared" ca="1" si="1"/>
        <v>-1.0428073488000003</v>
      </c>
      <c r="AS29" s="287">
        <f t="shared" ca="1" si="2"/>
        <v>-0.79874605440000013</v>
      </c>
      <c r="AT29" s="287">
        <f t="shared" ca="1" si="3"/>
        <v>-0.26624868479999997</v>
      </c>
      <c r="AU29" s="287">
        <f t="shared" ca="1" si="4"/>
        <v>0</v>
      </c>
      <c r="AV29" s="287">
        <f t="shared" ca="1" si="5"/>
        <v>0</v>
      </c>
      <c r="AW29" s="877"/>
      <c r="AY29" s="145">
        <f t="shared" si="22"/>
        <v>0.3600000000000001</v>
      </c>
      <c r="AZ29" s="145">
        <f t="shared" si="23"/>
        <v>0.28000000000000003</v>
      </c>
      <c r="BA29" s="145">
        <f t="shared" si="24"/>
        <v>0.25333333333333335</v>
      </c>
      <c r="BB29" s="145">
        <v>0</v>
      </c>
      <c r="BC29" s="145">
        <v>0</v>
      </c>
      <c r="BD29" s="877"/>
      <c r="BE29" s="287">
        <f t="shared" ca="1" si="6"/>
        <v>0.39937302720000017</v>
      </c>
      <c r="BF29" s="287">
        <f t="shared" ca="1" si="7"/>
        <v>0.31062346560000009</v>
      </c>
      <c r="BG29" s="287">
        <f t="shared" ca="1" si="8"/>
        <v>0.28104027840000007</v>
      </c>
      <c r="BH29" s="287">
        <f t="shared" ca="1" si="9"/>
        <v>0</v>
      </c>
      <c r="BI29" s="287">
        <f t="shared" ca="1" si="10"/>
        <v>0</v>
      </c>
      <c r="BJ29" s="877"/>
    </row>
    <row r="30" spans="2:62" ht="17.100000000000001" customHeight="1">
      <c r="B30" s="119"/>
      <c r="C30" s="838" t="s">
        <v>434</v>
      </c>
      <c r="D30" s="839"/>
      <c r="E30" s="753" t="s">
        <v>422</v>
      </c>
      <c r="F30" s="753"/>
      <c r="G30" s="753"/>
      <c r="H30" s="842" t="str">
        <f ca="1">FIXED(AM5,3)&amp;IF(AH4=2,"/"&amp;FIXED(AQ5,3),"")</f>
        <v>-1.664/-2.552</v>
      </c>
      <c r="I30" s="842"/>
      <c r="J30" s="842"/>
      <c r="K30" s="711" t="str">
        <f ca="1">FIXED(AN5,3)</f>
        <v>-1.257</v>
      </c>
      <c r="L30" s="711"/>
      <c r="M30" s="711" t="str">
        <f ca="1">FIXED(AO5,3)</f>
        <v>-0.961</v>
      </c>
      <c r="N30" s="711"/>
      <c r="O30" s="711" t="str">
        <f ca="1">IF(OR($AH$4&lt;&gt;2,AI12&gt;=M14),"-",FIXED(AP5,3))</f>
        <v>-0.887</v>
      </c>
      <c r="P30" s="712"/>
      <c r="Q30" s="23"/>
      <c r="R30" s="23"/>
      <c r="S30" s="23"/>
      <c r="T30" s="23"/>
      <c r="U30" s="23"/>
      <c r="V30" s="23"/>
      <c r="W30" s="23"/>
      <c r="X30" s="23"/>
      <c r="Y30" s="23"/>
      <c r="Z30" s="23"/>
      <c r="AA30" s="23"/>
      <c r="AB30" s="120"/>
      <c r="AD30" s="210" t="s">
        <v>585</v>
      </c>
      <c r="AE30" s="405">
        <f>M18</f>
        <v>90</v>
      </c>
      <c r="AF30" s="199" t="s">
        <v>570</v>
      </c>
      <c r="AH30" s="186">
        <v>20</v>
      </c>
      <c r="AI30" s="186" t="b">
        <f t="shared" si="0"/>
        <v>1</v>
      </c>
      <c r="AJ30" s="186" t="b">
        <f t="shared" si="11"/>
        <v>0</v>
      </c>
      <c r="AK30" s="298" t="b">
        <f t="shared" si="12"/>
        <v>0</v>
      </c>
      <c r="AL30" s="145">
        <f t="shared" si="19"/>
        <v>-0.89999999999999991</v>
      </c>
      <c r="AM30" s="145">
        <f t="shared" si="20"/>
        <v>-0.7</v>
      </c>
      <c r="AN30" s="145">
        <f t="shared" si="21"/>
        <v>-0.1999999999999999</v>
      </c>
      <c r="AO30" s="145">
        <v>0</v>
      </c>
      <c r="AP30" s="145">
        <v>0</v>
      </c>
      <c r="AQ30" s="877"/>
      <c r="AR30" s="287">
        <f t="shared" ca="1" si="1"/>
        <v>-0.99843256800000013</v>
      </c>
      <c r="AS30" s="287">
        <f t="shared" ca="1" si="2"/>
        <v>-0.77655866400000007</v>
      </c>
      <c r="AT30" s="287">
        <f t="shared" ca="1" si="3"/>
        <v>-0.22187390399999993</v>
      </c>
      <c r="AU30" s="287">
        <f t="shared" ca="1" si="4"/>
        <v>0</v>
      </c>
      <c r="AV30" s="287">
        <f t="shared" ca="1" si="5"/>
        <v>0</v>
      </c>
      <c r="AW30" s="877"/>
      <c r="AY30" s="145">
        <f t="shared" si="22"/>
        <v>0.40000000000000013</v>
      </c>
      <c r="AZ30" s="145">
        <f t="shared" si="23"/>
        <v>0.30000000000000004</v>
      </c>
      <c r="BA30" s="145">
        <f t="shared" si="24"/>
        <v>0.26666666666666666</v>
      </c>
      <c r="BB30" s="145">
        <v>0</v>
      </c>
      <c r="BC30" s="145">
        <v>0</v>
      </c>
      <c r="BD30" s="877"/>
      <c r="BE30" s="287">
        <f t="shared" ca="1" si="6"/>
        <v>0.44374780800000024</v>
      </c>
      <c r="BF30" s="287">
        <f t="shared" ca="1" si="7"/>
        <v>0.3328108560000001</v>
      </c>
      <c r="BG30" s="287">
        <f t="shared" ca="1" si="8"/>
        <v>0.29583187200000005</v>
      </c>
      <c r="BH30" s="287">
        <f t="shared" ca="1" si="9"/>
        <v>0</v>
      </c>
      <c r="BI30" s="287">
        <f t="shared" ca="1" si="10"/>
        <v>0</v>
      </c>
      <c r="BJ30" s="877"/>
    </row>
    <row r="31" spans="2:62" ht="17.100000000000001" customHeight="1">
      <c r="B31" s="119"/>
      <c r="C31" s="840" t="s">
        <v>435</v>
      </c>
      <c r="D31" s="841"/>
      <c r="E31" s="755" t="s">
        <v>422</v>
      </c>
      <c r="F31" s="755"/>
      <c r="G31" s="755"/>
      <c r="H31" s="863" t="str">
        <f ca="1">FIXED(AM7,3)&amp;IF(AH4=2,"/"&amp;FIXED(AQ7,3),"")</f>
        <v>0.333/0.333</v>
      </c>
      <c r="I31" s="863"/>
      <c r="J31" s="863"/>
      <c r="K31" s="768" t="str">
        <f ca="1">FIXED(AN7,3)</f>
        <v>0.296</v>
      </c>
      <c r="L31" s="768"/>
      <c r="M31" s="768" t="str">
        <f ca="1">FIXED(AO7,3)</f>
        <v>0.259</v>
      </c>
      <c r="N31" s="768"/>
      <c r="O31" s="768" t="str">
        <f ca="1">IF(OR($AH$4&lt;&gt;2,AI12&gt;=M14),"-",FIXED(AP7,3))</f>
        <v>0.222</v>
      </c>
      <c r="P31" s="797"/>
      <c r="Q31" s="23"/>
      <c r="R31" s="23"/>
      <c r="S31" s="23"/>
      <c r="T31" s="23"/>
      <c r="U31" s="23"/>
      <c r="V31" s="23"/>
      <c r="W31" s="23"/>
      <c r="X31" s="23"/>
      <c r="Y31" s="23"/>
      <c r="Z31" s="23"/>
      <c r="AA31" s="23"/>
      <c r="AB31" s="120"/>
      <c r="AD31" s="210" t="s">
        <v>552</v>
      </c>
      <c r="AE31" s="401" t="s">
        <v>465</v>
      </c>
      <c r="AF31" s="199"/>
      <c r="AH31" s="186">
        <v>21</v>
      </c>
      <c r="AI31" s="186" t="b">
        <f t="shared" si="0"/>
        <v>0</v>
      </c>
      <c r="AJ31" s="186" t="b">
        <f t="shared" si="11"/>
        <v>0</v>
      </c>
      <c r="AK31" s="298" t="b">
        <f t="shared" si="12"/>
        <v>0</v>
      </c>
      <c r="AL31" s="145">
        <f t="shared" si="19"/>
        <v>-0.85999999999999988</v>
      </c>
      <c r="AM31" s="145">
        <f t="shared" si="20"/>
        <v>-0.67999999999999994</v>
      </c>
      <c r="AN31" s="145">
        <f t="shared" si="21"/>
        <v>-0.15999999999999989</v>
      </c>
      <c r="AO31" s="145">
        <v>0</v>
      </c>
      <c r="AP31" s="145">
        <v>0</v>
      </c>
      <c r="AQ31" s="877"/>
      <c r="AR31" s="287">
        <f t="shared" ca="1" si="1"/>
        <v>-0.95405778720000001</v>
      </c>
      <c r="AS31" s="287">
        <f t="shared" ca="1" si="2"/>
        <v>-0.75437127360000011</v>
      </c>
      <c r="AT31" s="287">
        <f t="shared" ca="1" si="3"/>
        <v>-0.17749912319999991</v>
      </c>
      <c r="AU31" s="287">
        <f t="shared" ca="1" si="4"/>
        <v>0</v>
      </c>
      <c r="AV31" s="287">
        <f t="shared" ca="1" si="5"/>
        <v>0</v>
      </c>
      <c r="AW31" s="877"/>
      <c r="AY31" s="145">
        <f t="shared" si="22"/>
        <v>0.44000000000000017</v>
      </c>
      <c r="AZ31" s="145">
        <f t="shared" si="23"/>
        <v>0.32000000000000006</v>
      </c>
      <c r="BA31" s="145">
        <f t="shared" si="24"/>
        <v>0.27999999999999997</v>
      </c>
      <c r="BB31" s="145">
        <v>0</v>
      </c>
      <c r="BC31" s="145">
        <v>0</v>
      </c>
      <c r="BD31" s="877"/>
      <c r="BE31" s="287">
        <f t="shared" ca="1" si="6"/>
        <v>0.48812258880000026</v>
      </c>
      <c r="BF31" s="287">
        <f t="shared" ca="1" si="7"/>
        <v>0.35499824640000016</v>
      </c>
      <c r="BG31" s="287">
        <f t="shared" ca="1" si="8"/>
        <v>0.31062346560000004</v>
      </c>
      <c r="BH31" s="287">
        <f t="shared" ca="1" si="9"/>
        <v>0</v>
      </c>
      <c r="BI31" s="287">
        <f t="shared" ca="1" si="10"/>
        <v>0</v>
      </c>
      <c r="BJ31" s="877"/>
    </row>
    <row r="32" spans="2:62" ht="17.100000000000001" customHeight="1">
      <c r="B32" s="119"/>
      <c r="C32" s="23"/>
      <c r="D32" s="23"/>
      <c r="E32" s="23"/>
      <c r="F32" s="23"/>
      <c r="G32" s="23"/>
      <c r="H32" s="23"/>
      <c r="I32" s="23"/>
      <c r="J32" s="23"/>
      <c r="K32" s="23"/>
      <c r="L32" s="23"/>
      <c r="M32" s="23"/>
      <c r="N32" s="23"/>
      <c r="O32" s="23"/>
      <c r="P32" s="23"/>
      <c r="Q32" s="23"/>
      <c r="R32" s="23"/>
      <c r="S32" s="23"/>
      <c r="T32" s="23"/>
      <c r="U32" s="23"/>
      <c r="V32" s="23"/>
      <c r="W32" s="23"/>
      <c r="X32" s="23"/>
      <c r="Y32" s="23"/>
      <c r="Z32" s="23"/>
      <c r="AA32" s="23"/>
      <c r="AB32" s="120"/>
      <c r="AD32" s="210" t="s">
        <v>553</v>
      </c>
      <c r="AE32" s="401" t="s">
        <v>476</v>
      </c>
      <c r="AF32" s="199"/>
      <c r="AH32" s="186">
        <v>22</v>
      </c>
      <c r="AI32" s="186" t="b">
        <f t="shared" si="0"/>
        <v>0</v>
      </c>
      <c r="AJ32" s="186" t="b">
        <f t="shared" si="11"/>
        <v>0</v>
      </c>
      <c r="AK32" s="298" t="b">
        <f t="shared" si="12"/>
        <v>0</v>
      </c>
      <c r="AL32" s="145">
        <f t="shared" si="19"/>
        <v>-0.81999999999999984</v>
      </c>
      <c r="AM32" s="145">
        <f t="shared" si="20"/>
        <v>-0.65999999999999992</v>
      </c>
      <c r="AN32" s="145">
        <f t="shared" si="21"/>
        <v>-0.11999999999999988</v>
      </c>
      <c r="AO32" s="145">
        <v>0</v>
      </c>
      <c r="AP32" s="145">
        <v>0</v>
      </c>
      <c r="AQ32" s="877"/>
      <c r="AR32" s="287">
        <f t="shared" ca="1" si="1"/>
        <v>-0.90968300639999999</v>
      </c>
      <c r="AS32" s="287">
        <f t="shared" ca="1" si="2"/>
        <v>-0.73218388320000005</v>
      </c>
      <c r="AT32" s="287">
        <f t="shared" ca="1" si="3"/>
        <v>-0.1331243423999999</v>
      </c>
      <c r="AU32" s="287">
        <f t="shared" ca="1" si="4"/>
        <v>0</v>
      </c>
      <c r="AV32" s="287">
        <f t="shared" ca="1" si="5"/>
        <v>0</v>
      </c>
      <c r="AW32" s="877"/>
      <c r="AY32" s="145">
        <f t="shared" si="22"/>
        <v>0.4800000000000002</v>
      </c>
      <c r="AZ32" s="145">
        <f t="shared" si="23"/>
        <v>0.34000000000000008</v>
      </c>
      <c r="BA32" s="145">
        <f t="shared" si="24"/>
        <v>0.29333333333333328</v>
      </c>
      <c r="BB32" s="145">
        <v>0</v>
      </c>
      <c r="BC32" s="145">
        <v>0</v>
      </c>
      <c r="BD32" s="877"/>
      <c r="BE32" s="287">
        <f t="shared" ca="1" si="6"/>
        <v>0.53249736960000038</v>
      </c>
      <c r="BF32" s="287">
        <f t="shared" ca="1" si="7"/>
        <v>0.37718563680000017</v>
      </c>
      <c r="BG32" s="287">
        <f t="shared" ca="1" si="8"/>
        <v>0.32541505920000002</v>
      </c>
      <c r="BH32" s="287">
        <f t="shared" ca="1" si="9"/>
        <v>0</v>
      </c>
      <c r="BI32" s="287">
        <f t="shared" ca="1" si="10"/>
        <v>0</v>
      </c>
      <c r="BJ32" s="877"/>
    </row>
    <row r="33" spans="2:62" ht="17.100000000000001" customHeight="1">
      <c r="B33" s="119"/>
      <c r="C33" s="573" t="s">
        <v>424</v>
      </c>
      <c r="D33" s="574"/>
      <c r="E33" s="574"/>
      <c r="F33" s="574"/>
      <c r="G33" s="574"/>
      <c r="H33" s="574"/>
      <c r="I33" s="574"/>
      <c r="J33" s="574"/>
      <c r="K33" s="574"/>
      <c r="L33" s="574"/>
      <c r="M33" s="574"/>
      <c r="N33" s="574"/>
      <c r="O33" s="574"/>
      <c r="P33" s="574"/>
      <c r="Q33" s="574"/>
      <c r="R33" s="574"/>
      <c r="S33" s="574"/>
      <c r="T33" s="574"/>
      <c r="U33" s="575"/>
      <c r="V33" s="23"/>
      <c r="W33" s="23"/>
      <c r="X33" s="23"/>
      <c r="Y33" s="23"/>
      <c r="Z33" s="23"/>
      <c r="AA33" s="23"/>
      <c r="AB33" s="120"/>
      <c r="AD33" s="210" t="s">
        <v>551</v>
      </c>
      <c r="AE33" s="401">
        <v>0.5</v>
      </c>
      <c r="AF33" s="199"/>
      <c r="AH33" s="186">
        <v>23</v>
      </c>
      <c r="AI33" s="186" t="b">
        <f t="shared" si="0"/>
        <v>0</v>
      </c>
      <c r="AJ33" s="186" t="b">
        <f t="shared" si="11"/>
        <v>0</v>
      </c>
      <c r="AK33" s="298" t="b">
        <f t="shared" si="12"/>
        <v>0</v>
      </c>
      <c r="AL33" s="145">
        <f t="shared" si="19"/>
        <v>-0.7799999999999998</v>
      </c>
      <c r="AM33" s="145">
        <f t="shared" si="20"/>
        <v>-0.6399999999999999</v>
      </c>
      <c r="AN33" s="145">
        <f t="shared" si="21"/>
        <v>-7.9999999999999877E-2</v>
      </c>
      <c r="AO33" s="145">
        <v>0</v>
      </c>
      <c r="AP33" s="145">
        <v>0</v>
      </c>
      <c r="AQ33" s="877"/>
      <c r="AR33" s="287">
        <f t="shared" ca="1" si="1"/>
        <v>-0.86530822559999998</v>
      </c>
      <c r="AS33" s="287">
        <f t="shared" ca="1" si="2"/>
        <v>-0.70999649279999999</v>
      </c>
      <c r="AT33" s="287">
        <f t="shared" ca="1" si="3"/>
        <v>-8.8749561599999888E-2</v>
      </c>
      <c r="AU33" s="287">
        <f t="shared" ca="1" si="4"/>
        <v>0</v>
      </c>
      <c r="AV33" s="287">
        <f t="shared" ca="1" si="5"/>
        <v>0</v>
      </c>
      <c r="AW33" s="877"/>
      <c r="AY33" s="145">
        <f t="shared" si="22"/>
        <v>0.52000000000000024</v>
      </c>
      <c r="AZ33" s="145">
        <f t="shared" si="23"/>
        <v>0.3600000000000001</v>
      </c>
      <c r="BA33" s="145">
        <f t="shared" si="24"/>
        <v>0.30666666666666659</v>
      </c>
      <c r="BB33" s="145">
        <v>0</v>
      </c>
      <c r="BC33" s="145">
        <v>0</v>
      </c>
      <c r="BD33" s="877"/>
      <c r="BE33" s="287">
        <f t="shared" ca="1" si="6"/>
        <v>0.57687215040000039</v>
      </c>
      <c r="BF33" s="287">
        <f t="shared" ca="1" si="7"/>
        <v>0.39937302720000017</v>
      </c>
      <c r="BG33" s="287">
        <f t="shared" ca="1" si="8"/>
        <v>0.34020665279999995</v>
      </c>
      <c r="BH33" s="287">
        <f t="shared" ca="1" si="9"/>
        <v>0</v>
      </c>
      <c r="BI33" s="287">
        <f t="shared" ca="1" si="10"/>
        <v>0</v>
      </c>
      <c r="BJ33" s="877"/>
    </row>
    <row r="34" spans="2:62" ht="17.100000000000001" customHeight="1">
      <c r="B34" s="119"/>
      <c r="C34" s="843"/>
      <c r="D34" s="844"/>
      <c r="E34" s="810" t="s">
        <v>385</v>
      </c>
      <c r="F34" s="810"/>
      <c r="G34" s="810"/>
      <c r="H34" s="738" t="s">
        <v>432</v>
      </c>
      <c r="I34" s="738"/>
      <c r="J34" s="738"/>
      <c r="K34" s="738" t="s">
        <v>121</v>
      </c>
      <c r="L34" s="738"/>
      <c r="M34" s="738" t="s">
        <v>93</v>
      </c>
      <c r="N34" s="738"/>
      <c r="O34" s="738" t="s">
        <v>40</v>
      </c>
      <c r="P34" s="738"/>
      <c r="Q34" s="826" t="s">
        <v>420</v>
      </c>
      <c r="R34" s="793"/>
      <c r="S34" s="793"/>
      <c r="T34" s="793"/>
      <c r="U34" s="794"/>
      <c r="V34" s="23"/>
      <c r="W34" s="23"/>
      <c r="X34" s="23"/>
      <c r="Y34" s="23"/>
      <c r="Z34" s="23"/>
      <c r="AA34" s="23"/>
      <c r="AB34" s="120"/>
      <c r="AD34" s="43" t="s">
        <v>587</v>
      </c>
      <c r="AH34" s="186">
        <v>24</v>
      </c>
      <c r="AI34" s="186" t="b">
        <f t="shared" si="0"/>
        <v>0</v>
      </c>
      <c r="AJ34" s="186" t="b">
        <f t="shared" si="11"/>
        <v>0</v>
      </c>
      <c r="AK34" s="298" t="b">
        <f t="shared" si="12"/>
        <v>0</v>
      </c>
      <c r="AL34" s="145">
        <f t="shared" si="19"/>
        <v>-0.73999999999999977</v>
      </c>
      <c r="AM34" s="145">
        <f t="shared" si="20"/>
        <v>-0.61999999999999988</v>
      </c>
      <c r="AN34" s="145">
        <f t="shared" si="21"/>
        <v>-3.9999999999999869E-2</v>
      </c>
      <c r="AO34" s="145">
        <v>0</v>
      </c>
      <c r="AP34" s="145">
        <v>0</v>
      </c>
      <c r="AQ34" s="877"/>
      <c r="AR34" s="287">
        <f t="shared" ca="1" si="1"/>
        <v>-0.82093344479999986</v>
      </c>
      <c r="AS34" s="287">
        <f t="shared" ca="1" si="2"/>
        <v>-0.68780910240000004</v>
      </c>
      <c r="AT34" s="287">
        <f t="shared" ca="1" si="3"/>
        <v>-4.4374780799999861E-2</v>
      </c>
      <c r="AU34" s="287">
        <f t="shared" ca="1" si="4"/>
        <v>0</v>
      </c>
      <c r="AV34" s="287">
        <f t="shared" ca="1" si="5"/>
        <v>0</v>
      </c>
      <c r="AW34" s="877"/>
      <c r="AY34" s="145">
        <f t="shared" si="22"/>
        <v>0.56000000000000028</v>
      </c>
      <c r="AZ34" s="145">
        <f t="shared" si="23"/>
        <v>0.38000000000000012</v>
      </c>
      <c r="BA34" s="145">
        <f t="shared" si="24"/>
        <v>0.3199999999999999</v>
      </c>
      <c r="BB34" s="145">
        <v>0</v>
      </c>
      <c r="BC34" s="145">
        <v>0</v>
      </c>
      <c r="BD34" s="877"/>
      <c r="BE34" s="287">
        <f t="shared" ca="1" si="6"/>
        <v>0.62124693120000041</v>
      </c>
      <c r="BF34" s="287">
        <f t="shared" ca="1" si="7"/>
        <v>0.42156041760000024</v>
      </c>
      <c r="BG34" s="287">
        <f t="shared" ca="1" si="8"/>
        <v>0.35499824639999994</v>
      </c>
      <c r="BH34" s="287">
        <f t="shared" ca="1" si="9"/>
        <v>0</v>
      </c>
      <c r="BI34" s="287">
        <f t="shared" ca="1" si="10"/>
        <v>0</v>
      </c>
      <c r="BJ34" s="877"/>
    </row>
    <row r="35" spans="2:62" ht="17.100000000000001" customHeight="1">
      <c r="B35" s="119"/>
      <c r="C35" s="882" t="s">
        <v>434</v>
      </c>
      <c r="D35" s="883"/>
      <c r="E35" s="753" t="s">
        <v>393</v>
      </c>
      <c r="F35" s="753"/>
      <c r="G35" s="753"/>
      <c r="H35" s="851" t="str">
        <f ca="1">FIXED(AT5,3)&amp;IF(AH4=2,"/"&amp;FIXED(AX5,3),"")</f>
        <v>-1.934/-2.822</v>
      </c>
      <c r="I35" s="851"/>
      <c r="J35" s="851"/>
      <c r="K35" s="711" t="str">
        <f ca="1">FIXED(AU5,3)</f>
        <v>-1.527</v>
      </c>
      <c r="L35" s="711"/>
      <c r="M35" s="711" t="str">
        <f ca="1">FIXED(AV5,3)</f>
        <v>-1.231</v>
      </c>
      <c r="N35" s="711"/>
      <c r="O35" s="711" t="str">
        <f ca="1">IF(OR($AH$4&lt;&gt;2,AI12&gt;=M14),"-",FIXED(AW5,3))</f>
        <v>-1.157</v>
      </c>
      <c r="P35" s="711"/>
      <c r="Q35" s="827" t="str">
        <f>"case I =   "&amp;FIXED(Z14,3)</f>
        <v>case I =   0.200</v>
      </c>
      <c r="R35" s="711"/>
      <c r="S35" s="711"/>
      <c r="T35" s="711"/>
      <c r="U35" s="712"/>
      <c r="V35" s="23"/>
      <c r="W35" s="23"/>
      <c r="X35" s="23"/>
      <c r="Y35" s="23"/>
      <c r="Z35" s="23"/>
      <c r="AA35" s="23"/>
      <c r="AB35" s="120"/>
      <c r="AD35" s="43" t="s">
        <v>588</v>
      </c>
      <c r="AH35" s="186">
        <v>25</v>
      </c>
      <c r="AI35" s="186" t="b">
        <f t="shared" si="0"/>
        <v>0</v>
      </c>
      <c r="AJ35" s="186" t="b">
        <f t="shared" si="11"/>
        <v>0</v>
      </c>
      <c r="AK35" s="298" t="b">
        <f t="shared" si="12"/>
        <v>0</v>
      </c>
      <c r="AL35" s="145">
        <f t="shared" si="19"/>
        <v>-0.69999999999999973</v>
      </c>
      <c r="AM35" s="145">
        <f t="shared" si="20"/>
        <v>-0.59999999999999987</v>
      </c>
      <c r="AN35" s="145">
        <f t="shared" si="21"/>
        <v>1.3877787807814457E-16</v>
      </c>
      <c r="AO35" s="145">
        <v>0</v>
      </c>
      <c r="AP35" s="145">
        <v>0</v>
      </c>
      <c r="AQ35" s="877"/>
      <c r="AR35" s="287">
        <f t="shared" ca="1" si="1"/>
        <v>-0.77655866399999984</v>
      </c>
      <c r="AS35" s="287">
        <f t="shared" ca="1" si="2"/>
        <v>-0.66562171199999998</v>
      </c>
      <c r="AT35" s="287">
        <f t="shared" ca="1" si="3"/>
        <v>1.539559479901698E-16</v>
      </c>
      <c r="AU35" s="287">
        <f t="shared" ca="1" si="4"/>
        <v>0</v>
      </c>
      <c r="AV35" s="287">
        <f t="shared" ca="1" si="5"/>
        <v>0</v>
      </c>
      <c r="AW35" s="877"/>
      <c r="AY35" s="145">
        <f t="shared" si="22"/>
        <v>0.60000000000000031</v>
      </c>
      <c r="AZ35" s="145">
        <f t="shared" si="23"/>
        <v>0.40000000000000013</v>
      </c>
      <c r="BA35" s="145">
        <f t="shared" si="24"/>
        <v>0.3333333333333332</v>
      </c>
      <c r="BB35" s="145">
        <v>0</v>
      </c>
      <c r="BC35" s="145">
        <v>0</v>
      </c>
      <c r="BD35" s="877"/>
      <c r="BE35" s="287">
        <f t="shared" ca="1" si="6"/>
        <v>0.66562171200000053</v>
      </c>
      <c r="BF35" s="287">
        <f t="shared" ca="1" si="7"/>
        <v>0.44374780800000024</v>
      </c>
      <c r="BG35" s="287">
        <f t="shared" ca="1" si="8"/>
        <v>0.36978983999999993</v>
      </c>
      <c r="BH35" s="287">
        <f t="shared" ca="1" si="9"/>
        <v>0</v>
      </c>
      <c r="BI35" s="287">
        <f t="shared" ca="1" si="10"/>
        <v>0</v>
      </c>
      <c r="BJ35" s="877"/>
    </row>
    <row r="36" spans="2:62" ht="17.100000000000001" customHeight="1">
      <c r="B36" s="119"/>
      <c r="C36" s="884"/>
      <c r="D36" s="885"/>
      <c r="E36" s="751" t="s">
        <v>393</v>
      </c>
      <c r="F36" s="751"/>
      <c r="G36" s="751"/>
      <c r="H36" s="888" t="str">
        <f ca="1">FIXED(AT6,3)&amp;IF(AH4=2,"/"&amp;FIXED(AX6,3),"")</f>
        <v>-1.259/-2.147</v>
      </c>
      <c r="I36" s="888"/>
      <c r="J36" s="888"/>
      <c r="K36" s="746" t="str">
        <f ca="1">FIXED(AU6,3)</f>
        <v>-0.852</v>
      </c>
      <c r="L36" s="746"/>
      <c r="M36" s="746" t="str">
        <f ca="1">FIXED(AV6,3)</f>
        <v>-0.556</v>
      </c>
      <c r="N36" s="746"/>
      <c r="O36" s="746" t="str">
        <f ca="1">IF(OR($AH$4&lt;&gt;2,AI12&gt;=M14),"-",FIXED(AW6,3))</f>
        <v>-0.482</v>
      </c>
      <c r="P36" s="746"/>
      <c r="Q36" s="861" t="str">
        <f>"case II =   "&amp;FIXED(Z15,3)</f>
        <v>case II =   -0.300</v>
      </c>
      <c r="R36" s="746"/>
      <c r="S36" s="746"/>
      <c r="T36" s="746"/>
      <c r="U36" s="747"/>
      <c r="V36" s="23"/>
      <c r="W36" s="23"/>
      <c r="X36" s="23"/>
      <c r="Y36" s="23"/>
      <c r="Z36" s="23"/>
      <c r="AA36" s="23"/>
      <c r="AB36" s="120"/>
      <c r="AH36" s="186">
        <v>26</v>
      </c>
      <c r="AI36" s="186" t="b">
        <f t="shared" si="0"/>
        <v>0</v>
      </c>
      <c r="AJ36" s="186" t="b">
        <f t="shared" si="11"/>
        <v>0</v>
      </c>
      <c r="AK36" s="298" t="b">
        <f t="shared" si="12"/>
        <v>0</v>
      </c>
      <c r="AL36" s="145">
        <f t="shared" si="19"/>
        <v>-0.6599999999999997</v>
      </c>
      <c r="AM36" s="145">
        <f t="shared" si="20"/>
        <v>-0.57999999999999985</v>
      </c>
      <c r="AN36" s="145">
        <f t="shared" si="21"/>
        <v>4.0000000000000147E-2</v>
      </c>
      <c r="AO36" s="145">
        <v>0</v>
      </c>
      <c r="AP36" s="145">
        <v>0</v>
      </c>
      <c r="AQ36" s="877"/>
      <c r="AR36" s="287">
        <f t="shared" ca="1" si="1"/>
        <v>-0.73218388319999983</v>
      </c>
      <c r="AS36" s="287">
        <f t="shared" ca="1" si="2"/>
        <v>-0.64343432159999991</v>
      </c>
      <c r="AT36" s="287">
        <f t="shared" ca="1" si="3"/>
        <v>4.4374780800000173E-2</v>
      </c>
      <c r="AU36" s="287">
        <f t="shared" ca="1" si="4"/>
        <v>0</v>
      </c>
      <c r="AV36" s="287">
        <f t="shared" ca="1" si="5"/>
        <v>0</v>
      </c>
      <c r="AW36" s="877"/>
      <c r="AY36" s="145">
        <f t="shared" si="22"/>
        <v>0.64000000000000035</v>
      </c>
      <c r="AZ36" s="145">
        <f t="shared" si="23"/>
        <v>0.42000000000000015</v>
      </c>
      <c r="BA36" s="145">
        <f t="shared" si="24"/>
        <v>0.34666666666666651</v>
      </c>
      <c r="BB36" s="145">
        <v>0</v>
      </c>
      <c r="BC36" s="145">
        <v>0</v>
      </c>
      <c r="BD36" s="877"/>
      <c r="BE36" s="287">
        <f t="shared" ca="1" si="6"/>
        <v>0.70999649280000054</v>
      </c>
      <c r="BF36" s="287">
        <f t="shared" ca="1" si="7"/>
        <v>0.46593519840000025</v>
      </c>
      <c r="BG36" s="287">
        <f t="shared" ca="1" si="8"/>
        <v>0.38458143359999991</v>
      </c>
      <c r="BH36" s="287">
        <f t="shared" ca="1" si="9"/>
        <v>0</v>
      </c>
      <c r="BI36" s="287">
        <f t="shared" ca="1" si="10"/>
        <v>0</v>
      </c>
      <c r="BJ36" s="877"/>
    </row>
    <row r="37" spans="2:62" ht="17.100000000000001" customHeight="1">
      <c r="B37" s="119"/>
      <c r="C37" s="882" t="s">
        <v>435</v>
      </c>
      <c r="D37" s="883"/>
      <c r="E37" s="753" t="s">
        <v>393</v>
      </c>
      <c r="F37" s="753"/>
      <c r="G37" s="753"/>
      <c r="H37" s="851" t="str">
        <f ca="1">FIXED(AT7,3)&amp;IF(AH4=2,"/"&amp;FIXED(AX7,3),"")</f>
        <v>0.063/0.063</v>
      </c>
      <c r="I37" s="851"/>
      <c r="J37" s="851"/>
      <c r="K37" s="711" t="str">
        <f ca="1">FIXED(AU7,3)</f>
        <v>0.026</v>
      </c>
      <c r="L37" s="711"/>
      <c r="M37" s="711" t="str">
        <f ca="1">FIXED(AV7,3)</f>
        <v>-0.011</v>
      </c>
      <c r="N37" s="711"/>
      <c r="O37" s="711" t="str">
        <f ca="1">IF(OR($AH$4&lt;&gt;2,AI12&gt;=M14),"-",FIXED(AW7,3))</f>
        <v>-0.048</v>
      </c>
      <c r="P37" s="711"/>
      <c r="Q37" s="827" t="str">
        <f>"case I =   "&amp;FIXED(Z14,3)</f>
        <v>case I =   0.200</v>
      </c>
      <c r="R37" s="711"/>
      <c r="S37" s="711"/>
      <c r="T37" s="711"/>
      <c r="U37" s="712"/>
      <c r="V37" s="23"/>
      <c r="W37" s="23"/>
      <c r="X37" s="23"/>
      <c r="Y37" s="23"/>
      <c r="Z37" s="23"/>
      <c r="AA37" s="23"/>
      <c r="AB37" s="120"/>
      <c r="AH37" s="186">
        <v>27</v>
      </c>
      <c r="AI37" s="186" t="b">
        <f t="shared" si="0"/>
        <v>0</v>
      </c>
      <c r="AJ37" s="186" t="b">
        <f t="shared" si="11"/>
        <v>0</v>
      </c>
      <c r="AK37" s="298" t="b">
        <f t="shared" si="12"/>
        <v>0</v>
      </c>
      <c r="AL37" s="145">
        <f t="shared" si="19"/>
        <v>-0.61999999999999966</v>
      </c>
      <c r="AM37" s="145">
        <f t="shared" si="20"/>
        <v>-0.55999999999999983</v>
      </c>
      <c r="AN37" s="145">
        <f t="shared" si="21"/>
        <v>8.0000000000000154E-2</v>
      </c>
      <c r="AO37" s="145">
        <v>0</v>
      </c>
      <c r="AP37" s="145">
        <v>0</v>
      </c>
      <c r="AQ37" s="877"/>
      <c r="AR37" s="287">
        <f t="shared" ca="1" si="1"/>
        <v>-0.68780910239999982</v>
      </c>
      <c r="AS37" s="287">
        <f t="shared" ca="1" si="2"/>
        <v>-0.62124693119999996</v>
      </c>
      <c r="AT37" s="287">
        <f t="shared" ca="1" si="3"/>
        <v>8.8749561600000193E-2</v>
      </c>
      <c r="AU37" s="287">
        <f t="shared" ca="1" si="4"/>
        <v>0</v>
      </c>
      <c r="AV37" s="287">
        <f t="shared" ca="1" si="5"/>
        <v>0</v>
      </c>
      <c r="AW37" s="877"/>
      <c r="AY37" s="145">
        <f t="shared" si="22"/>
        <v>0.68000000000000038</v>
      </c>
      <c r="AZ37" s="145">
        <f t="shared" si="23"/>
        <v>0.44000000000000017</v>
      </c>
      <c r="BA37" s="145">
        <f t="shared" si="24"/>
        <v>0.35999999999999982</v>
      </c>
      <c r="BB37" s="145">
        <v>0</v>
      </c>
      <c r="BC37" s="145">
        <v>0</v>
      </c>
      <c r="BD37" s="877"/>
      <c r="BE37" s="287">
        <f t="shared" ca="1" si="6"/>
        <v>0.75437127360000056</v>
      </c>
      <c r="BF37" s="287">
        <f t="shared" ca="1" si="7"/>
        <v>0.48812258880000026</v>
      </c>
      <c r="BG37" s="287">
        <f t="shared" ca="1" si="8"/>
        <v>0.3993730271999999</v>
      </c>
      <c r="BH37" s="287">
        <f t="shared" ca="1" si="9"/>
        <v>0</v>
      </c>
      <c r="BI37" s="287">
        <f t="shared" ca="1" si="10"/>
        <v>0</v>
      </c>
      <c r="BJ37" s="877"/>
    </row>
    <row r="38" spans="2:62" ht="17.100000000000001" customHeight="1">
      <c r="B38" s="119"/>
      <c r="C38" s="886"/>
      <c r="D38" s="887"/>
      <c r="E38" s="755" t="s">
        <v>393</v>
      </c>
      <c r="F38" s="755"/>
      <c r="G38" s="755"/>
      <c r="H38" s="889" t="str">
        <f ca="1">FIXED(AT8,3)&amp;IF(AH4=2,"/"&amp;FIXED(AX8,3),"")</f>
        <v>0.738/0.738</v>
      </c>
      <c r="I38" s="889"/>
      <c r="J38" s="889"/>
      <c r="K38" s="768" t="str">
        <f ca="1">FIXED(AU8,3)</f>
        <v>0.701</v>
      </c>
      <c r="L38" s="768"/>
      <c r="M38" s="768" t="str">
        <f ca="1">FIXED(AV8,3)</f>
        <v>0.664</v>
      </c>
      <c r="N38" s="768"/>
      <c r="O38" s="768" t="str">
        <f ca="1">IF(OR($AH$4&lt;&gt;2,AI12&gt;=M14),"-",FIXED(AW8,3))</f>
        <v>0.627</v>
      </c>
      <c r="P38" s="768"/>
      <c r="Q38" s="828" t="str">
        <f>"case II =   "&amp;FIXED(Z15,3)</f>
        <v>case II =   -0.300</v>
      </c>
      <c r="R38" s="768"/>
      <c r="S38" s="768"/>
      <c r="T38" s="768"/>
      <c r="U38" s="797"/>
      <c r="V38" s="23"/>
      <c r="W38" s="23"/>
      <c r="X38" s="23"/>
      <c r="Y38" s="23"/>
      <c r="Z38" s="23"/>
      <c r="AA38" s="23"/>
      <c r="AB38" s="120"/>
      <c r="AH38" s="186">
        <v>28</v>
      </c>
      <c r="AI38" s="186" t="b">
        <f t="shared" si="0"/>
        <v>0</v>
      </c>
      <c r="AJ38" s="186" t="b">
        <f t="shared" si="11"/>
        <v>0</v>
      </c>
      <c r="AK38" s="298" t="b">
        <f t="shared" si="12"/>
        <v>0</v>
      </c>
      <c r="AL38" s="145">
        <f t="shared" si="19"/>
        <v>-0.57999999999999963</v>
      </c>
      <c r="AM38" s="145">
        <f t="shared" si="20"/>
        <v>-0.53999999999999981</v>
      </c>
      <c r="AN38" s="145">
        <f t="shared" si="21"/>
        <v>0.12000000000000016</v>
      </c>
      <c r="AO38" s="145">
        <v>0</v>
      </c>
      <c r="AP38" s="145">
        <v>0</v>
      </c>
      <c r="AQ38" s="877"/>
      <c r="AR38" s="287">
        <f t="shared" ca="1" si="1"/>
        <v>-0.64343432159999969</v>
      </c>
      <c r="AS38" s="287">
        <f t="shared" ca="1" si="2"/>
        <v>-0.5990595407999999</v>
      </c>
      <c r="AT38" s="287">
        <f t="shared" ca="1" si="3"/>
        <v>0.13312434240000021</v>
      </c>
      <c r="AU38" s="287">
        <f t="shared" ca="1" si="4"/>
        <v>0</v>
      </c>
      <c r="AV38" s="287">
        <f t="shared" ca="1" si="5"/>
        <v>0</v>
      </c>
      <c r="AW38" s="877"/>
      <c r="AY38" s="145">
        <f t="shared" si="22"/>
        <v>0.72000000000000042</v>
      </c>
      <c r="AZ38" s="145">
        <f t="shared" si="23"/>
        <v>0.46000000000000019</v>
      </c>
      <c r="BA38" s="145">
        <f t="shared" si="24"/>
        <v>0.37333333333333313</v>
      </c>
      <c r="BB38" s="145">
        <v>0</v>
      </c>
      <c r="BC38" s="145">
        <v>0</v>
      </c>
      <c r="BD38" s="877"/>
      <c r="BE38" s="287">
        <f t="shared" ca="1" si="6"/>
        <v>0.79874605440000057</v>
      </c>
      <c r="BF38" s="287">
        <f t="shared" ca="1" si="7"/>
        <v>0.51030997920000032</v>
      </c>
      <c r="BG38" s="287">
        <f t="shared" ca="1" si="8"/>
        <v>0.41416462079999983</v>
      </c>
      <c r="BH38" s="287">
        <f t="shared" ca="1" si="9"/>
        <v>0</v>
      </c>
      <c r="BI38" s="287">
        <f t="shared" ca="1" si="10"/>
        <v>0</v>
      </c>
      <c r="BJ38" s="877"/>
    </row>
    <row r="39" spans="2:62" ht="17.100000000000001" customHeight="1">
      <c r="B39" s="119"/>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120"/>
      <c r="AH39" s="186">
        <v>29</v>
      </c>
      <c r="AI39" s="186" t="b">
        <f t="shared" si="0"/>
        <v>0</v>
      </c>
      <c r="AJ39" s="186" t="b">
        <f t="shared" si="11"/>
        <v>0</v>
      </c>
      <c r="AK39" s="298" t="b">
        <f t="shared" si="12"/>
        <v>0</v>
      </c>
      <c r="AL39" s="145">
        <f t="shared" si="19"/>
        <v>-0.53999999999999959</v>
      </c>
      <c r="AM39" s="145">
        <f t="shared" si="20"/>
        <v>-0.5199999999999998</v>
      </c>
      <c r="AN39" s="145">
        <f t="shared" si="21"/>
        <v>0.16000000000000017</v>
      </c>
      <c r="AO39" s="145">
        <v>0</v>
      </c>
      <c r="AP39" s="145">
        <v>0</v>
      </c>
      <c r="AQ39" s="877"/>
      <c r="AR39" s="287">
        <f t="shared" ca="1" si="1"/>
        <v>-0.59905954079999968</v>
      </c>
      <c r="AS39" s="287">
        <f t="shared" ca="1" si="2"/>
        <v>-0.57687215039999984</v>
      </c>
      <c r="AT39" s="287">
        <f t="shared" ca="1" si="3"/>
        <v>0.17749912320000022</v>
      </c>
      <c r="AU39" s="287">
        <f t="shared" ca="1" si="4"/>
        <v>0</v>
      </c>
      <c r="AV39" s="287">
        <f t="shared" ca="1" si="5"/>
        <v>0</v>
      </c>
      <c r="AW39" s="877"/>
      <c r="AY39" s="145">
        <f t="shared" si="22"/>
        <v>0.76000000000000045</v>
      </c>
      <c r="AZ39" s="145">
        <f t="shared" si="23"/>
        <v>0.4800000000000002</v>
      </c>
      <c r="BA39" s="145">
        <f t="shared" si="24"/>
        <v>0.38666666666666644</v>
      </c>
      <c r="BB39" s="145">
        <v>0</v>
      </c>
      <c r="BC39" s="145">
        <v>0</v>
      </c>
      <c r="BD39" s="877"/>
      <c r="BE39" s="287">
        <f t="shared" ca="1" si="6"/>
        <v>0.8431208352000007</v>
      </c>
      <c r="BF39" s="287">
        <f t="shared" ca="1" si="7"/>
        <v>0.53249736960000038</v>
      </c>
      <c r="BG39" s="287">
        <f t="shared" ca="1" si="8"/>
        <v>0.42895621439999981</v>
      </c>
      <c r="BH39" s="287">
        <f t="shared" ca="1" si="9"/>
        <v>0</v>
      </c>
      <c r="BI39" s="287">
        <f t="shared" ca="1" si="10"/>
        <v>0</v>
      </c>
      <c r="BJ39" s="877"/>
    </row>
    <row r="40" spans="2:62" ht="17.100000000000001" customHeight="1">
      <c r="B40" s="119"/>
      <c r="C40" s="573" t="s">
        <v>459</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5"/>
      <c r="AB40" s="120"/>
      <c r="AH40" s="186">
        <v>30</v>
      </c>
      <c r="AI40" s="186" t="b">
        <f t="shared" si="0"/>
        <v>0</v>
      </c>
      <c r="AJ40" s="186" t="b">
        <f t="shared" si="11"/>
        <v>0</v>
      </c>
      <c r="AK40" s="298" t="b">
        <f t="shared" si="12"/>
        <v>0</v>
      </c>
      <c r="AL40" s="287">
        <v>-0.5</v>
      </c>
      <c r="AM40" s="287">
        <v>-0.5</v>
      </c>
      <c r="AN40" s="287">
        <v>0.2</v>
      </c>
      <c r="AO40" s="287">
        <v>0</v>
      </c>
      <c r="AP40" s="287">
        <v>0</v>
      </c>
      <c r="AQ40" s="877"/>
      <c r="AR40" s="287">
        <f t="shared" ca="1" si="1"/>
        <v>-0.55468476000000011</v>
      </c>
      <c r="AS40" s="287">
        <f t="shared" ca="1" si="2"/>
        <v>-0.55468476000000011</v>
      </c>
      <c r="AT40" s="287">
        <f t="shared" ca="1" si="3"/>
        <v>0.22187390400000007</v>
      </c>
      <c r="AU40" s="287">
        <f t="shared" ca="1" si="4"/>
        <v>0</v>
      </c>
      <c r="AV40" s="287">
        <f t="shared" ca="1" si="5"/>
        <v>0</v>
      </c>
      <c r="AW40" s="877"/>
      <c r="AY40" s="287">
        <v>0.8</v>
      </c>
      <c r="AZ40" s="287">
        <v>0.5</v>
      </c>
      <c r="BA40" s="287">
        <v>0.4</v>
      </c>
      <c r="BB40" s="287">
        <v>0</v>
      </c>
      <c r="BC40" s="287">
        <v>0</v>
      </c>
      <c r="BD40" s="877"/>
      <c r="BE40" s="287">
        <f t="shared" ca="1" si="6"/>
        <v>0.88749561600000026</v>
      </c>
      <c r="BF40" s="287">
        <f t="shared" ca="1" si="7"/>
        <v>0.55468476000000011</v>
      </c>
      <c r="BG40" s="287">
        <f t="shared" ca="1" si="8"/>
        <v>0.44374780800000013</v>
      </c>
      <c r="BH40" s="287">
        <f t="shared" ca="1" si="9"/>
        <v>0</v>
      </c>
      <c r="BI40" s="287">
        <f t="shared" ca="1" si="10"/>
        <v>0</v>
      </c>
      <c r="BJ40" s="877"/>
    </row>
    <row r="41" spans="2:62" ht="17.100000000000001" customHeight="1">
      <c r="B41" s="119"/>
      <c r="C41" s="35"/>
      <c r="D41" s="36"/>
      <c r="E41" s="36"/>
      <c r="F41" s="36"/>
      <c r="G41" s="36"/>
      <c r="H41" s="36"/>
      <c r="I41" s="36"/>
      <c r="J41" s="36"/>
      <c r="K41" s="36"/>
      <c r="L41" s="36"/>
      <c r="M41" s="36"/>
      <c r="N41" s="36"/>
      <c r="O41" s="36"/>
      <c r="P41" s="36"/>
      <c r="Q41" s="36"/>
      <c r="R41" s="36"/>
      <c r="S41" s="36"/>
      <c r="T41" s="36"/>
      <c r="U41" s="36"/>
      <c r="V41" s="36"/>
      <c r="W41" s="36"/>
      <c r="X41" s="36"/>
      <c r="Y41" s="36"/>
      <c r="Z41" s="36"/>
      <c r="AA41" s="37"/>
      <c r="AB41" s="120"/>
      <c r="AH41" s="186">
        <v>31</v>
      </c>
      <c r="AI41" s="186" t="b">
        <f t="shared" si="0"/>
        <v>0</v>
      </c>
      <c r="AJ41" s="186" t="b">
        <f t="shared" si="11"/>
        <v>0</v>
      </c>
      <c r="AK41" s="298" t="b">
        <f t="shared" si="12"/>
        <v>0</v>
      </c>
      <c r="AL41" s="145">
        <f>+ABS($AL$40-$AL$55)/15+AL40</f>
        <v>-0.46666666666666667</v>
      </c>
      <c r="AM41" s="145">
        <f>+ABS($AM$40-$AM$55)/15+AM40</f>
        <v>-0.46666666666666667</v>
      </c>
      <c r="AN41" s="145">
        <f>+ABS($AN$40-$AN$55)/15+AN40</f>
        <v>0.21333333333333335</v>
      </c>
      <c r="AO41" s="145">
        <v>0</v>
      </c>
      <c r="AP41" s="145">
        <v>0</v>
      </c>
      <c r="AQ41" s="877"/>
      <c r="AR41" s="287">
        <f t="shared" ca="1" si="1"/>
        <v>-0.51770577600000012</v>
      </c>
      <c r="AS41" s="287">
        <f t="shared" ca="1" si="2"/>
        <v>-0.51770577600000012</v>
      </c>
      <c r="AT41" s="287">
        <f t="shared" ca="1" si="3"/>
        <v>0.23666549760000005</v>
      </c>
      <c r="AU41" s="287">
        <f t="shared" ca="1" si="4"/>
        <v>0</v>
      </c>
      <c r="AV41" s="287">
        <f t="shared" ca="1" si="5"/>
        <v>0</v>
      </c>
      <c r="AW41" s="877"/>
      <c r="AY41" s="145">
        <f>+ABS($AY$40-$AY$55)/15+AY40</f>
        <v>0.8</v>
      </c>
      <c r="AZ41" s="145">
        <f>+ABS($AZ$40-$AZ$55)/15+AZ40</f>
        <v>0.50666666666666671</v>
      </c>
      <c r="BA41" s="145">
        <f>+ABS($BA$40-$BA$55)/15+BA40</f>
        <v>0.42000000000000004</v>
      </c>
      <c r="BB41" s="145">
        <v>0</v>
      </c>
      <c r="BC41" s="145">
        <v>0</v>
      </c>
      <c r="BD41" s="877"/>
      <c r="BE41" s="287">
        <f t="shared" ca="1" si="6"/>
        <v>0.88749561600000026</v>
      </c>
      <c r="BF41" s="287">
        <f t="shared" ca="1" si="7"/>
        <v>0.56208055680000013</v>
      </c>
      <c r="BG41" s="287">
        <f t="shared" ca="1" si="8"/>
        <v>0.46593519840000014</v>
      </c>
      <c r="BH41" s="287">
        <f t="shared" ca="1" si="9"/>
        <v>0</v>
      </c>
      <c r="BI41" s="287">
        <f t="shared" ca="1" si="10"/>
        <v>0</v>
      </c>
      <c r="BJ41" s="877"/>
    </row>
    <row r="42" spans="2:62" ht="17.100000000000001" customHeight="1">
      <c r="B42" s="119"/>
      <c r="C42" s="25"/>
      <c r="D42" s="26"/>
      <c r="E42" s="26"/>
      <c r="F42" s="26"/>
      <c r="G42" s="26"/>
      <c r="H42" s="26"/>
      <c r="I42" s="26"/>
      <c r="J42" s="26"/>
      <c r="K42" s="26"/>
      <c r="L42" s="26"/>
      <c r="M42" s="26"/>
      <c r="N42" s="26"/>
      <c r="O42" s="26"/>
      <c r="P42" s="26"/>
      <c r="Q42" s="26"/>
      <c r="R42" s="26"/>
      <c r="S42" s="26"/>
      <c r="T42" s="26"/>
      <c r="U42" s="26"/>
      <c r="V42" s="26"/>
      <c r="W42" s="26"/>
      <c r="X42" s="26"/>
      <c r="Y42" s="26"/>
      <c r="Z42" s="26"/>
      <c r="AA42" s="38"/>
      <c r="AB42" s="120"/>
      <c r="AH42" s="186">
        <v>32</v>
      </c>
      <c r="AI42" s="186" t="b">
        <f t="shared" si="0"/>
        <v>0</v>
      </c>
      <c r="AJ42" s="186" t="b">
        <f t="shared" si="11"/>
        <v>0</v>
      </c>
      <c r="AK42" s="298" t="b">
        <f t="shared" si="12"/>
        <v>0</v>
      </c>
      <c r="AL42" s="145">
        <f t="shared" ref="AL42:AL54" si="25">+ABS($AL$40-$AL$55)/15+AL41</f>
        <v>-0.43333333333333335</v>
      </c>
      <c r="AM42" s="145">
        <f t="shared" ref="AM42:AM54" si="26">+ABS($AM$40-$AM$55)/15+AM41</f>
        <v>-0.43333333333333335</v>
      </c>
      <c r="AN42" s="145">
        <f t="shared" ref="AN42:AN54" si="27">+ABS($AN$40-$AN$55)/15+AN41</f>
        <v>0.22666666666666668</v>
      </c>
      <c r="AO42" s="145">
        <v>0</v>
      </c>
      <c r="AP42" s="145">
        <v>0</v>
      </c>
      <c r="AQ42" s="877"/>
      <c r="AR42" s="287">
        <f t="shared" ca="1" si="1"/>
        <v>-0.48072679200000012</v>
      </c>
      <c r="AS42" s="287">
        <f t="shared" ca="1" si="2"/>
        <v>-0.48072679200000012</v>
      </c>
      <c r="AT42" s="287">
        <f t="shared" ca="1" si="3"/>
        <v>0.25145709120000009</v>
      </c>
      <c r="AU42" s="287">
        <f t="shared" ca="1" si="4"/>
        <v>0</v>
      </c>
      <c r="AV42" s="287">
        <f t="shared" ca="1" si="5"/>
        <v>0</v>
      </c>
      <c r="AW42" s="877"/>
      <c r="AY42" s="145">
        <f t="shared" ref="AY42:AY54" si="28">+ABS($AY$40-$AY$55)/15+AY41</f>
        <v>0.8</v>
      </c>
      <c r="AZ42" s="145">
        <f t="shared" ref="AZ42:AZ54" si="29">+ABS($AZ$40-$AZ$55)/15+AZ41</f>
        <v>0.51333333333333342</v>
      </c>
      <c r="BA42" s="145">
        <f t="shared" ref="BA42:BA54" si="30">+ABS($BA$40-$BA$55)/15+BA41</f>
        <v>0.44000000000000006</v>
      </c>
      <c r="BB42" s="145">
        <v>0</v>
      </c>
      <c r="BC42" s="145">
        <v>0</v>
      </c>
      <c r="BD42" s="877"/>
      <c r="BE42" s="287">
        <f t="shared" ca="1" si="6"/>
        <v>0.88749561600000026</v>
      </c>
      <c r="BF42" s="287">
        <f t="shared" ca="1" si="7"/>
        <v>0.56947635360000026</v>
      </c>
      <c r="BG42" s="287">
        <f t="shared" ca="1" si="8"/>
        <v>0.48812258880000015</v>
      </c>
      <c r="BH42" s="287">
        <f t="shared" ca="1" si="9"/>
        <v>0</v>
      </c>
      <c r="BI42" s="287">
        <f t="shared" ca="1" si="10"/>
        <v>0</v>
      </c>
      <c r="BJ42" s="877"/>
    </row>
    <row r="43" spans="2:62" ht="17.100000000000001" customHeight="1" thickBot="1">
      <c r="B43" s="119"/>
      <c r="C43" s="25"/>
      <c r="D43" s="26"/>
      <c r="E43" s="26"/>
      <c r="F43" s="26"/>
      <c r="G43" s="26"/>
      <c r="H43" s="829" t="str">
        <f>"d1 = "&amp;FIXED(AI11/10,2)&amp;"m"</f>
        <v>d1 = 8.00m</v>
      </c>
      <c r="I43" s="829"/>
      <c r="J43" s="829"/>
      <c r="K43" s="829"/>
      <c r="L43" s="829" t="str">
        <f>IF($AH$4=2,"d2 = "&amp;FIXED(MIN(M14,AI12)-AI11/10,2)&amp;"m","d2 = "&amp;FIXED(M14-AI11/10,2)&amp;"m")</f>
        <v>d2 = 32.00m</v>
      </c>
      <c r="M43" s="829"/>
      <c r="N43" s="829"/>
      <c r="O43" s="829"/>
      <c r="P43" s="829"/>
      <c r="Q43" s="829"/>
      <c r="R43" s="830" t="str">
        <f>IF(OR($AH$4&lt;&gt;2,AI12&gt;=M14),"","d3 = "&amp;FIXED(M14-AI12,2)&amp;"m")</f>
        <v>d3 = 10.00m</v>
      </c>
      <c r="S43" s="830"/>
      <c r="T43" s="830"/>
      <c r="U43" s="830"/>
      <c r="V43" s="830"/>
      <c r="W43" s="830"/>
      <c r="X43" s="830"/>
      <c r="Y43" s="830"/>
      <c r="Z43" s="830"/>
      <c r="AA43" s="38"/>
      <c r="AB43" s="120"/>
      <c r="AH43" s="186">
        <v>33</v>
      </c>
      <c r="AI43" s="186" t="b">
        <f t="shared" si="0"/>
        <v>0</v>
      </c>
      <c r="AJ43" s="186" t="b">
        <f t="shared" si="11"/>
        <v>0</v>
      </c>
      <c r="AK43" s="298" t="b">
        <f t="shared" si="12"/>
        <v>0</v>
      </c>
      <c r="AL43" s="145">
        <f t="shared" si="25"/>
        <v>-0.4</v>
      </c>
      <c r="AM43" s="145">
        <f t="shared" si="26"/>
        <v>-0.4</v>
      </c>
      <c r="AN43" s="145">
        <f t="shared" si="27"/>
        <v>0.24000000000000002</v>
      </c>
      <c r="AO43" s="145">
        <v>0</v>
      </c>
      <c r="AP43" s="145">
        <v>0</v>
      </c>
      <c r="AQ43" s="877"/>
      <c r="AR43" s="287">
        <f t="shared" ca="1" si="1"/>
        <v>-0.44374780800000013</v>
      </c>
      <c r="AS43" s="287">
        <f t="shared" ca="1" si="2"/>
        <v>-0.44374780800000013</v>
      </c>
      <c r="AT43" s="287">
        <f t="shared" ca="1" si="3"/>
        <v>0.26624868480000008</v>
      </c>
      <c r="AU43" s="287">
        <f t="shared" ca="1" si="4"/>
        <v>0</v>
      </c>
      <c r="AV43" s="287">
        <f t="shared" ca="1" si="5"/>
        <v>0</v>
      </c>
      <c r="AW43" s="877"/>
      <c r="AY43" s="145">
        <f t="shared" si="28"/>
        <v>0.8</v>
      </c>
      <c r="AZ43" s="145">
        <f t="shared" si="29"/>
        <v>0.52000000000000013</v>
      </c>
      <c r="BA43" s="145">
        <f t="shared" si="30"/>
        <v>0.46000000000000008</v>
      </c>
      <c r="BB43" s="145">
        <v>0</v>
      </c>
      <c r="BC43" s="145">
        <v>0</v>
      </c>
      <c r="BD43" s="877"/>
      <c r="BE43" s="287">
        <f t="shared" ca="1" si="6"/>
        <v>0.88749561600000026</v>
      </c>
      <c r="BF43" s="287">
        <f t="shared" ca="1" si="7"/>
        <v>0.57687215040000028</v>
      </c>
      <c r="BG43" s="287">
        <f t="shared" ca="1" si="8"/>
        <v>0.51030997920000021</v>
      </c>
      <c r="BH43" s="287">
        <f t="shared" ca="1" si="9"/>
        <v>0</v>
      </c>
      <c r="BI43" s="287">
        <f t="shared" ca="1" si="10"/>
        <v>0</v>
      </c>
      <c r="BJ43" s="877"/>
    </row>
    <row r="44" spans="2:62" ht="17.100000000000001" customHeight="1">
      <c r="B44" s="119"/>
      <c r="C44" s="25"/>
      <c r="D44" s="26"/>
      <c r="E44" s="26"/>
      <c r="F44" s="26"/>
      <c r="G44" s="825" t="str">
        <f>"b3 = "&amp;FIXED(+AI11/4,2)&amp;"m"</f>
        <v>b3 = 20.00m</v>
      </c>
      <c r="H44" s="721" t="str">
        <f>IF(AH4=2,"Zone Fup","Zone F")</f>
        <v>Zone Fup</v>
      </c>
      <c r="I44" s="722"/>
      <c r="J44" s="722"/>
      <c r="K44" s="723"/>
      <c r="L44" s="852" t="str">
        <f>IF($AH$4&lt;&gt;2,"","high eave")</f>
        <v>high eave</v>
      </c>
      <c r="M44" s="853"/>
      <c r="N44" s="853"/>
      <c r="O44" s="853"/>
      <c r="P44" s="853"/>
      <c r="Q44" s="853"/>
      <c r="R44" s="721" t="str">
        <f>IF(OR($AH$4&lt;&gt;2,AI12&gt;=M14),"","Zone I")</f>
        <v>Zone I</v>
      </c>
      <c r="S44" s="722"/>
      <c r="T44" s="722"/>
      <c r="U44" s="722"/>
      <c r="V44" s="722"/>
      <c r="W44" s="722"/>
      <c r="X44" s="722"/>
      <c r="Y44" s="722"/>
      <c r="Z44" s="723"/>
      <c r="AA44" s="38"/>
      <c r="AB44" s="120"/>
      <c r="AH44" s="186">
        <v>34</v>
      </c>
      <c r="AI44" s="186" t="b">
        <f t="shared" si="0"/>
        <v>0</v>
      </c>
      <c r="AJ44" s="186" t="b">
        <f t="shared" si="11"/>
        <v>0</v>
      </c>
      <c r="AK44" s="298" t="b">
        <f t="shared" si="12"/>
        <v>0</v>
      </c>
      <c r="AL44" s="145">
        <f t="shared" si="25"/>
        <v>-0.3666666666666667</v>
      </c>
      <c r="AM44" s="145">
        <f t="shared" si="26"/>
        <v>-0.3666666666666667</v>
      </c>
      <c r="AN44" s="145">
        <f t="shared" si="27"/>
        <v>0.25333333333333335</v>
      </c>
      <c r="AO44" s="145">
        <v>0</v>
      </c>
      <c r="AP44" s="145">
        <v>0</v>
      </c>
      <c r="AQ44" s="877"/>
      <c r="AR44" s="287">
        <f t="shared" ca="1" si="1"/>
        <v>-0.40676882400000014</v>
      </c>
      <c r="AS44" s="287">
        <f t="shared" ca="1" si="2"/>
        <v>-0.40676882400000014</v>
      </c>
      <c r="AT44" s="287">
        <f t="shared" ca="1" si="3"/>
        <v>0.28104027840000007</v>
      </c>
      <c r="AU44" s="287">
        <f t="shared" ca="1" si="4"/>
        <v>0</v>
      </c>
      <c r="AV44" s="287">
        <f t="shared" ca="1" si="5"/>
        <v>0</v>
      </c>
      <c r="AW44" s="877"/>
      <c r="AY44" s="145">
        <f t="shared" si="28"/>
        <v>0.8</v>
      </c>
      <c r="AZ44" s="145">
        <f t="shared" si="29"/>
        <v>0.52666666666666684</v>
      </c>
      <c r="BA44" s="145">
        <f t="shared" si="30"/>
        <v>0.48000000000000009</v>
      </c>
      <c r="BB44" s="145">
        <v>0</v>
      </c>
      <c r="BC44" s="145">
        <v>0</v>
      </c>
      <c r="BD44" s="877"/>
      <c r="BE44" s="287">
        <f t="shared" ca="1" si="6"/>
        <v>0.88749561600000026</v>
      </c>
      <c r="BF44" s="287">
        <f t="shared" ca="1" si="7"/>
        <v>0.5842679472000003</v>
      </c>
      <c r="BG44" s="287">
        <f t="shared" ca="1" si="8"/>
        <v>0.53249736960000016</v>
      </c>
      <c r="BH44" s="287">
        <f t="shared" ca="1" si="9"/>
        <v>0</v>
      </c>
      <c r="BI44" s="287">
        <f t="shared" ca="1" si="10"/>
        <v>0</v>
      </c>
      <c r="BJ44" s="877"/>
    </row>
    <row r="45" spans="2:62" ht="17.100000000000001" customHeight="1">
      <c r="B45" s="119"/>
      <c r="C45" s="25"/>
      <c r="D45" s="26"/>
      <c r="E45" s="26"/>
      <c r="F45" s="26"/>
      <c r="G45" s="825"/>
      <c r="H45" s="845" t="str">
        <f ca="1">IF(AH4=2,FIXED(MIN(AX5:AX8),3),FIXED(MIN(AT5:AT8),3))&amp;" kN/m2"</f>
        <v>-2.822 kN/m2</v>
      </c>
      <c r="I45" s="846"/>
      <c r="J45" s="846"/>
      <c r="K45" s="847"/>
      <c r="L45" s="854" t="s">
        <v>427</v>
      </c>
      <c r="M45" s="855"/>
      <c r="N45" s="855"/>
      <c r="O45" s="855"/>
      <c r="P45" s="855"/>
      <c r="Q45" s="855"/>
      <c r="R45" s="724"/>
      <c r="S45" s="725"/>
      <c r="T45" s="725"/>
      <c r="U45" s="725"/>
      <c r="V45" s="725"/>
      <c r="W45" s="725"/>
      <c r="X45" s="725"/>
      <c r="Y45" s="725"/>
      <c r="Z45" s="726"/>
      <c r="AA45" s="38"/>
      <c r="AB45" s="120"/>
      <c r="AH45" s="186">
        <v>35</v>
      </c>
      <c r="AI45" s="186" t="b">
        <f t="shared" si="0"/>
        <v>0</v>
      </c>
      <c r="AJ45" s="186" t="b">
        <f t="shared" si="11"/>
        <v>0</v>
      </c>
      <c r="AK45" s="298" t="b">
        <f t="shared" si="12"/>
        <v>0</v>
      </c>
      <c r="AL45" s="145">
        <f t="shared" si="25"/>
        <v>-0.33333333333333337</v>
      </c>
      <c r="AM45" s="145">
        <f t="shared" si="26"/>
        <v>-0.33333333333333337</v>
      </c>
      <c r="AN45" s="145">
        <f t="shared" si="27"/>
        <v>0.26666666666666666</v>
      </c>
      <c r="AO45" s="145">
        <v>0</v>
      </c>
      <c r="AP45" s="145">
        <v>0</v>
      </c>
      <c r="AQ45" s="877"/>
      <c r="AR45" s="287">
        <f t="shared" ca="1" si="1"/>
        <v>-0.36978984000000009</v>
      </c>
      <c r="AS45" s="287">
        <f t="shared" ca="1" si="2"/>
        <v>-0.36978984000000009</v>
      </c>
      <c r="AT45" s="287">
        <f t="shared" ca="1" si="3"/>
        <v>0.29583187200000005</v>
      </c>
      <c r="AU45" s="287">
        <f t="shared" ca="1" si="4"/>
        <v>0</v>
      </c>
      <c r="AV45" s="287">
        <f t="shared" ca="1" si="5"/>
        <v>0</v>
      </c>
      <c r="AW45" s="877"/>
      <c r="AY45" s="145">
        <f t="shared" si="28"/>
        <v>0.8</v>
      </c>
      <c r="AZ45" s="145">
        <f t="shared" si="29"/>
        <v>0.53333333333333355</v>
      </c>
      <c r="BA45" s="145">
        <f t="shared" si="30"/>
        <v>0.50000000000000011</v>
      </c>
      <c r="BB45" s="145">
        <v>0</v>
      </c>
      <c r="BC45" s="145">
        <v>0</v>
      </c>
      <c r="BD45" s="877"/>
      <c r="BE45" s="287">
        <f t="shared" ca="1" si="6"/>
        <v>0.88749561600000026</v>
      </c>
      <c r="BF45" s="287">
        <f t="shared" ca="1" si="7"/>
        <v>0.59166374400000032</v>
      </c>
      <c r="BG45" s="287">
        <f t="shared" ca="1" si="8"/>
        <v>0.55468476000000022</v>
      </c>
      <c r="BH45" s="287">
        <f t="shared" ca="1" si="9"/>
        <v>0</v>
      </c>
      <c r="BI45" s="287">
        <f t="shared" ca="1" si="10"/>
        <v>0</v>
      </c>
      <c r="BJ45" s="877"/>
    </row>
    <row r="46" spans="2:62" ht="17.100000000000001" customHeight="1">
      <c r="B46" s="119"/>
      <c r="C46" s="25"/>
      <c r="D46" s="26"/>
      <c r="E46" s="26"/>
      <c r="F46" s="26"/>
      <c r="G46" s="825"/>
      <c r="H46" s="845" t="str">
        <f ca="1">IF(AH4=2,FIXED(MAX(AX5:AX8),3),FIXED(MAX(AT5:AT8),3))&amp;" kN/m2"</f>
        <v>0.738 kN/m2</v>
      </c>
      <c r="I46" s="846"/>
      <c r="J46" s="846"/>
      <c r="K46" s="847"/>
      <c r="L46" s="854"/>
      <c r="M46" s="855"/>
      <c r="N46" s="855"/>
      <c r="O46" s="855"/>
      <c r="P46" s="855"/>
      <c r="Q46" s="855"/>
      <c r="R46" s="724"/>
      <c r="S46" s="725"/>
      <c r="T46" s="725"/>
      <c r="U46" s="725"/>
      <c r="V46" s="725"/>
      <c r="W46" s="725"/>
      <c r="X46" s="725"/>
      <c r="Y46" s="725"/>
      <c r="Z46" s="726"/>
      <c r="AA46" s="38"/>
      <c r="AB46" s="120"/>
      <c r="AH46" s="186">
        <v>36</v>
      </c>
      <c r="AI46" s="186" t="b">
        <f t="shared" si="0"/>
        <v>0</v>
      </c>
      <c r="AJ46" s="186" t="b">
        <f t="shared" si="11"/>
        <v>0</v>
      </c>
      <c r="AK46" s="298" t="b">
        <f t="shared" si="12"/>
        <v>0</v>
      </c>
      <c r="AL46" s="145">
        <f t="shared" si="25"/>
        <v>-0.30000000000000004</v>
      </c>
      <c r="AM46" s="145">
        <f t="shared" si="26"/>
        <v>-0.30000000000000004</v>
      </c>
      <c r="AN46" s="145">
        <f t="shared" si="27"/>
        <v>0.27999999999999997</v>
      </c>
      <c r="AO46" s="145">
        <v>0</v>
      </c>
      <c r="AP46" s="145">
        <v>0</v>
      </c>
      <c r="AQ46" s="877"/>
      <c r="AR46" s="287">
        <f t="shared" ca="1" si="1"/>
        <v>-0.3328108560000001</v>
      </c>
      <c r="AS46" s="287">
        <f t="shared" ca="1" si="2"/>
        <v>-0.3328108560000001</v>
      </c>
      <c r="AT46" s="287">
        <f t="shared" ca="1" si="3"/>
        <v>0.31062346560000004</v>
      </c>
      <c r="AU46" s="287">
        <f t="shared" ca="1" si="4"/>
        <v>0</v>
      </c>
      <c r="AV46" s="287">
        <f t="shared" ca="1" si="5"/>
        <v>0</v>
      </c>
      <c r="AW46" s="877"/>
      <c r="AY46" s="145">
        <f t="shared" si="28"/>
        <v>0.8</v>
      </c>
      <c r="AZ46" s="145">
        <f t="shared" si="29"/>
        <v>0.54000000000000026</v>
      </c>
      <c r="BA46" s="145">
        <f t="shared" si="30"/>
        <v>0.52000000000000013</v>
      </c>
      <c r="BB46" s="145">
        <v>0</v>
      </c>
      <c r="BC46" s="145">
        <v>0</v>
      </c>
      <c r="BD46" s="877"/>
      <c r="BE46" s="287">
        <f t="shared" ca="1" si="6"/>
        <v>0.88749561600000026</v>
      </c>
      <c r="BF46" s="287">
        <f t="shared" ca="1" si="7"/>
        <v>0.59905954080000046</v>
      </c>
      <c r="BG46" s="287">
        <f t="shared" ca="1" si="8"/>
        <v>0.57687215040000028</v>
      </c>
      <c r="BH46" s="287">
        <f t="shared" ca="1" si="9"/>
        <v>0</v>
      </c>
      <c r="BI46" s="287">
        <f t="shared" ca="1" si="10"/>
        <v>0</v>
      </c>
      <c r="BJ46" s="877"/>
    </row>
    <row r="47" spans="2:62" ht="17.100000000000001" customHeight="1" thickBot="1">
      <c r="B47" s="119"/>
      <c r="C47" s="25"/>
      <c r="D47" s="26"/>
      <c r="E47" s="26"/>
      <c r="F47" s="26"/>
      <c r="G47" s="825"/>
      <c r="H47" s="848"/>
      <c r="I47" s="849"/>
      <c r="J47" s="849"/>
      <c r="K47" s="850"/>
      <c r="L47" s="854"/>
      <c r="M47" s="855"/>
      <c r="N47" s="855"/>
      <c r="O47" s="855"/>
      <c r="P47" s="855"/>
      <c r="Q47" s="855"/>
      <c r="R47" s="724"/>
      <c r="S47" s="725"/>
      <c r="T47" s="725"/>
      <c r="U47" s="725"/>
      <c r="V47" s="725"/>
      <c r="W47" s="725"/>
      <c r="X47" s="725"/>
      <c r="Y47" s="725"/>
      <c r="Z47" s="726"/>
      <c r="AA47" s="38"/>
      <c r="AB47" s="120"/>
      <c r="AH47" s="186">
        <v>37</v>
      </c>
      <c r="AI47" s="186" t="b">
        <f t="shared" si="0"/>
        <v>0</v>
      </c>
      <c r="AJ47" s="186" t="b">
        <f t="shared" si="11"/>
        <v>0</v>
      </c>
      <c r="AK47" s="298" t="b">
        <f t="shared" si="12"/>
        <v>0</v>
      </c>
      <c r="AL47" s="145">
        <f t="shared" si="25"/>
        <v>-0.26666666666666672</v>
      </c>
      <c r="AM47" s="145">
        <f t="shared" si="26"/>
        <v>-0.26666666666666672</v>
      </c>
      <c r="AN47" s="145">
        <f t="shared" si="27"/>
        <v>0.29333333333333328</v>
      </c>
      <c r="AO47" s="145">
        <v>0</v>
      </c>
      <c r="AP47" s="145">
        <v>0</v>
      </c>
      <c r="AQ47" s="877"/>
      <c r="AR47" s="287">
        <f t="shared" ca="1" si="1"/>
        <v>-0.29583187200000011</v>
      </c>
      <c r="AS47" s="287">
        <f t="shared" ca="1" si="2"/>
        <v>-0.29583187200000011</v>
      </c>
      <c r="AT47" s="287">
        <f t="shared" ca="1" si="3"/>
        <v>0.32541505920000002</v>
      </c>
      <c r="AU47" s="287">
        <f t="shared" ca="1" si="4"/>
        <v>0</v>
      </c>
      <c r="AV47" s="287">
        <f t="shared" ca="1" si="5"/>
        <v>0</v>
      </c>
      <c r="AW47" s="877"/>
      <c r="AY47" s="145">
        <f t="shared" si="28"/>
        <v>0.8</v>
      </c>
      <c r="AZ47" s="145">
        <f t="shared" si="29"/>
        <v>0.54666666666666697</v>
      </c>
      <c r="BA47" s="145">
        <f t="shared" si="30"/>
        <v>0.54000000000000015</v>
      </c>
      <c r="BB47" s="145">
        <v>0</v>
      </c>
      <c r="BC47" s="145">
        <v>0</v>
      </c>
      <c r="BD47" s="877"/>
      <c r="BE47" s="287">
        <f t="shared" ca="1" si="6"/>
        <v>0.88749561600000026</v>
      </c>
      <c r="BF47" s="287">
        <f t="shared" ca="1" si="7"/>
        <v>0.60645533760000048</v>
      </c>
      <c r="BG47" s="287">
        <f t="shared" ca="1" si="8"/>
        <v>0.59905954080000023</v>
      </c>
      <c r="BH47" s="287">
        <f t="shared" ca="1" si="9"/>
        <v>0</v>
      </c>
      <c r="BI47" s="287">
        <f t="shared" ca="1" si="10"/>
        <v>0</v>
      </c>
      <c r="BJ47" s="877"/>
    </row>
    <row r="48" spans="2:62" ht="17.100000000000001" customHeight="1">
      <c r="B48" s="119"/>
      <c r="C48" s="25"/>
      <c r="D48" s="26"/>
      <c r="E48" s="26"/>
      <c r="F48" s="26"/>
      <c r="G48" s="825" t="str">
        <f>"b2 = "&amp;FIXED(M13-2*AI11/4,2)&amp;"m"</f>
        <v>b2 = 40.00m</v>
      </c>
      <c r="H48" s="890" t="s">
        <v>426</v>
      </c>
      <c r="I48" s="891"/>
      <c r="J48" s="891"/>
      <c r="K48" s="892"/>
      <c r="L48" s="854"/>
      <c r="M48" s="855"/>
      <c r="N48" s="855"/>
      <c r="O48" s="855"/>
      <c r="P48" s="855"/>
      <c r="Q48" s="855"/>
      <c r="R48" s="724"/>
      <c r="S48" s="725"/>
      <c r="T48" s="725"/>
      <c r="U48" s="725"/>
      <c r="V48" s="725"/>
      <c r="W48" s="725"/>
      <c r="X48" s="725"/>
      <c r="Y48" s="725"/>
      <c r="Z48" s="726"/>
      <c r="AA48" s="38"/>
      <c r="AB48" s="120"/>
      <c r="AH48" s="186">
        <v>38</v>
      </c>
      <c r="AI48" s="186" t="b">
        <f t="shared" si="0"/>
        <v>0</v>
      </c>
      <c r="AJ48" s="186" t="b">
        <f t="shared" si="11"/>
        <v>0</v>
      </c>
      <c r="AK48" s="298" t="b">
        <f t="shared" si="12"/>
        <v>0</v>
      </c>
      <c r="AL48" s="145">
        <f t="shared" si="25"/>
        <v>-0.23333333333333339</v>
      </c>
      <c r="AM48" s="145">
        <f t="shared" si="26"/>
        <v>-0.23333333333333339</v>
      </c>
      <c r="AN48" s="145">
        <f t="shared" si="27"/>
        <v>0.30666666666666659</v>
      </c>
      <c r="AO48" s="145">
        <v>0</v>
      </c>
      <c r="AP48" s="145">
        <v>0</v>
      </c>
      <c r="AQ48" s="877"/>
      <c r="AR48" s="287">
        <f t="shared" ca="1" si="1"/>
        <v>-0.25885288800000011</v>
      </c>
      <c r="AS48" s="287">
        <f t="shared" ca="1" si="2"/>
        <v>-0.25885288800000011</v>
      </c>
      <c r="AT48" s="287">
        <f t="shared" ca="1" si="3"/>
        <v>0.34020665279999995</v>
      </c>
      <c r="AU48" s="287">
        <f t="shared" ca="1" si="4"/>
        <v>0</v>
      </c>
      <c r="AV48" s="287">
        <f t="shared" ca="1" si="5"/>
        <v>0</v>
      </c>
      <c r="AW48" s="877"/>
      <c r="AY48" s="145">
        <f t="shared" si="28"/>
        <v>0.8</v>
      </c>
      <c r="AZ48" s="145">
        <f t="shared" si="29"/>
        <v>0.55333333333333368</v>
      </c>
      <c r="BA48" s="145">
        <f t="shared" si="30"/>
        <v>0.56000000000000016</v>
      </c>
      <c r="BB48" s="145">
        <v>0</v>
      </c>
      <c r="BC48" s="145">
        <v>0</v>
      </c>
      <c r="BD48" s="877"/>
      <c r="BE48" s="287">
        <f t="shared" ca="1" si="6"/>
        <v>0.88749561600000026</v>
      </c>
      <c r="BF48" s="287">
        <f t="shared" ca="1" si="7"/>
        <v>0.6138511344000005</v>
      </c>
      <c r="BG48" s="287">
        <f t="shared" ca="1" si="8"/>
        <v>0.6212469312000003</v>
      </c>
      <c r="BH48" s="287">
        <f t="shared" ca="1" si="9"/>
        <v>0</v>
      </c>
      <c r="BI48" s="287">
        <f t="shared" ca="1" si="10"/>
        <v>0</v>
      </c>
      <c r="BJ48" s="877"/>
    </row>
    <row r="49" spans="2:62" ht="17.100000000000001" customHeight="1">
      <c r="B49" s="119"/>
      <c r="C49" s="25"/>
      <c r="D49" s="26"/>
      <c r="E49" s="26"/>
      <c r="F49" s="26"/>
      <c r="G49" s="825"/>
      <c r="H49" s="854"/>
      <c r="I49" s="855"/>
      <c r="J49" s="855"/>
      <c r="K49" s="893"/>
      <c r="L49" s="854"/>
      <c r="M49" s="855"/>
      <c r="N49" s="855"/>
      <c r="O49" s="855"/>
      <c r="P49" s="855"/>
      <c r="Q49" s="855"/>
      <c r="R49" s="724"/>
      <c r="S49" s="725"/>
      <c r="T49" s="725"/>
      <c r="U49" s="725"/>
      <c r="V49" s="725"/>
      <c r="W49" s="725"/>
      <c r="X49" s="725"/>
      <c r="Y49" s="725"/>
      <c r="Z49" s="726"/>
      <c r="AA49" s="38"/>
      <c r="AB49" s="120"/>
      <c r="AH49" s="186">
        <v>39</v>
      </c>
      <c r="AI49" s="186" t="b">
        <f t="shared" si="0"/>
        <v>0</v>
      </c>
      <c r="AJ49" s="186" t="b">
        <f t="shared" si="11"/>
        <v>0</v>
      </c>
      <c r="AK49" s="298" t="b">
        <f t="shared" si="12"/>
        <v>0</v>
      </c>
      <c r="AL49" s="145">
        <f t="shared" si="25"/>
        <v>-0.20000000000000007</v>
      </c>
      <c r="AM49" s="145">
        <f t="shared" si="26"/>
        <v>-0.20000000000000007</v>
      </c>
      <c r="AN49" s="145">
        <f t="shared" si="27"/>
        <v>0.3199999999999999</v>
      </c>
      <c r="AO49" s="145">
        <v>0</v>
      </c>
      <c r="AP49" s="145">
        <v>0</v>
      </c>
      <c r="AQ49" s="877"/>
      <c r="AR49" s="287">
        <f t="shared" ca="1" si="1"/>
        <v>-0.22187390400000012</v>
      </c>
      <c r="AS49" s="287">
        <f t="shared" ca="1" si="2"/>
        <v>-0.22187390400000012</v>
      </c>
      <c r="AT49" s="287">
        <f t="shared" ca="1" si="3"/>
        <v>0.35499824639999994</v>
      </c>
      <c r="AU49" s="287">
        <f t="shared" ca="1" si="4"/>
        <v>0</v>
      </c>
      <c r="AV49" s="287">
        <f t="shared" ca="1" si="5"/>
        <v>0</v>
      </c>
      <c r="AW49" s="877"/>
      <c r="AY49" s="145">
        <f t="shared" si="28"/>
        <v>0.8</v>
      </c>
      <c r="AZ49" s="145">
        <f t="shared" si="29"/>
        <v>0.56000000000000039</v>
      </c>
      <c r="BA49" s="145">
        <f t="shared" si="30"/>
        <v>0.58000000000000018</v>
      </c>
      <c r="BB49" s="145">
        <v>0</v>
      </c>
      <c r="BC49" s="145">
        <v>0</v>
      </c>
      <c r="BD49" s="877"/>
      <c r="BE49" s="287">
        <f t="shared" ca="1" si="6"/>
        <v>0.88749561600000026</v>
      </c>
      <c r="BF49" s="287">
        <f t="shared" ca="1" si="7"/>
        <v>0.62124693120000052</v>
      </c>
      <c r="BG49" s="287">
        <f t="shared" ca="1" si="8"/>
        <v>0.64343432160000036</v>
      </c>
      <c r="BH49" s="287">
        <f t="shared" ca="1" si="9"/>
        <v>0</v>
      </c>
      <c r="BI49" s="287">
        <f t="shared" ca="1" si="10"/>
        <v>0</v>
      </c>
      <c r="BJ49" s="877"/>
    </row>
    <row r="50" spans="2:62" ht="17.100000000000001" customHeight="1">
      <c r="B50" s="119"/>
      <c r="C50" s="25"/>
      <c r="D50" s="26"/>
      <c r="E50" s="26"/>
      <c r="F50" s="26"/>
      <c r="G50" s="825"/>
      <c r="H50" s="845" t="str">
        <f ca="1">FIXED(MIN(AU5:AU8),3)&amp;" kN/m2"</f>
        <v>-1.527 kN/m2</v>
      </c>
      <c r="I50" s="846"/>
      <c r="J50" s="846"/>
      <c r="K50" s="847"/>
      <c r="L50" s="845" t="str">
        <f ca="1">FIXED(MIN(AV5:AV8),3)&amp;" kN/m2"</f>
        <v>-1.231 kN/m2</v>
      </c>
      <c r="M50" s="846"/>
      <c r="N50" s="846"/>
      <c r="O50" s="846"/>
      <c r="P50" s="846"/>
      <c r="Q50" s="846"/>
      <c r="R50" s="845" t="str">
        <f ca="1">IF(OR($AH$4&lt;&gt;2,AI12&gt;=M14),"",FIXED(MIN(AW5:AW8),3)&amp;" kN/m2")</f>
        <v>-1.157 kN/m2</v>
      </c>
      <c r="S50" s="846"/>
      <c r="T50" s="846"/>
      <c r="U50" s="846"/>
      <c r="V50" s="846"/>
      <c r="W50" s="846"/>
      <c r="X50" s="846"/>
      <c r="Y50" s="846"/>
      <c r="Z50" s="847"/>
      <c r="AA50" s="38"/>
      <c r="AB50" s="120"/>
      <c r="AH50" s="186">
        <v>40</v>
      </c>
      <c r="AI50" s="186" t="b">
        <f t="shared" si="0"/>
        <v>0</v>
      </c>
      <c r="AJ50" s="186" t="b">
        <f t="shared" si="11"/>
        <v>0</v>
      </c>
      <c r="AK50" s="298" t="b">
        <f t="shared" si="12"/>
        <v>0</v>
      </c>
      <c r="AL50" s="145">
        <f t="shared" si="25"/>
        <v>-0.16666666666666674</v>
      </c>
      <c r="AM50" s="145">
        <f t="shared" si="26"/>
        <v>-0.16666666666666674</v>
      </c>
      <c r="AN50" s="145">
        <f t="shared" si="27"/>
        <v>0.3333333333333332</v>
      </c>
      <c r="AO50" s="145">
        <v>0</v>
      </c>
      <c r="AP50" s="145">
        <v>0</v>
      </c>
      <c r="AQ50" s="877"/>
      <c r="AR50" s="287">
        <f t="shared" ca="1" si="1"/>
        <v>-0.18489492000000013</v>
      </c>
      <c r="AS50" s="287">
        <f t="shared" ca="1" si="2"/>
        <v>-0.18489492000000013</v>
      </c>
      <c r="AT50" s="287">
        <f t="shared" ca="1" si="3"/>
        <v>0.36978983999999993</v>
      </c>
      <c r="AU50" s="287">
        <f t="shared" ca="1" si="4"/>
        <v>0</v>
      </c>
      <c r="AV50" s="287">
        <f t="shared" ca="1" si="5"/>
        <v>0</v>
      </c>
      <c r="AW50" s="877"/>
      <c r="AY50" s="145">
        <f t="shared" si="28"/>
        <v>0.8</v>
      </c>
      <c r="AZ50" s="145">
        <f t="shared" si="29"/>
        <v>0.5666666666666671</v>
      </c>
      <c r="BA50" s="145">
        <f t="shared" si="30"/>
        <v>0.6000000000000002</v>
      </c>
      <c r="BB50" s="145">
        <v>0</v>
      </c>
      <c r="BC50" s="145">
        <v>0</v>
      </c>
      <c r="BD50" s="877"/>
      <c r="BE50" s="287">
        <f t="shared" ca="1" si="6"/>
        <v>0.88749561600000026</v>
      </c>
      <c r="BF50" s="287">
        <f t="shared" ca="1" si="7"/>
        <v>0.62864272800000065</v>
      </c>
      <c r="BG50" s="287">
        <f t="shared" ca="1" si="8"/>
        <v>0.66562171200000031</v>
      </c>
      <c r="BH50" s="287">
        <f t="shared" ca="1" si="9"/>
        <v>0</v>
      </c>
      <c r="BI50" s="287">
        <f t="shared" ca="1" si="10"/>
        <v>0</v>
      </c>
      <c r="BJ50" s="877"/>
    </row>
    <row r="51" spans="2:62" ht="17.100000000000001" customHeight="1">
      <c r="B51" s="119"/>
      <c r="C51" s="25"/>
      <c r="D51" s="26"/>
      <c r="E51" s="26"/>
      <c r="F51" s="26"/>
      <c r="G51" s="825"/>
      <c r="H51" s="845" t="str">
        <f ca="1">FIXED(MAX(AU5:AU8),3)&amp;" kN/m2"</f>
        <v>0.701 kN/m2</v>
      </c>
      <c r="I51" s="846"/>
      <c r="J51" s="846"/>
      <c r="K51" s="847"/>
      <c r="L51" s="845" t="str">
        <f ca="1">FIXED(MAX(AV5:AV8),3)&amp;" kN/m2"</f>
        <v>0.664 kN/m2</v>
      </c>
      <c r="M51" s="846"/>
      <c r="N51" s="846"/>
      <c r="O51" s="846"/>
      <c r="P51" s="846"/>
      <c r="Q51" s="846"/>
      <c r="R51" s="845" t="str">
        <f ca="1">IF(OR($AH$4&lt;&gt;2,AI12&gt;=M14),"",FIXED(MAX(AW5:AW8),3)&amp;" kN/m2")</f>
        <v>0.627 kN/m2</v>
      </c>
      <c r="S51" s="846"/>
      <c r="T51" s="846"/>
      <c r="U51" s="846"/>
      <c r="V51" s="846"/>
      <c r="W51" s="846"/>
      <c r="X51" s="846"/>
      <c r="Y51" s="846"/>
      <c r="Z51" s="847"/>
      <c r="AA51" s="38"/>
      <c r="AB51" s="120"/>
      <c r="AH51" s="186">
        <v>41</v>
      </c>
      <c r="AI51" s="186" t="b">
        <f t="shared" si="0"/>
        <v>0</v>
      </c>
      <c r="AJ51" s="186" t="b">
        <f t="shared" si="11"/>
        <v>0</v>
      </c>
      <c r="AK51" s="298" t="b">
        <f t="shared" si="12"/>
        <v>0</v>
      </c>
      <c r="AL51" s="145">
        <f t="shared" si="25"/>
        <v>-0.13333333333333341</v>
      </c>
      <c r="AM51" s="145">
        <f t="shared" si="26"/>
        <v>-0.13333333333333341</v>
      </c>
      <c r="AN51" s="145">
        <f t="shared" si="27"/>
        <v>0.34666666666666651</v>
      </c>
      <c r="AO51" s="145">
        <v>0</v>
      </c>
      <c r="AP51" s="145">
        <v>0</v>
      </c>
      <c r="AQ51" s="877"/>
      <c r="AR51" s="287">
        <f t="shared" ca="1" si="1"/>
        <v>-0.14791593600000011</v>
      </c>
      <c r="AS51" s="287">
        <f t="shared" ca="1" si="2"/>
        <v>-0.14791593600000011</v>
      </c>
      <c r="AT51" s="287">
        <f t="shared" ca="1" si="3"/>
        <v>0.38458143359999991</v>
      </c>
      <c r="AU51" s="287">
        <f t="shared" ca="1" si="4"/>
        <v>0</v>
      </c>
      <c r="AV51" s="287">
        <f t="shared" ca="1" si="5"/>
        <v>0</v>
      </c>
      <c r="AW51" s="877"/>
      <c r="AY51" s="145">
        <f t="shared" si="28"/>
        <v>0.8</v>
      </c>
      <c r="AZ51" s="145">
        <f t="shared" si="29"/>
        <v>0.57333333333333381</v>
      </c>
      <c r="BA51" s="145">
        <f t="shared" si="30"/>
        <v>0.62000000000000022</v>
      </c>
      <c r="BB51" s="145">
        <v>0</v>
      </c>
      <c r="BC51" s="145">
        <v>0</v>
      </c>
      <c r="BD51" s="877"/>
      <c r="BE51" s="287">
        <f t="shared" ca="1" si="6"/>
        <v>0.88749561600000026</v>
      </c>
      <c r="BF51" s="287">
        <f t="shared" ca="1" si="7"/>
        <v>0.63603852480000067</v>
      </c>
      <c r="BG51" s="287">
        <f t="shared" ca="1" si="8"/>
        <v>0.68780910240000037</v>
      </c>
      <c r="BH51" s="287">
        <f t="shared" ca="1" si="9"/>
        <v>0</v>
      </c>
      <c r="BI51" s="287">
        <f t="shared" ca="1" si="10"/>
        <v>0</v>
      </c>
      <c r="BJ51" s="877"/>
    </row>
    <row r="52" spans="2:62" ht="17.100000000000001" customHeight="1">
      <c r="B52" s="119"/>
      <c r="C52" s="25"/>
      <c r="D52" s="26"/>
      <c r="E52" s="26"/>
      <c r="F52" s="26"/>
      <c r="G52" s="825"/>
      <c r="H52" s="845"/>
      <c r="I52" s="846"/>
      <c r="J52" s="846"/>
      <c r="K52" s="847"/>
      <c r="L52" s="845"/>
      <c r="M52" s="846"/>
      <c r="N52" s="846"/>
      <c r="O52" s="846"/>
      <c r="P52" s="846"/>
      <c r="Q52" s="846"/>
      <c r="R52" s="845"/>
      <c r="S52" s="846"/>
      <c r="T52" s="846"/>
      <c r="U52" s="846"/>
      <c r="V52" s="846"/>
      <c r="W52" s="846"/>
      <c r="X52" s="846"/>
      <c r="Y52" s="846"/>
      <c r="Z52" s="847"/>
      <c r="AA52" s="38"/>
      <c r="AB52" s="120"/>
      <c r="AH52" s="186">
        <v>42</v>
      </c>
      <c r="AI52" s="186" t="b">
        <f t="shared" si="0"/>
        <v>0</v>
      </c>
      <c r="AJ52" s="186" t="b">
        <f t="shared" si="11"/>
        <v>0</v>
      </c>
      <c r="AK52" s="298" t="b">
        <f t="shared" si="12"/>
        <v>0</v>
      </c>
      <c r="AL52" s="145">
        <f t="shared" si="25"/>
        <v>-0.10000000000000009</v>
      </c>
      <c r="AM52" s="145">
        <f t="shared" si="26"/>
        <v>-0.10000000000000009</v>
      </c>
      <c r="AN52" s="145">
        <f t="shared" si="27"/>
        <v>0.35999999999999982</v>
      </c>
      <c r="AO52" s="145">
        <v>0</v>
      </c>
      <c r="AP52" s="145">
        <v>0</v>
      </c>
      <c r="AQ52" s="877"/>
      <c r="AR52" s="287">
        <f t="shared" ca="1" si="1"/>
        <v>-0.11093695200000012</v>
      </c>
      <c r="AS52" s="287">
        <f t="shared" ca="1" si="2"/>
        <v>-0.11093695200000012</v>
      </c>
      <c r="AT52" s="287">
        <f t="shared" ca="1" si="3"/>
        <v>0.3993730271999999</v>
      </c>
      <c r="AU52" s="287">
        <f t="shared" ca="1" si="4"/>
        <v>0</v>
      </c>
      <c r="AV52" s="287">
        <f t="shared" ca="1" si="5"/>
        <v>0</v>
      </c>
      <c r="AW52" s="877"/>
      <c r="AY52" s="145">
        <f t="shared" si="28"/>
        <v>0.8</v>
      </c>
      <c r="AZ52" s="145">
        <f t="shared" si="29"/>
        <v>0.58000000000000052</v>
      </c>
      <c r="BA52" s="145">
        <f t="shared" si="30"/>
        <v>0.64000000000000024</v>
      </c>
      <c r="BB52" s="145">
        <v>0</v>
      </c>
      <c r="BC52" s="145">
        <v>0</v>
      </c>
      <c r="BD52" s="877"/>
      <c r="BE52" s="287">
        <f t="shared" ca="1" si="6"/>
        <v>0.88749561600000026</v>
      </c>
      <c r="BF52" s="287">
        <f t="shared" ca="1" si="7"/>
        <v>0.64343432160000069</v>
      </c>
      <c r="BG52" s="287">
        <f t="shared" ca="1" si="8"/>
        <v>0.70999649280000043</v>
      </c>
      <c r="BH52" s="287">
        <f t="shared" ca="1" si="9"/>
        <v>0</v>
      </c>
      <c r="BI52" s="287">
        <f t="shared" ca="1" si="10"/>
        <v>0</v>
      </c>
      <c r="BJ52" s="877"/>
    </row>
    <row r="53" spans="2:62" ht="17.100000000000001" customHeight="1" thickBot="1">
      <c r="B53" s="119"/>
      <c r="C53" s="25"/>
      <c r="D53" s="26"/>
      <c r="E53" s="26"/>
      <c r="F53" s="26"/>
      <c r="G53" s="825"/>
      <c r="H53" s="848"/>
      <c r="I53" s="849"/>
      <c r="J53" s="849"/>
      <c r="K53" s="850"/>
      <c r="L53" s="845"/>
      <c r="M53" s="846"/>
      <c r="N53" s="846"/>
      <c r="O53" s="846"/>
      <c r="P53" s="846"/>
      <c r="Q53" s="846"/>
      <c r="R53" s="845"/>
      <c r="S53" s="846"/>
      <c r="T53" s="846"/>
      <c r="U53" s="846"/>
      <c r="V53" s="846"/>
      <c r="W53" s="846"/>
      <c r="X53" s="846"/>
      <c r="Y53" s="846"/>
      <c r="Z53" s="847"/>
      <c r="AA53" s="38"/>
      <c r="AB53" s="120"/>
      <c r="AH53" s="186">
        <v>43</v>
      </c>
      <c r="AI53" s="186" t="b">
        <f t="shared" si="0"/>
        <v>0</v>
      </c>
      <c r="AJ53" s="186" t="b">
        <f t="shared" si="11"/>
        <v>0</v>
      </c>
      <c r="AK53" s="298" t="b">
        <f t="shared" si="12"/>
        <v>0</v>
      </c>
      <c r="AL53" s="145">
        <f t="shared" si="25"/>
        <v>-6.6666666666666763E-2</v>
      </c>
      <c r="AM53" s="145">
        <f t="shared" si="26"/>
        <v>-6.6666666666666763E-2</v>
      </c>
      <c r="AN53" s="145">
        <f t="shared" si="27"/>
        <v>0.37333333333333313</v>
      </c>
      <c r="AO53" s="145">
        <v>0</v>
      </c>
      <c r="AP53" s="145">
        <v>0</v>
      </c>
      <c r="AQ53" s="877"/>
      <c r="AR53" s="287">
        <f t="shared" ca="1" si="1"/>
        <v>-7.3957968000000124E-2</v>
      </c>
      <c r="AS53" s="287">
        <f t="shared" ca="1" si="2"/>
        <v>-7.3957968000000124E-2</v>
      </c>
      <c r="AT53" s="287">
        <f t="shared" ca="1" si="3"/>
        <v>0.41416462079999983</v>
      </c>
      <c r="AU53" s="287">
        <f t="shared" ca="1" si="4"/>
        <v>0</v>
      </c>
      <c r="AV53" s="287">
        <f t="shared" ca="1" si="5"/>
        <v>0</v>
      </c>
      <c r="AW53" s="877"/>
      <c r="AY53" s="145">
        <f t="shared" si="28"/>
        <v>0.8</v>
      </c>
      <c r="AZ53" s="145">
        <f t="shared" si="29"/>
        <v>0.58666666666666722</v>
      </c>
      <c r="BA53" s="145">
        <f t="shared" si="30"/>
        <v>0.66000000000000025</v>
      </c>
      <c r="BB53" s="145">
        <v>0</v>
      </c>
      <c r="BC53" s="145">
        <v>0</v>
      </c>
      <c r="BD53" s="877"/>
      <c r="BE53" s="287">
        <f t="shared" ca="1" si="6"/>
        <v>0.88749561600000026</v>
      </c>
      <c r="BF53" s="287">
        <f t="shared" ca="1" si="7"/>
        <v>0.65083011840000071</v>
      </c>
      <c r="BG53" s="287">
        <f t="shared" ca="1" si="8"/>
        <v>0.73218388320000038</v>
      </c>
      <c r="BH53" s="287">
        <f t="shared" ca="1" si="9"/>
        <v>0</v>
      </c>
      <c r="BI53" s="287">
        <f t="shared" ca="1" si="10"/>
        <v>0</v>
      </c>
      <c r="BJ53" s="877"/>
    </row>
    <row r="54" spans="2:62" ht="17.100000000000001" customHeight="1">
      <c r="B54" s="119"/>
      <c r="C54" s="25"/>
      <c r="D54" s="26"/>
      <c r="E54" s="26"/>
      <c r="F54" s="26"/>
      <c r="G54" s="825" t="str">
        <f>"b1 = "&amp;FIXED(+AI11/4,2)&amp;"m"</f>
        <v>b1 = 20.00m</v>
      </c>
      <c r="H54" s="890" t="s">
        <v>425</v>
      </c>
      <c r="I54" s="891"/>
      <c r="J54" s="891"/>
      <c r="K54" s="892"/>
      <c r="L54" s="845"/>
      <c r="M54" s="846"/>
      <c r="N54" s="846"/>
      <c r="O54" s="846"/>
      <c r="P54" s="846"/>
      <c r="Q54" s="846"/>
      <c r="R54" s="845"/>
      <c r="S54" s="846"/>
      <c r="T54" s="846"/>
      <c r="U54" s="846"/>
      <c r="V54" s="846"/>
      <c r="W54" s="846"/>
      <c r="X54" s="846"/>
      <c r="Y54" s="846"/>
      <c r="Z54" s="847"/>
      <c r="AA54" s="38"/>
      <c r="AB54" s="120"/>
      <c r="AH54" s="186">
        <v>44</v>
      </c>
      <c r="AI54" s="186" t="b">
        <f t="shared" si="0"/>
        <v>0</v>
      </c>
      <c r="AJ54" s="186" t="b">
        <f t="shared" si="11"/>
        <v>0</v>
      </c>
      <c r="AK54" s="298" t="b">
        <f t="shared" si="12"/>
        <v>0</v>
      </c>
      <c r="AL54" s="145">
        <f t="shared" si="25"/>
        <v>-3.333333333333343E-2</v>
      </c>
      <c r="AM54" s="145">
        <f t="shared" si="26"/>
        <v>-3.333333333333343E-2</v>
      </c>
      <c r="AN54" s="145">
        <f t="shared" si="27"/>
        <v>0.38666666666666644</v>
      </c>
      <c r="AO54" s="145">
        <v>0</v>
      </c>
      <c r="AP54" s="145">
        <v>0</v>
      </c>
      <c r="AQ54" s="877"/>
      <c r="AR54" s="287">
        <f t="shared" ca="1" si="1"/>
        <v>-3.6978984000000117E-2</v>
      </c>
      <c r="AS54" s="287">
        <f t="shared" ca="1" si="2"/>
        <v>-3.6978984000000117E-2</v>
      </c>
      <c r="AT54" s="287">
        <f t="shared" ca="1" si="3"/>
        <v>0.42895621439999981</v>
      </c>
      <c r="AU54" s="287">
        <f t="shared" ca="1" si="4"/>
        <v>0</v>
      </c>
      <c r="AV54" s="287">
        <f t="shared" ca="1" si="5"/>
        <v>0</v>
      </c>
      <c r="AW54" s="877"/>
      <c r="AY54" s="145">
        <f t="shared" si="28"/>
        <v>0.8</v>
      </c>
      <c r="AZ54" s="145">
        <f t="shared" si="29"/>
        <v>0.59333333333333393</v>
      </c>
      <c r="BA54" s="145">
        <f t="shared" si="30"/>
        <v>0.68000000000000027</v>
      </c>
      <c r="BB54" s="145">
        <v>0</v>
      </c>
      <c r="BC54" s="145">
        <v>0</v>
      </c>
      <c r="BD54" s="877"/>
      <c r="BE54" s="287">
        <f t="shared" ca="1" si="6"/>
        <v>0.88749561600000026</v>
      </c>
      <c r="BF54" s="287">
        <f t="shared" ca="1" si="7"/>
        <v>0.65822591520000084</v>
      </c>
      <c r="BG54" s="287">
        <f t="shared" ca="1" si="8"/>
        <v>0.75437127360000045</v>
      </c>
      <c r="BH54" s="287">
        <f t="shared" ca="1" si="9"/>
        <v>0</v>
      </c>
      <c r="BI54" s="287">
        <f t="shared" ca="1" si="10"/>
        <v>0</v>
      </c>
      <c r="BJ54" s="877"/>
    </row>
    <row r="55" spans="2:62" ht="17.100000000000001" customHeight="1">
      <c r="B55" s="119"/>
      <c r="C55" s="25"/>
      <c r="D55" s="26"/>
      <c r="E55" s="26"/>
      <c r="F55" s="26"/>
      <c r="G55" s="825"/>
      <c r="H55" s="845" t="str">
        <f ca="1">FIXED(MIN(AT5:AT8),3)&amp;" kN/m2"</f>
        <v>-1.934 kN/m2</v>
      </c>
      <c r="I55" s="846"/>
      <c r="J55" s="846"/>
      <c r="K55" s="847"/>
      <c r="L55" s="845"/>
      <c r="M55" s="846"/>
      <c r="N55" s="846"/>
      <c r="O55" s="846"/>
      <c r="P55" s="846"/>
      <c r="Q55" s="846"/>
      <c r="R55" s="845"/>
      <c r="S55" s="846"/>
      <c r="T55" s="846"/>
      <c r="U55" s="846"/>
      <c r="V55" s="846"/>
      <c r="W55" s="846"/>
      <c r="X55" s="846"/>
      <c r="Y55" s="846"/>
      <c r="Z55" s="847"/>
      <c r="AA55" s="38"/>
      <c r="AB55" s="120"/>
      <c r="AH55" s="186">
        <v>45</v>
      </c>
      <c r="AI55" s="186" t="b">
        <f t="shared" si="0"/>
        <v>0</v>
      </c>
      <c r="AJ55" s="186" t="b">
        <f t="shared" si="11"/>
        <v>0</v>
      </c>
      <c r="AK55" s="298" t="b">
        <f t="shared" si="12"/>
        <v>0</v>
      </c>
      <c r="AL55" s="287">
        <v>0</v>
      </c>
      <c r="AM55" s="287">
        <v>0</v>
      </c>
      <c r="AN55" s="287">
        <v>0</v>
      </c>
      <c r="AO55" s="287">
        <v>0</v>
      </c>
      <c r="AP55" s="287">
        <v>0</v>
      </c>
      <c r="AQ55" s="877"/>
      <c r="AR55" s="287">
        <f t="shared" ca="1" si="1"/>
        <v>0</v>
      </c>
      <c r="AS55" s="287">
        <f t="shared" ca="1" si="2"/>
        <v>0</v>
      </c>
      <c r="AT55" s="287">
        <f t="shared" ca="1" si="3"/>
        <v>0</v>
      </c>
      <c r="AU55" s="287">
        <f t="shared" ca="1" si="4"/>
        <v>0</v>
      </c>
      <c r="AV55" s="287">
        <f t="shared" ca="1" si="5"/>
        <v>0</v>
      </c>
      <c r="AW55" s="877"/>
      <c r="AY55" s="287">
        <v>0.8</v>
      </c>
      <c r="AZ55" s="287">
        <v>0.6</v>
      </c>
      <c r="BA55" s="287">
        <v>0.7</v>
      </c>
      <c r="BB55" s="287">
        <v>0</v>
      </c>
      <c r="BC55" s="287">
        <v>0</v>
      </c>
      <c r="BD55" s="877"/>
      <c r="BE55" s="287">
        <f t="shared" ca="1" si="6"/>
        <v>0.88749561600000026</v>
      </c>
      <c r="BF55" s="287">
        <f t="shared" ca="1" si="7"/>
        <v>0.66562171200000009</v>
      </c>
      <c r="BG55" s="287">
        <f t="shared" ca="1" si="8"/>
        <v>0.77655866400000007</v>
      </c>
      <c r="BH55" s="287">
        <f t="shared" ca="1" si="9"/>
        <v>0</v>
      </c>
      <c r="BI55" s="287">
        <f t="shared" ca="1" si="10"/>
        <v>0</v>
      </c>
      <c r="BJ55" s="877"/>
    </row>
    <row r="56" spans="2:62" ht="17.100000000000001" customHeight="1">
      <c r="B56" s="119"/>
      <c r="C56" s="25"/>
      <c r="D56" s="26"/>
      <c r="E56" s="26"/>
      <c r="F56" s="26"/>
      <c r="G56" s="825"/>
      <c r="H56" s="845" t="str">
        <f ca="1">FIXED(MAX(AT5:AT8),3)&amp;" kN/m2"</f>
        <v>0.738 kN/m2</v>
      </c>
      <c r="I56" s="846"/>
      <c r="J56" s="846"/>
      <c r="K56" s="847"/>
      <c r="L56" s="845"/>
      <c r="M56" s="846"/>
      <c r="N56" s="846"/>
      <c r="O56" s="846"/>
      <c r="P56" s="846"/>
      <c r="Q56" s="846"/>
      <c r="R56" s="845"/>
      <c r="S56" s="846"/>
      <c r="T56" s="846"/>
      <c r="U56" s="846"/>
      <c r="V56" s="846"/>
      <c r="W56" s="846"/>
      <c r="X56" s="846"/>
      <c r="Y56" s="846"/>
      <c r="Z56" s="847"/>
      <c r="AA56" s="38"/>
      <c r="AB56" s="120"/>
      <c r="AH56" s="186">
        <v>46</v>
      </c>
      <c r="AI56" s="186" t="b">
        <f t="shared" si="0"/>
        <v>0</v>
      </c>
      <c r="AJ56" s="186" t="b">
        <f t="shared" si="11"/>
        <v>0</v>
      </c>
      <c r="AK56" s="298" t="b">
        <f t="shared" si="12"/>
        <v>0</v>
      </c>
      <c r="AL56" s="145">
        <f>+ABS($AL$55-$AL$70)/15+AL55</f>
        <v>5.3333333333333337E-2</v>
      </c>
      <c r="AM56" s="145">
        <f>+ABS($AM$55-$AM$70)/15+AM55</f>
        <v>5.3333333333333337E-2</v>
      </c>
      <c r="AN56" s="145">
        <f>+ABS($AN$55-$AN$70)/15+AN55</f>
        <v>5.3333333333333337E-2</v>
      </c>
      <c r="AO56" s="145">
        <v>0</v>
      </c>
      <c r="AP56" s="145">
        <v>0</v>
      </c>
      <c r="AQ56" s="877"/>
      <c r="AR56" s="287">
        <f t="shared" ca="1" si="1"/>
        <v>5.9166374400000013E-2</v>
      </c>
      <c r="AS56" s="287">
        <f t="shared" ca="1" si="2"/>
        <v>5.9166374400000013E-2</v>
      </c>
      <c r="AT56" s="287">
        <f t="shared" ca="1" si="3"/>
        <v>5.9166374400000013E-2</v>
      </c>
      <c r="AU56" s="287">
        <f t="shared" ca="1" si="4"/>
        <v>0</v>
      </c>
      <c r="AV56" s="287">
        <f t="shared" ca="1" si="5"/>
        <v>0</v>
      </c>
      <c r="AW56" s="877"/>
      <c r="AY56" s="145">
        <f>+ABS($AY$55-$AY$70)/15+AY55</f>
        <v>0.8</v>
      </c>
      <c r="AZ56" s="145">
        <f>+ABS($AZ$55-$AZ$70)/15+AZ55</f>
        <v>0.61333333333333329</v>
      </c>
      <c r="BA56" s="145">
        <f>+ABS($BA$55-$BA$70)/15+BA55</f>
        <v>0.70666666666666667</v>
      </c>
      <c r="BB56" s="145">
        <v>0</v>
      </c>
      <c r="BC56" s="145">
        <v>0</v>
      </c>
      <c r="BD56" s="877"/>
      <c r="BE56" s="287">
        <f t="shared" ca="1" si="6"/>
        <v>0.88749561600000026</v>
      </c>
      <c r="BF56" s="287">
        <f t="shared" ca="1" si="7"/>
        <v>0.68041330560000013</v>
      </c>
      <c r="BG56" s="287">
        <f t="shared" ca="1" si="8"/>
        <v>0.7839544608000002</v>
      </c>
      <c r="BH56" s="287">
        <f t="shared" ca="1" si="9"/>
        <v>0</v>
      </c>
      <c r="BI56" s="287">
        <f t="shared" ca="1" si="10"/>
        <v>0</v>
      </c>
      <c r="BJ56" s="877"/>
    </row>
    <row r="57" spans="2:62" ht="17.100000000000001" customHeight="1" thickBot="1">
      <c r="B57" s="119"/>
      <c r="C57" s="25"/>
      <c r="D57" s="26"/>
      <c r="E57" s="26"/>
      <c r="F57" s="26"/>
      <c r="G57" s="825"/>
      <c r="H57" s="848"/>
      <c r="I57" s="849"/>
      <c r="J57" s="849"/>
      <c r="K57" s="850"/>
      <c r="L57" s="856" t="str">
        <f>IF(AND($AH$4=2,AI12&gt;=M14),"low eave","")</f>
        <v/>
      </c>
      <c r="M57" s="857"/>
      <c r="N57" s="857"/>
      <c r="O57" s="857"/>
      <c r="P57" s="857"/>
      <c r="Q57" s="857"/>
      <c r="R57" s="858" t="str">
        <f>IF(AND($AH$4=2,AI12&lt;M14),"low eave","")</f>
        <v>low eave</v>
      </c>
      <c r="S57" s="859"/>
      <c r="T57" s="859"/>
      <c r="U57" s="859"/>
      <c r="V57" s="859"/>
      <c r="W57" s="859"/>
      <c r="X57" s="859"/>
      <c r="Y57" s="859"/>
      <c r="Z57" s="860"/>
      <c r="AA57" s="38"/>
      <c r="AB57" s="120"/>
      <c r="AH57" s="186">
        <v>47</v>
      </c>
      <c r="AI57" s="186" t="b">
        <f t="shared" si="0"/>
        <v>0</v>
      </c>
      <c r="AJ57" s="186" t="b">
        <f t="shared" si="11"/>
        <v>0</v>
      </c>
      <c r="AK57" s="298" t="b">
        <f t="shared" si="12"/>
        <v>0</v>
      </c>
      <c r="AL57" s="145">
        <f t="shared" ref="AL57:AL69" si="31">+ABS($AL$55-$AL$70)/15+AL56</f>
        <v>0.10666666666666667</v>
      </c>
      <c r="AM57" s="145">
        <f t="shared" ref="AM57:AM69" si="32">+ABS($AM$55-$AM$70)/15+AM56</f>
        <v>0.10666666666666667</v>
      </c>
      <c r="AN57" s="145">
        <f t="shared" ref="AN57:AN69" si="33">+ABS($AN$55-$AN$70)/15+AN56</f>
        <v>0.10666666666666667</v>
      </c>
      <c r="AO57" s="145">
        <v>0</v>
      </c>
      <c r="AP57" s="145">
        <v>0</v>
      </c>
      <c r="AQ57" s="877"/>
      <c r="AR57" s="287">
        <f t="shared" ca="1" si="1"/>
        <v>0.11833274880000003</v>
      </c>
      <c r="AS57" s="287">
        <f t="shared" ca="1" si="2"/>
        <v>0.11833274880000003</v>
      </c>
      <c r="AT57" s="287">
        <f t="shared" ca="1" si="3"/>
        <v>0.11833274880000003</v>
      </c>
      <c r="AU57" s="287">
        <f t="shared" ca="1" si="4"/>
        <v>0</v>
      </c>
      <c r="AV57" s="287">
        <f t="shared" ca="1" si="5"/>
        <v>0</v>
      </c>
      <c r="AW57" s="877"/>
      <c r="AY57" s="145">
        <f t="shared" ref="AY57:AY69" si="34">+ABS($AY$55-$AY$70)/15+AY56</f>
        <v>0.8</v>
      </c>
      <c r="AZ57" s="145">
        <f t="shared" ref="AZ57:AZ69" si="35">+ABS($AZ$55-$AZ$70)/15+AZ56</f>
        <v>0.62666666666666659</v>
      </c>
      <c r="BA57" s="145">
        <f t="shared" ref="BA57:BA69" si="36">+ABS($BA$55-$BA$70)/15+BA56</f>
        <v>0.71333333333333337</v>
      </c>
      <c r="BB57" s="145">
        <v>0</v>
      </c>
      <c r="BC57" s="145">
        <v>0</v>
      </c>
      <c r="BD57" s="877"/>
      <c r="BE57" s="287">
        <f t="shared" ca="1" si="6"/>
        <v>0.88749561600000026</v>
      </c>
      <c r="BF57" s="287">
        <f t="shared" ca="1" si="7"/>
        <v>0.69520489920000006</v>
      </c>
      <c r="BG57" s="287">
        <f t="shared" ca="1" si="8"/>
        <v>0.79135025760000022</v>
      </c>
      <c r="BH57" s="287">
        <f t="shared" ca="1" si="9"/>
        <v>0</v>
      </c>
      <c r="BI57" s="287">
        <f t="shared" ca="1" si="10"/>
        <v>0</v>
      </c>
      <c r="BJ57" s="877"/>
    </row>
    <row r="58" spans="2:62" ht="17.100000000000001" customHeight="1">
      <c r="B58" s="119"/>
      <c r="C58" s="25"/>
      <c r="D58" s="26"/>
      <c r="E58" s="26"/>
      <c r="F58" s="26"/>
      <c r="G58" s="26"/>
      <c r="H58" s="26"/>
      <c r="I58" s="26"/>
      <c r="J58" s="26"/>
      <c r="K58" s="26"/>
      <c r="L58" s="26"/>
      <c r="M58" s="26"/>
      <c r="N58" s="26"/>
      <c r="O58" s="26"/>
      <c r="P58" s="26"/>
      <c r="Q58" s="26"/>
      <c r="R58" s="26"/>
      <c r="S58" s="26"/>
      <c r="T58" s="26"/>
      <c r="U58" s="26"/>
      <c r="V58" s="26"/>
      <c r="W58" s="26"/>
      <c r="X58" s="26"/>
      <c r="Y58" s="26"/>
      <c r="Z58" s="26"/>
      <c r="AA58" s="38"/>
      <c r="AB58" s="120"/>
      <c r="AH58" s="186">
        <v>48</v>
      </c>
      <c r="AI58" s="186" t="b">
        <f t="shared" si="0"/>
        <v>0</v>
      </c>
      <c r="AJ58" s="186" t="b">
        <f t="shared" si="11"/>
        <v>0</v>
      </c>
      <c r="AK58" s="298" t="b">
        <f t="shared" si="12"/>
        <v>0</v>
      </c>
      <c r="AL58" s="145">
        <f t="shared" si="31"/>
        <v>0.16</v>
      </c>
      <c r="AM58" s="145">
        <f t="shared" si="32"/>
        <v>0.16</v>
      </c>
      <c r="AN58" s="145">
        <f t="shared" si="33"/>
        <v>0.16</v>
      </c>
      <c r="AO58" s="145">
        <v>0</v>
      </c>
      <c r="AP58" s="145">
        <v>0</v>
      </c>
      <c r="AQ58" s="877"/>
      <c r="AR58" s="287">
        <f t="shared" ca="1" si="1"/>
        <v>0.17749912320000003</v>
      </c>
      <c r="AS58" s="287">
        <f t="shared" ca="1" si="2"/>
        <v>0.17749912320000003</v>
      </c>
      <c r="AT58" s="287">
        <f t="shared" ca="1" si="3"/>
        <v>0.17749912320000003</v>
      </c>
      <c r="AU58" s="287">
        <f t="shared" ca="1" si="4"/>
        <v>0</v>
      </c>
      <c r="AV58" s="287">
        <f t="shared" ca="1" si="5"/>
        <v>0</v>
      </c>
      <c r="AW58" s="877"/>
      <c r="AY58" s="145">
        <f t="shared" si="34"/>
        <v>0.8</v>
      </c>
      <c r="AZ58" s="145">
        <f t="shared" si="35"/>
        <v>0.6399999999999999</v>
      </c>
      <c r="BA58" s="145">
        <f t="shared" si="36"/>
        <v>0.72000000000000008</v>
      </c>
      <c r="BB58" s="145">
        <v>0</v>
      </c>
      <c r="BC58" s="145">
        <v>0</v>
      </c>
      <c r="BD58" s="877"/>
      <c r="BE58" s="287">
        <f t="shared" ca="1" si="6"/>
        <v>0.88749561600000026</v>
      </c>
      <c r="BF58" s="287">
        <f t="shared" ca="1" si="7"/>
        <v>0.70999649279999999</v>
      </c>
      <c r="BG58" s="287">
        <f t="shared" ca="1" si="8"/>
        <v>0.79874605440000024</v>
      </c>
      <c r="BH58" s="287">
        <f t="shared" ca="1" si="9"/>
        <v>0</v>
      </c>
      <c r="BI58" s="287">
        <f t="shared" ca="1" si="10"/>
        <v>0</v>
      </c>
      <c r="BJ58" s="877"/>
    </row>
    <row r="59" spans="2:62" ht="17.100000000000001" customHeight="1">
      <c r="B59" s="119"/>
      <c r="C59" s="29"/>
      <c r="D59" s="30"/>
      <c r="E59" s="30"/>
      <c r="F59" s="30"/>
      <c r="G59" s="30"/>
      <c r="H59" s="30"/>
      <c r="I59" s="30"/>
      <c r="J59" s="30"/>
      <c r="K59" s="30"/>
      <c r="L59" s="30"/>
      <c r="M59" s="30"/>
      <c r="N59" s="30"/>
      <c r="O59" s="30"/>
      <c r="P59" s="30"/>
      <c r="Q59" s="30"/>
      <c r="R59" s="30"/>
      <c r="S59" s="30"/>
      <c r="T59" s="30"/>
      <c r="U59" s="30"/>
      <c r="V59" s="30"/>
      <c r="W59" s="30"/>
      <c r="X59" s="30"/>
      <c r="Y59" s="30"/>
      <c r="Z59" s="30"/>
      <c r="AA59" s="39"/>
      <c r="AB59" s="120"/>
      <c r="AH59" s="186">
        <v>49</v>
      </c>
      <c r="AI59" s="186" t="b">
        <f t="shared" si="0"/>
        <v>0</v>
      </c>
      <c r="AJ59" s="186" t="b">
        <f t="shared" si="11"/>
        <v>0</v>
      </c>
      <c r="AK59" s="298" t="b">
        <f t="shared" si="12"/>
        <v>0</v>
      </c>
      <c r="AL59" s="145">
        <f t="shared" si="31"/>
        <v>0.21333333333333335</v>
      </c>
      <c r="AM59" s="145">
        <f t="shared" si="32"/>
        <v>0.21333333333333335</v>
      </c>
      <c r="AN59" s="145">
        <f t="shared" si="33"/>
        <v>0.21333333333333335</v>
      </c>
      <c r="AO59" s="145">
        <v>0</v>
      </c>
      <c r="AP59" s="145">
        <v>0</v>
      </c>
      <c r="AQ59" s="877"/>
      <c r="AR59" s="287">
        <f t="shared" ca="1" si="1"/>
        <v>0.23666549760000005</v>
      </c>
      <c r="AS59" s="287">
        <f t="shared" ca="1" si="2"/>
        <v>0.23666549760000005</v>
      </c>
      <c r="AT59" s="287">
        <f t="shared" ca="1" si="3"/>
        <v>0.23666549760000005</v>
      </c>
      <c r="AU59" s="287">
        <f t="shared" ca="1" si="4"/>
        <v>0</v>
      </c>
      <c r="AV59" s="287">
        <f t="shared" ca="1" si="5"/>
        <v>0</v>
      </c>
      <c r="AW59" s="877"/>
      <c r="AY59" s="145">
        <f t="shared" si="34"/>
        <v>0.8</v>
      </c>
      <c r="AZ59" s="145">
        <f t="shared" si="35"/>
        <v>0.65333333333333321</v>
      </c>
      <c r="BA59" s="145">
        <f t="shared" si="36"/>
        <v>0.72666666666666679</v>
      </c>
      <c r="BB59" s="145">
        <v>0</v>
      </c>
      <c r="BC59" s="145">
        <v>0</v>
      </c>
      <c r="BD59" s="877"/>
      <c r="BE59" s="287">
        <f t="shared" ca="1" si="6"/>
        <v>0.88749561600000026</v>
      </c>
      <c r="BF59" s="287">
        <f t="shared" ca="1" si="7"/>
        <v>0.72478808640000003</v>
      </c>
      <c r="BG59" s="287">
        <f t="shared" ca="1" si="8"/>
        <v>0.80614185120000026</v>
      </c>
      <c r="BH59" s="287">
        <f t="shared" ca="1" si="9"/>
        <v>0</v>
      </c>
      <c r="BI59" s="287">
        <f t="shared" ca="1" si="10"/>
        <v>0</v>
      </c>
      <c r="BJ59" s="877"/>
    </row>
    <row r="60" spans="2:62" ht="17.100000000000001" customHeight="1">
      <c r="B60" s="119"/>
      <c r="C60" s="23"/>
      <c r="D60" s="23"/>
      <c r="E60" s="23"/>
      <c r="F60" s="23"/>
      <c r="G60" s="23"/>
      <c r="H60" s="23"/>
      <c r="I60" s="23"/>
      <c r="J60" s="23"/>
      <c r="K60" s="23"/>
      <c r="L60" s="23"/>
      <c r="M60" s="23"/>
      <c r="N60" s="23"/>
      <c r="O60" s="23"/>
      <c r="P60" s="23"/>
      <c r="Q60" s="23"/>
      <c r="R60" s="23"/>
      <c r="S60" s="23"/>
      <c r="T60" s="23"/>
      <c r="U60" s="23"/>
      <c r="V60" s="23"/>
      <c r="W60" s="23"/>
      <c r="X60" s="23"/>
      <c r="Y60" s="23"/>
      <c r="Z60" s="23"/>
      <c r="AA60" s="421" t="s">
        <v>500</v>
      </c>
      <c r="AB60" s="120"/>
      <c r="AH60" s="186">
        <v>50</v>
      </c>
      <c r="AI60" s="186" t="b">
        <f t="shared" si="0"/>
        <v>0</v>
      </c>
      <c r="AJ60" s="186" t="b">
        <f t="shared" si="11"/>
        <v>0</v>
      </c>
      <c r="AK60" s="298" t="b">
        <f t="shared" si="12"/>
        <v>0</v>
      </c>
      <c r="AL60" s="145">
        <f t="shared" si="31"/>
        <v>0.26666666666666666</v>
      </c>
      <c r="AM60" s="145">
        <f t="shared" si="32"/>
        <v>0.26666666666666666</v>
      </c>
      <c r="AN60" s="145">
        <f t="shared" si="33"/>
        <v>0.26666666666666666</v>
      </c>
      <c r="AO60" s="145">
        <v>0</v>
      </c>
      <c r="AP60" s="145">
        <v>0</v>
      </c>
      <c r="AQ60" s="877"/>
      <c r="AR60" s="287">
        <f t="shared" ca="1" si="1"/>
        <v>0.29583187200000005</v>
      </c>
      <c r="AS60" s="287">
        <f t="shared" ca="1" si="2"/>
        <v>0.29583187200000005</v>
      </c>
      <c r="AT60" s="287">
        <f t="shared" ca="1" si="3"/>
        <v>0.29583187200000005</v>
      </c>
      <c r="AU60" s="287">
        <f t="shared" ca="1" si="4"/>
        <v>0</v>
      </c>
      <c r="AV60" s="287">
        <f t="shared" ca="1" si="5"/>
        <v>0</v>
      </c>
      <c r="AW60" s="877"/>
      <c r="AY60" s="145">
        <f t="shared" si="34"/>
        <v>0.8</v>
      </c>
      <c r="AZ60" s="145">
        <f t="shared" si="35"/>
        <v>0.66666666666666652</v>
      </c>
      <c r="BA60" s="145">
        <f t="shared" si="36"/>
        <v>0.7333333333333335</v>
      </c>
      <c r="BB60" s="145">
        <v>0</v>
      </c>
      <c r="BC60" s="145">
        <v>0</v>
      </c>
      <c r="BD60" s="877"/>
      <c r="BE60" s="287">
        <f t="shared" ca="1" si="6"/>
        <v>0.88749561600000026</v>
      </c>
      <c r="BF60" s="287">
        <f t="shared" ca="1" si="7"/>
        <v>0.73957967999999996</v>
      </c>
      <c r="BG60" s="287">
        <f t="shared" ca="1" si="8"/>
        <v>0.81353764800000039</v>
      </c>
      <c r="BH60" s="287">
        <f t="shared" ca="1" si="9"/>
        <v>0</v>
      </c>
      <c r="BI60" s="287">
        <f t="shared" ca="1" si="10"/>
        <v>0</v>
      </c>
      <c r="BJ60" s="877"/>
    </row>
    <row r="61" spans="2:62" ht="17.100000000000001" customHeight="1" thickBot="1">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409" t="s">
        <v>395</v>
      </c>
      <c r="AB61" s="126"/>
      <c r="AH61" s="186">
        <v>51</v>
      </c>
      <c r="AI61" s="186" t="b">
        <f t="shared" si="0"/>
        <v>0</v>
      </c>
      <c r="AJ61" s="186" t="b">
        <f t="shared" si="11"/>
        <v>0</v>
      </c>
      <c r="AK61" s="298" t="b">
        <f t="shared" si="12"/>
        <v>0</v>
      </c>
      <c r="AL61" s="145">
        <f t="shared" si="31"/>
        <v>0.32</v>
      </c>
      <c r="AM61" s="145">
        <f t="shared" si="32"/>
        <v>0.32</v>
      </c>
      <c r="AN61" s="145">
        <f t="shared" si="33"/>
        <v>0.32</v>
      </c>
      <c r="AO61" s="145">
        <v>0</v>
      </c>
      <c r="AP61" s="145">
        <v>0</v>
      </c>
      <c r="AQ61" s="877"/>
      <c r="AR61" s="287">
        <f t="shared" ca="1" si="1"/>
        <v>0.35499824640000005</v>
      </c>
      <c r="AS61" s="287">
        <f t="shared" ca="1" si="2"/>
        <v>0.35499824640000005</v>
      </c>
      <c r="AT61" s="287">
        <f t="shared" ca="1" si="3"/>
        <v>0.35499824640000005</v>
      </c>
      <c r="AU61" s="287">
        <f t="shared" ca="1" si="4"/>
        <v>0</v>
      </c>
      <c r="AV61" s="287">
        <f t="shared" ca="1" si="5"/>
        <v>0</v>
      </c>
      <c r="AW61" s="877"/>
      <c r="AY61" s="145">
        <f t="shared" si="34"/>
        <v>0.8</v>
      </c>
      <c r="AZ61" s="145">
        <f t="shared" si="35"/>
        <v>0.67999999999999983</v>
      </c>
      <c r="BA61" s="145">
        <f t="shared" si="36"/>
        <v>0.74000000000000021</v>
      </c>
      <c r="BB61" s="145">
        <v>0</v>
      </c>
      <c r="BC61" s="145">
        <v>0</v>
      </c>
      <c r="BD61" s="877"/>
      <c r="BE61" s="287">
        <f t="shared" ca="1" si="6"/>
        <v>0.88749561600000026</v>
      </c>
      <c r="BF61" s="287">
        <f t="shared" ca="1" si="7"/>
        <v>0.7543712736</v>
      </c>
      <c r="BG61" s="287">
        <f t="shared" ca="1" si="8"/>
        <v>0.82093344480000041</v>
      </c>
      <c r="BH61" s="287">
        <f t="shared" ca="1" si="9"/>
        <v>0</v>
      </c>
      <c r="BI61" s="287">
        <f t="shared" ca="1" si="10"/>
        <v>0</v>
      </c>
      <c r="BJ61" s="877"/>
    </row>
    <row r="62" spans="2:62" ht="15" customHeight="1">
      <c r="AH62" s="186">
        <v>52</v>
      </c>
      <c r="AI62" s="186" t="b">
        <f t="shared" si="0"/>
        <v>0</v>
      </c>
      <c r="AJ62" s="186" t="b">
        <f t="shared" si="11"/>
        <v>0</v>
      </c>
      <c r="AK62" s="298" t="b">
        <f t="shared" si="12"/>
        <v>0</v>
      </c>
      <c r="AL62" s="145">
        <f t="shared" si="31"/>
        <v>0.37333333333333335</v>
      </c>
      <c r="AM62" s="145">
        <f t="shared" si="32"/>
        <v>0.37333333333333335</v>
      </c>
      <c r="AN62" s="145">
        <f t="shared" si="33"/>
        <v>0.37333333333333335</v>
      </c>
      <c r="AO62" s="145">
        <v>0</v>
      </c>
      <c r="AP62" s="145">
        <v>0</v>
      </c>
      <c r="AQ62" s="877"/>
      <c r="AR62" s="287">
        <f t="shared" ca="1" si="1"/>
        <v>0.41416462080000011</v>
      </c>
      <c r="AS62" s="287">
        <f t="shared" ca="1" si="2"/>
        <v>0.41416462080000011</v>
      </c>
      <c r="AT62" s="287">
        <f t="shared" ca="1" si="3"/>
        <v>0.41416462080000011</v>
      </c>
      <c r="AU62" s="287">
        <f t="shared" ca="1" si="4"/>
        <v>0</v>
      </c>
      <c r="AV62" s="287">
        <f t="shared" ca="1" si="5"/>
        <v>0</v>
      </c>
      <c r="AW62" s="877"/>
      <c r="AY62" s="145">
        <f t="shared" si="34"/>
        <v>0.8</v>
      </c>
      <c r="AZ62" s="145">
        <f t="shared" si="35"/>
        <v>0.69333333333333313</v>
      </c>
      <c r="BA62" s="145">
        <f t="shared" si="36"/>
        <v>0.74666666666666692</v>
      </c>
      <c r="BB62" s="145">
        <v>0</v>
      </c>
      <c r="BC62" s="145">
        <v>0</v>
      </c>
      <c r="BD62" s="877"/>
      <c r="BE62" s="287">
        <f t="shared" ca="1" si="6"/>
        <v>0.88749561600000026</v>
      </c>
      <c r="BF62" s="287">
        <f t="shared" ca="1" si="7"/>
        <v>0.76916286719999993</v>
      </c>
      <c r="BG62" s="287">
        <f t="shared" ca="1" si="8"/>
        <v>0.82832924160000043</v>
      </c>
      <c r="BH62" s="287">
        <f t="shared" ca="1" si="9"/>
        <v>0</v>
      </c>
      <c r="BI62" s="287">
        <f t="shared" ca="1" si="10"/>
        <v>0</v>
      </c>
      <c r="BJ62" s="877"/>
    </row>
    <row r="63" spans="2:62" ht="15" hidden="1" customHeight="1">
      <c r="AH63" s="186">
        <v>53</v>
      </c>
      <c r="AI63" s="186" t="b">
        <f t="shared" si="0"/>
        <v>0</v>
      </c>
      <c r="AJ63" s="186" t="b">
        <f t="shared" si="11"/>
        <v>0</v>
      </c>
      <c r="AK63" s="298" t="b">
        <f t="shared" si="12"/>
        <v>0</v>
      </c>
      <c r="AL63" s="145">
        <f t="shared" si="31"/>
        <v>0.42666666666666669</v>
      </c>
      <c r="AM63" s="145">
        <f t="shared" si="32"/>
        <v>0.42666666666666669</v>
      </c>
      <c r="AN63" s="145">
        <f t="shared" si="33"/>
        <v>0.42666666666666669</v>
      </c>
      <c r="AO63" s="145">
        <v>0</v>
      </c>
      <c r="AP63" s="145">
        <v>0</v>
      </c>
      <c r="AQ63" s="877"/>
      <c r="AR63" s="287">
        <f t="shared" ca="1" si="1"/>
        <v>0.4733309952000001</v>
      </c>
      <c r="AS63" s="287">
        <f t="shared" ca="1" si="2"/>
        <v>0.4733309952000001</v>
      </c>
      <c r="AT63" s="287">
        <f t="shared" ca="1" si="3"/>
        <v>0.4733309952000001</v>
      </c>
      <c r="AU63" s="287">
        <f t="shared" ca="1" si="4"/>
        <v>0</v>
      </c>
      <c r="AV63" s="287">
        <f t="shared" ca="1" si="5"/>
        <v>0</v>
      </c>
      <c r="AW63" s="877"/>
      <c r="AY63" s="145">
        <f t="shared" si="34"/>
        <v>0.8</v>
      </c>
      <c r="AZ63" s="145">
        <f t="shared" si="35"/>
        <v>0.70666666666666644</v>
      </c>
      <c r="BA63" s="145">
        <f t="shared" si="36"/>
        <v>0.75333333333333363</v>
      </c>
      <c r="BB63" s="145">
        <v>0</v>
      </c>
      <c r="BC63" s="145">
        <v>0</v>
      </c>
      <c r="BD63" s="877"/>
      <c r="BE63" s="287">
        <f t="shared" ca="1" si="6"/>
        <v>0.88749561600000026</v>
      </c>
      <c r="BF63" s="287">
        <f t="shared" ca="1" si="7"/>
        <v>0.78395446079999986</v>
      </c>
      <c r="BG63" s="287">
        <f t="shared" ca="1" si="8"/>
        <v>0.83572503840000045</v>
      </c>
      <c r="BH63" s="287">
        <f t="shared" ca="1" si="9"/>
        <v>0</v>
      </c>
      <c r="BI63" s="287">
        <f t="shared" ca="1" si="10"/>
        <v>0</v>
      </c>
      <c r="BJ63" s="877"/>
    </row>
    <row r="64" spans="2:62" ht="15" hidden="1" customHeight="1">
      <c r="AH64" s="186">
        <v>54</v>
      </c>
      <c r="AI64" s="186" t="b">
        <f t="shared" si="0"/>
        <v>0</v>
      </c>
      <c r="AJ64" s="186" t="b">
        <f t="shared" si="11"/>
        <v>0</v>
      </c>
      <c r="AK64" s="298" t="b">
        <f t="shared" si="12"/>
        <v>0</v>
      </c>
      <c r="AL64" s="145">
        <f t="shared" si="31"/>
        <v>0.48000000000000004</v>
      </c>
      <c r="AM64" s="145">
        <f t="shared" si="32"/>
        <v>0.48000000000000004</v>
      </c>
      <c r="AN64" s="145">
        <f t="shared" si="33"/>
        <v>0.48000000000000004</v>
      </c>
      <c r="AO64" s="145">
        <v>0</v>
      </c>
      <c r="AP64" s="145">
        <v>0</v>
      </c>
      <c r="AQ64" s="877"/>
      <c r="AR64" s="287">
        <f t="shared" ca="1" si="1"/>
        <v>0.53249736960000016</v>
      </c>
      <c r="AS64" s="287">
        <f t="shared" ca="1" si="2"/>
        <v>0.53249736960000016</v>
      </c>
      <c r="AT64" s="287">
        <f t="shared" ca="1" si="3"/>
        <v>0.53249736960000016</v>
      </c>
      <c r="AU64" s="287">
        <f t="shared" ca="1" si="4"/>
        <v>0</v>
      </c>
      <c r="AV64" s="287">
        <f t="shared" ca="1" si="5"/>
        <v>0</v>
      </c>
      <c r="AW64" s="877"/>
      <c r="AY64" s="145">
        <f t="shared" si="34"/>
        <v>0.8</v>
      </c>
      <c r="AZ64" s="145">
        <f t="shared" si="35"/>
        <v>0.71999999999999975</v>
      </c>
      <c r="BA64" s="145">
        <f t="shared" si="36"/>
        <v>0.76000000000000034</v>
      </c>
      <c r="BB64" s="145">
        <v>0</v>
      </c>
      <c r="BC64" s="145">
        <v>0</v>
      </c>
      <c r="BD64" s="877"/>
      <c r="BE64" s="287">
        <f t="shared" ca="1" si="6"/>
        <v>0.88749561600000026</v>
      </c>
      <c r="BF64" s="287">
        <f t="shared" ca="1" si="7"/>
        <v>0.79874605439999991</v>
      </c>
      <c r="BG64" s="287">
        <f t="shared" ca="1" si="8"/>
        <v>0.84312083520000058</v>
      </c>
      <c r="BH64" s="287">
        <f t="shared" ca="1" si="9"/>
        <v>0</v>
      </c>
      <c r="BI64" s="287">
        <f t="shared" ca="1" si="10"/>
        <v>0</v>
      </c>
      <c r="BJ64" s="877"/>
    </row>
    <row r="65" spans="34:62" ht="15" hidden="1" customHeight="1">
      <c r="AH65" s="186">
        <v>55</v>
      </c>
      <c r="AI65" s="186" t="b">
        <f t="shared" si="0"/>
        <v>0</v>
      </c>
      <c r="AJ65" s="186" t="b">
        <f t="shared" si="11"/>
        <v>0</v>
      </c>
      <c r="AK65" s="298" t="b">
        <f t="shared" si="12"/>
        <v>0</v>
      </c>
      <c r="AL65" s="145">
        <f t="shared" si="31"/>
        <v>0.53333333333333333</v>
      </c>
      <c r="AM65" s="145">
        <f t="shared" si="32"/>
        <v>0.53333333333333333</v>
      </c>
      <c r="AN65" s="145">
        <f t="shared" si="33"/>
        <v>0.53333333333333333</v>
      </c>
      <c r="AO65" s="145">
        <v>0</v>
      </c>
      <c r="AP65" s="145">
        <v>0</v>
      </c>
      <c r="AQ65" s="877"/>
      <c r="AR65" s="287">
        <f t="shared" ca="1" si="1"/>
        <v>0.5916637440000001</v>
      </c>
      <c r="AS65" s="287">
        <f t="shared" ca="1" si="2"/>
        <v>0.5916637440000001</v>
      </c>
      <c r="AT65" s="287">
        <f t="shared" ca="1" si="3"/>
        <v>0.5916637440000001</v>
      </c>
      <c r="AU65" s="287">
        <f t="shared" ca="1" si="4"/>
        <v>0</v>
      </c>
      <c r="AV65" s="287">
        <f t="shared" ca="1" si="5"/>
        <v>0</v>
      </c>
      <c r="AW65" s="877"/>
      <c r="AY65" s="145">
        <f t="shared" si="34"/>
        <v>0.8</v>
      </c>
      <c r="AZ65" s="145">
        <f t="shared" si="35"/>
        <v>0.73333333333333306</v>
      </c>
      <c r="BA65" s="145">
        <f t="shared" si="36"/>
        <v>0.76666666666666705</v>
      </c>
      <c r="BB65" s="145">
        <v>0</v>
      </c>
      <c r="BC65" s="145">
        <v>0</v>
      </c>
      <c r="BD65" s="877"/>
      <c r="BE65" s="287">
        <f t="shared" ca="1" si="6"/>
        <v>0.88749561600000026</v>
      </c>
      <c r="BF65" s="287">
        <f t="shared" ca="1" si="7"/>
        <v>0.81353764799999984</v>
      </c>
      <c r="BG65" s="287">
        <f t="shared" ca="1" si="8"/>
        <v>0.85051663200000061</v>
      </c>
      <c r="BH65" s="287">
        <f t="shared" ca="1" si="9"/>
        <v>0</v>
      </c>
      <c r="BI65" s="287">
        <f t="shared" ca="1" si="10"/>
        <v>0</v>
      </c>
      <c r="BJ65" s="877"/>
    </row>
    <row r="66" spans="34:62" ht="15" hidden="1" customHeight="1">
      <c r="AH66" s="186">
        <v>56</v>
      </c>
      <c r="AI66" s="186" t="b">
        <f t="shared" si="0"/>
        <v>0</v>
      </c>
      <c r="AJ66" s="186" t="b">
        <f t="shared" si="11"/>
        <v>0</v>
      </c>
      <c r="AK66" s="298" t="b">
        <f t="shared" si="12"/>
        <v>0</v>
      </c>
      <c r="AL66" s="145">
        <f t="shared" si="31"/>
        <v>0.58666666666666667</v>
      </c>
      <c r="AM66" s="145">
        <f t="shared" si="32"/>
        <v>0.58666666666666667</v>
      </c>
      <c r="AN66" s="145">
        <f t="shared" si="33"/>
        <v>0.58666666666666667</v>
      </c>
      <c r="AO66" s="145">
        <v>0</v>
      </c>
      <c r="AP66" s="145">
        <v>0</v>
      </c>
      <c r="AQ66" s="877"/>
      <c r="AR66" s="287">
        <f t="shared" ca="1" si="1"/>
        <v>0.65083011840000016</v>
      </c>
      <c r="AS66" s="287">
        <f t="shared" ca="1" si="2"/>
        <v>0.65083011840000016</v>
      </c>
      <c r="AT66" s="287">
        <f t="shared" ca="1" si="3"/>
        <v>0.65083011840000016</v>
      </c>
      <c r="AU66" s="287">
        <f t="shared" ca="1" si="4"/>
        <v>0</v>
      </c>
      <c r="AV66" s="287">
        <f t="shared" ca="1" si="5"/>
        <v>0</v>
      </c>
      <c r="AW66" s="877"/>
      <c r="AY66" s="145">
        <f t="shared" si="34"/>
        <v>0.8</v>
      </c>
      <c r="AZ66" s="145">
        <f t="shared" si="35"/>
        <v>0.74666666666666637</v>
      </c>
      <c r="BA66" s="145">
        <f t="shared" si="36"/>
        <v>0.77333333333333376</v>
      </c>
      <c r="BB66" s="145">
        <v>0</v>
      </c>
      <c r="BC66" s="145">
        <v>0</v>
      </c>
      <c r="BD66" s="877"/>
      <c r="BE66" s="287">
        <f t="shared" ca="1" si="6"/>
        <v>0.88749561600000026</v>
      </c>
      <c r="BF66" s="287">
        <f t="shared" ca="1" si="7"/>
        <v>0.82832924159999988</v>
      </c>
      <c r="BG66" s="287">
        <f t="shared" ca="1" si="8"/>
        <v>0.85791242880000063</v>
      </c>
      <c r="BH66" s="287">
        <f t="shared" ca="1" si="9"/>
        <v>0</v>
      </c>
      <c r="BI66" s="287">
        <f t="shared" ca="1" si="10"/>
        <v>0</v>
      </c>
      <c r="BJ66" s="877"/>
    </row>
    <row r="67" spans="34:62" ht="15" hidden="1" customHeight="1">
      <c r="AH67" s="186">
        <v>57</v>
      </c>
      <c r="AI67" s="186" t="b">
        <f t="shared" si="0"/>
        <v>0</v>
      </c>
      <c r="AJ67" s="186" t="b">
        <f t="shared" si="11"/>
        <v>0</v>
      </c>
      <c r="AK67" s="298" t="b">
        <f t="shared" si="12"/>
        <v>0</v>
      </c>
      <c r="AL67" s="145">
        <f t="shared" si="31"/>
        <v>0.64</v>
      </c>
      <c r="AM67" s="145">
        <f t="shared" si="32"/>
        <v>0.64</v>
      </c>
      <c r="AN67" s="145">
        <f t="shared" si="33"/>
        <v>0.64</v>
      </c>
      <c r="AO67" s="145">
        <v>0</v>
      </c>
      <c r="AP67" s="145">
        <v>0</v>
      </c>
      <c r="AQ67" s="877"/>
      <c r="AR67" s="287">
        <f t="shared" ca="1" si="1"/>
        <v>0.7099964928000001</v>
      </c>
      <c r="AS67" s="287">
        <f t="shared" ca="1" si="2"/>
        <v>0.7099964928000001</v>
      </c>
      <c r="AT67" s="287">
        <f t="shared" ca="1" si="3"/>
        <v>0.7099964928000001</v>
      </c>
      <c r="AU67" s="287">
        <f t="shared" ca="1" si="4"/>
        <v>0</v>
      </c>
      <c r="AV67" s="287">
        <f t="shared" ca="1" si="5"/>
        <v>0</v>
      </c>
      <c r="AW67" s="877"/>
      <c r="AY67" s="145">
        <f t="shared" si="34"/>
        <v>0.8</v>
      </c>
      <c r="AZ67" s="145">
        <f t="shared" si="35"/>
        <v>0.75999999999999968</v>
      </c>
      <c r="BA67" s="145">
        <f t="shared" si="36"/>
        <v>0.78000000000000047</v>
      </c>
      <c r="BB67" s="145">
        <v>0</v>
      </c>
      <c r="BC67" s="145">
        <v>0</v>
      </c>
      <c r="BD67" s="877"/>
      <c r="BE67" s="287">
        <f t="shared" ca="1" si="6"/>
        <v>0.88749561600000026</v>
      </c>
      <c r="BF67" s="287">
        <f t="shared" ca="1" si="7"/>
        <v>0.84312083519999981</v>
      </c>
      <c r="BG67" s="287">
        <f t="shared" ca="1" si="8"/>
        <v>0.86530822560000065</v>
      </c>
      <c r="BH67" s="287">
        <f t="shared" ca="1" si="9"/>
        <v>0</v>
      </c>
      <c r="BI67" s="287">
        <f t="shared" ca="1" si="10"/>
        <v>0</v>
      </c>
      <c r="BJ67" s="877"/>
    </row>
    <row r="68" spans="34:62" ht="15" hidden="1" customHeight="1">
      <c r="AH68" s="186">
        <v>58</v>
      </c>
      <c r="AI68" s="186" t="b">
        <f t="shared" si="0"/>
        <v>0</v>
      </c>
      <c r="AJ68" s="186" t="b">
        <f t="shared" si="11"/>
        <v>0</v>
      </c>
      <c r="AK68" s="298" t="b">
        <f t="shared" si="12"/>
        <v>0</v>
      </c>
      <c r="AL68" s="145">
        <f t="shared" si="31"/>
        <v>0.69333333333333336</v>
      </c>
      <c r="AM68" s="145">
        <f t="shared" si="32"/>
        <v>0.69333333333333336</v>
      </c>
      <c r="AN68" s="145">
        <f t="shared" si="33"/>
        <v>0.69333333333333336</v>
      </c>
      <c r="AO68" s="145">
        <v>0</v>
      </c>
      <c r="AP68" s="145">
        <v>0</v>
      </c>
      <c r="AQ68" s="877"/>
      <c r="AR68" s="287">
        <f t="shared" ca="1" si="1"/>
        <v>0.76916286720000016</v>
      </c>
      <c r="AS68" s="287">
        <f t="shared" ca="1" si="2"/>
        <v>0.76916286720000016</v>
      </c>
      <c r="AT68" s="287">
        <f t="shared" ca="1" si="3"/>
        <v>0.76916286720000016</v>
      </c>
      <c r="AU68" s="287">
        <f t="shared" ca="1" si="4"/>
        <v>0</v>
      </c>
      <c r="AV68" s="287">
        <f t="shared" ca="1" si="5"/>
        <v>0</v>
      </c>
      <c r="AW68" s="877"/>
      <c r="AY68" s="145">
        <f t="shared" si="34"/>
        <v>0.8</v>
      </c>
      <c r="AZ68" s="145">
        <f t="shared" si="35"/>
        <v>0.77333333333333298</v>
      </c>
      <c r="BA68" s="145">
        <f t="shared" si="36"/>
        <v>0.78666666666666718</v>
      </c>
      <c r="BB68" s="145">
        <v>0</v>
      </c>
      <c r="BC68" s="145">
        <v>0</v>
      </c>
      <c r="BD68" s="877"/>
      <c r="BE68" s="287">
        <f t="shared" ca="1" si="6"/>
        <v>0.88749561600000026</v>
      </c>
      <c r="BF68" s="287">
        <f t="shared" ca="1" si="7"/>
        <v>0.85791242879999974</v>
      </c>
      <c r="BG68" s="287">
        <f t="shared" ca="1" si="8"/>
        <v>0.87270402240000078</v>
      </c>
      <c r="BH68" s="287">
        <f t="shared" ca="1" si="9"/>
        <v>0</v>
      </c>
      <c r="BI68" s="287">
        <f t="shared" ca="1" si="10"/>
        <v>0</v>
      </c>
      <c r="BJ68" s="877"/>
    </row>
    <row r="69" spans="34:62" ht="15" hidden="1" customHeight="1">
      <c r="AH69" s="186">
        <v>59</v>
      </c>
      <c r="AI69" s="186" t="b">
        <f t="shared" si="0"/>
        <v>0</v>
      </c>
      <c r="AJ69" s="186" t="b">
        <f t="shared" si="11"/>
        <v>0</v>
      </c>
      <c r="AK69" s="298" t="b">
        <f t="shared" si="12"/>
        <v>0</v>
      </c>
      <c r="AL69" s="145">
        <f t="shared" si="31"/>
        <v>0.7466666666666667</v>
      </c>
      <c r="AM69" s="145">
        <f t="shared" si="32"/>
        <v>0.7466666666666667</v>
      </c>
      <c r="AN69" s="145">
        <f t="shared" si="33"/>
        <v>0.7466666666666667</v>
      </c>
      <c r="AO69" s="145">
        <v>0</v>
      </c>
      <c r="AP69" s="145">
        <v>0</v>
      </c>
      <c r="AQ69" s="877"/>
      <c r="AR69" s="287">
        <f t="shared" ca="1" si="1"/>
        <v>0.82832924160000021</v>
      </c>
      <c r="AS69" s="287">
        <f t="shared" ca="1" si="2"/>
        <v>0.82832924160000021</v>
      </c>
      <c r="AT69" s="287">
        <f t="shared" ca="1" si="3"/>
        <v>0.82832924160000021</v>
      </c>
      <c r="AU69" s="287">
        <f t="shared" ca="1" si="4"/>
        <v>0</v>
      </c>
      <c r="AV69" s="287">
        <f t="shared" ca="1" si="5"/>
        <v>0</v>
      </c>
      <c r="AW69" s="877"/>
      <c r="AY69" s="145">
        <f t="shared" si="34"/>
        <v>0.8</v>
      </c>
      <c r="AZ69" s="145">
        <f t="shared" si="35"/>
        <v>0.78666666666666629</v>
      </c>
      <c r="BA69" s="145">
        <f t="shared" si="36"/>
        <v>0.79333333333333389</v>
      </c>
      <c r="BB69" s="145">
        <v>0</v>
      </c>
      <c r="BC69" s="145">
        <v>0</v>
      </c>
      <c r="BD69" s="877"/>
      <c r="BE69" s="287">
        <f t="shared" ca="1" si="6"/>
        <v>0.88749561600000026</v>
      </c>
      <c r="BF69" s="287">
        <f t="shared" ca="1" si="7"/>
        <v>0.87270402239999978</v>
      </c>
      <c r="BG69" s="287">
        <f t="shared" ca="1" si="8"/>
        <v>0.8800998192000008</v>
      </c>
      <c r="BH69" s="287">
        <f t="shared" ca="1" si="9"/>
        <v>0</v>
      </c>
      <c r="BI69" s="287">
        <f t="shared" ca="1" si="10"/>
        <v>0</v>
      </c>
      <c r="BJ69" s="877"/>
    </row>
    <row r="70" spans="34:62" ht="15" hidden="1" customHeight="1">
      <c r="AH70" s="186">
        <v>60</v>
      </c>
      <c r="AI70" s="186" t="b">
        <f t="shared" si="0"/>
        <v>0</v>
      </c>
      <c r="AJ70" s="186" t="b">
        <f t="shared" si="11"/>
        <v>0</v>
      </c>
      <c r="AK70" s="298" t="b">
        <f t="shared" si="12"/>
        <v>0</v>
      </c>
      <c r="AL70" s="287">
        <v>0.8</v>
      </c>
      <c r="AM70" s="287">
        <v>0.8</v>
      </c>
      <c r="AN70" s="287">
        <v>0.8</v>
      </c>
      <c r="AO70" s="287">
        <v>0</v>
      </c>
      <c r="AP70" s="287">
        <v>0</v>
      </c>
      <c r="AQ70" s="877"/>
      <c r="AR70" s="287">
        <f t="shared" ca="1" si="1"/>
        <v>0.88749561600000026</v>
      </c>
      <c r="AS70" s="287">
        <f t="shared" ca="1" si="2"/>
        <v>0.88749561600000026</v>
      </c>
      <c r="AT70" s="287">
        <f t="shared" ca="1" si="3"/>
        <v>0.88749561600000026</v>
      </c>
      <c r="AU70" s="287">
        <f t="shared" ca="1" si="4"/>
        <v>0</v>
      </c>
      <c r="AV70" s="287">
        <f t="shared" ca="1" si="5"/>
        <v>0</v>
      </c>
      <c r="AW70" s="877"/>
      <c r="AY70" s="287">
        <v>0.8</v>
      </c>
      <c r="AZ70" s="287">
        <v>0.8</v>
      </c>
      <c r="BA70" s="287">
        <v>0.8</v>
      </c>
      <c r="BB70" s="287">
        <v>0</v>
      </c>
      <c r="BC70" s="287">
        <v>0</v>
      </c>
      <c r="BD70" s="877"/>
      <c r="BE70" s="287">
        <f t="shared" ca="1" si="6"/>
        <v>0.88749561600000026</v>
      </c>
      <c r="BF70" s="287">
        <f t="shared" ca="1" si="7"/>
        <v>0.88749561600000026</v>
      </c>
      <c r="BG70" s="287">
        <f t="shared" ca="1" si="8"/>
        <v>0.88749561600000026</v>
      </c>
      <c r="BH70" s="287">
        <f t="shared" ca="1" si="9"/>
        <v>0</v>
      </c>
      <c r="BI70" s="287">
        <f t="shared" ca="1" si="10"/>
        <v>0</v>
      </c>
      <c r="BJ70" s="877"/>
    </row>
    <row r="71" spans="34:62" ht="15" hidden="1" customHeight="1">
      <c r="AH71" s="186">
        <v>61</v>
      </c>
      <c r="AI71" s="186" t="b">
        <f t="shared" si="0"/>
        <v>0</v>
      </c>
      <c r="AJ71" s="186" t="b">
        <f t="shared" si="11"/>
        <v>0</v>
      </c>
      <c r="AK71" s="298" t="b">
        <f t="shared" si="12"/>
        <v>0</v>
      </c>
      <c r="AL71" s="145">
        <v>0.8</v>
      </c>
      <c r="AM71" s="145">
        <v>0.8</v>
      </c>
      <c r="AN71" s="145">
        <v>0.8</v>
      </c>
      <c r="AO71" s="145">
        <v>0</v>
      </c>
      <c r="AP71" s="145">
        <v>0</v>
      </c>
      <c r="AQ71" s="877"/>
      <c r="AR71" s="287">
        <f t="shared" ca="1" si="1"/>
        <v>0.88749561600000026</v>
      </c>
      <c r="AS71" s="287">
        <f t="shared" ca="1" si="2"/>
        <v>0.88749561600000026</v>
      </c>
      <c r="AT71" s="287">
        <f t="shared" ca="1" si="3"/>
        <v>0.88749561600000026</v>
      </c>
      <c r="AU71" s="287">
        <f t="shared" ca="1" si="4"/>
        <v>0</v>
      </c>
      <c r="AV71" s="287">
        <f t="shared" ca="1" si="5"/>
        <v>0</v>
      </c>
      <c r="AW71" s="877"/>
      <c r="AY71" s="145">
        <v>0.8</v>
      </c>
      <c r="AZ71" s="145">
        <v>0.8</v>
      </c>
      <c r="BA71" s="145">
        <v>0.8</v>
      </c>
      <c r="BB71" s="145">
        <v>0</v>
      </c>
      <c r="BC71" s="145">
        <v>0</v>
      </c>
      <c r="BD71" s="877"/>
      <c r="BE71" s="287">
        <f t="shared" ca="1" si="6"/>
        <v>0.88749561600000026</v>
      </c>
      <c r="BF71" s="287">
        <f t="shared" ca="1" si="7"/>
        <v>0.88749561600000026</v>
      </c>
      <c r="BG71" s="287">
        <f t="shared" ca="1" si="8"/>
        <v>0.88749561600000026</v>
      </c>
      <c r="BH71" s="287">
        <f t="shared" ca="1" si="9"/>
        <v>0</v>
      </c>
      <c r="BI71" s="287">
        <f t="shared" ca="1" si="10"/>
        <v>0</v>
      </c>
      <c r="BJ71" s="877"/>
    </row>
    <row r="72" spans="34:62" ht="15" hidden="1" customHeight="1">
      <c r="AH72" s="186">
        <v>62</v>
      </c>
      <c r="AI72" s="186" t="b">
        <f t="shared" si="0"/>
        <v>0</v>
      </c>
      <c r="AJ72" s="186" t="b">
        <f t="shared" si="11"/>
        <v>0</v>
      </c>
      <c r="AK72" s="298" t="b">
        <f t="shared" si="12"/>
        <v>0</v>
      </c>
      <c r="AL72" s="145">
        <v>0.8</v>
      </c>
      <c r="AM72" s="145">
        <v>0.8</v>
      </c>
      <c r="AN72" s="145">
        <v>0.8</v>
      </c>
      <c r="AO72" s="145">
        <v>0</v>
      </c>
      <c r="AP72" s="145">
        <v>0</v>
      </c>
      <c r="AQ72" s="877"/>
      <c r="AR72" s="287">
        <f t="shared" ca="1" si="1"/>
        <v>0.88749561600000026</v>
      </c>
      <c r="AS72" s="287">
        <f t="shared" ca="1" si="2"/>
        <v>0.88749561600000026</v>
      </c>
      <c r="AT72" s="287">
        <f t="shared" ca="1" si="3"/>
        <v>0.88749561600000026</v>
      </c>
      <c r="AU72" s="287">
        <f t="shared" ca="1" si="4"/>
        <v>0</v>
      </c>
      <c r="AV72" s="287">
        <f t="shared" ca="1" si="5"/>
        <v>0</v>
      </c>
      <c r="AW72" s="877"/>
      <c r="AY72" s="145">
        <v>0.8</v>
      </c>
      <c r="AZ72" s="145">
        <v>0.8</v>
      </c>
      <c r="BA72" s="145">
        <v>0.8</v>
      </c>
      <c r="BB72" s="145">
        <v>0</v>
      </c>
      <c r="BC72" s="145">
        <v>0</v>
      </c>
      <c r="BD72" s="877"/>
      <c r="BE72" s="287">
        <f t="shared" ca="1" si="6"/>
        <v>0.88749561600000026</v>
      </c>
      <c r="BF72" s="287">
        <f t="shared" ca="1" si="7"/>
        <v>0.88749561600000026</v>
      </c>
      <c r="BG72" s="287">
        <f t="shared" ca="1" si="8"/>
        <v>0.88749561600000026</v>
      </c>
      <c r="BH72" s="287">
        <f t="shared" ca="1" si="9"/>
        <v>0</v>
      </c>
      <c r="BI72" s="287">
        <f t="shared" ca="1" si="10"/>
        <v>0</v>
      </c>
      <c r="BJ72" s="877"/>
    </row>
    <row r="73" spans="34:62" ht="15" hidden="1" customHeight="1">
      <c r="AH73" s="186">
        <v>63</v>
      </c>
      <c r="AI73" s="186" t="b">
        <f t="shared" si="0"/>
        <v>0</v>
      </c>
      <c r="AJ73" s="186" t="b">
        <f t="shared" si="11"/>
        <v>0</v>
      </c>
      <c r="AK73" s="298" t="b">
        <f t="shared" si="12"/>
        <v>0</v>
      </c>
      <c r="AL73" s="145">
        <v>0.8</v>
      </c>
      <c r="AM73" s="145">
        <v>0.8</v>
      </c>
      <c r="AN73" s="145">
        <v>0.8</v>
      </c>
      <c r="AO73" s="145">
        <v>0</v>
      </c>
      <c r="AP73" s="145">
        <v>0</v>
      </c>
      <c r="AQ73" s="877"/>
      <c r="AR73" s="287">
        <f t="shared" ca="1" si="1"/>
        <v>0.88749561600000026</v>
      </c>
      <c r="AS73" s="287">
        <f t="shared" ca="1" si="2"/>
        <v>0.88749561600000026</v>
      </c>
      <c r="AT73" s="287">
        <f t="shared" ca="1" si="3"/>
        <v>0.88749561600000026</v>
      </c>
      <c r="AU73" s="287">
        <f t="shared" ca="1" si="4"/>
        <v>0</v>
      </c>
      <c r="AV73" s="287">
        <f t="shared" ca="1" si="5"/>
        <v>0</v>
      </c>
      <c r="AW73" s="877"/>
      <c r="AY73" s="145">
        <v>0.8</v>
      </c>
      <c r="AZ73" s="145">
        <v>0.8</v>
      </c>
      <c r="BA73" s="145">
        <v>0.8</v>
      </c>
      <c r="BB73" s="145">
        <v>0</v>
      </c>
      <c r="BC73" s="145">
        <v>0</v>
      </c>
      <c r="BD73" s="877"/>
      <c r="BE73" s="287">
        <f t="shared" ca="1" si="6"/>
        <v>0.88749561600000026</v>
      </c>
      <c r="BF73" s="287">
        <f t="shared" ca="1" si="7"/>
        <v>0.88749561600000026</v>
      </c>
      <c r="BG73" s="287">
        <f t="shared" ca="1" si="8"/>
        <v>0.88749561600000026</v>
      </c>
      <c r="BH73" s="287">
        <f t="shared" ca="1" si="9"/>
        <v>0</v>
      </c>
      <c r="BI73" s="287">
        <f t="shared" ca="1" si="10"/>
        <v>0</v>
      </c>
      <c r="BJ73" s="877"/>
    </row>
    <row r="74" spans="34:62" ht="15" hidden="1" customHeight="1">
      <c r="AH74" s="186">
        <v>64</v>
      </c>
      <c r="AI74" s="186" t="b">
        <f t="shared" si="0"/>
        <v>0</v>
      </c>
      <c r="AJ74" s="186" t="b">
        <f t="shared" si="11"/>
        <v>0</v>
      </c>
      <c r="AK74" s="298" t="b">
        <f t="shared" si="12"/>
        <v>0</v>
      </c>
      <c r="AL74" s="145">
        <v>0.8</v>
      </c>
      <c r="AM74" s="145">
        <v>0.8</v>
      </c>
      <c r="AN74" s="145">
        <v>0.8</v>
      </c>
      <c r="AO74" s="145">
        <v>0</v>
      </c>
      <c r="AP74" s="145">
        <v>0</v>
      </c>
      <c r="AQ74" s="877"/>
      <c r="AR74" s="287">
        <f t="shared" ca="1" si="1"/>
        <v>0.88749561600000026</v>
      </c>
      <c r="AS74" s="287">
        <f t="shared" ca="1" si="2"/>
        <v>0.88749561600000026</v>
      </c>
      <c r="AT74" s="287">
        <f t="shared" ca="1" si="3"/>
        <v>0.88749561600000026</v>
      </c>
      <c r="AU74" s="287">
        <f t="shared" ca="1" si="4"/>
        <v>0</v>
      </c>
      <c r="AV74" s="287">
        <f t="shared" ca="1" si="5"/>
        <v>0</v>
      </c>
      <c r="AW74" s="877"/>
      <c r="AY74" s="145">
        <v>0.8</v>
      </c>
      <c r="AZ74" s="145">
        <v>0.8</v>
      </c>
      <c r="BA74" s="145">
        <v>0.8</v>
      </c>
      <c r="BB74" s="145">
        <v>0</v>
      </c>
      <c r="BC74" s="145">
        <v>0</v>
      </c>
      <c r="BD74" s="877"/>
      <c r="BE74" s="287">
        <f t="shared" ca="1" si="6"/>
        <v>0.88749561600000026</v>
      </c>
      <c r="BF74" s="287">
        <f t="shared" ca="1" si="7"/>
        <v>0.88749561600000026</v>
      </c>
      <c r="BG74" s="287">
        <f t="shared" ca="1" si="8"/>
        <v>0.88749561600000026</v>
      </c>
      <c r="BH74" s="287">
        <f t="shared" ca="1" si="9"/>
        <v>0</v>
      </c>
      <c r="BI74" s="287">
        <f t="shared" ca="1" si="10"/>
        <v>0</v>
      </c>
      <c r="BJ74" s="877"/>
    </row>
    <row r="75" spans="34:62" ht="15" hidden="1" customHeight="1">
      <c r="AH75" s="186">
        <v>65</v>
      </c>
      <c r="AI75" s="186" t="b">
        <f t="shared" si="0"/>
        <v>0</v>
      </c>
      <c r="AJ75" s="186" t="b">
        <f t="shared" si="11"/>
        <v>0</v>
      </c>
      <c r="AK75" s="298" t="b">
        <f t="shared" si="12"/>
        <v>0</v>
      </c>
      <c r="AL75" s="145">
        <v>0.8</v>
      </c>
      <c r="AM75" s="145">
        <v>0.8</v>
      </c>
      <c r="AN75" s="145">
        <v>0.8</v>
      </c>
      <c r="AO75" s="145">
        <v>0</v>
      </c>
      <c r="AP75" s="145">
        <v>0</v>
      </c>
      <c r="AQ75" s="877"/>
      <c r="AR75" s="287">
        <f t="shared" ca="1" si="1"/>
        <v>0.88749561600000026</v>
      </c>
      <c r="AS75" s="287">
        <f t="shared" ca="1" si="2"/>
        <v>0.88749561600000026</v>
      </c>
      <c r="AT75" s="287">
        <f t="shared" ca="1" si="3"/>
        <v>0.88749561600000026</v>
      </c>
      <c r="AU75" s="287">
        <f t="shared" ca="1" si="4"/>
        <v>0</v>
      </c>
      <c r="AV75" s="287">
        <f t="shared" ca="1" si="5"/>
        <v>0</v>
      </c>
      <c r="AW75" s="877"/>
      <c r="AY75" s="145">
        <v>0.8</v>
      </c>
      <c r="AZ75" s="145">
        <v>0.8</v>
      </c>
      <c r="BA75" s="145">
        <v>0.8</v>
      </c>
      <c r="BB75" s="145">
        <v>0</v>
      </c>
      <c r="BC75" s="145">
        <v>0</v>
      </c>
      <c r="BD75" s="877"/>
      <c r="BE75" s="287">
        <f t="shared" ca="1" si="6"/>
        <v>0.88749561600000026</v>
      </c>
      <c r="BF75" s="287">
        <f t="shared" ca="1" si="7"/>
        <v>0.88749561600000026</v>
      </c>
      <c r="BG75" s="287">
        <f t="shared" ca="1" si="8"/>
        <v>0.88749561600000026</v>
      </c>
      <c r="BH75" s="287">
        <f t="shared" ca="1" si="9"/>
        <v>0</v>
      </c>
      <c r="BI75" s="287">
        <f t="shared" ca="1" si="10"/>
        <v>0</v>
      </c>
      <c r="BJ75" s="877"/>
    </row>
    <row r="76" spans="34:62" ht="15" hidden="1" customHeight="1">
      <c r="AH76" s="186">
        <v>66</v>
      </c>
      <c r="AI76" s="186" t="b">
        <f t="shared" si="0"/>
        <v>0</v>
      </c>
      <c r="AJ76" s="186" t="b">
        <f t="shared" si="11"/>
        <v>0</v>
      </c>
      <c r="AK76" s="298" t="b">
        <f t="shared" si="12"/>
        <v>0</v>
      </c>
      <c r="AL76" s="145">
        <v>0.8</v>
      </c>
      <c r="AM76" s="145">
        <v>0.8</v>
      </c>
      <c r="AN76" s="145">
        <v>0.8</v>
      </c>
      <c r="AO76" s="145">
        <v>0</v>
      </c>
      <c r="AP76" s="145">
        <v>0</v>
      </c>
      <c r="AQ76" s="877"/>
      <c r="AR76" s="287">
        <f t="shared" ca="1" si="1"/>
        <v>0.88749561600000026</v>
      </c>
      <c r="AS76" s="287">
        <f t="shared" ca="1" si="2"/>
        <v>0.88749561600000026</v>
      </c>
      <c r="AT76" s="287">
        <f t="shared" ca="1" si="3"/>
        <v>0.88749561600000026</v>
      </c>
      <c r="AU76" s="287">
        <f t="shared" ca="1" si="4"/>
        <v>0</v>
      </c>
      <c r="AV76" s="287">
        <f t="shared" ca="1" si="5"/>
        <v>0</v>
      </c>
      <c r="AW76" s="877"/>
      <c r="AY76" s="145">
        <v>0.8</v>
      </c>
      <c r="AZ76" s="145">
        <v>0.8</v>
      </c>
      <c r="BA76" s="145">
        <v>0.8</v>
      </c>
      <c r="BB76" s="145">
        <v>0</v>
      </c>
      <c r="BC76" s="145">
        <v>0</v>
      </c>
      <c r="BD76" s="877"/>
      <c r="BE76" s="287">
        <f t="shared" ca="1" si="6"/>
        <v>0.88749561600000026</v>
      </c>
      <c r="BF76" s="287">
        <f t="shared" ca="1" si="7"/>
        <v>0.88749561600000026</v>
      </c>
      <c r="BG76" s="287">
        <f t="shared" ca="1" si="8"/>
        <v>0.88749561600000026</v>
      </c>
      <c r="BH76" s="287">
        <f t="shared" ca="1" si="9"/>
        <v>0</v>
      </c>
      <c r="BI76" s="287">
        <f t="shared" ca="1" si="10"/>
        <v>0</v>
      </c>
      <c r="BJ76" s="877"/>
    </row>
    <row r="77" spans="34:62" ht="15" hidden="1" customHeight="1">
      <c r="AH77" s="186">
        <v>67</v>
      </c>
      <c r="AI77" s="186" t="b">
        <f t="shared" si="0"/>
        <v>0</v>
      </c>
      <c r="AJ77" s="186" t="b">
        <f t="shared" si="11"/>
        <v>0</v>
      </c>
      <c r="AK77" s="298" t="b">
        <f t="shared" si="12"/>
        <v>0</v>
      </c>
      <c r="AL77" s="145">
        <v>0.8</v>
      </c>
      <c r="AM77" s="145">
        <v>0.8</v>
      </c>
      <c r="AN77" s="145">
        <v>0.8</v>
      </c>
      <c r="AO77" s="145">
        <v>0</v>
      </c>
      <c r="AP77" s="145">
        <v>0</v>
      </c>
      <c r="AQ77" s="877"/>
      <c r="AR77" s="287">
        <f t="shared" ca="1" si="1"/>
        <v>0.88749561600000026</v>
      </c>
      <c r="AS77" s="287">
        <f t="shared" ca="1" si="2"/>
        <v>0.88749561600000026</v>
      </c>
      <c r="AT77" s="287">
        <f t="shared" ca="1" si="3"/>
        <v>0.88749561600000026</v>
      </c>
      <c r="AU77" s="287">
        <f t="shared" ca="1" si="4"/>
        <v>0</v>
      </c>
      <c r="AV77" s="287">
        <f t="shared" ca="1" si="5"/>
        <v>0</v>
      </c>
      <c r="AW77" s="877"/>
      <c r="AY77" s="145">
        <v>0.8</v>
      </c>
      <c r="AZ77" s="145">
        <v>0.8</v>
      </c>
      <c r="BA77" s="145">
        <v>0.8</v>
      </c>
      <c r="BB77" s="145">
        <v>0</v>
      </c>
      <c r="BC77" s="145">
        <v>0</v>
      </c>
      <c r="BD77" s="877"/>
      <c r="BE77" s="287">
        <f t="shared" ca="1" si="6"/>
        <v>0.88749561600000026</v>
      </c>
      <c r="BF77" s="287">
        <f t="shared" ca="1" si="7"/>
        <v>0.88749561600000026</v>
      </c>
      <c r="BG77" s="287">
        <f t="shared" ca="1" si="8"/>
        <v>0.88749561600000026</v>
      </c>
      <c r="BH77" s="287">
        <f t="shared" ca="1" si="9"/>
        <v>0</v>
      </c>
      <c r="BI77" s="287">
        <f t="shared" ca="1" si="10"/>
        <v>0</v>
      </c>
      <c r="BJ77" s="877"/>
    </row>
    <row r="78" spans="34:62" ht="15" hidden="1" customHeight="1">
      <c r="AH78" s="186">
        <v>68</v>
      </c>
      <c r="AI78" s="186" t="b">
        <f t="shared" si="0"/>
        <v>0</v>
      </c>
      <c r="AJ78" s="186" t="b">
        <f t="shared" si="11"/>
        <v>0</v>
      </c>
      <c r="AK78" s="298" t="b">
        <f t="shared" si="12"/>
        <v>0</v>
      </c>
      <c r="AL78" s="145">
        <v>0.8</v>
      </c>
      <c r="AM78" s="145">
        <v>0.8</v>
      </c>
      <c r="AN78" s="145">
        <v>0.8</v>
      </c>
      <c r="AO78" s="145">
        <v>0</v>
      </c>
      <c r="AP78" s="145">
        <v>0</v>
      </c>
      <c r="AQ78" s="877"/>
      <c r="AR78" s="287">
        <f t="shared" ca="1" si="1"/>
        <v>0.88749561600000026</v>
      </c>
      <c r="AS78" s="287">
        <f t="shared" ca="1" si="2"/>
        <v>0.88749561600000026</v>
      </c>
      <c r="AT78" s="287">
        <f t="shared" ca="1" si="3"/>
        <v>0.88749561600000026</v>
      </c>
      <c r="AU78" s="287">
        <f t="shared" ca="1" si="4"/>
        <v>0</v>
      </c>
      <c r="AV78" s="287">
        <f t="shared" ca="1" si="5"/>
        <v>0</v>
      </c>
      <c r="AW78" s="877"/>
      <c r="AY78" s="145">
        <v>0.8</v>
      </c>
      <c r="AZ78" s="145">
        <v>0.8</v>
      </c>
      <c r="BA78" s="145">
        <v>0.8</v>
      </c>
      <c r="BB78" s="145">
        <v>0</v>
      </c>
      <c r="BC78" s="145">
        <v>0</v>
      </c>
      <c r="BD78" s="877"/>
      <c r="BE78" s="287">
        <f t="shared" ca="1" si="6"/>
        <v>0.88749561600000026</v>
      </c>
      <c r="BF78" s="287">
        <f t="shared" ca="1" si="7"/>
        <v>0.88749561600000026</v>
      </c>
      <c r="BG78" s="287">
        <f t="shared" ca="1" si="8"/>
        <v>0.88749561600000026</v>
      </c>
      <c r="BH78" s="287">
        <f t="shared" ca="1" si="9"/>
        <v>0</v>
      </c>
      <c r="BI78" s="287">
        <f t="shared" ca="1" si="10"/>
        <v>0</v>
      </c>
      <c r="BJ78" s="877"/>
    </row>
    <row r="79" spans="34:62" ht="15" hidden="1" customHeight="1">
      <c r="AH79" s="186">
        <v>69</v>
      </c>
      <c r="AI79" s="186" t="b">
        <f t="shared" ref="AI79:AI142" si="37">AND($M$17=AH79)</f>
        <v>0</v>
      </c>
      <c r="AJ79" s="186" t="b">
        <f t="shared" si="11"/>
        <v>0</v>
      </c>
      <c r="AK79" s="298" t="b">
        <f t="shared" si="12"/>
        <v>0</v>
      </c>
      <c r="AL79" s="145">
        <v>0.8</v>
      </c>
      <c r="AM79" s="145">
        <v>0.8</v>
      </c>
      <c r="AN79" s="145">
        <v>0.8</v>
      </c>
      <c r="AO79" s="145">
        <v>0</v>
      </c>
      <c r="AP79" s="145">
        <v>0</v>
      </c>
      <c r="AQ79" s="877"/>
      <c r="AR79" s="287">
        <f t="shared" ref="AR79:AR142" ca="1" si="38">1.35*$Z$17*$M$22*AL79</f>
        <v>0.88749561600000026</v>
      </c>
      <c r="AS79" s="287">
        <f t="shared" ref="AS79:AS142" ca="1" si="39">1.35*$Z$17*$M$22*AM79</f>
        <v>0.88749561600000026</v>
      </c>
      <c r="AT79" s="287">
        <f t="shared" ref="AT79:AT142" ca="1" si="40">1.35*$Z$17*$M$22*AN79</f>
        <v>0.88749561600000026</v>
      </c>
      <c r="AU79" s="287">
        <f t="shared" ref="AU79:AU142" ca="1" si="41">1.35*$Z$17*$M$22*AO79</f>
        <v>0</v>
      </c>
      <c r="AV79" s="287">
        <f t="shared" ref="AV79:AV142" ca="1" si="42">1.35*$Z$17*$M$22*AP79</f>
        <v>0</v>
      </c>
      <c r="AW79" s="877"/>
      <c r="AY79" s="145">
        <v>0.8</v>
      </c>
      <c r="AZ79" s="145">
        <v>0.8</v>
      </c>
      <c r="BA79" s="145">
        <v>0.8</v>
      </c>
      <c r="BB79" s="145">
        <v>0</v>
      </c>
      <c r="BC79" s="145">
        <v>0</v>
      </c>
      <c r="BD79" s="877"/>
      <c r="BE79" s="287">
        <f t="shared" ref="BE79:BE142" ca="1" si="43">1.35*$Z$17*$M$22*AY79</f>
        <v>0.88749561600000026</v>
      </c>
      <c r="BF79" s="287">
        <f t="shared" ref="BF79:BF142" ca="1" si="44">1.35*$Z$17*$M$22*AZ79</f>
        <v>0.88749561600000026</v>
      </c>
      <c r="BG79" s="287">
        <f t="shared" ref="BG79:BG142" ca="1" si="45">1.35*$Z$17*$M$22*BA79</f>
        <v>0.88749561600000026</v>
      </c>
      <c r="BH79" s="287">
        <f t="shared" ref="BH79:BH142" ca="1" si="46">1.35*$Z$17*$M$22*BB79</f>
        <v>0</v>
      </c>
      <c r="BI79" s="287">
        <f t="shared" ref="BI79:BI142" ca="1" si="47">1.35*$Z$17*$M$22*BC79</f>
        <v>0</v>
      </c>
      <c r="BJ79" s="877"/>
    </row>
    <row r="80" spans="34:62" ht="15" hidden="1" customHeight="1">
      <c r="AH80" s="186">
        <v>70</v>
      </c>
      <c r="AI80" s="186" t="b">
        <f t="shared" si="37"/>
        <v>0</v>
      </c>
      <c r="AJ80" s="186" t="b">
        <f t="shared" ref="AJ80:AJ85" si="48">AND($AH$4=1)</f>
        <v>0</v>
      </c>
      <c r="AK80" s="298" t="b">
        <f t="shared" ref="AK80:AK143" si="49">AND(AI80=TRUE,AJ80=TRUE)</f>
        <v>0</v>
      </c>
      <c r="AL80" s="145">
        <v>0.8</v>
      </c>
      <c r="AM80" s="145">
        <v>0.8</v>
      </c>
      <c r="AN80" s="145">
        <v>0.8</v>
      </c>
      <c r="AO80" s="145">
        <v>0</v>
      </c>
      <c r="AP80" s="145">
        <v>0</v>
      </c>
      <c r="AQ80" s="877"/>
      <c r="AR80" s="287">
        <f t="shared" ca="1" si="38"/>
        <v>0.88749561600000026</v>
      </c>
      <c r="AS80" s="287">
        <f t="shared" ca="1" si="39"/>
        <v>0.88749561600000026</v>
      </c>
      <c r="AT80" s="287">
        <f t="shared" ca="1" si="40"/>
        <v>0.88749561600000026</v>
      </c>
      <c r="AU80" s="287">
        <f t="shared" ca="1" si="41"/>
        <v>0</v>
      </c>
      <c r="AV80" s="287">
        <f t="shared" ca="1" si="42"/>
        <v>0</v>
      </c>
      <c r="AW80" s="877"/>
      <c r="AY80" s="145">
        <v>0.8</v>
      </c>
      <c r="AZ80" s="145">
        <v>0.8</v>
      </c>
      <c r="BA80" s="145">
        <v>0.8</v>
      </c>
      <c r="BB80" s="145">
        <v>0</v>
      </c>
      <c r="BC80" s="145">
        <v>0</v>
      </c>
      <c r="BD80" s="877"/>
      <c r="BE80" s="287">
        <f t="shared" ca="1" si="43"/>
        <v>0.88749561600000026</v>
      </c>
      <c r="BF80" s="287">
        <f t="shared" ca="1" si="44"/>
        <v>0.88749561600000026</v>
      </c>
      <c r="BG80" s="287">
        <f t="shared" ca="1" si="45"/>
        <v>0.88749561600000026</v>
      </c>
      <c r="BH80" s="287">
        <f t="shared" ca="1" si="46"/>
        <v>0</v>
      </c>
      <c r="BI80" s="287">
        <f t="shared" ca="1" si="47"/>
        <v>0</v>
      </c>
      <c r="BJ80" s="877"/>
    </row>
    <row r="81" spans="34:62" ht="15" hidden="1" customHeight="1">
      <c r="AH81" s="186">
        <v>71</v>
      </c>
      <c r="AI81" s="186" t="b">
        <f t="shared" si="37"/>
        <v>0</v>
      </c>
      <c r="AJ81" s="186" t="b">
        <f t="shared" si="48"/>
        <v>0</v>
      </c>
      <c r="AK81" s="298" t="b">
        <f t="shared" si="49"/>
        <v>0</v>
      </c>
      <c r="AL81" s="145">
        <v>0.8</v>
      </c>
      <c r="AM81" s="145">
        <v>0.8</v>
      </c>
      <c r="AN81" s="145">
        <v>0.8</v>
      </c>
      <c r="AO81" s="145">
        <v>0</v>
      </c>
      <c r="AP81" s="145">
        <v>0</v>
      </c>
      <c r="AQ81" s="877"/>
      <c r="AR81" s="287">
        <f t="shared" ca="1" si="38"/>
        <v>0.88749561600000026</v>
      </c>
      <c r="AS81" s="287">
        <f t="shared" ca="1" si="39"/>
        <v>0.88749561600000026</v>
      </c>
      <c r="AT81" s="287">
        <f t="shared" ca="1" si="40"/>
        <v>0.88749561600000026</v>
      </c>
      <c r="AU81" s="287">
        <f t="shared" ca="1" si="41"/>
        <v>0</v>
      </c>
      <c r="AV81" s="287">
        <f t="shared" ca="1" si="42"/>
        <v>0</v>
      </c>
      <c r="AW81" s="877"/>
      <c r="AY81" s="145">
        <v>0.8</v>
      </c>
      <c r="AZ81" s="145">
        <v>0.8</v>
      </c>
      <c r="BA81" s="145">
        <v>0.8</v>
      </c>
      <c r="BB81" s="145">
        <v>0</v>
      </c>
      <c r="BC81" s="145">
        <v>0</v>
      </c>
      <c r="BD81" s="877"/>
      <c r="BE81" s="287">
        <f t="shared" ca="1" si="43"/>
        <v>0.88749561600000026</v>
      </c>
      <c r="BF81" s="287">
        <f t="shared" ca="1" si="44"/>
        <v>0.88749561600000026</v>
      </c>
      <c r="BG81" s="287">
        <f t="shared" ca="1" si="45"/>
        <v>0.88749561600000026</v>
      </c>
      <c r="BH81" s="287">
        <f t="shared" ca="1" si="46"/>
        <v>0</v>
      </c>
      <c r="BI81" s="287">
        <f t="shared" ca="1" si="47"/>
        <v>0</v>
      </c>
      <c r="BJ81" s="877"/>
    </row>
    <row r="82" spans="34:62" ht="15" hidden="1" customHeight="1">
      <c r="AH82" s="186">
        <v>72</v>
      </c>
      <c r="AI82" s="186" t="b">
        <f t="shared" si="37"/>
        <v>0</v>
      </c>
      <c r="AJ82" s="186" t="b">
        <f t="shared" si="48"/>
        <v>0</v>
      </c>
      <c r="AK82" s="298" t="b">
        <f t="shared" si="49"/>
        <v>0</v>
      </c>
      <c r="AL82" s="145">
        <v>0.8</v>
      </c>
      <c r="AM82" s="145">
        <v>0.8</v>
      </c>
      <c r="AN82" s="145">
        <v>0.8</v>
      </c>
      <c r="AO82" s="145">
        <v>0</v>
      </c>
      <c r="AP82" s="145">
        <v>0</v>
      </c>
      <c r="AQ82" s="877"/>
      <c r="AR82" s="287">
        <f t="shared" ca="1" si="38"/>
        <v>0.88749561600000026</v>
      </c>
      <c r="AS82" s="287">
        <f t="shared" ca="1" si="39"/>
        <v>0.88749561600000026</v>
      </c>
      <c r="AT82" s="287">
        <f t="shared" ca="1" si="40"/>
        <v>0.88749561600000026</v>
      </c>
      <c r="AU82" s="287">
        <f t="shared" ca="1" si="41"/>
        <v>0</v>
      </c>
      <c r="AV82" s="287">
        <f t="shared" ca="1" si="42"/>
        <v>0</v>
      </c>
      <c r="AW82" s="877"/>
      <c r="AY82" s="145">
        <v>0.8</v>
      </c>
      <c r="AZ82" s="145">
        <v>0.8</v>
      </c>
      <c r="BA82" s="145">
        <v>0.8</v>
      </c>
      <c r="BB82" s="145">
        <v>0</v>
      </c>
      <c r="BC82" s="145">
        <v>0</v>
      </c>
      <c r="BD82" s="877"/>
      <c r="BE82" s="287">
        <f t="shared" ca="1" si="43"/>
        <v>0.88749561600000026</v>
      </c>
      <c r="BF82" s="287">
        <f t="shared" ca="1" si="44"/>
        <v>0.88749561600000026</v>
      </c>
      <c r="BG82" s="287">
        <f t="shared" ca="1" si="45"/>
        <v>0.88749561600000026</v>
      </c>
      <c r="BH82" s="287">
        <f t="shared" ca="1" si="46"/>
        <v>0</v>
      </c>
      <c r="BI82" s="287">
        <f t="shared" ca="1" si="47"/>
        <v>0</v>
      </c>
      <c r="BJ82" s="877"/>
    </row>
    <row r="83" spans="34:62" ht="15" hidden="1" customHeight="1">
      <c r="AH83" s="186">
        <v>73</v>
      </c>
      <c r="AI83" s="186" t="b">
        <f t="shared" si="37"/>
        <v>0</v>
      </c>
      <c r="AJ83" s="186" t="b">
        <f t="shared" si="48"/>
        <v>0</v>
      </c>
      <c r="AK83" s="298" t="b">
        <f t="shared" si="49"/>
        <v>0</v>
      </c>
      <c r="AL83" s="145">
        <v>0.8</v>
      </c>
      <c r="AM83" s="145">
        <v>0.8</v>
      </c>
      <c r="AN83" s="145">
        <v>0.8</v>
      </c>
      <c r="AO83" s="145">
        <v>0</v>
      </c>
      <c r="AP83" s="145">
        <v>0</v>
      </c>
      <c r="AQ83" s="877"/>
      <c r="AR83" s="287">
        <f t="shared" ca="1" si="38"/>
        <v>0.88749561600000026</v>
      </c>
      <c r="AS83" s="287">
        <f t="shared" ca="1" si="39"/>
        <v>0.88749561600000026</v>
      </c>
      <c r="AT83" s="287">
        <f t="shared" ca="1" si="40"/>
        <v>0.88749561600000026</v>
      </c>
      <c r="AU83" s="287">
        <f t="shared" ca="1" si="41"/>
        <v>0</v>
      </c>
      <c r="AV83" s="287">
        <f t="shared" ca="1" si="42"/>
        <v>0</v>
      </c>
      <c r="AW83" s="877"/>
      <c r="AY83" s="145">
        <v>0.8</v>
      </c>
      <c r="AZ83" s="145">
        <v>0.8</v>
      </c>
      <c r="BA83" s="145">
        <v>0.8</v>
      </c>
      <c r="BB83" s="145">
        <v>0</v>
      </c>
      <c r="BC83" s="145">
        <v>0</v>
      </c>
      <c r="BD83" s="877"/>
      <c r="BE83" s="287">
        <f t="shared" ca="1" si="43"/>
        <v>0.88749561600000026</v>
      </c>
      <c r="BF83" s="287">
        <f t="shared" ca="1" si="44"/>
        <v>0.88749561600000026</v>
      </c>
      <c r="BG83" s="287">
        <f t="shared" ca="1" si="45"/>
        <v>0.88749561600000026</v>
      </c>
      <c r="BH83" s="287">
        <f t="shared" ca="1" si="46"/>
        <v>0</v>
      </c>
      <c r="BI83" s="287">
        <f t="shared" ca="1" si="47"/>
        <v>0</v>
      </c>
      <c r="BJ83" s="877"/>
    </row>
    <row r="84" spans="34:62" ht="15" hidden="1" customHeight="1">
      <c r="AH84" s="186">
        <v>74</v>
      </c>
      <c r="AI84" s="186" t="b">
        <f t="shared" si="37"/>
        <v>0</v>
      </c>
      <c r="AJ84" s="186" t="b">
        <f t="shared" si="48"/>
        <v>0</v>
      </c>
      <c r="AK84" s="298" t="b">
        <f t="shared" si="49"/>
        <v>0</v>
      </c>
      <c r="AL84" s="145">
        <v>0.8</v>
      </c>
      <c r="AM84" s="145">
        <v>0.8</v>
      </c>
      <c r="AN84" s="145">
        <v>0.8</v>
      </c>
      <c r="AO84" s="145">
        <v>0</v>
      </c>
      <c r="AP84" s="145">
        <v>0</v>
      </c>
      <c r="AQ84" s="877"/>
      <c r="AR84" s="287">
        <f t="shared" ca="1" si="38"/>
        <v>0.88749561600000026</v>
      </c>
      <c r="AS84" s="287">
        <f t="shared" ca="1" si="39"/>
        <v>0.88749561600000026</v>
      </c>
      <c r="AT84" s="287">
        <f t="shared" ca="1" si="40"/>
        <v>0.88749561600000026</v>
      </c>
      <c r="AU84" s="287">
        <f t="shared" ca="1" si="41"/>
        <v>0</v>
      </c>
      <c r="AV84" s="287">
        <f t="shared" ca="1" si="42"/>
        <v>0</v>
      </c>
      <c r="AW84" s="877"/>
      <c r="AY84" s="145">
        <v>0.8</v>
      </c>
      <c r="AZ84" s="145">
        <v>0.8</v>
      </c>
      <c r="BA84" s="145">
        <v>0.8</v>
      </c>
      <c r="BB84" s="145">
        <v>0</v>
      </c>
      <c r="BC84" s="145">
        <v>0</v>
      </c>
      <c r="BD84" s="877"/>
      <c r="BE84" s="287">
        <f t="shared" ca="1" si="43"/>
        <v>0.88749561600000026</v>
      </c>
      <c r="BF84" s="287">
        <f t="shared" ca="1" si="44"/>
        <v>0.88749561600000026</v>
      </c>
      <c r="BG84" s="287">
        <f t="shared" ca="1" si="45"/>
        <v>0.88749561600000026</v>
      </c>
      <c r="BH84" s="287">
        <f t="shared" ca="1" si="46"/>
        <v>0</v>
      </c>
      <c r="BI84" s="287">
        <f t="shared" ca="1" si="47"/>
        <v>0</v>
      </c>
      <c r="BJ84" s="877"/>
    </row>
    <row r="85" spans="34:62" ht="15" hidden="1" customHeight="1">
      <c r="AH85" s="186">
        <v>75</v>
      </c>
      <c r="AI85" s="186" t="b">
        <f t="shared" si="37"/>
        <v>0</v>
      </c>
      <c r="AJ85" s="186" t="b">
        <f t="shared" si="48"/>
        <v>0</v>
      </c>
      <c r="AK85" s="298" t="b">
        <f t="shared" si="49"/>
        <v>0</v>
      </c>
      <c r="AL85" s="287">
        <v>0.8</v>
      </c>
      <c r="AM85" s="287">
        <v>0.8</v>
      </c>
      <c r="AN85" s="287">
        <v>0.8</v>
      </c>
      <c r="AO85" s="287">
        <v>0</v>
      </c>
      <c r="AP85" s="287">
        <v>0</v>
      </c>
      <c r="AQ85" s="877"/>
      <c r="AR85" s="287">
        <f t="shared" ca="1" si="38"/>
        <v>0.88749561600000026</v>
      </c>
      <c r="AS85" s="287">
        <f t="shared" ca="1" si="39"/>
        <v>0.88749561600000026</v>
      </c>
      <c r="AT85" s="287">
        <f t="shared" ca="1" si="40"/>
        <v>0.88749561600000026</v>
      </c>
      <c r="AU85" s="287">
        <f t="shared" ca="1" si="41"/>
        <v>0</v>
      </c>
      <c r="AV85" s="287">
        <f t="shared" ca="1" si="42"/>
        <v>0</v>
      </c>
      <c r="AW85" s="877"/>
      <c r="AY85" s="287">
        <v>0.8</v>
      </c>
      <c r="AZ85" s="287">
        <v>0.8</v>
      </c>
      <c r="BA85" s="287">
        <v>0.8</v>
      </c>
      <c r="BB85" s="287">
        <v>0</v>
      </c>
      <c r="BC85" s="287">
        <v>0</v>
      </c>
      <c r="BD85" s="877"/>
      <c r="BE85" s="287">
        <f t="shared" ca="1" si="43"/>
        <v>0.88749561600000026</v>
      </c>
      <c r="BF85" s="287">
        <f t="shared" ca="1" si="44"/>
        <v>0.88749561600000026</v>
      </c>
      <c r="BG85" s="287">
        <f t="shared" ca="1" si="45"/>
        <v>0.88749561600000026</v>
      </c>
      <c r="BH85" s="287">
        <f t="shared" ca="1" si="46"/>
        <v>0</v>
      </c>
      <c r="BI85" s="287">
        <f t="shared" ca="1" si="47"/>
        <v>0</v>
      </c>
      <c r="BJ85" s="877"/>
    </row>
    <row r="86" spans="34:62" ht="15" hidden="1" customHeight="1">
      <c r="AH86" s="299">
        <v>5</v>
      </c>
      <c r="AI86" s="299" t="b">
        <f t="shared" si="37"/>
        <v>0</v>
      </c>
      <c r="AJ86" s="186" t="b">
        <f>AND($AH$4=2)</f>
        <v>1</v>
      </c>
      <c r="AK86" s="298" t="b">
        <f t="shared" si="49"/>
        <v>0</v>
      </c>
      <c r="AL86" s="287">
        <v>-2.1</v>
      </c>
      <c r="AM86" s="287">
        <v>-1.1000000000000001</v>
      </c>
      <c r="AN86" s="287">
        <v>-0.7</v>
      </c>
      <c r="AO86" s="287">
        <v>-0.7</v>
      </c>
      <c r="AP86" s="287">
        <v>-2.2000000000000002</v>
      </c>
      <c r="AQ86" s="880" t="s">
        <v>137</v>
      </c>
      <c r="AR86" s="287">
        <f t="shared" ca="1" si="38"/>
        <v>-2.3296759920000008</v>
      </c>
      <c r="AS86" s="287">
        <f t="shared" ca="1" si="39"/>
        <v>-1.2203064720000003</v>
      </c>
      <c r="AT86" s="287">
        <f t="shared" ca="1" si="40"/>
        <v>-0.77655866400000007</v>
      </c>
      <c r="AU86" s="287">
        <f t="shared" ca="1" si="41"/>
        <v>-0.77655866400000007</v>
      </c>
      <c r="AV86" s="287">
        <f t="shared" ca="1" si="42"/>
        <v>-2.4406129440000006</v>
      </c>
      <c r="AW86" s="880" t="s">
        <v>137</v>
      </c>
      <c r="AY86" s="287">
        <v>0</v>
      </c>
      <c r="AZ86" s="287">
        <v>0</v>
      </c>
      <c r="BA86" s="287">
        <v>0</v>
      </c>
      <c r="BB86" s="287">
        <v>0</v>
      </c>
      <c r="BC86" s="287">
        <v>0</v>
      </c>
      <c r="BD86" s="880" t="s">
        <v>452</v>
      </c>
      <c r="BE86" s="287">
        <f t="shared" ca="1" si="43"/>
        <v>0</v>
      </c>
      <c r="BF86" s="287">
        <f t="shared" ca="1" si="44"/>
        <v>0</v>
      </c>
      <c r="BG86" s="287">
        <f t="shared" ca="1" si="45"/>
        <v>0</v>
      </c>
      <c r="BH86" s="287">
        <f t="shared" ca="1" si="46"/>
        <v>0</v>
      </c>
      <c r="BI86" s="287">
        <f t="shared" ca="1" si="47"/>
        <v>0</v>
      </c>
      <c r="BJ86" s="880" t="s">
        <v>452</v>
      </c>
    </row>
    <row r="87" spans="34:62" ht="15" hidden="1" customHeight="1">
      <c r="AH87" s="299">
        <v>6</v>
      </c>
      <c r="AI87" s="299" t="b">
        <f t="shared" si="37"/>
        <v>0</v>
      </c>
      <c r="AJ87" s="186" t="b">
        <f t="shared" ref="AJ87:AJ150" si="50">AND($AH$4=2)</f>
        <v>1</v>
      </c>
      <c r="AK87" s="298" t="b">
        <f t="shared" si="49"/>
        <v>0</v>
      </c>
      <c r="AL87" s="145">
        <f>+ABS($AL$86-$AL$96)/10+AL86</f>
        <v>-2.0500000000000003</v>
      </c>
      <c r="AM87" s="145">
        <f>+ABS($AM$86-$AM$96)/10+AM86</f>
        <v>-1.1000000000000001</v>
      </c>
      <c r="AN87" s="145">
        <v>-0.71</v>
      </c>
      <c r="AO87" s="145">
        <v>-0.71</v>
      </c>
      <c r="AP87" s="145">
        <f>0-((+ABS($AP$86-$AP$96)/10)-AP86)</f>
        <v>-2.2400000000000002</v>
      </c>
      <c r="AQ87" s="880"/>
      <c r="AR87" s="287">
        <f t="shared" ca="1" si="38"/>
        <v>-2.2742075160000006</v>
      </c>
      <c r="AS87" s="287">
        <f t="shared" ca="1" si="39"/>
        <v>-1.2203064720000003</v>
      </c>
      <c r="AT87" s="287">
        <f t="shared" ca="1" si="40"/>
        <v>-0.7876523592000001</v>
      </c>
      <c r="AU87" s="287">
        <f t="shared" ca="1" si="41"/>
        <v>-0.7876523592000001</v>
      </c>
      <c r="AV87" s="287">
        <f t="shared" ca="1" si="42"/>
        <v>-2.4849877248000007</v>
      </c>
      <c r="AW87" s="880"/>
      <c r="AY87" s="145">
        <f>+ABS($AY$86-$AY$96)/10+AY86</f>
        <v>0.02</v>
      </c>
      <c r="AZ87" s="145">
        <f>+ABS($AZ$86-$AZ$96)/10+AZ86</f>
        <v>0.02</v>
      </c>
      <c r="BA87" s="145">
        <f>+ABS($BA$86-$BA$96)/10+BA86</f>
        <v>0.02</v>
      </c>
      <c r="BB87" s="145">
        <f>+ABS($BB$86-$BB$96)/10+BB86</f>
        <v>0.02</v>
      </c>
      <c r="BC87" s="145">
        <f>+ABS($BC$86-$BC$96)/10+BC86</f>
        <v>0.02</v>
      </c>
      <c r="BD87" s="880"/>
      <c r="BE87" s="287">
        <f t="shared" ca="1" si="43"/>
        <v>2.2187390400000003E-2</v>
      </c>
      <c r="BF87" s="287">
        <f t="shared" ca="1" si="44"/>
        <v>2.2187390400000003E-2</v>
      </c>
      <c r="BG87" s="287">
        <f t="shared" ca="1" si="45"/>
        <v>2.2187390400000003E-2</v>
      </c>
      <c r="BH87" s="287">
        <f t="shared" ca="1" si="46"/>
        <v>2.2187390400000003E-2</v>
      </c>
      <c r="BI87" s="287">
        <f t="shared" ca="1" si="47"/>
        <v>2.2187390400000003E-2</v>
      </c>
      <c r="BJ87" s="880"/>
    </row>
    <row r="88" spans="34:62" ht="15" hidden="1" customHeight="1">
      <c r="AH88" s="299">
        <v>7</v>
      </c>
      <c r="AI88" s="299" t="b">
        <f t="shared" si="37"/>
        <v>0</v>
      </c>
      <c r="AJ88" s="186" t="b">
        <f t="shared" si="50"/>
        <v>1</v>
      </c>
      <c r="AK88" s="298" t="b">
        <f t="shared" si="49"/>
        <v>0</v>
      </c>
      <c r="AL88" s="145">
        <f t="shared" ref="AL88:AL95" si="51">+ABS($AL$86-$AL$96)/10+AL87</f>
        <v>-2.0000000000000004</v>
      </c>
      <c r="AM88" s="145">
        <f t="shared" ref="AM88:AM95" si="52">+ABS($AM$86-$AM$96)/10+AM87</f>
        <v>-1.1000000000000001</v>
      </c>
      <c r="AN88" s="145">
        <v>-0.72</v>
      </c>
      <c r="AO88" s="145">
        <v>-0.72</v>
      </c>
      <c r="AP88" s="145">
        <f t="shared" ref="AP88:AP95" si="53">0-((+ABS($AP$86-$AP$96)/10)-AP87)</f>
        <v>-2.2800000000000002</v>
      </c>
      <c r="AQ88" s="880"/>
      <c r="AR88" s="287">
        <f t="shared" ca="1" si="38"/>
        <v>-2.2187390400000009</v>
      </c>
      <c r="AS88" s="287">
        <f t="shared" ca="1" si="39"/>
        <v>-1.2203064720000003</v>
      </c>
      <c r="AT88" s="287">
        <f t="shared" ca="1" si="40"/>
        <v>-0.79874605440000013</v>
      </c>
      <c r="AU88" s="287">
        <f t="shared" ca="1" si="41"/>
        <v>-0.79874605440000013</v>
      </c>
      <c r="AV88" s="287">
        <f t="shared" ca="1" si="42"/>
        <v>-2.5293625056000009</v>
      </c>
      <c r="AW88" s="880"/>
      <c r="AY88" s="145">
        <f t="shared" ref="AY88:AY95" si="54">+ABS($AY$86-$AY$96)/10+AY87</f>
        <v>0.04</v>
      </c>
      <c r="AZ88" s="145">
        <f t="shared" ref="AZ88:AZ95" si="55">+ABS($AZ$86-$AZ$96)/10+AZ87</f>
        <v>0.04</v>
      </c>
      <c r="BA88" s="145">
        <f t="shared" ref="BA88:BA95" si="56">+ABS($BA$86-$BA$96)/10+BA87</f>
        <v>0.04</v>
      </c>
      <c r="BB88" s="145">
        <f t="shared" ref="BB88:BB95" si="57">+ABS($BB$86-$BB$96)/10+BB87</f>
        <v>0.04</v>
      </c>
      <c r="BC88" s="145">
        <f t="shared" ref="BC88:BC95" si="58">+ABS($BC$86-$BC$96)/10+BC87</f>
        <v>0.04</v>
      </c>
      <c r="BD88" s="880"/>
      <c r="BE88" s="287">
        <f t="shared" ca="1" si="43"/>
        <v>4.4374780800000006E-2</v>
      </c>
      <c r="BF88" s="287">
        <f t="shared" ca="1" si="44"/>
        <v>4.4374780800000006E-2</v>
      </c>
      <c r="BG88" s="287">
        <f t="shared" ca="1" si="45"/>
        <v>4.4374780800000006E-2</v>
      </c>
      <c r="BH88" s="287">
        <f t="shared" ca="1" si="46"/>
        <v>4.4374780800000006E-2</v>
      </c>
      <c r="BI88" s="287">
        <f t="shared" ca="1" si="47"/>
        <v>4.4374780800000006E-2</v>
      </c>
      <c r="BJ88" s="880"/>
    </row>
    <row r="89" spans="34:62" ht="15" hidden="1" customHeight="1">
      <c r="AH89" s="299">
        <v>8</v>
      </c>
      <c r="AI89" s="299" t="b">
        <f t="shared" si="37"/>
        <v>0</v>
      </c>
      <c r="AJ89" s="186" t="b">
        <f t="shared" si="50"/>
        <v>1</v>
      </c>
      <c r="AK89" s="298" t="b">
        <f t="shared" si="49"/>
        <v>0</v>
      </c>
      <c r="AL89" s="145">
        <f t="shared" si="51"/>
        <v>-1.9500000000000004</v>
      </c>
      <c r="AM89" s="145">
        <f t="shared" si="52"/>
        <v>-1.1000000000000001</v>
      </c>
      <c r="AN89" s="145">
        <v>-0.73</v>
      </c>
      <c r="AO89" s="145">
        <v>-0.73</v>
      </c>
      <c r="AP89" s="145">
        <f t="shared" si="53"/>
        <v>-2.3200000000000003</v>
      </c>
      <c r="AQ89" s="880"/>
      <c r="AR89" s="287">
        <f t="shared" ca="1" si="38"/>
        <v>-2.1632705640000007</v>
      </c>
      <c r="AS89" s="287">
        <f t="shared" ca="1" si="39"/>
        <v>-1.2203064720000003</v>
      </c>
      <c r="AT89" s="287">
        <f t="shared" ca="1" si="40"/>
        <v>-0.80983974960000016</v>
      </c>
      <c r="AU89" s="287">
        <f t="shared" ca="1" si="41"/>
        <v>-0.80983974960000016</v>
      </c>
      <c r="AV89" s="287">
        <f t="shared" ca="1" si="42"/>
        <v>-2.573737286400001</v>
      </c>
      <c r="AW89" s="880"/>
      <c r="AY89" s="145">
        <f t="shared" si="54"/>
        <v>0.06</v>
      </c>
      <c r="AZ89" s="145">
        <f t="shared" si="55"/>
        <v>0.06</v>
      </c>
      <c r="BA89" s="145">
        <f t="shared" si="56"/>
        <v>0.06</v>
      </c>
      <c r="BB89" s="145">
        <f t="shared" si="57"/>
        <v>0.06</v>
      </c>
      <c r="BC89" s="145">
        <f t="shared" si="58"/>
        <v>0.06</v>
      </c>
      <c r="BD89" s="880"/>
      <c r="BE89" s="287">
        <f t="shared" ca="1" si="43"/>
        <v>6.6562171200000006E-2</v>
      </c>
      <c r="BF89" s="287">
        <f t="shared" ca="1" si="44"/>
        <v>6.6562171200000006E-2</v>
      </c>
      <c r="BG89" s="287">
        <f t="shared" ca="1" si="45"/>
        <v>6.6562171200000006E-2</v>
      </c>
      <c r="BH89" s="287">
        <f t="shared" ca="1" si="46"/>
        <v>6.6562171200000006E-2</v>
      </c>
      <c r="BI89" s="287">
        <f t="shared" ca="1" si="47"/>
        <v>6.6562171200000006E-2</v>
      </c>
      <c r="BJ89" s="880"/>
    </row>
    <row r="90" spans="34:62" ht="15" hidden="1" customHeight="1">
      <c r="AH90" s="299">
        <v>9</v>
      </c>
      <c r="AI90" s="299" t="b">
        <f t="shared" si="37"/>
        <v>0</v>
      </c>
      <c r="AJ90" s="186" t="b">
        <f t="shared" si="50"/>
        <v>1</v>
      </c>
      <c r="AK90" s="298" t="b">
        <f t="shared" si="49"/>
        <v>0</v>
      </c>
      <c r="AL90" s="145">
        <f t="shared" si="51"/>
        <v>-1.9000000000000004</v>
      </c>
      <c r="AM90" s="145">
        <f t="shared" si="52"/>
        <v>-1.1000000000000001</v>
      </c>
      <c r="AN90" s="145">
        <v>-0.74</v>
      </c>
      <c r="AO90" s="145">
        <v>-0.74</v>
      </c>
      <c r="AP90" s="145">
        <f t="shared" si="53"/>
        <v>-2.3600000000000003</v>
      </c>
      <c r="AQ90" s="880"/>
      <c r="AR90" s="287">
        <f t="shared" ca="1" si="38"/>
        <v>-2.107802088000001</v>
      </c>
      <c r="AS90" s="287">
        <f t="shared" ca="1" si="39"/>
        <v>-1.2203064720000003</v>
      </c>
      <c r="AT90" s="287">
        <f t="shared" ca="1" si="40"/>
        <v>-0.82093344480000019</v>
      </c>
      <c r="AU90" s="287">
        <f t="shared" ca="1" si="41"/>
        <v>-0.82093344480000019</v>
      </c>
      <c r="AV90" s="287">
        <f t="shared" ca="1" si="42"/>
        <v>-2.6181120672000007</v>
      </c>
      <c r="AW90" s="880"/>
      <c r="AY90" s="145">
        <f t="shared" si="54"/>
        <v>0.08</v>
      </c>
      <c r="AZ90" s="145">
        <f t="shared" si="55"/>
        <v>0.08</v>
      </c>
      <c r="BA90" s="145">
        <f t="shared" si="56"/>
        <v>0.08</v>
      </c>
      <c r="BB90" s="145">
        <f t="shared" si="57"/>
        <v>0.08</v>
      </c>
      <c r="BC90" s="145">
        <f t="shared" si="58"/>
        <v>0.08</v>
      </c>
      <c r="BD90" s="880"/>
      <c r="BE90" s="287">
        <f t="shared" ca="1" si="43"/>
        <v>8.8749561600000013E-2</v>
      </c>
      <c r="BF90" s="287">
        <f t="shared" ca="1" si="44"/>
        <v>8.8749561600000013E-2</v>
      </c>
      <c r="BG90" s="287">
        <f t="shared" ca="1" si="45"/>
        <v>8.8749561600000013E-2</v>
      </c>
      <c r="BH90" s="287">
        <f t="shared" ca="1" si="46"/>
        <v>8.8749561600000013E-2</v>
      </c>
      <c r="BI90" s="287">
        <f t="shared" ca="1" si="47"/>
        <v>8.8749561600000013E-2</v>
      </c>
      <c r="BJ90" s="880"/>
    </row>
    <row r="91" spans="34:62" ht="15" hidden="1" customHeight="1">
      <c r="AH91" s="299">
        <v>10</v>
      </c>
      <c r="AI91" s="299" t="b">
        <f t="shared" si="37"/>
        <v>0</v>
      </c>
      <c r="AJ91" s="186" t="b">
        <f t="shared" si="50"/>
        <v>1</v>
      </c>
      <c r="AK91" s="298" t="b">
        <f t="shared" si="49"/>
        <v>0</v>
      </c>
      <c r="AL91" s="145">
        <f t="shared" si="51"/>
        <v>-1.8500000000000003</v>
      </c>
      <c r="AM91" s="145">
        <f t="shared" si="52"/>
        <v>-1.1000000000000001</v>
      </c>
      <c r="AN91" s="145">
        <v>-0.75</v>
      </c>
      <c r="AO91" s="145">
        <v>-0.75</v>
      </c>
      <c r="AP91" s="145">
        <f t="shared" si="53"/>
        <v>-2.4000000000000004</v>
      </c>
      <c r="AQ91" s="880"/>
      <c r="AR91" s="287">
        <f t="shared" ca="1" si="38"/>
        <v>-2.0523336120000009</v>
      </c>
      <c r="AS91" s="287">
        <f t="shared" ca="1" si="39"/>
        <v>-1.2203064720000003</v>
      </c>
      <c r="AT91" s="287">
        <f t="shared" ca="1" si="40"/>
        <v>-0.83202714000000011</v>
      </c>
      <c r="AU91" s="287">
        <f t="shared" ca="1" si="41"/>
        <v>-0.83202714000000011</v>
      </c>
      <c r="AV91" s="287">
        <f t="shared" ca="1" si="42"/>
        <v>-2.6624868480000008</v>
      </c>
      <c r="AW91" s="880"/>
      <c r="AY91" s="145">
        <f t="shared" si="54"/>
        <v>0.1</v>
      </c>
      <c r="AZ91" s="145">
        <f t="shared" si="55"/>
        <v>0.1</v>
      </c>
      <c r="BA91" s="145">
        <f t="shared" si="56"/>
        <v>0.1</v>
      </c>
      <c r="BB91" s="145">
        <f t="shared" si="57"/>
        <v>0.1</v>
      </c>
      <c r="BC91" s="145">
        <f t="shared" si="58"/>
        <v>0.1</v>
      </c>
      <c r="BD91" s="880"/>
      <c r="BE91" s="287">
        <f t="shared" ca="1" si="43"/>
        <v>0.11093695200000003</v>
      </c>
      <c r="BF91" s="287">
        <f t="shared" ca="1" si="44"/>
        <v>0.11093695200000003</v>
      </c>
      <c r="BG91" s="287">
        <f t="shared" ca="1" si="45"/>
        <v>0.11093695200000003</v>
      </c>
      <c r="BH91" s="287">
        <f t="shared" ca="1" si="46"/>
        <v>0.11093695200000003</v>
      </c>
      <c r="BI91" s="287">
        <f t="shared" ca="1" si="47"/>
        <v>0.11093695200000003</v>
      </c>
      <c r="BJ91" s="880"/>
    </row>
    <row r="92" spans="34:62" ht="15" hidden="1" customHeight="1">
      <c r="AH92" s="299">
        <v>11</v>
      </c>
      <c r="AI92" s="299" t="b">
        <f t="shared" si="37"/>
        <v>0</v>
      </c>
      <c r="AJ92" s="186" t="b">
        <f t="shared" si="50"/>
        <v>1</v>
      </c>
      <c r="AK92" s="298" t="b">
        <f t="shared" si="49"/>
        <v>0</v>
      </c>
      <c r="AL92" s="145">
        <f t="shared" si="51"/>
        <v>-1.8000000000000003</v>
      </c>
      <c r="AM92" s="145">
        <f t="shared" si="52"/>
        <v>-1.1000000000000001</v>
      </c>
      <c r="AN92" s="145">
        <v>-0.76</v>
      </c>
      <c r="AO92" s="145">
        <v>-0.76</v>
      </c>
      <c r="AP92" s="145">
        <f t="shared" si="53"/>
        <v>-2.4400000000000004</v>
      </c>
      <c r="AQ92" s="880"/>
      <c r="AR92" s="287">
        <f t="shared" ca="1" si="38"/>
        <v>-1.9968651360000007</v>
      </c>
      <c r="AS92" s="287">
        <f t="shared" ca="1" si="39"/>
        <v>-1.2203064720000003</v>
      </c>
      <c r="AT92" s="287">
        <f t="shared" ca="1" si="40"/>
        <v>-0.84312083520000014</v>
      </c>
      <c r="AU92" s="287">
        <f t="shared" ca="1" si="41"/>
        <v>-0.84312083520000014</v>
      </c>
      <c r="AV92" s="287">
        <f t="shared" ca="1" si="42"/>
        <v>-2.7068616288000009</v>
      </c>
      <c r="AW92" s="880"/>
      <c r="AY92" s="145">
        <f t="shared" si="54"/>
        <v>0.12000000000000001</v>
      </c>
      <c r="AZ92" s="145">
        <f t="shared" si="55"/>
        <v>0.12000000000000001</v>
      </c>
      <c r="BA92" s="145">
        <f t="shared" si="56"/>
        <v>0.12000000000000001</v>
      </c>
      <c r="BB92" s="145">
        <f t="shared" si="57"/>
        <v>0.12000000000000001</v>
      </c>
      <c r="BC92" s="145">
        <f t="shared" si="58"/>
        <v>0.12000000000000001</v>
      </c>
      <c r="BD92" s="880"/>
      <c r="BE92" s="287">
        <f t="shared" ca="1" si="43"/>
        <v>0.13312434240000004</v>
      </c>
      <c r="BF92" s="287">
        <f t="shared" ca="1" si="44"/>
        <v>0.13312434240000004</v>
      </c>
      <c r="BG92" s="287">
        <f t="shared" ca="1" si="45"/>
        <v>0.13312434240000004</v>
      </c>
      <c r="BH92" s="287">
        <f t="shared" ca="1" si="46"/>
        <v>0.13312434240000004</v>
      </c>
      <c r="BI92" s="287">
        <f t="shared" ca="1" si="47"/>
        <v>0.13312434240000004</v>
      </c>
      <c r="BJ92" s="880"/>
    </row>
    <row r="93" spans="34:62" ht="15" hidden="1" customHeight="1">
      <c r="AH93" s="299">
        <v>12</v>
      </c>
      <c r="AI93" s="299" t="b">
        <f t="shared" si="37"/>
        <v>0</v>
      </c>
      <c r="AJ93" s="186" t="b">
        <f t="shared" si="50"/>
        <v>1</v>
      </c>
      <c r="AK93" s="298" t="b">
        <f t="shared" si="49"/>
        <v>0</v>
      </c>
      <c r="AL93" s="145">
        <f t="shared" si="51"/>
        <v>-1.7500000000000002</v>
      </c>
      <c r="AM93" s="145">
        <f t="shared" si="52"/>
        <v>-1.1000000000000001</v>
      </c>
      <c r="AN93" s="145">
        <v>-0.77</v>
      </c>
      <c r="AO93" s="145">
        <v>-0.77</v>
      </c>
      <c r="AP93" s="145">
        <f t="shared" si="53"/>
        <v>-2.4800000000000004</v>
      </c>
      <c r="AQ93" s="880"/>
      <c r="AR93" s="287">
        <f t="shared" ca="1" si="38"/>
        <v>-1.9413966600000006</v>
      </c>
      <c r="AS93" s="287">
        <f t="shared" ca="1" si="39"/>
        <v>-1.2203064720000003</v>
      </c>
      <c r="AT93" s="287">
        <f t="shared" ca="1" si="40"/>
        <v>-0.85421453040000017</v>
      </c>
      <c r="AU93" s="287">
        <f t="shared" ca="1" si="41"/>
        <v>-0.85421453040000017</v>
      </c>
      <c r="AV93" s="287">
        <f t="shared" ca="1" si="42"/>
        <v>-2.751236409600001</v>
      </c>
      <c r="AW93" s="880"/>
      <c r="AY93" s="145">
        <f t="shared" si="54"/>
        <v>0.14000000000000001</v>
      </c>
      <c r="AZ93" s="145">
        <f t="shared" si="55"/>
        <v>0.14000000000000001</v>
      </c>
      <c r="BA93" s="145">
        <f t="shared" si="56"/>
        <v>0.14000000000000001</v>
      </c>
      <c r="BB93" s="145">
        <f t="shared" si="57"/>
        <v>0.14000000000000001</v>
      </c>
      <c r="BC93" s="145">
        <f t="shared" si="58"/>
        <v>0.14000000000000001</v>
      </c>
      <c r="BD93" s="880"/>
      <c r="BE93" s="287">
        <f t="shared" ca="1" si="43"/>
        <v>0.15531173280000005</v>
      </c>
      <c r="BF93" s="287">
        <f t="shared" ca="1" si="44"/>
        <v>0.15531173280000005</v>
      </c>
      <c r="BG93" s="287">
        <f t="shared" ca="1" si="45"/>
        <v>0.15531173280000005</v>
      </c>
      <c r="BH93" s="287">
        <f t="shared" ca="1" si="46"/>
        <v>0.15531173280000005</v>
      </c>
      <c r="BI93" s="287">
        <f t="shared" ca="1" si="47"/>
        <v>0.15531173280000005</v>
      </c>
      <c r="BJ93" s="880"/>
    </row>
    <row r="94" spans="34:62" ht="15" hidden="1" customHeight="1">
      <c r="AH94" s="299">
        <v>13</v>
      </c>
      <c r="AI94" s="299" t="b">
        <f t="shared" si="37"/>
        <v>0</v>
      </c>
      <c r="AJ94" s="186" t="b">
        <f t="shared" si="50"/>
        <v>1</v>
      </c>
      <c r="AK94" s="298" t="b">
        <f t="shared" si="49"/>
        <v>0</v>
      </c>
      <c r="AL94" s="145">
        <f t="shared" si="51"/>
        <v>-1.7000000000000002</v>
      </c>
      <c r="AM94" s="145">
        <f t="shared" si="52"/>
        <v>-1.1000000000000001</v>
      </c>
      <c r="AN94" s="145">
        <v>-0.78</v>
      </c>
      <c r="AO94" s="145">
        <v>-0.78</v>
      </c>
      <c r="AP94" s="145">
        <f t="shared" si="53"/>
        <v>-2.5200000000000005</v>
      </c>
      <c r="AQ94" s="880"/>
      <c r="AR94" s="287">
        <f t="shared" ca="1" si="38"/>
        <v>-1.8859281840000006</v>
      </c>
      <c r="AS94" s="287">
        <f t="shared" ca="1" si="39"/>
        <v>-1.2203064720000003</v>
      </c>
      <c r="AT94" s="287">
        <f t="shared" ca="1" si="40"/>
        <v>-0.8653082256000002</v>
      </c>
      <c r="AU94" s="287">
        <f t="shared" ca="1" si="41"/>
        <v>-0.8653082256000002</v>
      </c>
      <c r="AV94" s="287">
        <f t="shared" ca="1" si="42"/>
        <v>-2.7956111904000012</v>
      </c>
      <c r="AW94" s="880"/>
      <c r="AY94" s="145">
        <f t="shared" si="54"/>
        <v>0.16</v>
      </c>
      <c r="AZ94" s="145">
        <f t="shared" si="55"/>
        <v>0.16</v>
      </c>
      <c r="BA94" s="145">
        <f t="shared" si="56"/>
        <v>0.16</v>
      </c>
      <c r="BB94" s="145">
        <f t="shared" si="57"/>
        <v>0.16</v>
      </c>
      <c r="BC94" s="145">
        <f t="shared" si="58"/>
        <v>0.16</v>
      </c>
      <c r="BD94" s="880"/>
      <c r="BE94" s="287">
        <f t="shared" ca="1" si="43"/>
        <v>0.17749912320000003</v>
      </c>
      <c r="BF94" s="287">
        <f t="shared" ca="1" si="44"/>
        <v>0.17749912320000003</v>
      </c>
      <c r="BG94" s="287">
        <f t="shared" ca="1" si="45"/>
        <v>0.17749912320000003</v>
      </c>
      <c r="BH94" s="287">
        <f t="shared" ca="1" si="46"/>
        <v>0.17749912320000003</v>
      </c>
      <c r="BI94" s="287">
        <f t="shared" ca="1" si="47"/>
        <v>0.17749912320000003</v>
      </c>
      <c r="BJ94" s="880"/>
    </row>
    <row r="95" spans="34:62" ht="15" hidden="1" customHeight="1">
      <c r="AH95" s="299">
        <v>14</v>
      </c>
      <c r="AI95" s="299" t="b">
        <f t="shared" si="37"/>
        <v>0</v>
      </c>
      <c r="AJ95" s="186" t="b">
        <f t="shared" si="50"/>
        <v>1</v>
      </c>
      <c r="AK95" s="298" t="b">
        <f t="shared" si="49"/>
        <v>0</v>
      </c>
      <c r="AL95" s="145">
        <f t="shared" si="51"/>
        <v>-1.6500000000000001</v>
      </c>
      <c r="AM95" s="145">
        <f t="shared" si="52"/>
        <v>-1.1000000000000001</v>
      </c>
      <c r="AN95" s="145">
        <v>-0.79</v>
      </c>
      <c r="AO95" s="145">
        <v>-0.79</v>
      </c>
      <c r="AP95" s="145">
        <f t="shared" si="53"/>
        <v>-2.5600000000000005</v>
      </c>
      <c r="AQ95" s="880"/>
      <c r="AR95" s="287">
        <f t="shared" ca="1" si="38"/>
        <v>-1.8304597080000005</v>
      </c>
      <c r="AS95" s="287">
        <f t="shared" ca="1" si="39"/>
        <v>-1.2203064720000003</v>
      </c>
      <c r="AT95" s="287">
        <f t="shared" ca="1" si="40"/>
        <v>-0.87640192080000023</v>
      </c>
      <c r="AU95" s="287">
        <f t="shared" ca="1" si="41"/>
        <v>-0.87640192080000023</v>
      </c>
      <c r="AV95" s="287">
        <f t="shared" ca="1" si="42"/>
        <v>-2.8399859712000013</v>
      </c>
      <c r="AW95" s="880"/>
      <c r="AY95" s="145">
        <f t="shared" si="54"/>
        <v>0.18</v>
      </c>
      <c r="AZ95" s="145">
        <f t="shared" si="55"/>
        <v>0.18</v>
      </c>
      <c r="BA95" s="145">
        <f t="shared" si="56"/>
        <v>0.18</v>
      </c>
      <c r="BB95" s="145">
        <f t="shared" si="57"/>
        <v>0.18</v>
      </c>
      <c r="BC95" s="145">
        <f t="shared" si="58"/>
        <v>0.18</v>
      </c>
      <c r="BD95" s="880"/>
      <c r="BE95" s="287">
        <f t="shared" ca="1" si="43"/>
        <v>0.19968651360000003</v>
      </c>
      <c r="BF95" s="287">
        <f t="shared" ca="1" si="44"/>
        <v>0.19968651360000003</v>
      </c>
      <c r="BG95" s="287">
        <f t="shared" ca="1" si="45"/>
        <v>0.19968651360000003</v>
      </c>
      <c r="BH95" s="287">
        <f t="shared" ca="1" si="46"/>
        <v>0.19968651360000003</v>
      </c>
      <c r="BI95" s="287">
        <f t="shared" ca="1" si="47"/>
        <v>0.19968651360000003</v>
      </c>
      <c r="BJ95" s="880"/>
    </row>
    <row r="96" spans="34:62" ht="15" hidden="1" customHeight="1">
      <c r="AH96" s="299">
        <v>15</v>
      </c>
      <c r="AI96" s="299" t="b">
        <f t="shared" si="37"/>
        <v>0</v>
      </c>
      <c r="AJ96" s="186" t="b">
        <f t="shared" si="50"/>
        <v>1</v>
      </c>
      <c r="AK96" s="298" t="b">
        <f t="shared" si="49"/>
        <v>0</v>
      </c>
      <c r="AL96" s="287">
        <v>-1.6</v>
      </c>
      <c r="AM96" s="287">
        <v>-1.1000000000000001</v>
      </c>
      <c r="AN96" s="287">
        <v>-0.8</v>
      </c>
      <c r="AO96" s="287">
        <v>-0.8</v>
      </c>
      <c r="AP96" s="287">
        <v>-2.6</v>
      </c>
      <c r="AQ96" s="880"/>
      <c r="AR96" s="287">
        <f t="shared" ca="1" si="38"/>
        <v>-1.7749912320000005</v>
      </c>
      <c r="AS96" s="287">
        <f t="shared" ca="1" si="39"/>
        <v>-1.2203064720000003</v>
      </c>
      <c r="AT96" s="287">
        <f t="shared" ca="1" si="40"/>
        <v>-0.88749561600000026</v>
      </c>
      <c r="AU96" s="287">
        <f t="shared" ca="1" si="41"/>
        <v>-0.88749561600000026</v>
      </c>
      <c r="AV96" s="287">
        <f t="shared" ca="1" si="42"/>
        <v>-2.8843607520000005</v>
      </c>
      <c r="AW96" s="880"/>
      <c r="AY96" s="287">
        <v>0.2</v>
      </c>
      <c r="AZ96" s="287">
        <v>0.2</v>
      </c>
      <c r="BA96" s="287">
        <v>0.2</v>
      </c>
      <c r="BB96" s="287">
        <v>0.2</v>
      </c>
      <c r="BC96" s="287">
        <v>0.2</v>
      </c>
      <c r="BD96" s="880"/>
      <c r="BE96" s="287">
        <f t="shared" ca="1" si="43"/>
        <v>0.22187390400000007</v>
      </c>
      <c r="BF96" s="287">
        <f t="shared" ca="1" si="44"/>
        <v>0.22187390400000007</v>
      </c>
      <c r="BG96" s="287">
        <f t="shared" ca="1" si="45"/>
        <v>0.22187390400000007</v>
      </c>
      <c r="BH96" s="287">
        <f t="shared" ca="1" si="46"/>
        <v>0.22187390400000007</v>
      </c>
      <c r="BI96" s="287">
        <f t="shared" ca="1" si="47"/>
        <v>0.22187390400000007</v>
      </c>
      <c r="BJ96" s="880"/>
    </row>
    <row r="97" spans="34:62" ht="15" hidden="1" customHeight="1">
      <c r="AH97" s="299">
        <v>16</v>
      </c>
      <c r="AI97" s="299" t="b">
        <f t="shared" si="37"/>
        <v>0</v>
      </c>
      <c r="AJ97" s="186" t="b">
        <f t="shared" si="50"/>
        <v>1</v>
      </c>
      <c r="AK97" s="298" t="b">
        <f t="shared" si="49"/>
        <v>0</v>
      </c>
      <c r="AL97" s="145">
        <f>+ABS($AL$96-$AL$111)/15+AL96</f>
        <v>-1.58</v>
      </c>
      <c r="AM97" s="145">
        <f>0-(ABS($AM$96-$AM$111)/15-AM96)</f>
        <v>-1.1066666666666667</v>
      </c>
      <c r="AN97" s="145">
        <f>0-(ABS($AN$96-$AN$111)/15-AN96)</f>
        <v>-0.81333333333333335</v>
      </c>
      <c r="AO97" s="145">
        <f>+ABS($AO$96-$AO$111)/15+AO96</f>
        <v>-0.8</v>
      </c>
      <c r="AP97" s="145">
        <f>+ABS($AP$96-$AP$111)/15+AP96</f>
        <v>-2.54</v>
      </c>
      <c r="AQ97" s="880"/>
      <c r="AR97" s="287">
        <f t="shared" ca="1" si="38"/>
        <v>-1.7528038416000005</v>
      </c>
      <c r="AS97" s="287">
        <f t="shared" ca="1" si="39"/>
        <v>-1.2277022688000003</v>
      </c>
      <c r="AT97" s="287">
        <f t="shared" ca="1" si="40"/>
        <v>-0.9022872096000002</v>
      </c>
      <c r="AU97" s="287">
        <f t="shared" ca="1" si="41"/>
        <v>-0.88749561600000026</v>
      </c>
      <c r="AV97" s="287">
        <f t="shared" ca="1" si="42"/>
        <v>-2.8177985808000008</v>
      </c>
      <c r="AW97" s="880"/>
      <c r="AY97" s="145">
        <f>+ABS($AY$96-$AY$111)/15+AY96</f>
        <v>0.22</v>
      </c>
      <c r="AZ97" s="145">
        <f>+ABS($AZ$96-$AZ$111)/15+AZ96</f>
        <v>0.21333333333333335</v>
      </c>
      <c r="BA97" s="145">
        <f>+ABS($BA$96-$BA$111)/15+BA96</f>
        <v>0.20666666666666667</v>
      </c>
      <c r="BB97" s="145">
        <f>+ABS($BB$96-$BB$111)/15+BB96</f>
        <v>0.2</v>
      </c>
      <c r="BC97" s="145">
        <f>+ABS($BC$96-$BC$111)/15+BC96</f>
        <v>0.22</v>
      </c>
      <c r="BD97" s="880"/>
      <c r="BE97" s="287">
        <f t="shared" ca="1" si="43"/>
        <v>0.24406129440000005</v>
      </c>
      <c r="BF97" s="287">
        <f t="shared" ca="1" si="44"/>
        <v>0.23666549760000005</v>
      </c>
      <c r="BG97" s="287">
        <f t="shared" ca="1" si="45"/>
        <v>0.22926970080000003</v>
      </c>
      <c r="BH97" s="287">
        <f t="shared" ca="1" si="46"/>
        <v>0.22187390400000007</v>
      </c>
      <c r="BI97" s="287">
        <f t="shared" ca="1" si="47"/>
        <v>0.24406129440000005</v>
      </c>
      <c r="BJ97" s="880"/>
    </row>
    <row r="98" spans="34:62" ht="15" hidden="1" customHeight="1">
      <c r="AH98" s="299">
        <v>17</v>
      </c>
      <c r="AI98" s="299" t="b">
        <f t="shared" si="37"/>
        <v>0</v>
      </c>
      <c r="AJ98" s="186" t="b">
        <f t="shared" si="50"/>
        <v>1</v>
      </c>
      <c r="AK98" s="298" t="b">
        <f t="shared" si="49"/>
        <v>0</v>
      </c>
      <c r="AL98" s="145">
        <f t="shared" ref="AL98:AL110" si="59">+ABS($AL$96-$AL$111)/15+AL97</f>
        <v>-1.56</v>
      </c>
      <c r="AM98" s="145">
        <f t="shared" ref="AM98:AM110" si="60">0-(ABS($AM$96-$AM$111)/15-AM97)</f>
        <v>-1.1133333333333333</v>
      </c>
      <c r="AN98" s="145">
        <f t="shared" ref="AN98:AN110" si="61">0-(ABS($AN$96-$AN$111)/15-AN97)</f>
        <v>-0.82666666666666666</v>
      </c>
      <c r="AO98" s="145">
        <f t="shared" ref="AO98:AO110" si="62">+ABS($AO$96-$AO$111)/15+AO97</f>
        <v>-0.8</v>
      </c>
      <c r="AP98" s="145">
        <f t="shared" ref="AP98:AP110" si="63">+ABS($AP$96-$AP$111)/15+AP97</f>
        <v>-2.48</v>
      </c>
      <c r="AQ98" s="880"/>
      <c r="AR98" s="287">
        <f t="shared" ca="1" si="38"/>
        <v>-1.7306164512000004</v>
      </c>
      <c r="AS98" s="287">
        <f t="shared" ca="1" si="39"/>
        <v>-1.2350980656000001</v>
      </c>
      <c r="AT98" s="287">
        <f t="shared" ca="1" si="40"/>
        <v>-0.91707880320000013</v>
      </c>
      <c r="AU98" s="287">
        <f t="shared" ca="1" si="41"/>
        <v>-0.88749561600000026</v>
      </c>
      <c r="AV98" s="287">
        <f t="shared" ca="1" si="42"/>
        <v>-2.7512364096000006</v>
      </c>
      <c r="AW98" s="880"/>
      <c r="AY98" s="145">
        <f t="shared" ref="AY98:AY110" si="64">+ABS($AY$96-$AY$111)/15+AY97</f>
        <v>0.24</v>
      </c>
      <c r="AZ98" s="145">
        <f t="shared" ref="AZ98:AZ110" si="65">+ABS($AZ$96-$AZ$111)/15+AZ97</f>
        <v>0.22666666666666668</v>
      </c>
      <c r="BA98" s="145">
        <f t="shared" ref="BA98:BA110" si="66">+ABS($BA$96-$BA$111)/15+BA97</f>
        <v>0.21333333333333332</v>
      </c>
      <c r="BB98" s="145">
        <f t="shared" ref="BB98:BB110" si="67">+ABS($BB$96-$BB$111)/15+BB97</f>
        <v>0.2</v>
      </c>
      <c r="BC98" s="145">
        <f t="shared" ref="BC98:BC110" si="68">+ABS($BC$96-$BC$111)/15+BC97</f>
        <v>0.24</v>
      </c>
      <c r="BD98" s="880"/>
      <c r="BE98" s="287">
        <f t="shared" ca="1" si="43"/>
        <v>0.26624868480000002</v>
      </c>
      <c r="BF98" s="287">
        <f t="shared" ca="1" si="44"/>
        <v>0.25145709120000009</v>
      </c>
      <c r="BG98" s="287">
        <f t="shared" ca="1" si="45"/>
        <v>0.23666549760000002</v>
      </c>
      <c r="BH98" s="287">
        <f t="shared" ca="1" si="46"/>
        <v>0.22187390400000007</v>
      </c>
      <c r="BI98" s="287">
        <f t="shared" ca="1" si="47"/>
        <v>0.26624868480000002</v>
      </c>
      <c r="BJ98" s="880"/>
    </row>
    <row r="99" spans="34:62" ht="15" hidden="1" customHeight="1">
      <c r="AH99" s="299">
        <v>18</v>
      </c>
      <c r="AI99" s="299" t="b">
        <f t="shared" si="37"/>
        <v>0</v>
      </c>
      <c r="AJ99" s="186" t="b">
        <f t="shared" si="50"/>
        <v>1</v>
      </c>
      <c r="AK99" s="298" t="b">
        <f t="shared" si="49"/>
        <v>0</v>
      </c>
      <c r="AL99" s="145">
        <f t="shared" si="59"/>
        <v>-1.54</v>
      </c>
      <c r="AM99" s="145">
        <f t="shared" si="60"/>
        <v>-1.1199999999999999</v>
      </c>
      <c r="AN99" s="145">
        <f t="shared" si="61"/>
        <v>-0.84</v>
      </c>
      <c r="AO99" s="145">
        <f t="shared" si="62"/>
        <v>-0.8</v>
      </c>
      <c r="AP99" s="145">
        <f t="shared" si="63"/>
        <v>-2.42</v>
      </c>
      <c r="AQ99" s="880"/>
      <c r="AR99" s="287">
        <f t="shared" ca="1" si="38"/>
        <v>-1.7084290608000003</v>
      </c>
      <c r="AS99" s="287">
        <f t="shared" ca="1" si="39"/>
        <v>-1.2424938624000001</v>
      </c>
      <c r="AT99" s="287">
        <f t="shared" ca="1" si="40"/>
        <v>-0.93187039680000017</v>
      </c>
      <c r="AU99" s="287">
        <f t="shared" ca="1" si="41"/>
        <v>-0.88749561600000026</v>
      </c>
      <c r="AV99" s="287">
        <f t="shared" ca="1" si="42"/>
        <v>-2.6846742384000004</v>
      </c>
      <c r="AW99" s="880"/>
      <c r="AY99" s="145">
        <f t="shared" si="64"/>
        <v>0.26</v>
      </c>
      <c r="AZ99" s="145">
        <f t="shared" si="65"/>
        <v>0.24000000000000002</v>
      </c>
      <c r="BA99" s="145">
        <f t="shared" si="66"/>
        <v>0.21999999999999997</v>
      </c>
      <c r="BB99" s="145">
        <f t="shared" si="67"/>
        <v>0.2</v>
      </c>
      <c r="BC99" s="145">
        <f t="shared" si="68"/>
        <v>0.26</v>
      </c>
      <c r="BD99" s="880"/>
      <c r="BE99" s="287">
        <f t="shared" ca="1" si="43"/>
        <v>0.28843607520000009</v>
      </c>
      <c r="BF99" s="287">
        <f t="shared" ca="1" si="44"/>
        <v>0.26624868480000008</v>
      </c>
      <c r="BG99" s="287">
        <f t="shared" ca="1" si="45"/>
        <v>0.24406129440000002</v>
      </c>
      <c r="BH99" s="287">
        <f t="shared" ca="1" si="46"/>
        <v>0.22187390400000007</v>
      </c>
      <c r="BI99" s="287">
        <f t="shared" ca="1" si="47"/>
        <v>0.28843607520000009</v>
      </c>
      <c r="BJ99" s="880"/>
    </row>
    <row r="100" spans="34:62" ht="15" hidden="1" customHeight="1">
      <c r="AH100" s="299">
        <v>19</v>
      </c>
      <c r="AI100" s="299" t="b">
        <f t="shared" si="37"/>
        <v>0</v>
      </c>
      <c r="AJ100" s="186" t="b">
        <f t="shared" si="50"/>
        <v>1</v>
      </c>
      <c r="AK100" s="298" t="b">
        <f t="shared" si="49"/>
        <v>0</v>
      </c>
      <c r="AL100" s="145">
        <f t="shared" si="59"/>
        <v>-1.52</v>
      </c>
      <c r="AM100" s="145">
        <f t="shared" si="60"/>
        <v>-1.1266666666666665</v>
      </c>
      <c r="AN100" s="145">
        <f t="shared" si="61"/>
        <v>-0.85333333333333328</v>
      </c>
      <c r="AO100" s="145">
        <f t="shared" si="62"/>
        <v>-0.8</v>
      </c>
      <c r="AP100" s="145">
        <f t="shared" si="63"/>
        <v>-2.36</v>
      </c>
      <c r="AQ100" s="880"/>
      <c r="AR100" s="287">
        <f t="shared" ca="1" si="38"/>
        <v>-1.6862416704000003</v>
      </c>
      <c r="AS100" s="287">
        <f t="shared" ca="1" si="39"/>
        <v>-1.2498896591999999</v>
      </c>
      <c r="AT100" s="287">
        <f t="shared" ca="1" si="40"/>
        <v>-0.9466619904000001</v>
      </c>
      <c r="AU100" s="287">
        <f t="shared" ca="1" si="41"/>
        <v>-0.88749561600000026</v>
      </c>
      <c r="AV100" s="287">
        <f t="shared" ca="1" si="42"/>
        <v>-2.6181120672000002</v>
      </c>
      <c r="AW100" s="880"/>
      <c r="AY100" s="145">
        <f t="shared" si="64"/>
        <v>0.28000000000000003</v>
      </c>
      <c r="AZ100" s="145">
        <f t="shared" si="65"/>
        <v>0.25333333333333335</v>
      </c>
      <c r="BA100" s="145">
        <f t="shared" si="66"/>
        <v>0.22666666666666663</v>
      </c>
      <c r="BB100" s="145">
        <f t="shared" si="67"/>
        <v>0.2</v>
      </c>
      <c r="BC100" s="145">
        <f t="shared" si="68"/>
        <v>0.28000000000000003</v>
      </c>
      <c r="BD100" s="880"/>
      <c r="BE100" s="287">
        <f t="shared" ca="1" si="43"/>
        <v>0.31062346560000009</v>
      </c>
      <c r="BF100" s="287">
        <f t="shared" ca="1" si="44"/>
        <v>0.28104027840000007</v>
      </c>
      <c r="BG100" s="287">
        <f t="shared" ca="1" si="45"/>
        <v>0.25145709119999998</v>
      </c>
      <c r="BH100" s="287">
        <f t="shared" ca="1" si="46"/>
        <v>0.22187390400000007</v>
      </c>
      <c r="BI100" s="287">
        <f t="shared" ca="1" si="47"/>
        <v>0.31062346560000009</v>
      </c>
      <c r="BJ100" s="880"/>
    </row>
    <row r="101" spans="34:62" ht="15" hidden="1" customHeight="1">
      <c r="AH101" s="299">
        <v>20</v>
      </c>
      <c r="AI101" s="299" t="b">
        <f t="shared" si="37"/>
        <v>1</v>
      </c>
      <c r="AJ101" s="186" t="b">
        <f t="shared" si="50"/>
        <v>1</v>
      </c>
      <c r="AK101" s="298" t="b">
        <f t="shared" si="49"/>
        <v>1</v>
      </c>
      <c r="AL101" s="145">
        <f t="shared" si="59"/>
        <v>-1.5</v>
      </c>
      <c r="AM101" s="145">
        <f t="shared" si="60"/>
        <v>-1.1333333333333331</v>
      </c>
      <c r="AN101" s="145">
        <f t="shared" si="61"/>
        <v>-0.86666666666666659</v>
      </c>
      <c r="AO101" s="145">
        <f t="shared" si="62"/>
        <v>-0.8</v>
      </c>
      <c r="AP101" s="145">
        <f t="shared" si="63"/>
        <v>-2.2999999999999998</v>
      </c>
      <c r="AQ101" s="880"/>
      <c r="AR101" s="287">
        <f t="shared" ca="1" si="38"/>
        <v>-1.6640542800000002</v>
      </c>
      <c r="AS101" s="287">
        <f t="shared" ca="1" si="39"/>
        <v>-1.257285456</v>
      </c>
      <c r="AT101" s="287">
        <f t="shared" ca="1" si="40"/>
        <v>-0.96145358400000014</v>
      </c>
      <c r="AU101" s="287">
        <f t="shared" ca="1" si="41"/>
        <v>-0.88749561600000026</v>
      </c>
      <c r="AV101" s="287">
        <f t="shared" ca="1" si="42"/>
        <v>-2.5515498960000005</v>
      </c>
      <c r="AW101" s="880"/>
      <c r="AY101" s="145">
        <f t="shared" si="64"/>
        <v>0.30000000000000004</v>
      </c>
      <c r="AZ101" s="145">
        <f t="shared" si="65"/>
        <v>0.26666666666666666</v>
      </c>
      <c r="BA101" s="145">
        <f t="shared" si="66"/>
        <v>0.23333333333333328</v>
      </c>
      <c r="BB101" s="145">
        <f t="shared" si="67"/>
        <v>0.2</v>
      </c>
      <c r="BC101" s="145">
        <f t="shared" si="68"/>
        <v>0.30000000000000004</v>
      </c>
      <c r="BD101" s="880"/>
      <c r="BE101" s="287">
        <f t="shared" ca="1" si="43"/>
        <v>0.3328108560000001</v>
      </c>
      <c r="BF101" s="287">
        <f t="shared" ca="1" si="44"/>
        <v>0.29583187200000005</v>
      </c>
      <c r="BG101" s="287">
        <f t="shared" ca="1" si="45"/>
        <v>0.258852888</v>
      </c>
      <c r="BH101" s="287">
        <f t="shared" ca="1" si="46"/>
        <v>0.22187390400000007</v>
      </c>
      <c r="BI101" s="287">
        <f t="shared" ca="1" si="47"/>
        <v>0.3328108560000001</v>
      </c>
      <c r="BJ101" s="880"/>
    </row>
    <row r="102" spans="34:62" ht="15" hidden="1" customHeight="1">
      <c r="AH102" s="299">
        <v>21</v>
      </c>
      <c r="AI102" s="299" t="b">
        <f t="shared" si="37"/>
        <v>0</v>
      </c>
      <c r="AJ102" s="186" t="b">
        <f t="shared" si="50"/>
        <v>1</v>
      </c>
      <c r="AK102" s="298" t="b">
        <f t="shared" si="49"/>
        <v>0</v>
      </c>
      <c r="AL102" s="145">
        <f t="shared" si="59"/>
        <v>-1.48</v>
      </c>
      <c r="AM102" s="145">
        <f t="shared" si="60"/>
        <v>-1.1399999999999997</v>
      </c>
      <c r="AN102" s="145">
        <f t="shared" si="61"/>
        <v>-0.87999999999999989</v>
      </c>
      <c r="AO102" s="145">
        <f t="shared" si="62"/>
        <v>-0.8</v>
      </c>
      <c r="AP102" s="145">
        <f t="shared" si="63"/>
        <v>-2.2399999999999998</v>
      </c>
      <c r="AQ102" s="880"/>
      <c r="AR102" s="287">
        <f t="shared" ca="1" si="38"/>
        <v>-1.6418668896000004</v>
      </c>
      <c r="AS102" s="287">
        <f t="shared" ca="1" si="39"/>
        <v>-1.2646812528</v>
      </c>
      <c r="AT102" s="287">
        <f t="shared" ca="1" si="40"/>
        <v>-0.97624517760000007</v>
      </c>
      <c r="AU102" s="287">
        <f t="shared" ca="1" si="41"/>
        <v>-0.88749561600000026</v>
      </c>
      <c r="AV102" s="287">
        <f t="shared" ca="1" si="42"/>
        <v>-2.4849877248000003</v>
      </c>
      <c r="AW102" s="880"/>
      <c r="AY102" s="145">
        <f t="shared" si="64"/>
        <v>0.32000000000000006</v>
      </c>
      <c r="AZ102" s="145">
        <f t="shared" si="65"/>
        <v>0.27999999999999997</v>
      </c>
      <c r="BA102" s="145">
        <f t="shared" si="66"/>
        <v>0.23999999999999994</v>
      </c>
      <c r="BB102" s="145">
        <f t="shared" si="67"/>
        <v>0.2</v>
      </c>
      <c r="BC102" s="145">
        <f t="shared" si="68"/>
        <v>0.32000000000000006</v>
      </c>
      <c r="BD102" s="880"/>
      <c r="BE102" s="287">
        <f t="shared" ca="1" si="43"/>
        <v>0.35499824640000016</v>
      </c>
      <c r="BF102" s="287">
        <f t="shared" ca="1" si="44"/>
        <v>0.31062346560000004</v>
      </c>
      <c r="BG102" s="287">
        <f t="shared" ca="1" si="45"/>
        <v>0.26624868479999997</v>
      </c>
      <c r="BH102" s="287">
        <f t="shared" ca="1" si="46"/>
        <v>0.22187390400000007</v>
      </c>
      <c r="BI102" s="287">
        <f t="shared" ca="1" si="47"/>
        <v>0.35499824640000016</v>
      </c>
      <c r="BJ102" s="880"/>
    </row>
    <row r="103" spans="34:62" ht="15" hidden="1" customHeight="1">
      <c r="AH103" s="299">
        <v>22</v>
      </c>
      <c r="AI103" s="299" t="b">
        <f t="shared" si="37"/>
        <v>0</v>
      </c>
      <c r="AJ103" s="186" t="b">
        <f t="shared" si="50"/>
        <v>1</v>
      </c>
      <c r="AK103" s="298" t="b">
        <f t="shared" si="49"/>
        <v>0</v>
      </c>
      <c r="AL103" s="145">
        <f t="shared" si="59"/>
        <v>-1.46</v>
      </c>
      <c r="AM103" s="145">
        <f t="shared" si="60"/>
        <v>-1.1466666666666663</v>
      </c>
      <c r="AN103" s="145">
        <f t="shared" si="61"/>
        <v>-0.8933333333333332</v>
      </c>
      <c r="AO103" s="145">
        <f t="shared" si="62"/>
        <v>-0.8</v>
      </c>
      <c r="AP103" s="145">
        <f t="shared" si="63"/>
        <v>-2.1799999999999997</v>
      </c>
      <c r="AQ103" s="880"/>
      <c r="AR103" s="287">
        <f t="shared" ca="1" si="38"/>
        <v>-1.6196794992000003</v>
      </c>
      <c r="AS103" s="287">
        <f t="shared" ca="1" si="39"/>
        <v>-1.2720770495999998</v>
      </c>
      <c r="AT103" s="287">
        <f t="shared" ca="1" si="40"/>
        <v>-0.9910367712</v>
      </c>
      <c r="AU103" s="287">
        <f t="shared" ca="1" si="41"/>
        <v>-0.88749561600000026</v>
      </c>
      <c r="AV103" s="287">
        <f t="shared" ca="1" si="42"/>
        <v>-2.4184255536000001</v>
      </c>
      <c r="AW103" s="880"/>
      <c r="AY103" s="145">
        <f t="shared" si="64"/>
        <v>0.34000000000000008</v>
      </c>
      <c r="AZ103" s="145">
        <f t="shared" si="65"/>
        <v>0.29333333333333328</v>
      </c>
      <c r="BA103" s="145">
        <f t="shared" si="66"/>
        <v>0.24666666666666659</v>
      </c>
      <c r="BB103" s="145">
        <f t="shared" si="67"/>
        <v>0.2</v>
      </c>
      <c r="BC103" s="145">
        <f t="shared" si="68"/>
        <v>0.34000000000000008</v>
      </c>
      <c r="BD103" s="880"/>
      <c r="BE103" s="287">
        <f t="shared" ca="1" si="43"/>
        <v>0.37718563680000017</v>
      </c>
      <c r="BF103" s="287">
        <f t="shared" ca="1" si="44"/>
        <v>0.32541505920000002</v>
      </c>
      <c r="BG103" s="287">
        <f t="shared" ca="1" si="45"/>
        <v>0.27364448159999999</v>
      </c>
      <c r="BH103" s="287">
        <f t="shared" ca="1" si="46"/>
        <v>0.22187390400000007</v>
      </c>
      <c r="BI103" s="287">
        <f t="shared" ca="1" si="47"/>
        <v>0.37718563680000017</v>
      </c>
      <c r="BJ103" s="880"/>
    </row>
    <row r="104" spans="34:62" ht="15" hidden="1" customHeight="1">
      <c r="AH104" s="299">
        <v>23</v>
      </c>
      <c r="AI104" s="299" t="b">
        <f t="shared" si="37"/>
        <v>0</v>
      </c>
      <c r="AJ104" s="186" t="b">
        <f t="shared" si="50"/>
        <v>1</v>
      </c>
      <c r="AK104" s="298" t="b">
        <f t="shared" si="49"/>
        <v>0</v>
      </c>
      <c r="AL104" s="145">
        <f t="shared" si="59"/>
        <v>-1.44</v>
      </c>
      <c r="AM104" s="145">
        <f t="shared" si="60"/>
        <v>-1.1533333333333329</v>
      </c>
      <c r="AN104" s="145">
        <f t="shared" si="61"/>
        <v>-0.90666666666666651</v>
      </c>
      <c r="AO104" s="145">
        <f t="shared" si="62"/>
        <v>-0.8</v>
      </c>
      <c r="AP104" s="145">
        <f t="shared" si="63"/>
        <v>-2.1199999999999997</v>
      </c>
      <c r="AQ104" s="880"/>
      <c r="AR104" s="287">
        <f t="shared" ca="1" si="38"/>
        <v>-1.5974921088000003</v>
      </c>
      <c r="AS104" s="287">
        <f t="shared" ca="1" si="39"/>
        <v>-1.2794728463999998</v>
      </c>
      <c r="AT104" s="287">
        <f t="shared" ca="1" si="40"/>
        <v>-1.0058283647999999</v>
      </c>
      <c r="AU104" s="287">
        <f t="shared" ca="1" si="41"/>
        <v>-0.88749561600000026</v>
      </c>
      <c r="AV104" s="287">
        <f t="shared" ca="1" si="42"/>
        <v>-2.3518633823999999</v>
      </c>
      <c r="AW104" s="880"/>
      <c r="AY104" s="145">
        <f t="shared" si="64"/>
        <v>0.3600000000000001</v>
      </c>
      <c r="AZ104" s="145">
        <f t="shared" si="65"/>
        <v>0.30666666666666659</v>
      </c>
      <c r="BA104" s="145">
        <f t="shared" si="66"/>
        <v>0.25333333333333324</v>
      </c>
      <c r="BB104" s="145">
        <f t="shared" si="67"/>
        <v>0.2</v>
      </c>
      <c r="BC104" s="145">
        <f t="shared" si="68"/>
        <v>0.3600000000000001</v>
      </c>
      <c r="BD104" s="880"/>
      <c r="BE104" s="287">
        <f t="shared" ca="1" si="43"/>
        <v>0.39937302720000017</v>
      </c>
      <c r="BF104" s="287">
        <f t="shared" ca="1" si="44"/>
        <v>0.34020665279999995</v>
      </c>
      <c r="BG104" s="287">
        <f t="shared" ca="1" si="45"/>
        <v>0.28104027839999995</v>
      </c>
      <c r="BH104" s="287">
        <f t="shared" ca="1" si="46"/>
        <v>0.22187390400000007</v>
      </c>
      <c r="BI104" s="287">
        <f t="shared" ca="1" si="47"/>
        <v>0.39937302720000017</v>
      </c>
      <c r="BJ104" s="880"/>
    </row>
    <row r="105" spans="34:62" ht="15" hidden="1" customHeight="1">
      <c r="AH105" s="299">
        <v>24</v>
      </c>
      <c r="AI105" s="299" t="b">
        <f t="shared" si="37"/>
        <v>0</v>
      </c>
      <c r="AJ105" s="186" t="b">
        <f t="shared" si="50"/>
        <v>1</v>
      </c>
      <c r="AK105" s="298" t="b">
        <f t="shared" si="49"/>
        <v>0</v>
      </c>
      <c r="AL105" s="145">
        <f t="shared" si="59"/>
        <v>-1.42</v>
      </c>
      <c r="AM105" s="145">
        <f t="shared" si="60"/>
        <v>-1.1599999999999995</v>
      </c>
      <c r="AN105" s="145">
        <f t="shared" si="61"/>
        <v>-0.91999999999999982</v>
      </c>
      <c r="AO105" s="145">
        <f t="shared" si="62"/>
        <v>-0.8</v>
      </c>
      <c r="AP105" s="145">
        <f t="shared" si="63"/>
        <v>-2.0599999999999996</v>
      </c>
      <c r="AQ105" s="880"/>
      <c r="AR105" s="287">
        <f t="shared" ca="1" si="38"/>
        <v>-1.5753047184000002</v>
      </c>
      <c r="AS105" s="287">
        <f t="shared" ca="1" si="39"/>
        <v>-1.2868686431999996</v>
      </c>
      <c r="AT105" s="287">
        <f t="shared" ca="1" si="40"/>
        <v>-1.0206199584</v>
      </c>
      <c r="AU105" s="287">
        <f t="shared" ca="1" si="41"/>
        <v>-0.88749561600000026</v>
      </c>
      <c r="AV105" s="287">
        <f t="shared" ca="1" si="42"/>
        <v>-2.2853012112000002</v>
      </c>
      <c r="AW105" s="880"/>
      <c r="AY105" s="145">
        <f t="shared" si="64"/>
        <v>0.38000000000000012</v>
      </c>
      <c r="AZ105" s="145">
        <f t="shared" si="65"/>
        <v>0.3199999999999999</v>
      </c>
      <c r="BA105" s="145">
        <f t="shared" si="66"/>
        <v>0.2599999999999999</v>
      </c>
      <c r="BB105" s="145">
        <f t="shared" si="67"/>
        <v>0.2</v>
      </c>
      <c r="BC105" s="145">
        <f t="shared" si="68"/>
        <v>0.38000000000000012</v>
      </c>
      <c r="BD105" s="880"/>
      <c r="BE105" s="287">
        <f t="shared" ca="1" si="43"/>
        <v>0.42156041760000024</v>
      </c>
      <c r="BF105" s="287">
        <f t="shared" ca="1" si="44"/>
        <v>0.35499824639999994</v>
      </c>
      <c r="BG105" s="287">
        <f t="shared" ca="1" si="45"/>
        <v>0.28843607519999992</v>
      </c>
      <c r="BH105" s="287">
        <f t="shared" ca="1" si="46"/>
        <v>0.22187390400000007</v>
      </c>
      <c r="BI105" s="287">
        <f t="shared" ca="1" si="47"/>
        <v>0.42156041760000024</v>
      </c>
      <c r="BJ105" s="880"/>
    </row>
    <row r="106" spans="34:62" ht="15" hidden="1" customHeight="1">
      <c r="AH106" s="299">
        <v>25</v>
      </c>
      <c r="AI106" s="299" t="b">
        <f t="shared" si="37"/>
        <v>0</v>
      </c>
      <c r="AJ106" s="186" t="b">
        <f t="shared" si="50"/>
        <v>1</v>
      </c>
      <c r="AK106" s="298" t="b">
        <f t="shared" si="49"/>
        <v>0</v>
      </c>
      <c r="AL106" s="145">
        <f t="shared" si="59"/>
        <v>-1.4</v>
      </c>
      <c r="AM106" s="145">
        <f t="shared" si="60"/>
        <v>-1.1666666666666661</v>
      </c>
      <c r="AN106" s="145">
        <f t="shared" si="61"/>
        <v>-0.93333333333333313</v>
      </c>
      <c r="AO106" s="145">
        <f t="shared" si="62"/>
        <v>-0.8</v>
      </c>
      <c r="AP106" s="145">
        <f t="shared" si="63"/>
        <v>-1.9999999999999996</v>
      </c>
      <c r="AQ106" s="880"/>
      <c r="AR106" s="287">
        <f t="shared" ca="1" si="38"/>
        <v>-1.5531173280000001</v>
      </c>
      <c r="AS106" s="287">
        <f t="shared" ca="1" si="39"/>
        <v>-1.2942644399999996</v>
      </c>
      <c r="AT106" s="287">
        <f t="shared" ca="1" si="40"/>
        <v>-1.035411552</v>
      </c>
      <c r="AU106" s="287">
        <f t="shared" ca="1" si="41"/>
        <v>-0.88749561600000026</v>
      </c>
      <c r="AV106" s="287">
        <f t="shared" ca="1" si="42"/>
        <v>-2.21873904</v>
      </c>
      <c r="AW106" s="880"/>
      <c r="AY106" s="145">
        <f t="shared" si="64"/>
        <v>0.40000000000000013</v>
      </c>
      <c r="AZ106" s="145">
        <f t="shared" si="65"/>
        <v>0.3333333333333332</v>
      </c>
      <c r="BA106" s="145">
        <f t="shared" si="66"/>
        <v>0.26666666666666655</v>
      </c>
      <c r="BB106" s="145">
        <f t="shared" si="67"/>
        <v>0.2</v>
      </c>
      <c r="BC106" s="145">
        <f t="shared" si="68"/>
        <v>0.40000000000000013</v>
      </c>
      <c r="BD106" s="880"/>
      <c r="BE106" s="287">
        <f t="shared" ca="1" si="43"/>
        <v>0.44374780800000024</v>
      </c>
      <c r="BF106" s="287">
        <f t="shared" ca="1" si="44"/>
        <v>0.36978983999999993</v>
      </c>
      <c r="BG106" s="287">
        <f t="shared" ca="1" si="45"/>
        <v>0.29583187199999994</v>
      </c>
      <c r="BH106" s="287">
        <f t="shared" ca="1" si="46"/>
        <v>0.22187390400000007</v>
      </c>
      <c r="BI106" s="287">
        <f t="shared" ca="1" si="47"/>
        <v>0.44374780800000024</v>
      </c>
      <c r="BJ106" s="880"/>
    </row>
    <row r="107" spans="34:62" ht="15" hidden="1" customHeight="1">
      <c r="AH107" s="299">
        <v>26</v>
      </c>
      <c r="AI107" s="299" t="b">
        <f t="shared" si="37"/>
        <v>0</v>
      </c>
      <c r="AJ107" s="186" t="b">
        <f t="shared" si="50"/>
        <v>1</v>
      </c>
      <c r="AK107" s="298" t="b">
        <f t="shared" si="49"/>
        <v>0</v>
      </c>
      <c r="AL107" s="145">
        <f t="shared" si="59"/>
        <v>-1.38</v>
      </c>
      <c r="AM107" s="145">
        <f t="shared" si="60"/>
        <v>-1.1733333333333327</v>
      </c>
      <c r="AN107" s="145">
        <f t="shared" si="61"/>
        <v>-0.94666666666666643</v>
      </c>
      <c r="AO107" s="145">
        <f t="shared" si="62"/>
        <v>-0.8</v>
      </c>
      <c r="AP107" s="145">
        <f t="shared" si="63"/>
        <v>-1.9399999999999995</v>
      </c>
      <c r="AQ107" s="880"/>
      <c r="AR107" s="287">
        <f t="shared" ca="1" si="38"/>
        <v>-1.5309299376000003</v>
      </c>
      <c r="AS107" s="287">
        <f t="shared" ca="1" si="39"/>
        <v>-1.3016602367999994</v>
      </c>
      <c r="AT107" s="287">
        <f t="shared" ca="1" si="40"/>
        <v>-1.0502031456000001</v>
      </c>
      <c r="AU107" s="287">
        <f t="shared" ca="1" si="41"/>
        <v>-0.88749561600000026</v>
      </c>
      <c r="AV107" s="287">
        <f t="shared" ca="1" si="42"/>
        <v>-2.1521768687999998</v>
      </c>
      <c r="AW107" s="880"/>
      <c r="AY107" s="145">
        <f t="shared" si="64"/>
        <v>0.42000000000000015</v>
      </c>
      <c r="AZ107" s="145">
        <f t="shared" si="65"/>
        <v>0.34666666666666651</v>
      </c>
      <c r="BA107" s="145">
        <f t="shared" si="66"/>
        <v>0.27333333333333321</v>
      </c>
      <c r="BB107" s="145">
        <f t="shared" si="67"/>
        <v>0.2</v>
      </c>
      <c r="BC107" s="145">
        <f t="shared" si="68"/>
        <v>0.42000000000000015</v>
      </c>
      <c r="BD107" s="880"/>
      <c r="BE107" s="287">
        <f t="shared" ca="1" si="43"/>
        <v>0.46593519840000025</v>
      </c>
      <c r="BF107" s="287">
        <f t="shared" ca="1" si="44"/>
        <v>0.38458143359999991</v>
      </c>
      <c r="BG107" s="287">
        <f t="shared" ca="1" si="45"/>
        <v>0.30322766879999991</v>
      </c>
      <c r="BH107" s="287">
        <f t="shared" ca="1" si="46"/>
        <v>0.22187390400000007</v>
      </c>
      <c r="BI107" s="287">
        <f t="shared" ca="1" si="47"/>
        <v>0.46593519840000025</v>
      </c>
      <c r="BJ107" s="880"/>
    </row>
    <row r="108" spans="34:62" ht="15" hidden="1" customHeight="1">
      <c r="AH108" s="299">
        <v>27</v>
      </c>
      <c r="AI108" s="299" t="b">
        <f t="shared" si="37"/>
        <v>0</v>
      </c>
      <c r="AJ108" s="186" t="b">
        <f t="shared" si="50"/>
        <v>1</v>
      </c>
      <c r="AK108" s="298" t="b">
        <f t="shared" si="49"/>
        <v>0</v>
      </c>
      <c r="AL108" s="145">
        <f t="shared" si="59"/>
        <v>-1.3599999999999999</v>
      </c>
      <c r="AM108" s="145">
        <f t="shared" si="60"/>
        <v>-1.1799999999999993</v>
      </c>
      <c r="AN108" s="145">
        <f t="shared" si="61"/>
        <v>-0.95999999999999974</v>
      </c>
      <c r="AO108" s="145">
        <f t="shared" si="62"/>
        <v>-0.8</v>
      </c>
      <c r="AP108" s="145">
        <f t="shared" si="63"/>
        <v>-1.8799999999999994</v>
      </c>
      <c r="AQ108" s="880"/>
      <c r="AR108" s="287">
        <f t="shared" ca="1" si="38"/>
        <v>-1.5087425472000002</v>
      </c>
      <c r="AS108" s="287">
        <f t="shared" ca="1" si="39"/>
        <v>-1.3090560335999994</v>
      </c>
      <c r="AT108" s="287">
        <f t="shared" ca="1" si="40"/>
        <v>-1.0649947391999999</v>
      </c>
      <c r="AU108" s="287">
        <f t="shared" ca="1" si="41"/>
        <v>-0.88749561600000026</v>
      </c>
      <c r="AV108" s="287">
        <f t="shared" ca="1" si="42"/>
        <v>-2.0856146975999996</v>
      </c>
      <c r="AW108" s="880"/>
      <c r="AY108" s="145">
        <f t="shared" si="64"/>
        <v>0.44000000000000017</v>
      </c>
      <c r="AZ108" s="145">
        <f t="shared" si="65"/>
        <v>0.35999999999999982</v>
      </c>
      <c r="BA108" s="145">
        <f t="shared" si="66"/>
        <v>0.27999999999999986</v>
      </c>
      <c r="BB108" s="145">
        <f t="shared" si="67"/>
        <v>0.2</v>
      </c>
      <c r="BC108" s="145">
        <f t="shared" si="68"/>
        <v>0.44000000000000017</v>
      </c>
      <c r="BD108" s="880"/>
      <c r="BE108" s="287">
        <f t="shared" ca="1" si="43"/>
        <v>0.48812258880000026</v>
      </c>
      <c r="BF108" s="287">
        <f t="shared" ca="1" si="44"/>
        <v>0.3993730271999999</v>
      </c>
      <c r="BG108" s="287">
        <f t="shared" ca="1" si="45"/>
        <v>0.31062346559999993</v>
      </c>
      <c r="BH108" s="287">
        <f t="shared" ca="1" si="46"/>
        <v>0.22187390400000007</v>
      </c>
      <c r="BI108" s="287">
        <f t="shared" ca="1" si="47"/>
        <v>0.48812258880000026</v>
      </c>
      <c r="BJ108" s="880"/>
    </row>
    <row r="109" spans="34:62" ht="15" hidden="1" customHeight="1">
      <c r="AH109" s="299">
        <v>28</v>
      </c>
      <c r="AI109" s="299" t="b">
        <f t="shared" si="37"/>
        <v>0</v>
      </c>
      <c r="AJ109" s="186" t="b">
        <f t="shared" si="50"/>
        <v>1</v>
      </c>
      <c r="AK109" s="298" t="b">
        <f t="shared" si="49"/>
        <v>0</v>
      </c>
      <c r="AL109" s="145">
        <f t="shared" si="59"/>
        <v>-1.3399999999999999</v>
      </c>
      <c r="AM109" s="145">
        <f t="shared" si="60"/>
        <v>-1.1866666666666659</v>
      </c>
      <c r="AN109" s="145">
        <f t="shared" si="61"/>
        <v>-0.97333333333333305</v>
      </c>
      <c r="AO109" s="145">
        <f t="shared" si="62"/>
        <v>-0.8</v>
      </c>
      <c r="AP109" s="145">
        <f t="shared" si="63"/>
        <v>-1.8199999999999994</v>
      </c>
      <c r="AQ109" s="880"/>
      <c r="AR109" s="287">
        <f t="shared" ca="1" si="38"/>
        <v>-1.4865551568000002</v>
      </c>
      <c r="AS109" s="287">
        <f t="shared" ca="1" si="39"/>
        <v>-1.3164518303999995</v>
      </c>
      <c r="AT109" s="287">
        <f t="shared" ca="1" si="40"/>
        <v>-1.0797863327999999</v>
      </c>
      <c r="AU109" s="287">
        <f t="shared" ca="1" si="41"/>
        <v>-0.88749561600000026</v>
      </c>
      <c r="AV109" s="287">
        <f t="shared" ca="1" si="42"/>
        <v>-2.0190525263999999</v>
      </c>
      <c r="AW109" s="880"/>
      <c r="AY109" s="145">
        <f t="shared" si="64"/>
        <v>0.46000000000000019</v>
      </c>
      <c r="AZ109" s="145">
        <f t="shared" si="65"/>
        <v>0.37333333333333313</v>
      </c>
      <c r="BA109" s="145">
        <f t="shared" si="66"/>
        <v>0.28666666666666651</v>
      </c>
      <c r="BB109" s="145">
        <f t="shared" si="67"/>
        <v>0.2</v>
      </c>
      <c r="BC109" s="145">
        <f t="shared" si="68"/>
        <v>0.46000000000000019</v>
      </c>
      <c r="BD109" s="880"/>
      <c r="BE109" s="287">
        <f t="shared" ca="1" si="43"/>
        <v>0.51030997920000032</v>
      </c>
      <c r="BF109" s="287">
        <f t="shared" ca="1" si="44"/>
        <v>0.41416462079999983</v>
      </c>
      <c r="BG109" s="287">
        <f t="shared" ca="1" si="45"/>
        <v>0.31801926239999989</v>
      </c>
      <c r="BH109" s="287">
        <f t="shared" ca="1" si="46"/>
        <v>0.22187390400000007</v>
      </c>
      <c r="BI109" s="287">
        <f t="shared" ca="1" si="47"/>
        <v>0.51030997920000032</v>
      </c>
      <c r="BJ109" s="880"/>
    </row>
    <row r="110" spans="34:62" ht="15" hidden="1" customHeight="1">
      <c r="AH110" s="299">
        <v>29</v>
      </c>
      <c r="AI110" s="299" t="b">
        <f t="shared" si="37"/>
        <v>0</v>
      </c>
      <c r="AJ110" s="186" t="b">
        <f t="shared" si="50"/>
        <v>1</v>
      </c>
      <c r="AK110" s="298" t="b">
        <f t="shared" si="49"/>
        <v>0</v>
      </c>
      <c r="AL110" s="145">
        <f t="shared" si="59"/>
        <v>-1.3199999999999998</v>
      </c>
      <c r="AM110" s="145">
        <f t="shared" si="60"/>
        <v>-1.1933333333333325</v>
      </c>
      <c r="AN110" s="145">
        <f t="shared" si="61"/>
        <v>-0.98666666666666636</v>
      </c>
      <c r="AO110" s="145">
        <f t="shared" si="62"/>
        <v>-0.8</v>
      </c>
      <c r="AP110" s="145">
        <f t="shared" si="63"/>
        <v>-1.7599999999999993</v>
      </c>
      <c r="AQ110" s="880"/>
      <c r="AR110" s="287">
        <f t="shared" ca="1" si="38"/>
        <v>-1.4643677664000001</v>
      </c>
      <c r="AS110" s="287">
        <f t="shared" ca="1" si="39"/>
        <v>-1.3238476271999993</v>
      </c>
      <c r="AT110" s="287">
        <f t="shared" ca="1" si="40"/>
        <v>-1.0945779264</v>
      </c>
      <c r="AU110" s="287">
        <f t="shared" ca="1" si="41"/>
        <v>-0.88749561600000026</v>
      </c>
      <c r="AV110" s="287">
        <f t="shared" ca="1" si="42"/>
        <v>-1.9524903551999997</v>
      </c>
      <c r="AW110" s="880"/>
      <c r="AY110" s="145">
        <f t="shared" si="64"/>
        <v>0.4800000000000002</v>
      </c>
      <c r="AZ110" s="145">
        <f t="shared" si="65"/>
        <v>0.38666666666666644</v>
      </c>
      <c r="BA110" s="145">
        <f t="shared" si="66"/>
        <v>0.29333333333333317</v>
      </c>
      <c r="BB110" s="145">
        <f t="shared" si="67"/>
        <v>0.2</v>
      </c>
      <c r="BC110" s="145">
        <f t="shared" si="68"/>
        <v>0.4800000000000002</v>
      </c>
      <c r="BD110" s="880"/>
      <c r="BE110" s="287">
        <f t="shared" ca="1" si="43"/>
        <v>0.53249736960000038</v>
      </c>
      <c r="BF110" s="287">
        <f t="shared" ca="1" si="44"/>
        <v>0.42895621439999981</v>
      </c>
      <c r="BG110" s="287">
        <f t="shared" ca="1" si="45"/>
        <v>0.32541505919999986</v>
      </c>
      <c r="BH110" s="287">
        <f t="shared" ca="1" si="46"/>
        <v>0.22187390400000007</v>
      </c>
      <c r="BI110" s="287">
        <f t="shared" ca="1" si="47"/>
        <v>0.53249736960000038</v>
      </c>
      <c r="BJ110" s="880"/>
    </row>
    <row r="111" spans="34:62" ht="15" hidden="1" customHeight="1">
      <c r="AH111" s="299">
        <v>30</v>
      </c>
      <c r="AI111" s="299" t="b">
        <f t="shared" si="37"/>
        <v>0</v>
      </c>
      <c r="AJ111" s="186" t="b">
        <f t="shared" si="50"/>
        <v>1</v>
      </c>
      <c r="AK111" s="298" t="b">
        <f t="shared" si="49"/>
        <v>0</v>
      </c>
      <c r="AL111" s="287">
        <v>-1.3</v>
      </c>
      <c r="AM111" s="287">
        <v>-1.2</v>
      </c>
      <c r="AN111" s="287">
        <v>-1</v>
      </c>
      <c r="AO111" s="287">
        <v>-0.8</v>
      </c>
      <c r="AP111" s="287">
        <v>-1.7</v>
      </c>
      <c r="AQ111" s="880"/>
      <c r="AR111" s="287">
        <f t="shared" ca="1" si="38"/>
        <v>-1.4421803760000003</v>
      </c>
      <c r="AS111" s="287">
        <f t="shared" ca="1" si="39"/>
        <v>-1.3312434240000002</v>
      </c>
      <c r="AT111" s="287">
        <f t="shared" ca="1" si="40"/>
        <v>-1.1093695200000002</v>
      </c>
      <c r="AU111" s="287">
        <f t="shared" ca="1" si="41"/>
        <v>-0.88749561600000026</v>
      </c>
      <c r="AV111" s="287">
        <f t="shared" ca="1" si="42"/>
        <v>-1.8859281840000004</v>
      </c>
      <c r="AW111" s="880"/>
      <c r="AY111" s="287">
        <v>0.5</v>
      </c>
      <c r="AZ111" s="287">
        <v>0.4</v>
      </c>
      <c r="BA111" s="287">
        <v>0.3</v>
      </c>
      <c r="BB111" s="287">
        <v>0.2</v>
      </c>
      <c r="BC111" s="287">
        <v>0.5</v>
      </c>
      <c r="BD111" s="880"/>
      <c r="BE111" s="287">
        <f t="shared" ca="1" si="43"/>
        <v>0.55468476000000011</v>
      </c>
      <c r="BF111" s="287">
        <f t="shared" ca="1" si="44"/>
        <v>0.44374780800000013</v>
      </c>
      <c r="BG111" s="287">
        <f t="shared" ca="1" si="45"/>
        <v>0.33281085600000004</v>
      </c>
      <c r="BH111" s="287">
        <f t="shared" ca="1" si="46"/>
        <v>0.22187390400000007</v>
      </c>
      <c r="BI111" s="287">
        <f t="shared" ca="1" si="47"/>
        <v>0.55468476000000011</v>
      </c>
      <c r="BJ111" s="880"/>
    </row>
    <row r="112" spans="34:62" ht="15" hidden="1" customHeight="1">
      <c r="AH112" s="299">
        <v>31</v>
      </c>
      <c r="AI112" s="299" t="b">
        <f t="shared" si="37"/>
        <v>0</v>
      </c>
      <c r="AJ112" s="186" t="b">
        <f t="shared" si="50"/>
        <v>1</v>
      </c>
      <c r="AK112" s="298" t="b">
        <f t="shared" si="49"/>
        <v>0</v>
      </c>
      <c r="AL112" s="145">
        <f>+ABS($AL$111-$AL$126)/15+AL111</f>
        <v>-1.3</v>
      </c>
      <c r="AM112" s="145">
        <f>+ABS($AM$111-$AM$126)/15+AM111</f>
        <v>-1.2</v>
      </c>
      <c r="AN112" s="145">
        <f>+ABS($AN$111-$AN$126)/15+AN111</f>
        <v>-1</v>
      </c>
      <c r="AO112" s="145">
        <f>0-(ABS($AO$111-$AO$126)/15-AO111)</f>
        <v>-0.80666666666666675</v>
      </c>
      <c r="AP112" s="145">
        <f>+ABS($AP$111-$AP$126)/15+AP111</f>
        <v>-1.6866666666666665</v>
      </c>
      <c r="AQ112" s="880"/>
      <c r="AR112" s="287">
        <f t="shared" ca="1" si="38"/>
        <v>-1.4421803760000003</v>
      </c>
      <c r="AS112" s="287">
        <f t="shared" ca="1" si="39"/>
        <v>-1.3312434240000002</v>
      </c>
      <c r="AT112" s="287">
        <f t="shared" ca="1" si="40"/>
        <v>-1.1093695200000002</v>
      </c>
      <c r="AU112" s="287">
        <f t="shared" ca="1" si="41"/>
        <v>-0.89489141280000029</v>
      </c>
      <c r="AV112" s="287">
        <f t="shared" ca="1" si="42"/>
        <v>-1.8711365904000001</v>
      </c>
      <c r="AW112" s="880"/>
      <c r="AY112" s="145">
        <f>+ABS($AY$111-$AY$126)/15+AY111</f>
        <v>0.50666666666666671</v>
      </c>
      <c r="AZ112" s="145">
        <f>+ABS($AZ$111-$AZ$126)/15+AZ111</f>
        <v>0.40666666666666668</v>
      </c>
      <c r="BA112" s="145">
        <f>+ABS($BA$111-$BA$126)/15+BA111</f>
        <v>0.30666666666666664</v>
      </c>
      <c r="BB112" s="145">
        <f>+ABS($BB$111-$BB$126)/15+BB111</f>
        <v>0.2</v>
      </c>
      <c r="BC112" s="145">
        <f>+ABS($BC$111-$BC$126)/15+BC111</f>
        <v>0.50666666666666671</v>
      </c>
      <c r="BD112" s="880"/>
      <c r="BE112" s="287">
        <f t="shared" ca="1" si="43"/>
        <v>0.56208055680000013</v>
      </c>
      <c r="BF112" s="287">
        <f t="shared" ca="1" si="44"/>
        <v>0.4511436048000001</v>
      </c>
      <c r="BG112" s="287">
        <f t="shared" ca="1" si="45"/>
        <v>0.34020665280000006</v>
      </c>
      <c r="BH112" s="287">
        <f t="shared" ca="1" si="46"/>
        <v>0.22187390400000007</v>
      </c>
      <c r="BI112" s="287">
        <f t="shared" ca="1" si="47"/>
        <v>0.56208055680000013</v>
      </c>
      <c r="BJ112" s="880"/>
    </row>
    <row r="113" spans="34:62" ht="15" hidden="1" customHeight="1">
      <c r="AH113" s="299">
        <v>32</v>
      </c>
      <c r="AI113" s="299" t="b">
        <f t="shared" si="37"/>
        <v>0</v>
      </c>
      <c r="AJ113" s="186" t="b">
        <f t="shared" si="50"/>
        <v>1</v>
      </c>
      <c r="AK113" s="298" t="b">
        <f t="shared" si="49"/>
        <v>0</v>
      </c>
      <c r="AL113" s="145">
        <f t="shared" ref="AL113:AL125" si="69">+ABS($AL$111-$AL$126)/15+AL112</f>
        <v>-1.3</v>
      </c>
      <c r="AM113" s="145">
        <f t="shared" ref="AM113:AM125" si="70">+ABS($AM$111-$AM$126)/15+AM112</f>
        <v>-1.2</v>
      </c>
      <c r="AN113" s="145">
        <f t="shared" ref="AN113:AN125" si="71">+ABS($AN$111-$AN$126)/15+AN112</f>
        <v>-1</v>
      </c>
      <c r="AO113" s="145">
        <f t="shared" ref="AO113:AO125" si="72">0-(ABS($AO$111-$AO$126)/15-AO112)</f>
        <v>-0.81333333333333346</v>
      </c>
      <c r="AP113" s="145">
        <f t="shared" ref="AP113:AP125" si="73">+ABS($AP$111-$AP$126)/15+AP112</f>
        <v>-1.6733333333333331</v>
      </c>
      <c r="AQ113" s="880"/>
      <c r="AR113" s="287">
        <f t="shared" ca="1" si="38"/>
        <v>-1.4421803760000003</v>
      </c>
      <c r="AS113" s="287">
        <f t="shared" ca="1" si="39"/>
        <v>-1.3312434240000002</v>
      </c>
      <c r="AT113" s="287">
        <f t="shared" ca="1" si="40"/>
        <v>-1.1093695200000002</v>
      </c>
      <c r="AU113" s="287">
        <f t="shared" ca="1" si="41"/>
        <v>-0.90228720960000031</v>
      </c>
      <c r="AV113" s="287">
        <f t="shared" ca="1" si="42"/>
        <v>-1.8563449968000001</v>
      </c>
      <c r="AW113" s="880"/>
      <c r="AY113" s="145">
        <f t="shared" ref="AY113:AY125" si="74">+ABS($AY$111-$AY$126)/15+AY112</f>
        <v>0.51333333333333342</v>
      </c>
      <c r="AZ113" s="145">
        <f t="shared" ref="AZ113:AZ125" si="75">+ABS($AZ$111-$AZ$126)/15+AZ112</f>
        <v>0.41333333333333333</v>
      </c>
      <c r="BA113" s="145">
        <f t="shared" ref="BA113:BA125" si="76">+ABS($BA$111-$BA$126)/15+BA112</f>
        <v>0.3133333333333333</v>
      </c>
      <c r="BB113" s="145">
        <f t="shared" ref="BB113:BB125" si="77">+ABS($BB$111-$BB$126)/15+BB112</f>
        <v>0.2</v>
      </c>
      <c r="BC113" s="145">
        <f t="shared" ref="BC113:BC125" si="78">+ABS($BC$111-$BC$126)/15+BC112</f>
        <v>0.51333333333333342</v>
      </c>
      <c r="BD113" s="880"/>
      <c r="BE113" s="287">
        <f t="shared" ca="1" si="43"/>
        <v>0.56947635360000026</v>
      </c>
      <c r="BF113" s="287">
        <f t="shared" ca="1" si="44"/>
        <v>0.45853940160000006</v>
      </c>
      <c r="BG113" s="287">
        <f t="shared" ca="1" si="45"/>
        <v>0.34760244960000003</v>
      </c>
      <c r="BH113" s="287">
        <f t="shared" ca="1" si="46"/>
        <v>0.22187390400000007</v>
      </c>
      <c r="BI113" s="287">
        <f t="shared" ca="1" si="47"/>
        <v>0.56947635360000026</v>
      </c>
      <c r="BJ113" s="880"/>
    </row>
    <row r="114" spans="34:62" ht="15" hidden="1" customHeight="1">
      <c r="AH114" s="299">
        <v>33</v>
      </c>
      <c r="AI114" s="299" t="b">
        <f t="shared" si="37"/>
        <v>0</v>
      </c>
      <c r="AJ114" s="186" t="b">
        <f t="shared" si="50"/>
        <v>1</v>
      </c>
      <c r="AK114" s="298" t="b">
        <f t="shared" si="49"/>
        <v>0</v>
      </c>
      <c r="AL114" s="145">
        <f t="shared" si="69"/>
        <v>-1.3</v>
      </c>
      <c r="AM114" s="145">
        <f t="shared" si="70"/>
        <v>-1.2</v>
      </c>
      <c r="AN114" s="145">
        <f t="shared" si="71"/>
        <v>-1</v>
      </c>
      <c r="AO114" s="145">
        <f t="shared" si="72"/>
        <v>-0.82000000000000017</v>
      </c>
      <c r="AP114" s="145">
        <f t="shared" si="73"/>
        <v>-1.6599999999999997</v>
      </c>
      <c r="AQ114" s="880"/>
      <c r="AR114" s="287">
        <f t="shared" ca="1" si="38"/>
        <v>-1.4421803760000003</v>
      </c>
      <c r="AS114" s="287">
        <f t="shared" ca="1" si="39"/>
        <v>-1.3312434240000002</v>
      </c>
      <c r="AT114" s="287">
        <f t="shared" ca="1" si="40"/>
        <v>-1.1093695200000002</v>
      </c>
      <c r="AU114" s="287">
        <f t="shared" ca="1" si="41"/>
        <v>-0.90968300640000033</v>
      </c>
      <c r="AV114" s="287">
        <f t="shared" ca="1" si="42"/>
        <v>-1.8415534032</v>
      </c>
      <c r="AW114" s="880"/>
      <c r="AY114" s="145">
        <f t="shared" si="74"/>
        <v>0.52000000000000013</v>
      </c>
      <c r="AZ114" s="145">
        <f t="shared" si="75"/>
        <v>0.42</v>
      </c>
      <c r="BA114" s="145">
        <f t="shared" si="76"/>
        <v>0.31999999999999995</v>
      </c>
      <c r="BB114" s="145">
        <f t="shared" si="77"/>
        <v>0.2</v>
      </c>
      <c r="BC114" s="145">
        <f t="shared" si="78"/>
        <v>0.52000000000000013</v>
      </c>
      <c r="BD114" s="880"/>
      <c r="BE114" s="287">
        <f t="shared" ca="1" si="43"/>
        <v>0.57687215040000028</v>
      </c>
      <c r="BF114" s="287">
        <f t="shared" ca="1" si="44"/>
        <v>0.46593519840000008</v>
      </c>
      <c r="BG114" s="287">
        <f t="shared" ca="1" si="45"/>
        <v>0.35499824639999999</v>
      </c>
      <c r="BH114" s="287">
        <f t="shared" ca="1" si="46"/>
        <v>0.22187390400000007</v>
      </c>
      <c r="BI114" s="287">
        <f t="shared" ca="1" si="47"/>
        <v>0.57687215040000028</v>
      </c>
      <c r="BJ114" s="880"/>
    </row>
    <row r="115" spans="34:62" ht="15" hidden="1" customHeight="1">
      <c r="AH115" s="299">
        <v>34</v>
      </c>
      <c r="AI115" s="299" t="b">
        <f t="shared" si="37"/>
        <v>0</v>
      </c>
      <c r="AJ115" s="186" t="b">
        <f t="shared" si="50"/>
        <v>1</v>
      </c>
      <c r="AK115" s="298" t="b">
        <f t="shared" si="49"/>
        <v>0</v>
      </c>
      <c r="AL115" s="145">
        <f t="shared" si="69"/>
        <v>-1.3</v>
      </c>
      <c r="AM115" s="145">
        <f t="shared" si="70"/>
        <v>-1.2</v>
      </c>
      <c r="AN115" s="145">
        <f t="shared" si="71"/>
        <v>-1</v>
      </c>
      <c r="AO115" s="145">
        <f t="shared" si="72"/>
        <v>-0.82666666666666688</v>
      </c>
      <c r="AP115" s="145">
        <f t="shared" si="73"/>
        <v>-1.6466666666666663</v>
      </c>
      <c r="AQ115" s="880"/>
      <c r="AR115" s="287">
        <f t="shared" ca="1" si="38"/>
        <v>-1.4421803760000003</v>
      </c>
      <c r="AS115" s="287">
        <f t="shared" ca="1" si="39"/>
        <v>-1.3312434240000002</v>
      </c>
      <c r="AT115" s="287">
        <f t="shared" ca="1" si="40"/>
        <v>-1.1093695200000002</v>
      </c>
      <c r="AU115" s="287">
        <f t="shared" ca="1" si="41"/>
        <v>-0.91707880320000046</v>
      </c>
      <c r="AV115" s="287">
        <f t="shared" ca="1" si="42"/>
        <v>-1.8267618096</v>
      </c>
      <c r="AW115" s="880"/>
      <c r="AY115" s="145">
        <f t="shared" si="74"/>
        <v>0.52666666666666684</v>
      </c>
      <c r="AZ115" s="145">
        <f t="shared" si="75"/>
        <v>0.42666666666666664</v>
      </c>
      <c r="BA115" s="145">
        <f t="shared" si="76"/>
        <v>0.32666666666666661</v>
      </c>
      <c r="BB115" s="145">
        <f t="shared" si="77"/>
        <v>0.2</v>
      </c>
      <c r="BC115" s="145">
        <f t="shared" si="78"/>
        <v>0.52666666666666684</v>
      </c>
      <c r="BD115" s="880"/>
      <c r="BE115" s="287">
        <f t="shared" ca="1" si="43"/>
        <v>0.5842679472000003</v>
      </c>
      <c r="BF115" s="287">
        <f t="shared" ca="1" si="44"/>
        <v>0.47333099520000005</v>
      </c>
      <c r="BG115" s="287">
        <f t="shared" ca="1" si="45"/>
        <v>0.36239404320000002</v>
      </c>
      <c r="BH115" s="287">
        <f t="shared" ca="1" si="46"/>
        <v>0.22187390400000007</v>
      </c>
      <c r="BI115" s="287">
        <f t="shared" ca="1" si="47"/>
        <v>0.5842679472000003</v>
      </c>
      <c r="BJ115" s="880"/>
    </row>
    <row r="116" spans="34:62" ht="15" hidden="1" customHeight="1">
      <c r="AH116" s="299">
        <v>35</v>
      </c>
      <c r="AI116" s="299" t="b">
        <f t="shared" si="37"/>
        <v>0</v>
      </c>
      <c r="AJ116" s="186" t="b">
        <f t="shared" si="50"/>
        <v>1</v>
      </c>
      <c r="AK116" s="298" t="b">
        <f t="shared" si="49"/>
        <v>0</v>
      </c>
      <c r="AL116" s="145">
        <f t="shared" si="69"/>
        <v>-1.3</v>
      </c>
      <c r="AM116" s="145">
        <f t="shared" si="70"/>
        <v>-1.2</v>
      </c>
      <c r="AN116" s="145">
        <f t="shared" si="71"/>
        <v>-1</v>
      </c>
      <c r="AO116" s="145">
        <f t="shared" si="72"/>
        <v>-0.83333333333333359</v>
      </c>
      <c r="AP116" s="145">
        <f t="shared" si="73"/>
        <v>-1.6333333333333329</v>
      </c>
      <c r="AQ116" s="880"/>
      <c r="AR116" s="287">
        <f t="shared" ca="1" si="38"/>
        <v>-1.4421803760000003</v>
      </c>
      <c r="AS116" s="287">
        <f t="shared" ca="1" si="39"/>
        <v>-1.3312434240000002</v>
      </c>
      <c r="AT116" s="287">
        <f t="shared" ca="1" si="40"/>
        <v>-1.1093695200000002</v>
      </c>
      <c r="AU116" s="287">
        <f t="shared" ca="1" si="41"/>
        <v>-0.92447460000000048</v>
      </c>
      <c r="AV116" s="287">
        <f t="shared" ca="1" si="42"/>
        <v>-1.8119702159999997</v>
      </c>
      <c r="AW116" s="880"/>
      <c r="AY116" s="145">
        <f t="shared" si="74"/>
        <v>0.53333333333333355</v>
      </c>
      <c r="AZ116" s="145">
        <f t="shared" si="75"/>
        <v>0.43333333333333329</v>
      </c>
      <c r="BA116" s="145">
        <f t="shared" si="76"/>
        <v>0.33333333333333326</v>
      </c>
      <c r="BB116" s="145">
        <f t="shared" si="77"/>
        <v>0.2</v>
      </c>
      <c r="BC116" s="145">
        <f t="shared" si="78"/>
        <v>0.53333333333333355</v>
      </c>
      <c r="BD116" s="880"/>
      <c r="BE116" s="287">
        <f t="shared" ca="1" si="43"/>
        <v>0.59166374400000032</v>
      </c>
      <c r="BF116" s="287">
        <f t="shared" ca="1" si="44"/>
        <v>0.48072679200000007</v>
      </c>
      <c r="BG116" s="287">
        <f t="shared" ca="1" si="45"/>
        <v>0.36978983999999998</v>
      </c>
      <c r="BH116" s="287">
        <f t="shared" ca="1" si="46"/>
        <v>0.22187390400000007</v>
      </c>
      <c r="BI116" s="287">
        <f t="shared" ca="1" si="47"/>
        <v>0.59166374400000032</v>
      </c>
      <c r="BJ116" s="880"/>
    </row>
    <row r="117" spans="34:62" ht="15" hidden="1" customHeight="1">
      <c r="AH117" s="299">
        <v>36</v>
      </c>
      <c r="AI117" s="299" t="b">
        <f t="shared" si="37"/>
        <v>0</v>
      </c>
      <c r="AJ117" s="186" t="b">
        <f t="shared" si="50"/>
        <v>1</v>
      </c>
      <c r="AK117" s="298" t="b">
        <f t="shared" si="49"/>
        <v>0</v>
      </c>
      <c r="AL117" s="145">
        <f t="shared" si="69"/>
        <v>-1.3</v>
      </c>
      <c r="AM117" s="145">
        <f t="shared" si="70"/>
        <v>-1.2</v>
      </c>
      <c r="AN117" s="145">
        <f t="shared" si="71"/>
        <v>-1</v>
      </c>
      <c r="AO117" s="145">
        <f t="shared" si="72"/>
        <v>-0.8400000000000003</v>
      </c>
      <c r="AP117" s="145">
        <f t="shared" si="73"/>
        <v>-1.6199999999999994</v>
      </c>
      <c r="AQ117" s="880"/>
      <c r="AR117" s="287">
        <f t="shared" ca="1" si="38"/>
        <v>-1.4421803760000003</v>
      </c>
      <c r="AS117" s="287">
        <f t="shared" ca="1" si="39"/>
        <v>-1.3312434240000002</v>
      </c>
      <c r="AT117" s="287">
        <f t="shared" ca="1" si="40"/>
        <v>-1.1093695200000002</v>
      </c>
      <c r="AU117" s="287">
        <f t="shared" ca="1" si="41"/>
        <v>-0.9318703968000005</v>
      </c>
      <c r="AV117" s="287">
        <f t="shared" ca="1" si="42"/>
        <v>-1.7971786223999997</v>
      </c>
      <c r="AW117" s="880"/>
      <c r="AY117" s="145">
        <f t="shared" si="74"/>
        <v>0.54000000000000026</v>
      </c>
      <c r="AZ117" s="145">
        <f t="shared" si="75"/>
        <v>0.43999999999999995</v>
      </c>
      <c r="BA117" s="145">
        <f t="shared" si="76"/>
        <v>0.33999999999999991</v>
      </c>
      <c r="BB117" s="145">
        <f t="shared" si="77"/>
        <v>0.2</v>
      </c>
      <c r="BC117" s="145">
        <f t="shared" si="78"/>
        <v>0.54000000000000026</v>
      </c>
      <c r="BD117" s="880"/>
      <c r="BE117" s="287">
        <f t="shared" ca="1" si="43"/>
        <v>0.59905954080000046</v>
      </c>
      <c r="BF117" s="287">
        <f t="shared" ca="1" si="44"/>
        <v>0.48812258880000003</v>
      </c>
      <c r="BG117" s="287">
        <f t="shared" ca="1" si="45"/>
        <v>0.3771856368</v>
      </c>
      <c r="BH117" s="287">
        <f t="shared" ca="1" si="46"/>
        <v>0.22187390400000007</v>
      </c>
      <c r="BI117" s="287">
        <f t="shared" ca="1" si="47"/>
        <v>0.59905954080000046</v>
      </c>
      <c r="BJ117" s="880"/>
    </row>
    <row r="118" spans="34:62" ht="15" hidden="1" customHeight="1">
      <c r="AH118" s="299">
        <v>37</v>
      </c>
      <c r="AI118" s="299" t="b">
        <f t="shared" si="37"/>
        <v>0</v>
      </c>
      <c r="AJ118" s="186" t="b">
        <f t="shared" si="50"/>
        <v>1</v>
      </c>
      <c r="AK118" s="298" t="b">
        <f t="shared" si="49"/>
        <v>0</v>
      </c>
      <c r="AL118" s="145">
        <f t="shared" si="69"/>
        <v>-1.3</v>
      </c>
      <c r="AM118" s="145">
        <f t="shared" si="70"/>
        <v>-1.2</v>
      </c>
      <c r="AN118" s="145">
        <f t="shared" si="71"/>
        <v>-1</v>
      </c>
      <c r="AO118" s="145">
        <f t="shared" si="72"/>
        <v>-0.84666666666666701</v>
      </c>
      <c r="AP118" s="145">
        <f t="shared" si="73"/>
        <v>-1.606666666666666</v>
      </c>
      <c r="AQ118" s="880"/>
      <c r="AR118" s="287">
        <f t="shared" ca="1" si="38"/>
        <v>-1.4421803760000003</v>
      </c>
      <c r="AS118" s="287">
        <f t="shared" ca="1" si="39"/>
        <v>-1.3312434240000002</v>
      </c>
      <c r="AT118" s="287">
        <f t="shared" ca="1" si="40"/>
        <v>-1.1093695200000002</v>
      </c>
      <c r="AU118" s="287">
        <f t="shared" ca="1" si="41"/>
        <v>-0.93926619360000052</v>
      </c>
      <c r="AV118" s="287">
        <f t="shared" ca="1" si="42"/>
        <v>-1.7823870287999997</v>
      </c>
      <c r="AW118" s="880"/>
      <c r="AY118" s="145">
        <f t="shared" si="74"/>
        <v>0.54666666666666697</v>
      </c>
      <c r="AZ118" s="145">
        <f t="shared" si="75"/>
        <v>0.4466666666666666</v>
      </c>
      <c r="BA118" s="145">
        <f t="shared" si="76"/>
        <v>0.34666666666666657</v>
      </c>
      <c r="BB118" s="145">
        <f t="shared" si="77"/>
        <v>0.2</v>
      </c>
      <c r="BC118" s="145">
        <f t="shared" si="78"/>
        <v>0.54666666666666697</v>
      </c>
      <c r="BD118" s="880"/>
      <c r="BE118" s="287">
        <f t="shared" ca="1" si="43"/>
        <v>0.60645533760000048</v>
      </c>
      <c r="BF118" s="287">
        <f t="shared" ca="1" si="44"/>
        <v>0.4955183856</v>
      </c>
      <c r="BG118" s="287">
        <f t="shared" ca="1" si="45"/>
        <v>0.38458143359999997</v>
      </c>
      <c r="BH118" s="287">
        <f t="shared" ca="1" si="46"/>
        <v>0.22187390400000007</v>
      </c>
      <c r="BI118" s="287">
        <f t="shared" ca="1" si="47"/>
        <v>0.60645533760000048</v>
      </c>
      <c r="BJ118" s="880"/>
    </row>
    <row r="119" spans="34:62" ht="15" hidden="1" customHeight="1">
      <c r="AH119" s="299">
        <v>38</v>
      </c>
      <c r="AI119" s="299" t="b">
        <f t="shared" si="37"/>
        <v>0</v>
      </c>
      <c r="AJ119" s="186" t="b">
        <f t="shared" si="50"/>
        <v>1</v>
      </c>
      <c r="AK119" s="298" t="b">
        <f t="shared" si="49"/>
        <v>0</v>
      </c>
      <c r="AL119" s="145">
        <f t="shared" si="69"/>
        <v>-1.3</v>
      </c>
      <c r="AM119" s="145">
        <f t="shared" si="70"/>
        <v>-1.2</v>
      </c>
      <c r="AN119" s="145">
        <f t="shared" si="71"/>
        <v>-1</v>
      </c>
      <c r="AO119" s="145">
        <f t="shared" si="72"/>
        <v>-0.85333333333333372</v>
      </c>
      <c r="AP119" s="145">
        <f t="shared" si="73"/>
        <v>-1.5933333333333326</v>
      </c>
      <c r="AQ119" s="880"/>
      <c r="AR119" s="287">
        <f t="shared" ca="1" si="38"/>
        <v>-1.4421803760000003</v>
      </c>
      <c r="AS119" s="287">
        <f t="shared" ca="1" si="39"/>
        <v>-1.3312434240000002</v>
      </c>
      <c r="AT119" s="287">
        <f t="shared" ca="1" si="40"/>
        <v>-1.1093695200000002</v>
      </c>
      <c r="AU119" s="287">
        <f t="shared" ca="1" si="41"/>
        <v>-0.94666199040000065</v>
      </c>
      <c r="AV119" s="287">
        <f t="shared" ca="1" si="42"/>
        <v>-1.7675954351999996</v>
      </c>
      <c r="AW119" s="880"/>
      <c r="AY119" s="145">
        <f t="shared" si="74"/>
        <v>0.55333333333333368</v>
      </c>
      <c r="AZ119" s="145">
        <f t="shared" si="75"/>
        <v>0.45333333333333325</v>
      </c>
      <c r="BA119" s="145">
        <f t="shared" si="76"/>
        <v>0.35333333333333322</v>
      </c>
      <c r="BB119" s="145">
        <f t="shared" si="77"/>
        <v>0.2</v>
      </c>
      <c r="BC119" s="145">
        <f t="shared" si="78"/>
        <v>0.55333333333333368</v>
      </c>
      <c r="BD119" s="880"/>
      <c r="BE119" s="287">
        <f t="shared" ca="1" si="43"/>
        <v>0.6138511344000005</v>
      </c>
      <c r="BF119" s="287">
        <f t="shared" ca="1" si="44"/>
        <v>0.50291418239999996</v>
      </c>
      <c r="BG119" s="287">
        <f t="shared" ca="1" si="45"/>
        <v>0.39197723039999993</v>
      </c>
      <c r="BH119" s="287">
        <f t="shared" ca="1" si="46"/>
        <v>0.22187390400000007</v>
      </c>
      <c r="BI119" s="287">
        <f t="shared" ca="1" si="47"/>
        <v>0.6138511344000005</v>
      </c>
      <c r="BJ119" s="880"/>
    </row>
    <row r="120" spans="34:62" ht="15" hidden="1" customHeight="1">
      <c r="AH120" s="299">
        <v>39</v>
      </c>
      <c r="AI120" s="299" t="b">
        <f t="shared" si="37"/>
        <v>0</v>
      </c>
      <c r="AJ120" s="186" t="b">
        <f t="shared" si="50"/>
        <v>1</v>
      </c>
      <c r="AK120" s="298" t="b">
        <f t="shared" si="49"/>
        <v>0</v>
      </c>
      <c r="AL120" s="145">
        <f t="shared" si="69"/>
        <v>-1.3</v>
      </c>
      <c r="AM120" s="145">
        <f t="shared" si="70"/>
        <v>-1.2</v>
      </c>
      <c r="AN120" s="145">
        <f t="shared" si="71"/>
        <v>-1</v>
      </c>
      <c r="AO120" s="145">
        <f t="shared" si="72"/>
        <v>-0.86000000000000043</v>
      </c>
      <c r="AP120" s="145">
        <f t="shared" si="73"/>
        <v>-1.5799999999999992</v>
      </c>
      <c r="AQ120" s="880"/>
      <c r="AR120" s="287">
        <f t="shared" ca="1" si="38"/>
        <v>-1.4421803760000003</v>
      </c>
      <c r="AS120" s="287">
        <f t="shared" ca="1" si="39"/>
        <v>-1.3312434240000002</v>
      </c>
      <c r="AT120" s="287">
        <f t="shared" ca="1" si="40"/>
        <v>-1.1093695200000002</v>
      </c>
      <c r="AU120" s="287">
        <f t="shared" ca="1" si="41"/>
        <v>-0.95405778720000067</v>
      </c>
      <c r="AV120" s="287">
        <f t="shared" ca="1" si="42"/>
        <v>-1.7528038415999994</v>
      </c>
      <c r="AW120" s="880"/>
      <c r="AY120" s="145">
        <f t="shared" si="74"/>
        <v>0.56000000000000039</v>
      </c>
      <c r="AZ120" s="145">
        <f t="shared" si="75"/>
        <v>0.45999999999999991</v>
      </c>
      <c r="BA120" s="145">
        <f t="shared" si="76"/>
        <v>0.35999999999999988</v>
      </c>
      <c r="BB120" s="145">
        <f t="shared" si="77"/>
        <v>0.2</v>
      </c>
      <c r="BC120" s="145">
        <f t="shared" si="78"/>
        <v>0.56000000000000039</v>
      </c>
      <c r="BD120" s="880"/>
      <c r="BE120" s="287">
        <f t="shared" ca="1" si="43"/>
        <v>0.62124693120000052</v>
      </c>
      <c r="BF120" s="287">
        <f t="shared" ca="1" si="44"/>
        <v>0.51030997919999999</v>
      </c>
      <c r="BG120" s="287">
        <f t="shared" ca="1" si="45"/>
        <v>0.39937302719999995</v>
      </c>
      <c r="BH120" s="287">
        <f t="shared" ca="1" si="46"/>
        <v>0.22187390400000007</v>
      </c>
      <c r="BI120" s="287">
        <f t="shared" ca="1" si="47"/>
        <v>0.62124693120000052</v>
      </c>
      <c r="BJ120" s="880"/>
    </row>
    <row r="121" spans="34:62" ht="15" hidden="1" customHeight="1">
      <c r="AH121" s="299">
        <v>40</v>
      </c>
      <c r="AI121" s="299" t="b">
        <f t="shared" si="37"/>
        <v>0</v>
      </c>
      <c r="AJ121" s="186" t="b">
        <f t="shared" si="50"/>
        <v>1</v>
      </c>
      <c r="AK121" s="298" t="b">
        <f t="shared" si="49"/>
        <v>0</v>
      </c>
      <c r="AL121" s="145">
        <f t="shared" si="69"/>
        <v>-1.3</v>
      </c>
      <c r="AM121" s="145">
        <f t="shared" si="70"/>
        <v>-1.2</v>
      </c>
      <c r="AN121" s="145">
        <f t="shared" si="71"/>
        <v>-1</v>
      </c>
      <c r="AO121" s="145">
        <f t="shared" si="72"/>
        <v>-0.86666666666666714</v>
      </c>
      <c r="AP121" s="145">
        <f t="shared" si="73"/>
        <v>-1.5666666666666658</v>
      </c>
      <c r="AQ121" s="880"/>
      <c r="AR121" s="287">
        <f t="shared" ca="1" si="38"/>
        <v>-1.4421803760000003</v>
      </c>
      <c r="AS121" s="287">
        <f t="shared" ca="1" si="39"/>
        <v>-1.3312434240000002</v>
      </c>
      <c r="AT121" s="287">
        <f t="shared" ca="1" si="40"/>
        <v>-1.1093695200000002</v>
      </c>
      <c r="AU121" s="287">
        <f t="shared" ca="1" si="41"/>
        <v>-0.96145358400000069</v>
      </c>
      <c r="AV121" s="287">
        <f t="shared" ca="1" si="42"/>
        <v>-1.7380122479999993</v>
      </c>
      <c r="AW121" s="880"/>
      <c r="AY121" s="145">
        <f t="shared" si="74"/>
        <v>0.5666666666666671</v>
      </c>
      <c r="AZ121" s="145">
        <f t="shared" si="75"/>
        <v>0.46666666666666656</v>
      </c>
      <c r="BA121" s="145">
        <f t="shared" si="76"/>
        <v>0.36666666666666653</v>
      </c>
      <c r="BB121" s="145">
        <f t="shared" si="77"/>
        <v>0.2</v>
      </c>
      <c r="BC121" s="145">
        <f t="shared" si="78"/>
        <v>0.5666666666666671</v>
      </c>
      <c r="BD121" s="880"/>
      <c r="BE121" s="287">
        <f t="shared" ca="1" si="43"/>
        <v>0.62864272800000065</v>
      </c>
      <c r="BF121" s="287">
        <f t="shared" ca="1" si="44"/>
        <v>0.51770577600000001</v>
      </c>
      <c r="BG121" s="287">
        <f t="shared" ca="1" si="45"/>
        <v>0.40676882399999992</v>
      </c>
      <c r="BH121" s="287">
        <f t="shared" ca="1" si="46"/>
        <v>0.22187390400000007</v>
      </c>
      <c r="BI121" s="287">
        <f t="shared" ca="1" si="47"/>
        <v>0.62864272800000065</v>
      </c>
      <c r="BJ121" s="880"/>
    </row>
    <row r="122" spans="34:62" ht="15" hidden="1" customHeight="1">
      <c r="AH122" s="299">
        <v>41</v>
      </c>
      <c r="AI122" s="299" t="b">
        <f t="shared" si="37"/>
        <v>0</v>
      </c>
      <c r="AJ122" s="186" t="b">
        <f t="shared" si="50"/>
        <v>1</v>
      </c>
      <c r="AK122" s="298" t="b">
        <f t="shared" si="49"/>
        <v>0</v>
      </c>
      <c r="AL122" s="145">
        <f t="shared" si="69"/>
        <v>-1.3</v>
      </c>
      <c r="AM122" s="145">
        <f t="shared" si="70"/>
        <v>-1.2</v>
      </c>
      <c r="AN122" s="145">
        <f t="shared" si="71"/>
        <v>-1</v>
      </c>
      <c r="AO122" s="145">
        <f t="shared" si="72"/>
        <v>-0.87333333333333385</v>
      </c>
      <c r="AP122" s="145">
        <f t="shared" si="73"/>
        <v>-1.5533333333333323</v>
      </c>
      <c r="AQ122" s="880"/>
      <c r="AR122" s="287">
        <f t="shared" ca="1" si="38"/>
        <v>-1.4421803760000003</v>
      </c>
      <c r="AS122" s="287">
        <f t="shared" ca="1" si="39"/>
        <v>-1.3312434240000002</v>
      </c>
      <c r="AT122" s="287">
        <f t="shared" ca="1" si="40"/>
        <v>-1.1093695200000002</v>
      </c>
      <c r="AU122" s="287">
        <f t="shared" ca="1" si="41"/>
        <v>-0.96884938080000071</v>
      </c>
      <c r="AV122" s="287">
        <f t="shared" ca="1" si="42"/>
        <v>-1.7232206543999993</v>
      </c>
      <c r="AW122" s="880"/>
      <c r="AY122" s="145">
        <f t="shared" si="74"/>
        <v>0.57333333333333381</v>
      </c>
      <c r="AZ122" s="145">
        <f t="shared" si="75"/>
        <v>0.47333333333333322</v>
      </c>
      <c r="BA122" s="145">
        <f t="shared" si="76"/>
        <v>0.37333333333333318</v>
      </c>
      <c r="BB122" s="145">
        <f t="shared" si="77"/>
        <v>0.2</v>
      </c>
      <c r="BC122" s="145">
        <f t="shared" si="78"/>
        <v>0.57333333333333381</v>
      </c>
      <c r="BD122" s="880"/>
      <c r="BE122" s="287">
        <f t="shared" ca="1" si="43"/>
        <v>0.63603852480000067</v>
      </c>
      <c r="BF122" s="287">
        <f t="shared" ca="1" si="44"/>
        <v>0.52510157280000003</v>
      </c>
      <c r="BG122" s="287">
        <f t="shared" ca="1" si="45"/>
        <v>0.41416462079999994</v>
      </c>
      <c r="BH122" s="287">
        <f t="shared" ca="1" si="46"/>
        <v>0.22187390400000007</v>
      </c>
      <c r="BI122" s="287">
        <f t="shared" ca="1" si="47"/>
        <v>0.63603852480000067</v>
      </c>
      <c r="BJ122" s="880"/>
    </row>
    <row r="123" spans="34:62" ht="15" hidden="1" customHeight="1">
      <c r="AH123" s="299">
        <v>42</v>
      </c>
      <c r="AI123" s="299" t="b">
        <f t="shared" si="37"/>
        <v>0</v>
      </c>
      <c r="AJ123" s="186" t="b">
        <f t="shared" si="50"/>
        <v>1</v>
      </c>
      <c r="AK123" s="298" t="b">
        <f t="shared" si="49"/>
        <v>0</v>
      </c>
      <c r="AL123" s="145">
        <f t="shared" si="69"/>
        <v>-1.3</v>
      </c>
      <c r="AM123" s="145">
        <f t="shared" si="70"/>
        <v>-1.2</v>
      </c>
      <c r="AN123" s="145">
        <f t="shared" si="71"/>
        <v>-1</v>
      </c>
      <c r="AO123" s="145">
        <f t="shared" si="72"/>
        <v>-0.88000000000000056</v>
      </c>
      <c r="AP123" s="145">
        <f t="shared" si="73"/>
        <v>-1.5399999999999989</v>
      </c>
      <c r="AQ123" s="880"/>
      <c r="AR123" s="287">
        <f t="shared" ca="1" si="38"/>
        <v>-1.4421803760000003</v>
      </c>
      <c r="AS123" s="287">
        <f t="shared" ca="1" si="39"/>
        <v>-1.3312434240000002</v>
      </c>
      <c r="AT123" s="287">
        <f t="shared" ca="1" si="40"/>
        <v>-1.1093695200000002</v>
      </c>
      <c r="AU123" s="287">
        <f t="shared" ca="1" si="41"/>
        <v>-0.97624517760000085</v>
      </c>
      <c r="AV123" s="287">
        <f t="shared" ca="1" si="42"/>
        <v>-1.7084290607999992</v>
      </c>
      <c r="AW123" s="880"/>
      <c r="AY123" s="145">
        <f t="shared" si="74"/>
        <v>0.58000000000000052</v>
      </c>
      <c r="AZ123" s="145">
        <f t="shared" si="75"/>
        <v>0.47999999999999987</v>
      </c>
      <c r="BA123" s="145">
        <f t="shared" si="76"/>
        <v>0.37999999999999984</v>
      </c>
      <c r="BB123" s="145">
        <f t="shared" si="77"/>
        <v>0.2</v>
      </c>
      <c r="BC123" s="145">
        <f t="shared" si="78"/>
        <v>0.58000000000000052</v>
      </c>
      <c r="BD123" s="880"/>
      <c r="BE123" s="287">
        <f t="shared" ca="1" si="43"/>
        <v>0.64343432160000069</v>
      </c>
      <c r="BF123" s="287">
        <f t="shared" ca="1" si="44"/>
        <v>0.53249736959999994</v>
      </c>
      <c r="BG123" s="287">
        <f t="shared" ca="1" si="45"/>
        <v>0.4215604175999999</v>
      </c>
      <c r="BH123" s="287">
        <f t="shared" ca="1" si="46"/>
        <v>0.22187390400000007</v>
      </c>
      <c r="BI123" s="287">
        <f t="shared" ca="1" si="47"/>
        <v>0.64343432160000069</v>
      </c>
      <c r="BJ123" s="880"/>
    </row>
    <row r="124" spans="34:62" ht="15" hidden="1" customHeight="1">
      <c r="AH124" s="299">
        <v>43</v>
      </c>
      <c r="AI124" s="299" t="b">
        <f t="shared" si="37"/>
        <v>0</v>
      </c>
      <c r="AJ124" s="186" t="b">
        <f t="shared" si="50"/>
        <v>1</v>
      </c>
      <c r="AK124" s="298" t="b">
        <f t="shared" si="49"/>
        <v>0</v>
      </c>
      <c r="AL124" s="145">
        <f t="shared" si="69"/>
        <v>-1.3</v>
      </c>
      <c r="AM124" s="145">
        <f t="shared" si="70"/>
        <v>-1.2</v>
      </c>
      <c r="AN124" s="145">
        <f t="shared" si="71"/>
        <v>-1</v>
      </c>
      <c r="AO124" s="145">
        <f t="shared" si="72"/>
        <v>-0.88666666666666727</v>
      </c>
      <c r="AP124" s="145">
        <f t="shared" si="73"/>
        <v>-1.5266666666666655</v>
      </c>
      <c r="AQ124" s="880"/>
      <c r="AR124" s="287">
        <f t="shared" ca="1" si="38"/>
        <v>-1.4421803760000003</v>
      </c>
      <c r="AS124" s="287">
        <f t="shared" ca="1" si="39"/>
        <v>-1.3312434240000002</v>
      </c>
      <c r="AT124" s="287">
        <f t="shared" ca="1" si="40"/>
        <v>-1.1093695200000002</v>
      </c>
      <c r="AU124" s="287">
        <f t="shared" ca="1" si="41"/>
        <v>-0.98364097440000087</v>
      </c>
      <c r="AV124" s="287">
        <f t="shared" ca="1" si="42"/>
        <v>-1.693637467199999</v>
      </c>
      <c r="AW124" s="880"/>
      <c r="AY124" s="145">
        <f t="shared" si="74"/>
        <v>0.58666666666666722</v>
      </c>
      <c r="AZ124" s="145">
        <f t="shared" si="75"/>
        <v>0.48666666666666653</v>
      </c>
      <c r="BA124" s="145">
        <f t="shared" si="76"/>
        <v>0.38666666666666649</v>
      </c>
      <c r="BB124" s="145">
        <f t="shared" si="77"/>
        <v>0.2</v>
      </c>
      <c r="BC124" s="145">
        <f t="shared" si="78"/>
        <v>0.58666666666666722</v>
      </c>
      <c r="BD124" s="880"/>
      <c r="BE124" s="287">
        <f t="shared" ca="1" si="43"/>
        <v>0.65083011840000071</v>
      </c>
      <c r="BF124" s="287">
        <f t="shared" ca="1" si="44"/>
        <v>0.53989316639999996</v>
      </c>
      <c r="BG124" s="287">
        <f t="shared" ca="1" si="45"/>
        <v>0.42895621439999987</v>
      </c>
      <c r="BH124" s="287">
        <f t="shared" ca="1" si="46"/>
        <v>0.22187390400000007</v>
      </c>
      <c r="BI124" s="287">
        <f t="shared" ca="1" si="47"/>
        <v>0.65083011840000071</v>
      </c>
      <c r="BJ124" s="880"/>
    </row>
    <row r="125" spans="34:62" ht="15" hidden="1" customHeight="1">
      <c r="AH125" s="299">
        <v>44</v>
      </c>
      <c r="AI125" s="299" t="b">
        <f t="shared" si="37"/>
        <v>0</v>
      </c>
      <c r="AJ125" s="186" t="b">
        <f t="shared" si="50"/>
        <v>1</v>
      </c>
      <c r="AK125" s="298" t="b">
        <f t="shared" si="49"/>
        <v>0</v>
      </c>
      <c r="AL125" s="145">
        <f t="shared" si="69"/>
        <v>-1.3</v>
      </c>
      <c r="AM125" s="145">
        <f t="shared" si="70"/>
        <v>-1.2</v>
      </c>
      <c r="AN125" s="145">
        <f t="shared" si="71"/>
        <v>-1</v>
      </c>
      <c r="AO125" s="145">
        <f t="shared" si="72"/>
        <v>-0.89333333333333398</v>
      </c>
      <c r="AP125" s="145">
        <f t="shared" si="73"/>
        <v>-1.5133333333333321</v>
      </c>
      <c r="AQ125" s="880"/>
      <c r="AR125" s="287">
        <f t="shared" ca="1" si="38"/>
        <v>-1.4421803760000003</v>
      </c>
      <c r="AS125" s="287">
        <f t="shared" ca="1" si="39"/>
        <v>-1.3312434240000002</v>
      </c>
      <c r="AT125" s="287">
        <f t="shared" ca="1" si="40"/>
        <v>-1.1093695200000002</v>
      </c>
      <c r="AU125" s="287">
        <f t="shared" ca="1" si="41"/>
        <v>-0.99103677120000089</v>
      </c>
      <c r="AV125" s="287">
        <f t="shared" ca="1" si="42"/>
        <v>-1.6788458735999989</v>
      </c>
      <c r="AW125" s="880"/>
      <c r="AY125" s="145">
        <f t="shared" si="74"/>
        <v>0.59333333333333393</v>
      </c>
      <c r="AZ125" s="145">
        <f t="shared" si="75"/>
        <v>0.49333333333333318</v>
      </c>
      <c r="BA125" s="145">
        <f t="shared" si="76"/>
        <v>0.39333333333333315</v>
      </c>
      <c r="BB125" s="145">
        <f t="shared" si="77"/>
        <v>0.2</v>
      </c>
      <c r="BC125" s="145">
        <f t="shared" si="78"/>
        <v>0.59333333333333393</v>
      </c>
      <c r="BD125" s="880"/>
      <c r="BE125" s="287">
        <f t="shared" ca="1" si="43"/>
        <v>0.65822591520000084</v>
      </c>
      <c r="BF125" s="287">
        <f t="shared" ca="1" si="44"/>
        <v>0.54728896319999998</v>
      </c>
      <c r="BG125" s="287">
        <f t="shared" ca="1" si="45"/>
        <v>0.43635201119999989</v>
      </c>
      <c r="BH125" s="287">
        <f t="shared" ca="1" si="46"/>
        <v>0.22187390400000007</v>
      </c>
      <c r="BI125" s="287">
        <f t="shared" ca="1" si="47"/>
        <v>0.65822591520000084</v>
      </c>
      <c r="BJ125" s="880"/>
    </row>
    <row r="126" spans="34:62" ht="15" hidden="1" customHeight="1">
      <c r="AH126" s="299">
        <v>45</v>
      </c>
      <c r="AI126" s="299" t="b">
        <f t="shared" si="37"/>
        <v>0</v>
      </c>
      <c r="AJ126" s="186" t="b">
        <f t="shared" si="50"/>
        <v>1</v>
      </c>
      <c r="AK126" s="298" t="b">
        <f t="shared" si="49"/>
        <v>0</v>
      </c>
      <c r="AL126" s="287">
        <v>-1.3</v>
      </c>
      <c r="AM126" s="287">
        <v>-1.2</v>
      </c>
      <c r="AN126" s="287">
        <v>-1</v>
      </c>
      <c r="AO126" s="287">
        <v>-0.9</v>
      </c>
      <c r="AP126" s="287">
        <v>-1.5</v>
      </c>
      <c r="AQ126" s="880"/>
      <c r="AR126" s="287">
        <f t="shared" ca="1" si="38"/>
        <v>-1.4421803760000003</v>
      </c>
      <c r="AS126" s="287">
        <f t="shared" ca="1" si="39"/>
        <v>-1.3312434240000002</v>
      </c>
      <c r="AT126" s="287">
        <f t="shared" ca="1" si="40"/>
        <v>-1.1093695200000002</v>
      </c>
      <c r="AU126" s="287">
        <f t="shared" ca="1" si="41"/>
        <v>-0.99843256800000024</v>
      </c>
      <c r="AV126" s="287">
        <f t="shared" ca="1" si="42"/>
        <v>-1.6640542800000002</v>
      </c>
      <c r="AW126" s="880"/>
      <c r="AY126" s="287">
        <v>0.6</v>
      </c>
      <c r="AZ126" s="287">
        <v>0.5</v>
      </c>
      <c r="BA126" s="287">
        <v>0.4</v>
      </c>
      <c r="BB126" s="287">
        <v>0.2</v>
      </c>
      <c r="BC126" s="287">
        <v>0.6</v>
      </c>
      <c r="BD126" s="880"/>
      <c r="BE126" s="287">
        <f t="shared" ca="1" si="43"/>
        <v>0.66562171200000009</v>
      </c>
      <c r="BF126" s="287">
        <f t="shared" ca="1" si="44"/>
        <v>0.55468476000000011</v>
      </c>
      <c r="BG126" s="287">
        <f t="shared" ca="1" si="45"/>
        <v>0.44374780800000013</v>
      </c>
      <c r="BH126" s="287">
        <f t="shared" ca="1" si="46"/>
        <v>0.22187390400000007</v>
      </c>
      <c r="BI126" s="287">
        <f t="shared" ca="1" si="47"/>
        <v>0.66562171200000009</v>
      </c>
      <c r="BJ126" s="880"/>
    </row>
    <row r="127" spans="34:62" ht="15" hidden="1" customHeight="1">
      <c r="AH127" s="299">
        <v>46</v>
      </c>
      <c r="AI127" s="299" t="b">
        <f t="shared" si="37"/>
        <v>0</v>
      </c>
      <c r="AJ127" s="186" t="b">
        <f t="shared" si="50"/>
        <v>1</v>
      </c>
      <c r="AK127" s="298" t="b">
        <f t="shared" si="49"/>
        <v>0</v>
      </c>
      <c r="AL127" s="145">
        <f>+ABS($AL$126-$AL$141)/15+AL126</f>
        <v>-1.2933333333333334</v>
      </c>
      <c r="AM127" s="145">
        <f>+ABS($AM$126-$AM$141)/15+AM126</f>
        <v>-1.2</v>
      </c>
      <c r="AN127" s="145">
        <f>+ABS($AN$126-$AN$141)/15+AN126</f>
        <v>-0.96</v>
      </c>
      <c r="AO127" s="145">
        <f>+ABS($AO$126-$AO$141)/15+AO126</f>
        <v>-0.85333333333333339</v>
      </c>
      <c r="AP127" s="145">
        <f>+ABS($AP$126-$AP$141)/15+AP126</f>
        <v>-1.48</v>
      </c>
      <c r="AQ127" s="880"/>
      <c r="AR127" s="287">
        <f t="shared" ca="1" si="38"/>
        <v>-1.4347845792000005</v>
      </c>
      <c r="AS127" s="287">
        <f t="shared" ca="1" si="39"/>
        <v>-1.3312434240000002</v>
      </c>
      <c r="AT127" s="287">
        <f t="shared" ca="1" si="40"/>
        <v>-1.0649947392000001</v>
      </c>
      <c r="AU127" s="287">
        <f t="shared" ca="1" si="41"/>
        <v>-0.94666199040000021</v>
      </c>
      <c r="AV127" s="287">
        <f t="shared" ca="1" si="42"/>
        <v>-1.6418668896000004</v>
      </c>
      <c r="AW127" s="880"/>
      <c r="AY127" s="145">
        <f>+ABS($AY$126-$AY$141)/15+AY126</f>
        <v>0.60666666666666669</v>
      </c>
      <c r="AZ127" s="145">
        <f>+ABS($AZ$126-$AZ$141)/15+AZ126</f>
        <v>0.51333333333333331</v>
      </c>
      <c r="BA127" s="145">
        <f>+ABS($BA$126-$BA$141)/15+BA126</f>
        <v>0.40666666666666668</v>
      </c>
      <c r="BB127" s="145">
        <f>+ABS($BB$126-$BB$141)/15+BB126</f>
        <v>0.22</v>
      </c>
      <c r="BC127" s="145">
        <f>+ABS($BC$126-$BC$141)/15+BC126</f>
        <v>0.60666666666666669</v>
      </c>
      <c r="BD127" s="880"/>
      <c r="BE127" s="287">
        <f t="shared" ca="1" si="43"/>
        <v>0.67301750880000011</v>
      </c>
      <c r="BF127" s="287">
        <f t="shared" ca="1" si="44"/>
        <v>0.56947635360000004</v>
      </c>
      <c r="BG127" s="287">
        <f t="shared" ca="1" si="45"/>
        <v>0.4511436048000001</v>
      </c>
      <c r="BH127" s="287">
        <f t="shared" ca="1" si="46"/>
        <v>0.24406129440000005</v>
      </c>
      <c r="BI127" s="287">
        <f t="shared" ca="1" si="47"/>
        <v>0.67301750880000011</v>
      </c>
      <c r="BJ127" s="880"/>
    </row>
    <row r="128" spans="34:62" ht="15" hidden="1" customHeight="1">
      <c r="AH128" s="299">
        <v>47</v>
      </c>
      <c r="AI128" s="299" t="b">
        <f t="shared" si="37"/>
        <v>0</v>
      </c>
      <c r="AJ128" s="186" t="b">
        <f t="shared" si="50"/>
        <v>1</v>
      </c>
      <c r="AK128" s="298" t="b">
        <f t="shared" si="49"/>
        <v>0</v>
      </c>
      <c r="AL128" s="145">
        <f t="shared" ref="AL128:AL140" si="79">+ABS($AL$126-$AL$141)/15+AL127</f>
        <v>-1.2866666666666668</v>
      </c>
      <c r="AM128" s="145">
        <f t="shared" ref="AM128:AM140" si="80">+ABS($AM$126-$AM$141)/15+AM127</f>
        <v>-1.2</v>
      </c>
      <c r="AN128" s="145">
        <f t="shared" ref="AN128:AN140" si="81">+ABS($AN$126-$AN$141)/15+AN127</f>
        <v>-0.91999999999999993</v>
      </c>
      <c r="AO128" s="145">
        <f t="shared" ref="AO128:AO140" si="82">+ABS($AO$126-$AO$141)/15+AO127</f>
        <v>-0.80666666666666675</v>
      </c>
      <c r="AP128" s="145">
        <f t="shared" ref="AP128:AP140" si="83">+ABS($AP$126-$AP$141)/15+AP127</f>
        <v>-1.46</v>
      </c>
      <c r="AQ128" s="880"/>
      <c r="AR128" s="287">
        <f t="shared" ca="1" si="38"/>
        <v>-1.4273887824000004</v>
      </c>
      <c r="AS128" s="287">
        <f t="shared" ca="1" si="39"/>
        <v>-1.3312434240000002</v>
      </c>
      <c r="AT128" s="287">
        <f t="shared" ca="1" si="40"/>
        <v>-1.0206199584000002</v>
      </c>
      <c r="AU128" s="287">
        <f t="shared" ca="1" si="41"/>
        <v>-0.89489141280000029</v>
      </c>
      <c r="AV128" s="287">
        <f t="shared" ca="1" si="42"/>
        <v>-1.6196794992000003</v>
      </c>
      <c r="AW128" s="880"/>
      <c r="AY128" s="145">
        <f t="shared" ref="AY128:AY140" si="84">+ABS($AY$126-$AY$141)/15+AY127</f>
        <v>0.6133333333333334</v>
      </c>
      <c r="AZ128" s="145">
        <f t="shared" ref="AZ128:AZ140" si="85">+ABS($AZ$126-$AZ$141)/15+AZ127</f>
        <v>0.52666666666666662</v>
      </c>
      <c r="BA128" s="145">
        <f t="shared" ref="BA128:BA140" si="86">+ABS($BA$126-$BA$141)/15+BA127</f>
        <v>0.41333333333333333</v>
      </c>
      <c r="BB128" s="145">
        <f t="shared" ref="BB128:BB140" si="87">+ABS($BB$126-$BB$141)/15+BB127</f>
        <v>0.24</v>
      </c>
      <c r="BC128" s="145">
        <f t="shared" ref="BC128:BC140" si="88">+ABS($BC$126-$BC$141)/15+BC127</f>
        <v>0.6133333333333334</v>
      </c>
      <c r="BD128" s="880"/>
      <c r="BE128" s="287">
        <f t="shared" ca="1" si="43"/>
        <v>0.68041330560000024</v>
      </c>
      <c r="BF128" s="287">
        <f t="shared" ca="1" si="44"/>
        <v>0.58426794720000008</v>
      </c>
      <c r="BG128" s="287">
        <f t="shared" ca="1" si="45"/>
        <v>0.45853940160000006</v>
      </c>
      <c r="BH128" s="287">
        <f t="shared" ca="1" si="46"/>
        <v>0.26624868480000002</v>
      </c>
      <c r="BI128" s="287">
        <f t="shared" ca="1" si="47"/>
        <v>0.68041330560000024</v>
      </c>
      <c r="BJ128" s="880"/>
    </row>
    <row r="129" spans="34:62" ht="15" hidden="1" customHeight="1">
      <c r="AH129" s="299">
        <v>48</v>
      </c>
      <c r="AI129" s="299" t="b">
        <f t="shared" si="37"/>
        <v>0</v>
      </c>
      <c r="AJ129" s="186" t="b">
        <f t="shared" si="50"/>
        <v>1</v>
      </c>
      <c r="AK129" s="298" t="b">
        <f t="shared" si="49"/>
        <v>0</v>
      </c>
      <c r="AL129" s="145">
        <f t="shared" si="79"/>
        <v>-1.2800000000000002</v>
      </c>
      <c r="AM129" s="145">
        <f t="shared" si="80"/>
        <v>-1.2</v>
      </c>
      <c r="AN129" s="145">
        <f t="shared" si="81"/>
        <v>-0.87999999999999989</v>
      </c>
      <c r="AO129" s="145">
        <f t="shared" si="82"/>
        <v>-0.76000000000000012</v>
      </c>
      <c r="AP129" s="145">
        <f t="shared" si="83"/>
        <v>-1.44</v>
      </c>
      <c r="AQ129" s="880"/>
      <c r="AR129" s="287">
        <f t="shared" ca="1" si="38"/>
        <v>-1.4199929856000006</v>
      </c>
      <c r="AS129" s="287">
        <f t="shared" ca="1" si="39"/>
        <v>-1.3312434240000002</v>
      </c>
      <c r="AT129" s="287">
        <f t="shared" ca="1" si="40"/>
        <v>-0.97624517760000007</v>
      </c>
      <c r="AU129" s="287">
        <f t="shared" ca="1" si="41"/>
        <v>-0.84312083520000025</v>
      </c>
      <c r="AV129" s="287">
        <f t="shared" ca="1" si="42"/>
        <v>-1.5974921088000003</v>
      </c>
      <c r="AW129" s="880"/>
      <c r="AY129" s="145">
        <f t="shared" si="84"/>
        <v>0.62000000000000011</v>
      </c>
      <c r="AZ129" s="145">
        <f t="shared" si="85"/>
        <v>0.53999999999999992</v>
      </c>
      <c r="BA129" s="145">
        <f t="shared" si="86"/>
        <v>0.42</v>
      </c>
      <c r="BB129" s="145">
        <f t="shared" si="87"/>
        <v>0.26</v>
      </c>
      <c r="BC129" s="145">
        <f t="shared" si="88"/>
        <v>0.62000000000000011</v>
      </c>
      <c r="BD129" s="880"/>
      <c r="BE129" s="287">
        <f t="shared" ca="1" si="43"/>
        <v>0.68780910240000026</v>
      </c>
      <c r="BF129" s="287">
        <f t="shared" ca="1" si="44"/>
        <v>0.59905954080000001</v>
      </c>
      <c r="BG129" s="287">
        <f t="shared" ca="1" si="45"/>
        <v>0.46593519840000008</v>
      </c>
      <c r="BH129" s="287">
        <f t="shared" ca="1" si="46"/>
        <v>0.28843607520000009</v>
      </c>
      <c r="BI129" s="287">
        <f t="shared" ca="1" si="47"/>
        <v>0.68780910240000026</v>
      </c>
      <c r="BJ129" s="880"/>
    </row>
    <row r="130" spans="34:62" ht="15" hidden="1" customHeight="1">
      <c r="AH130" s="299">
        <v>49</v>
      </c>
      <c r="AI130" s="299" t="b">
        <f t="shared" si="37"/>
        <v>0</v>
      </c>
      <c r="AJ130" s="186" t="b">
        <f t="shared" si="50"/>
        <v>1</v>
      </c>
      <c r="AK130" s="298" t="b">
        <f t="shared" si="49"/>
        <v>0</v>
      </c>
      <c r="AL130" s="145">
        <f t="shared" si="79"/>
        <v>-1.2733333333333337</v>
      </c>
      <c r="AM130" s="145">
        <f t="shared" si="80"/>
        <v>-1.2</v>
      </c>
      <c r="AN130" s="145">
        <f t="shared" si="81"/>
        <v>-0.83999999999999986</v>
      </c>
      <c r="AO130" s="145">
        <f t="shared" si="82"/>
        <v>-0.71333333333333349</v>
      </c>
      <c r="AP130" s="145">
        <f t="shared" si="83"/>
        <v>-1.42</v>
      </c>
      <c r="AQ130" s="880"/>
      <c r="AR130" s="287">
        <f t="shared" ca="1" si="38"/>
        <v>-1.4125971888000006</v>
      </c>
      <c r="AS130" s="287">
        <f t="shared" ca="1" si="39"/>
        <v>-1.3312434240000002</v>
      </c>
      <c r="AT130" s="287">
        <f t="shared" ca="1" si="40"/>
        <v>-0.93187039680000006</v>
      </c>
      <c r="AU130" s="287">
        <f t="shared" ca="1" si="41"/>
        <v>-0.79135025760000033</v>
      </c>
      <c r="AV130" s="287">
        <f t="shared" ca="1" si="42"/>
        <v>-1.5753047184000002</v>
      </c>
      <c r="AW130" s="880"/>
      <c r="AY130" s="145">
        <f t="shared" si="84"/>
        <v>0.62666666666666682</v>
      </c>
      <c r="AZ130" s="145">
        <f t="shared" si="85"/>
        <v>0.55333333333333323</v>
      </c>
      <c r="BA130" s="145">
        <f t="shared" si="86"/>
        <v>0.42666666666666664</v>
      </c>
      <c r="BB130" s="145">
        <f t="shared" si="87"/>
        <v>0.28000000000000003</v>
      </c>
      <c r="BC130" s="145">
        <f t="shared" si="88"/>
        <v>0.62666666666666682</v>
      </c>
      <c r="BD130" s="880"/>
      <c r="BE130" s="287">
        <f t="shared" ca="1" si="43"/>
        <v>0.69520489920000028</v>
      </c>
      <c r="BF130" s="287">
        <f t="shared" ca="1" si="44"/>
        <v>0.61385113440000005</v>
      </c>
      <c r="BG130" s="287">
        <f t="shared" ca="1" si="45"/>
        <v>0.47333099520000005</v>
      </c>
      <c r="BH130" s="287">
        <f t="shared" ca="1" si="46"/>
        <v>0.31062346560000009</v>
      </c>
      <c r="BI130" s="287">
        <f t="shared" ca="1" si="47"/>
        <v>0.69520489920000028</v>
      </c>
      <c r="BJ130" s="880"/>
    </row>
    <row r="131" spans="34:62" ht="15" hidden="1" customHeight="1">
      <c r="AH131" s="299">
        <v>50</v>
      </c>
      <c r="AI131" s="299" t="b">
        <f t="shared" si="37"/>
        <v>0</v>
      </c>
      <c r="AJ131" s="186" t="b">
        <f t="shared" si="50"/>
        <v>1</v>
      </c>
      <c r="AK131" s="298" t="b">
        <f t="shared" si="49"/>
        <v>0</v>
      </c>
      <c r="AL131" s="145">
        <f t="shared" si="79"/>
        <v>-1.2666666666666671</v>
      </c>
      <c r="AM131" s="145">
        <f t="shared" si="80"/>
        <v>-1.2</v>
      </c>
      <c r="AN131" s="145">
        <f t="shared" si="81"/>
        <v>-0.79999999999999982</v>
      </c>
      <c r="AO131" s="145">
        <f t="shared" si="82"/>
        <v>-0.66666666666666685</v>
      </c>
      <c r="AP131" s="145">
        <f t="shared" si="83"/>
        <v>-1.4</v>
      </c>
      <c r="AQ131" s="880"/>
      <c r="AR131" s="287">
        <f t="shared" ca="1" si="38"/>
        <v>-1.4052013920000006</v>
      </c>
      <c r="AS131" s="287">
        <f t="shared" ca="1" si="39"/>
        <v>-1.3312434240000002</v>
      </c>
      <c r="AT131" s="287">
        <f t="shared" ca="1" si="40"/>
        <v>-0.88749561599999993</v>
      </c>
      <c r="AU131" s="287">
        <f t="shared" ca="1" si="41"/>
        <v>-0.73957968000000041</v>
      </c>
      <c r="AV131" s="287">
        <f t="shared" ca="1" si="42"/>
        <v>-1.5531173280000001</v>
      </c>
      <c r="AW131" s="880"/>
      <c r="AY131" s="145">
        <f t="shared" si="84"/>
        <v>0.63333333333333353</v>
      </c>
      <c r="AZ131" s="145">
        <f t="shared" si="85"/>
        <v>0.56666666666666654</v>
      </c>
      <c r="BA131" s="145">
        <f t="shared" si="86"/>
        <v>0.43333333333333329</v>
      </c>
      <c r="BB131" s="145">
        <f t="shared" si="87"/>
        <v>0.30000000000000004</v>
      </c>
      <c r="BC131" s="145">
        <f t="shared" si="88"/>
        <v>0.63333333333333353</v>
      </c>
      <c r="BD131" s="880"/>
      <c r="BE131" s="287">
        <f t="shared" ca="1" si="43"/>
        <v>0.7026006960000003</v>
      </c>
      <c r="BF131" s="287">
        <f t="shared" ca="1" si="44"/>
        <v>0.62864272799999998</v>
      </c>
      <c r="BG131" s="287">
        <f t="shared" ca="1" si="45"/>
        <v>0.48072679200000007</v>
      </c>
      <c r="BH131" s="287">
        <f t="shared" ca="1" si="46"/>
        <v>0.3328108560000001</v>
      </c>
      <c r="BI131" s="287">
        <f t="shared" ca="1" si="47"/>
        <v>0.7026006960000003</v>
      </c>
      <c r="BJ131" s="880"/>
    </row>
    <row r="132" spans="34:62" ht="15" hidden="1" customHeight="1">
      <c r="AH132" s="299">
        <v>51</v>
      </c>
      <c r="AI132" s="299" t="b">
        <f t="shared" si="37"/>
        <v>0</v>
      </c>
      <c r="AJ132" s="186" t="b">
        <f t="shared" si="50"/>
        <v>1</v>
      </c>
      <c r="AK132" s="298" t="b">
        <f t="shared" si="49"/>
        <v>0</v>
      </c>
      <c r="AL132" s="145">
        <f t="shared" si="79"/>
        <v>-1.2600000000000005</v>
      </c>
      <c r="AM132" s="145">
        <f t="shared" si="80"/>
        <v>-1.2</v>
      </c>
      <c r="AN132" s="145">
        <f t="shared" si="81"/>
        <v>-0.75999999999999979</v>
      </c>
      <c r="AO132" s="145">
        <f t="shared" si="82"/>
        <v>-0.62000000000000022</v>
      </c>
      <c r="AP132" s="145">
        <f t="shared" si="83"/>
        <v>-1.38</v>
      </c>
      <c r="AQ132" s="880"/>
      <c r="AR132" s="287">
        <f t="shared" ca="1" si="38"/>
        <v>-1.3978055952000008</v>
      </c>
      <c r="AS132" s="287">
        <f t="shared" ca="1" si="39"/>
        <v>-1.3312434240000002</v>
      </c>
      <c r="AT132" s="287">
        <f t="shared" ca="1" si="40"/>
        <v>-0.84312083519999992</v>
      </c>
      <c r="AU132" s="287">
        <f t="shared" ca="1" si="41"/>
        <v>-0.68780910240000037</v>
      </c>
      <c r="AV132" s="287">
        <f t="shared" ca="1" si="42"/>
        <v>-1.5309299376000003</v>
      </c>
      <c r="AW132" s="880"/>
      <c r="AY132" s="145">
        <f t="shared" si="84"/>
        <v>0.64000000000000024</v>
      </c>
      <c r="AZ132" s="145">
        <f t="shared" si="85"/>
        <v>0.57999999999999985</v>
      </c>
      <c r="BA132" s="145">
        <f t="shared" si="86"/>
        <v>0.43999999999999995</v>
      </c>
      <c r="BB132" s="145">
        <f t="shared" si="87"/>
        <v>0.32000000000000006</v>
      </c>
      <c r="BC132" s="145">
        <f t="shared" si="88"/>
        <v>0.64000000000000024</v>
      </c>
      <c r="BD132" s="880"/>
      <c r="BE132" s="287">
        <f t="shared" ca="1" si="43"/>
        <v>0.70999649280000043</v>
      </c>
      <c r="BF132" s="287">
        <f t="shared" ca="1" si="44"/>
        <v>0.64343432159999991</v>
      </c>
      <c r="BG132" s="287">
        <f t="shared" ca="1" si="45"/>
        <v>0.48812258880000003</v>
      </c>
      <c r="BH132" s="287">
        <f t="shared" ca="1" si="46"/>
        <v>0.35499824640000016</v>
      </c>
      <c r="BI132" s="287">
        <f t="shared" ca="1" si="47"/>
        <v>0.70999649280000043</v>
      </c>
      <c r="BJ132" s="880"/>
    </row>
    <row r="133" spans="34:62" ht="15" hidden="1" customHeight="1">
      <c r="AH133" s="299">
        <v>52</v>
      </c>
      <c r="AI133" s="299" t="b">
        <f t="shared" si="37"/>
        <v>0</v>
      </c>
      <c r="AJ133" s="186" t="b">
        <f t="shared" si="50"/>
        <v>1</v>
      </c>
      <c r="AK133" s="298" t="b">
        <f t="shared" si="49"/>
        <v>0</v>
      </c>
      <c r="AL133" s="145">
        <f t="shared" si="79"/>
        <v>-1.2533333333333339</v>
      </c>
      <c r="AM133" s="145">
        <f t="shared" si="80"/>
        <v>-1.2</v>
      </c>
      <c r="AN133" s="145">
        <f t="shared" si="81"/>
        <v>-0.71999999999999975</v>
      </c>
      <c r="AO133" s="145">
        <f t="shared" si="82"/>
        <v>-0.57333333333333358</v>
      </c>
      <c r="AP133" s="145">
        <f t="shared" si="83"/>
        <v>-1.3599999999999999</v>
      </c>
      <c r="AQ133" s="880"/>
      <c r="AR133" s="287">
        <f t="shared" ca="1" si="38"/>
        <v>-1.3904097984000008</v>
      </c>
      <c r="AS133" s="287">
        <f t="shared" ca="1" si="39"/>
        <v>-1.3312434240000002</v>
      </c>
      <c r="AT133" s="287">
        <f t="shared" ca="1" si="40"/>
        <v>-0.79874605439999991</v>
      </c>
      <c r="AU133" s="287">
        <f t="shared" ca="1" si="41"/>
        <v>-0.63603852480000045</v>
      </c>
      <c r="AV133" s="287">
        <f t="shared" ca="1" si="42"/>
        <v>-1.5087425472000002</v>
      </c>
      <c r="AW133" s="880"/>
      <c r="AY133" s="145">
        <f t="shared" si="84"/>
        <v>0.64666666666666694</v>
      </c>
      <c r="AZ133" s="145">
        <f t="shared" si="85"/>
        <v>0.59333333333333316</v>
      </c>
      <c r="BA133" s="145">
        <f t="shared" si="86"/>
        <v>0.4466666666666666</v>
      </c>
      <c r="BB133" s="145">
        <f t="shared" si="87"/>
        <v>0.34000000000000008</v>
      </c>
      <c r="BC133" s="145">
        <f t="shared" si="88"/>
        <v>0.64666666666666694</v>
      </c>
      <c r="BD133" s="880"/>
      <c r="BE133" s="287">
        <f t="shared" ca="1" si="43"/>
        <v>0.71739228960000045</v>
      </c>
      <c r="BF133" s="287">
        <f t="shared" ca="1" si="44"/>
        <v>0.65822591519999996</v>
      </c>
      <c r="BG133" s="287">
        <f t="shared" ca="1" si="45"/>
        <v>0.4955183856</v>
      </c>
      <c r="BH133" s="287">
        <f t="shared" ca="1" si="46"/>
        <v>0.37718563680000017</v>
      </c>
      <c r="BI133" s="287">
        <f t="shared" ca="1" si="47"/>
        <v>0.71739228960000045</v>
      </c>
      <c r="BJ133" s="880"/>
    </row>
    <row r="134" spans="34:62" ht="15" hidden="1" customHeight="1">
      <c r="AH134" s="299">
        <v>53</v>
      </c>
      <c r="AI134" s="299" t="b">
        <f t="shared" si="37"/>
        <v>0</v>
      </c>
      <c r="AJ134" s="186" t="b">
        <f t="shared" si="50"/>
        <v>1</v>
      </c>
      <c r="AK134" s="298" t="b">
        <f t="shared" si="49"/>
        <v>0</v>
      </c>
      <c r="AL134" s="145">
        <f t="shared" si="79"/>
        <v>-1.2466666666666673</v>
      </c>
      <c r="AM134" s="145">
        <f t="shared" si="80"/>
        <v>-1.2</v>
      </c>
      <c r="AN134" s="145">
        <f t="shared" si="81"/>
        <v>-0.67999999999999972</v>
      </c>
      <c r="AO134" s="145">
        <f t="shared" si="82"/>
        <v>-0.52666666666666695</v>
      </c>
      <c r="AP134" s="145">
        <f t="shared" si="83"/>
        <v>-1.3399999999999999</v>
      </c>
      <c r="AQ134" s="880"/>
      <c r="AR134" s="287">
        <f t="shared" ca="1" si="38"/>
        <v>-1.383014001600001</v>
      </c>
      <c r="AS134" s="287">
        <f t="shared" ca="1" si="39"/>
        <v>-1.3312434240000002</v>
      </c>
      <c r="AT134" s="287">
        <f t="shared" ca="1" si="40"/>
        <v>-0.75437127359999978</v>
      </c>
      <c r="AU134" s="287">
        <f t="shared" ca="1" si="41"/>
        <v>-0.58426794720000041</v>
      </c>
      <c r="AV134" s="287">
        <f t="shared" ca="1" si="42"/>
        <v>-1.4865551568000002</v>
      </c>
      <c r="AW134" s="880"/>
      <c r="AY134" s="145">
        <f t="shared" si="84"/>
        <v>0.65333333333333365</v>
      </c>
      <c r="AZ134" s="145">
        <f t="shared" si="85"/>
        <v>0.60666666666666647</v>
      </c>
      <c r="BA134" s="145">
        <f t="shared" si="86"/>
        <v>0.45333333333333325</v>
      </c>
      <c r="BB134" s="145">
        <f t="shared" si="87"/>
        <v>0.3600000000000001</v>
      </c>
      <c r="BC134" s="145">
        <f t="shared" si="88"/>
        <v>0.65333333333333365</v>
      </c>
      <c r="BD134" s="880"/>
      <c r="BE134" s="287">
        <f t="shared" ca="1" si="43"/>
        <v>0.72478808640000048</v>
      </c>
      <c r="BF134" s="287">
        <f t="shared" ca="1" si="44"/>
        <v>0.67301750879999989</v>
      </c>
      <c r="BG134" s="287">
        <f t="shared" ca="1" si="45"/>
        <v>0.50291418239999996</v>
      </c>
      <c r="BH134" s="287">
        <f t="shared" ca="1" si="46"/>
        <v>0.39937302720000017</v>
      </c>
      <c r="BI134" s="287">
        <f t="shared" ca="1" si="47"/>
        <v>0.72478808640000048</v>
      </c>
      <c r="BJ134" s="880"/>
    </row>
    <row r="135" spans="34:62" ht="15" hidden="1" customHeight="1">
      <c r="AH135" s="299">
        <v>54</v>
      </c>
      <c r="AI135" s="299" t="b">
        <f t="shared" si="37"/>
        <v>0</v>
      </c>
      <c r="AJ135" s="186" t="b">
        <f t="shared" si="50"/>
        <v>1</v>
      </c>
      <c r="AK135" s="298" t="b">
        <f t="shared" si="49"/>
        <v>0</v>
      </c>
      <c r="AL135" s="145">
        <f t="shared" si="79"/>
        <v>-1.2400000000000007</v>
      </c>
      <c r="AM135" s="145">
        <f t="shared" si="80"/>
        <v>-1.2</v>
      </c>
      <c r="AN135" s="145">
        <f t="shared" si="81"/>
        <v>-0.63999999999999968</v>
      </c>
      <c r="AO135" s="145">
        <f t="shared" si="82"/>
        <v>-0.48000000000000032</v>
      </c>
      <c r="AP135" s="145">
        <f t="shared" si="83"/>
        <v>-1.3199999999999998</v>
      </c>
      <c r="AQ135" s="880"/>
      <c r="AR135" s="287">
        <f t="shared" ca="1" si="38"/>
        <v>-1.375618204800001</v>
      </c>
      <c r="AS135" s="287">
        <f t="shared" ca="1" si="39"/>
        <v>-1.3312434240000002</v>
      </c>
      <c r="AT135" s="287">
        <f t="shared" ca="1" si="40"/>
        <v>-0.70999649279999977</v>
      </c>
      <c r="AU135" s="287">
        <f t="shared" ca="1" si="41"/>
        <v>-0.53249736960000049</v>
      </c>
      <c r="AV135" s="287">
        <f t="shared" ca="1" si="42"/>
        <v>-1.4643677664000001</v>
      </c>
      <c r="AW135" s="880"/>
      <c r="AY135" s="145">
        <f t="shared" si="84"/>
        <v>0.66000000000000036</v>
      </c>
      <c r="AZ135" s="145">
        <f t="shared" si="85"/>
        <v>0.61999999999999977</v>
      </c>
      <c r="BA135" s="145">
        <f t="shared" si="86"/>
        <v>0.45999999999999991</v>
      </c>
      <c r="BB135" s="145">
        <f t="shared" si="87"/>
        <v>0.38000000000000012</v>
      </c>
      <c r="BC135" s="145">
        <f t="shared" si="88"/>
        <v>0.66000000000000036</v>
      </c>
      <c r="BD135" s="880"/>
      <c r="BE135" s="287">
        <f t="shared" ca="1" si="43"/>
        <v>0.7321838832000005</v>
      </c>
      <c r="BF135" s="287">
        <f t="shared" ca="1" si="44"/>
        <v>0.68780910239999993</v>
      </c>
      <c r="BG135" s="287">
        <f t="shared" ca="1" si="45"/>
        <v>0.51030997919999999</v>
      </c>
      <c r="BH135" s="287">
        <f t="shared" ca="1" si="46"/>
        <v>0.42156041760000024</v>
      </c>
      <c r="BI135" s="287">
        <f t="shared" ca="1" si="47"/>
        <v>0.7321838832000005</v>
      </c>
      <c r="BJ135" s="880"/>
    </row>
    <row r="136" spans="34:62" ht="15" hidden="1" customHeight="1">
      <c r="AH136" s="299">
        <v>55</v>
      </c>
      <c r="AI136" s="299" t="b">
        <f t="shared" si="37"/>
        <v>0</v>
      </c>
      <c r="AJ136" s="186" t="b">
        <f t="shared" si="50"/>
        <v>1</v>
      </c>
      <c r="AK136" s="298" t="b">
        <f t="shared" si="49"/>
        <v>0</v>
      </c>
      <c r="AL136" s="145">
        <f t="shared" si="79"/>
        <v>-1.2333333333333341</v>
      </c>
      <c r="AM136" s="145">
        <f t="shared" si="80"/>
        <v>-1.2</v>
      </c>
      <c r="AN136" s="145">
        <f t="shared" si="81"/>
        <v>-0.59999999999999964</v>
      </c>
      <c r="AO136" s="145">
        <f t="shared" si="82"/>
        <v>-0.43333333333333368</v>
      </c>
      <c r="AP136" s="145">
        <f t="shared" si="83"/>
        <v>-1.2999999999999998</v>
      </c>
      <c r="AQ136" s="880"/>
      <c r="AR136" s="287">
        <f t="shared" ca="1" si="38"/>
        <v>-1.3682224080000012</v>
      </c>
      <c r="AS136" s="287">
        <f t="shared" ca="1" si="39"/>
        <v>-1.3312434240000002</v>
      </c>
      <c r="AT136" s="287">
        <f t="shared" ca="1" si="40"/>
        <v>-0.66562171199999975</v>
      </c>
      <c r="AU136" s="287">
        <f t="shared" ca="1" si="41"/>
        <v>-0.48072679200000046</v>
      </c>
      <c r="AV136" s="287">
        <f t="shared" ca="1" si="42"/>
        <v>-1.442180376</v>
      </c>
      <c r="AW136" s="880"/>
      <c r="AY136" s="145">
        <f t="shared" si="84"/>
        <v>0.66666666666666707</v>
      </c>
      <c r="AZ136" s="145">
        <f t="shared" si="85"/>
        <v>0.63333333333333308</v>
      </c>
      <c r="BA136" s="145">
        <f t="shared" si="86"/>
        <v>0.46666666666666656</v>
      </c>
      <c r="BB136" s="145">
        <f t="shared" si="87"/>
        <v>0.40000000000000013</v>
      </c>
      <c r="BC136" s="145">
        <f t="shared" si="88"/>
        <v>0.66666666666666707</v>
      </c>
      <c r="BD136" s="880"/>
      <c r="BE136" s="287">
        <f t="shared" ca="1" si="43"/>
        <v>0.73957968000000063</v>
      </c>
      <c r="BF136" s="287">
        <f t="shared" ca="1" si="44"/>
        <v>0.70260069599999986</v>
      </c>
      <c r="BG136" s="287">
        <f t="shared" ca="1" si="45"/>
        <v>0.51770577600000001</v>
      </c>
      <c r="BH136" s="287">
        <f t="shared" ca="1" si="46"/>
        <v>0.44374780800000024</v>
      </c>
      <c r="BI136" s="287">
        <f t="shared" ca="1" si="47"/>
        <v>0.73957968000000063</v>
      </c>
      <c r="BJ136" s="880"/>
    </row>
    <row r="137" spans="34:62" ht="15" hidden="1" customHeight="1">
      <c r="AH137" s="299">
        <v>56</v>
      </c>
      <c r="AI137" s="299" t="b">
        <f t="shared" si="37"/>
        <v>0</v>
      </c>
      <c r="AJ137" s="186" t="b">
        <f t="shared" si="50"/>
        <v>1</v>
      </c>
      <c r="AK137" s="298" t="b">
        <f t="shared" si="49"/>
        <v>0</v>
      </c>
      <c r="AL137" s="145">
        <f t="shared" si="79"/>
        <v>-1.2266666666666675</v>
      </c>
      <c r="AM137" s="145">
        <f t="shared" si="80"/>
        <v>-1.2</v>
      </c>
      <c r="AN137" s="145">
        <f t="shared" si="81"/>
        <v>-0.55999999999999961</v>
      </c>
      <c r="AO137" s="145">
        <f t="shared" si="82"/>
        <v>-0.38666666666666705</v>
      </c>
      <c r="AP137" s="145">
        <f t="shared" si="83"/>
        <v>-1.2799999999999998</v>
      </c>
      <c r="AQ137" s="880"/>
      <c r="AR137" s="287">
        <f t="shared" ca="1" si="38"/>
        <v>-1.3608266112000011</v>
      </c>
      <c r="AS137" s="287">
        <f t="shared" ca="1" si="39"/>
        <v>-1.3312434240000002</v>
      </c>
      <c r="AT137" s="287">
        <f t="shared" ca="1" si="40"/>
        <v>-0.62124693119999974</v>
      </c>
      <c r="AU137" s="287">
        <f t="shared" ca="1" si="41"/>
        <v>-0.42895621440000048</v>
      </c>
      <c r="AV137" s="287">
        <f t="shared" ca="1" si="42"/>
        <v>-1.4199929856</v>
      </c>
      <c r="AW137" s="880"/>
      <c r="AY137" s="145">
        <f t="shared" si="84"/>
        <v>0.67333333333333378</v>
      </c>
      <c r="AZ137" s="145">
        <f t="shared" si="85"/>
        <v>0.64666666666666639</v>
      </c>
      <c r="BA137" s="145">
        <f t="shared" si="86"/>
        <v>0.47333333333333322</v>
      </c>
      <c r="BB137" s="145">
        <f t="shared" si="87"/>
        <v>0.42000000000000015</v>
      </c>
      <c r="BC137" s="145">
        <f t="shared" si="88"/>
        <v>0.67333333333333378</v>
      </c>
      <c r="BD137" s="880"/>
      <c r="BE137" s="287">
        <f t="shared" ca="1" si="43"/>
        <v>0.74697547680000065</v>
      </c>
      <c r="BF137" s="287">
        <f t="shared" ca="1" si="44"/>
        <v>0.71739228959999979</v>
      </c>
      <c r="BG137" s="287">
        <f t="shared" ca="1" si="45"/>
        <v>0.52510157280000003</v>
      </c>
      <c r="BH137" s="287">
        <f t="shared" ca="1" si="46"/>
        <v>0.46593519840000025</v>
      </c>
      <c r="BI137" s="287">
        <f t="shared" ca="1" si="47"/>
        <v>0.74697547680000065</v>
      </c>
      <c r="BJ137" s="880"/>
    </row>
    <row r="138" spans="34:62" ht="15" hidden="1" customHeight="1">
      <c r="AH138" s="299">
        <v>57</v>
      </c>
      <c r="AI138" s="299" t="b">
        <f t="shared" si="37"/>
        <v>0</v>
      </c>
      <c r="AJ138" s="186" t="b">
        <f t="shared" si="50"/>
        <v>1</v>
      </c>
      <c r="AK138" s="298" t="b">
        <f t="shared" si="49"/>
        <v>0</v>
      </c>
      <c r="AL138" s="145">
        <f t="shared" si="79"/>
        <v>-1.2200000000000009</v>
      </c>
      <c r="AM138" s="145">
        <f t="shared" si="80"/>
        <v>-1.2</v>
      </c>
      <c r="AN138" s="145">
        <f t="shared" si="81"/>
        <v>-0.51999999999999957</v>
      </c>
      <c r="AO138" s="145">
        <f t="shared" si="82"/>
        <v>-0.34000000000000041</v>
      </c>
      <c r="AP138" s="145">
        <f t="shared" si="83"/>
        <v>-1.2599999999999998</v>
      </c>
      <c r="AQ138" s="880"/>
      <c r="AR138" s="287">
        <f t="shared" ca="1" si="38"/>
        <v>-1.3534308144000011</v>
      </c>
      <c r="AS138" s="287">
        <f t="shared" ca="1" si="39"/>
        <v>-1.3312434240000002</v>
      </c>
      <c r="AT138" s="287">
        <f t="shared" ca="1" si="40"/>
        <v>-0.57687215039999962</v>
      </c>
      <c r="AU138" s="287">
        <f t="shared" ca="1" si="41"/>
        <v>-0.37718563680000056</v>
      </c>
      <c r="AV138" s="287">
        <f t="shared" ca="1" si="42"/>
        <v>-1.3978055952000001</v>
      </c>
      <c r="AW138" s="880"/>
      <c r="AY138" s="145">
        <f t="shared" si="84"/>
        <v>0.68000000000000049</v>
      </c>
      <c r="AZ138" s="145">
        <f t="shared" si="85"/>
        <v>0.6599999999999997</v>
      </c>
      <c r="BA138" s="145">
        <f t="shared" si="86"/>
        <v>0.47999999999999987</v>
      </c>
      <c r="BB138" s="145">
        <f t="shared" si="87"/>
        <v>0.44000000000000017</v>
      </c>
      <c r="BC138" s="145">
        <f t="shared" si="88"/>
        <v>0.68000000000000049</v>
      </c>
      <c r="BD138" s="880"/>
      <c r="BE138" s="287">
        <f t="shared" ca="1" si="43"/>
        <v>0.75437127360000067</v>
      </c>
      <c r="BF138" s="287">
        <f t="shared" ca="1" si="44"/>
        <v>0.73218388319999983</v>
      </c>
      <c r="BG138" s="287">
        <f t="shared" ca="1" si="45"/>
        <v>0.53249736959999994</v>
      </c>
      <c r="BH138" s="287">
        <f t="shared" ca="1" si="46"/>
        <v>0.48812258880000026</v>
      </c>
      <c r="BI138" s="287">
        <f t="shared" ca="1" si="47"/>
        <v>0.75437127360000067</v>
      </c>
      <c r="BJ138" s="880"/>
    </row>
    <row r="139" spans="34:62" ht="15" hidden="1" customHeight="1">
      <c r="AH139" s="299">
        <v>58</v>
      </c>
      <c r="AI139" s="299" t="b">
        <f t="shared" si="37"/>
        <v>0</v>
      </c>
      <c r="AJ139" s="186" t="b">
        <f t="shared" si="50"/>
        <v>1</v>
      </c>
      <c r="AK139" s="298" t="b">
        <f t="shared" si="49"/>
        <v>0</v>
      </c>
      <c r="AL139" s="145">
        <f t="shared" si="79"/>
        <v>-1.2133333333333343</v>
      </c>
      <c r="AM139" s="145">
        <f t="shared" si="80"/>
        <v>-1.2</v>
      </c>
      <c r="AN139" s="145">
        <f t="shared" si="81"/>
        <v>-0.47999999999999959</v>
      </c>
      <c r="AO139" s="145">
        <f t="shared" si="82"/>
        <v>-0.29333333333333378</v>
      </c>
      <c r="AP139" s="145">
        <f t="shared" si="83"/>
        <v>-1.2399999999999998</v>
      </c>
      <c r="AQ139" s="880"/>
      <c r="AR139" s="287">
        <f t="shared" ca="1" si="38"/>
        <v>-1.3460350176000013</v>
      </c>
      <c r="AS139" s="287">
        <f t="shared" ca="1" si="39"/>
        <v>-1.3312434240000002</v>
      </c>
      <c r="AT139" s="287">
        <f t="shared" ca="1" si="40"/>
        <v>-0.5324973695999996</v>
      </c>
      <c r="AU139" s="287">
        <f t="shared" ca="1" si="41"/>
        <v>-0.32541505920000058</v>
      </c>
      <c r="AV139" s="287">
        <f t="shared" ca="1" si="42"/>
        <v>-1.3756182048000001</v>
      </c>
      <c r="AW139" s="880"/>
      <c r="AY139" s="145">
        <f t="shared" si="84"/>
        <v>0.6866666666666672</v>
      </c>
      <c r="AZ139" s="145">
        <f t="shared" si="85"/>
        <v>0.67333333333333301</v>
      </c>
      <c r="BA139" s="145">
        <f t="shared" si="86"/>
        <v>0.48666666666666653</v>
      </c>
      <c r="BB139" s="145">
        <f t="shared" si="87"/>
        <v>0.46000000000000019</v>
      </c>
      <c r="BC139" s="145">
        <f t="shared" si="88"/>
        <v>0.6866666666666672</v>
      </c>
      <c r="BD139" s="880"/>
      <c r="BE139" s="287">
        <f t="shared" ca="1" si="43"/>
        <v>0.7617670704000008</v>
      </c>
      <c r="BF139" s="287">
        <f t="shared" ca="1" si="44"/>
        <v>0.74697547679999976</v>
      </c>
      <c r="BG139" s="287">
        <f t="shared" ca="1" si="45"/>
        <v>0.53989316639999996</v>
      </c>
      <c r="BH139" s="287">
        <f t="shared" ca="1" si="46"/>
        <v>0.51030997920000032</v>
      </c>
      <c r="BI139" s="287">
        <f t="shared" ca="1" si="47"/>
        <v>0.7617670704000008</v>
      </c>
      <c r="BJ139" s="880"/>
    </row>
    <row r="140" spans="34:62" ht="15" hidden="1" customHeight="1">
      <c r="AH140" s="299">
        <v>59</v>
      </c>
      <c r="AI140" s="299" t="b">
        <f t="shared" si="37"/>
        <v>0</v>
      </c>
      <c r="AJ140" s="186" t="b">
        <f t="shared" si="50"/>
        <v>1</v>
      </c>
      <c r="AK140" s="298" t="b">
        <f t="shared" si="49"/>
        <v>0</v>
      </c>
      <c r="AL140" s="145">
        <f t="shared" si="79"/>
        <v>-1.2066666666666677</v>
      </c>
      <c r="AM140" s="145">
        <f t="shared" si="80"/>
        <v>-1.2</v>
      </c>
      <c r="AN140" s="145">
        <f t="shared" si="81"/>
        <v>-0.43999999999999961</v>
      </c>
      <c r="AO140" s="145">
        <f t="shared" si="82"/>
        <v>-0.24666666666666712</v>
      </c>
      <c r="AP140" s="145">
        <f t="shared" si="83"/>
        <v>-1.2199999999999998</v>
      </c>
      <c r="AQ140" s="880"/>
      <c r="AR140" s="287">
        <f t="shared" ca="1" si="38"/>
        <v>-1.3386392208000013</v>
      </c>
      <c r="AS140" s="287">
        <f t="shared" ca="1" si="39"/>
        <v>-1.3312434240000002</v>
      </c>
      <c r="AT140" s="287">
        <f t="shared" ca="1" si="40"/>
        <v>-0.48812258879999965</v>
      </c>
      <c r="AU140" s="287">
        <f t="shared" ca="1" si="41"/>
        <v>-0.27364448160000054</v>
      </c>
      <c r="AV140" s="287">
        <f t="shared" ca="1" si="42"/>
        <v>-1.3534308144</v>
      </c>
      <c r="AW140" s="880"/>
      <c r="AY140" s="145">
        <f t="shared" si="84"/>
        <v>0.69333333333333391</v>
      </c>
      <c r="AZ140" s="145">
        <f t="shared" si="85"/>
        <v>0.68666666666666631</v>
      </c>
      <c r="BA140" s="145">
        <f t="shared" si="86"/>
        <v>0.49333333333333318</v>
      </c>
      <c r="BB140" s="145">
        <f t="shared" si="87"/>
        <v>0.4800000000000002</v>
      </c>
      <c r="BC140" s="145">
        <f t="shared" si="88"/>
        <v>0.69333333333333391</v>
      </c>
      <c r="BD140" s="880"/>
      <c r="BE140" s="287">
        <f t="shared" ca="1" si="43"/>
        <v>0.76916286720000082</v>
      </c>
      <c r="BF140" s="287">
        <f t="shared" ca="1" si="44"/>
        <v>0.7617670703999998</v>
      </c>
      <c r="BG140" s="287">
        <f t="shared" ca="1" si="45"/>
        <v>0.54728896319999998</v>
      </c>
      <c r="BH140" s="287">
        <f t="shared" ca="1" si="46"/>
        <v>0.53249736960000038</v>
      </c>
      <c r="BI140" s="287">
        <f t="shared" ca="1" si="47"/>
        <v>0.76916286720000082</v>
      </c>
      <c r="BJ140" s="880"/>
    </row>
    <row r="141" spans="34:62" ht="15" hidden="1" customHeight="1">
      <c r="AH141" s="299">
        <v>60</v>
      </c>
      <c r="AI141" s="299" t="b">
        <f t="shared" si="37"/>
        <v>0</v>
      </c>
      <c r="AJ141" s="186" t="b">
        <f t="shared" si="50"/>
        <v>1</v>
      </c>
      <c r="AK141" s="298" t="b">
        <f t="shared" si="49"/>
        <v>0</v>
      </c>
      <c r="AL141" s="287">
        <v>-1.2</v>
      </c>
      <c r="AM141" s="287">
        <v>-1.2</v>
      </c>
      <c r="AN141" s="287">
        <v>-0.4</v>
      </c>
      <c r="AO141" s="287">
        <v>-0.2</v>
      </c>
      <c r="AP141" s="287">
        <v>-1.2</v>
      </c>
      <c r="AQ141" s="880"/>
      <c r="AR141" s="287">
        <f t="shared" ca="1" si="38"/>
        <v>-1.3312434240000002</v>
      </c>
      <c r="AS141" s="287">
        <f t="shared" ca="1" si="39"/>
        <v>-1.3312434240000002</v>
      </c>
      <c r="AT141" s="287">
        <f t="shared" ca="1" si="40"/>
        <v>-0.44374780800000013</v>
      </c>
      <c r="AU141" s="287">
        <f t="shared" ca="1" si="41"/>
        <v>-0.22187390400000007</v>
      </c>
      <c r="AV141" s="287">
        <f t="shared" ca="1" si="42"/>
        <v>-1.3312434240000002</v>
      </c>
      <c r="AW141" s="880"/>
      <c r="AY141" s="287">
        <v>0.7</v>
      </c>
      <c r="AZ141" s="287">
        <v>0.7</v>
      </c>
      <c r="BA141" s="287">
        <v>0.5</v>
      </c>
      <c r="BB141" s="287">
        <v>0.5</v>
      </c>
      <c r="BC141" s="287">
        <v>0.7</v>
      </c>
      <c r="BD141" s="880"/>
      <c r="BE141" s="287">
        <f t="shared" ca="1" si="43"/>
        <v>0.77655866400000007</v>
      </c>
      <c r="BF141" s="287">
        <f t="shared" ca="1" si="44"/>
        <v>0.77655866400000007</v>
      </c>
      <c r="BG141" s="287">
        <f t="shared" ca="1" si="45"/>
        <v>0.55468476000000011</v>
      </c>
      <c r="BH141" s="287">
        <f t="shared" ca="1" si="46"/>
        <v>0.55468476000000011</v>
      </c>
      <c r="BI141" s="287">
        <f t="shared" ca="1" si="47"/>
        <v>0.77655866400000007</v>
      </c>
      <c r="BJ141" s="880"/>
    </row>
    <row r="142" spans="34:62" ht="15" hidden="1" customHeight="1">
      <c r="AH142" s="299">
        <v>61</v>
      </c>
      <c r="AI142" s="299" t="b">
        <f t="shared" si="37"/>
        <v>0</v>
      </c>
      <c r="AJ142" s="186" t="b">
        <f t="shared" si="50"/>
        <v>1</v>
      </c>
      <c r="AK142" s="298" t="b">
        <f t="shared" si="49"/>
        <v>0</v>
      </c>
      <c r="AL142" s="287">
        <v>-1.2</v>
      </c>
      <c r="AM142" s="287">
        <v>-1.2</v>
      </c>
      <c r="AN142" s="287">
        <v>-0.4</v>
      </c>
      <c r="AO142" s="287">
        <v>-0.2</v>
      </c>
      <c r="AP142" s="287">
        <v>-1.2</v>
      </c>
      <c r="AQ142" s="880"/>
      <c r="AR142" s="287">
        <f t="shared" ca="1" si="38"/>
        <v>-1.3312434240000002</v>
      </c>
      <c r="AS142" s="287">
        <f t="shared" ca="1" si="39"/>
        <v>-1.3312434240000002</v>
      </c>
      <c r="AT142" s="287">
        <f t="shared" ca="1" si="40"/>
        <v>-0.44374780800000013</v>
      </c>
      <c r="AU142" s="287">
        <f t="shared" ca="1" si="41"/>
        <v>-0.22187390400000007</v>
      </c>
      <c r="AV142" s="287">
        <f t="shared" ca="1" si="42"/>
        <v>-1.3312434240000002</v>
      </c>
      <c r="AW142" s="880"/>
      <c r="AY142" s="6">
        <f>+ABS($AY$141-$AY$156)/15+AY141</f>
        <v>0.70666666666666667</v>
      </c>
      <c r="AZ142" s="6">
        <f>+ABS($AZ$141-$AZ$156)/15+AZ141</f>
        <v>0.70666666666666667</v>
      </c>
      <c r="BA142" s="6">
        <f>+ABS($BA$141-$BA$156)/15+BA141</f>
        <v>0.51333333333333331</v>
      </c>
      <c r="BB142" s="6">
        <f>+ABS($BB$141-$BB$156)/15+BB141</f>
        <v>0.50666666666666671</v>
      </c>
      <c r="BC142" s="6">
        <f>+ABS($BC$141-$BC$156)/15+BC141</f>
        <v>0.70666666666666667</v>
      </c>
      <c r="BD142" s="880"/>
      <c r="BE142" s="287">
        <f t="shared" ca="1" si="43"/>
        <v>0.7839544608000002</v>
      </c>
      <c r="BF142" s="287">
        <f t="shared" ca="1" si="44"/>
        <v>0.7839544608000002</v>
      </c>
      <c r="BG142" s="287">
        <f t="shared" ca="1" si="45"/>
        <v>0.56947635360000004</v>
      </c>
      <c r="BH142" s="287">
        <f t="shared" ca="1" si="46"/>
        <v>0.56208055680000013</v>
      </c>
      <c r="BI142" s="287">
        <f t="shared" ca="1" si="47"/>
        <v>0.7839544608000002</v>
      </c>
      <c r="BJ142" s="880"/>
    </row>
    <row r="143" spans="34:62" ht="15" hidden="1" customHeight="1">
      <c r="AH143" s="299">
        <v>62</v>
      </c>
      <c r="AI143" s="299" t="b">
        <f t="shared" ref="AI143:AI206" si="89">AND($M$17=AH143)</f>
        <v>0</v>
      </c>
      <c r="AJ143" s="186" t="b">
        <f t="shared" si="50"/>
        <v>1</v>
      </c>
      <c r="AK143" s="298" t="b">
        <f t="shared" si="49"/>
        <v>0</v>
      </c>
      <c r="AL143" s="287">
        <v>-1.2</v>
      </c>
      <c r="AM143" s="287">
        <v>-1.2</v>
      </c>
      <c r="AN143" s="287">
        <v>-0.4</v>
      </c>
      <c r="AO143" s="287">
        <v>-0.2</v>
      </c>
      <c r="AP143" s="287">
        <v>-1.2</v>
      </c>
      <c r="AQ143" s="880"/>
      <c r="AR143" s="287">
        <f t="shared" ref="AR143:AR206" ca="1" si="90">1.35*$Z$17*$M$22*AL143</f>
        <v>-1.3312434240000002</v>
      </c>
      <c r="AS143" s="287">
        <f t="shared" ref="AS143:AS206" ca="1" si="91">1.35*$Z$17*$M$22*AM143</f>
        <v>-1.3312434240000002</v>
      </c>
      <c r="AT143" s="287">
        <f t="shared" ref="AT143:AT206" ca="1" si="92">1.35*$Z$17*$M$22*AN143</f>
        <v>-0.44374780800000013</v>
      </c>
      <c r="AU143" s="287">
        <f t="shared" ref="AU143:AU206" ca="1" si="93">1.35*$Z$17*$M$22*AO143</f>
        <v>-0.22187390400000007</v>
      </c>
      <c r="AV143" s="287">
        <f t="shared" ref="AV143:AV206" ca="1" si="94">1.35*$Z$17*$M$22*AP143</f>
        <v>-1.3312434240000002</v>
      </c>
      <c r="AW143" s="880"/>
      <c r="AY143" s="6">
        <f t="shared" ref="AY143:AY155" si="95">+ABS($AY$141-$AY$156)/15+AY142</f>
        <v>0.71333333333333337</v>
      </c>
      <c r="AZ143" s="6">
        <f t="shared" ref="AZ143:AZ155" si="96">+ABS($AZ$141-$AZ$156)/15+AZ142</f>
        <v>0.71333333333333337</v>
      </c>
      <c r="BA143" s="6">
        <f t="shared" ref="BA143:BA155" si="97">+ABS($BA$141-$BA$156)/15+BA142</f>
        <v>0.52666666666666662</v>
      </c>
      <c r="BB143" s="6">
        <f t="shared" ref="BB143:BB155" si="98">+ABS($BB$141-$BB$156)/15+BB142</f>
        <v>0.51333333333333342</v>
      </c>
      <c r="BC143" s="6">
        <f t="shared" ref="BC143:BC155" si="99">+ABS($BC$141-$BC$156)/15+BC142</f>
        <v>0.71333333333333337</v>
      </c>
      <c r="BD143" s="880"/>
      <c r="BE143" s="287">
        <f t="shared" ref="BE143:BE206" ca="1" si="100">1.35*$Z$17*$M$22*AY143</f>
        <v>0.79135025760000022</v>
      </c>
      <c r="BF143" s="287">
        <f t="shared" ref="BF143:BF206" ca="1" si="101">1.35*$Z$17*$M$22*AZ143</f>
        <v>0.79135025760000022</v>
      </c>
      <c r="BG143" s="287">
        <f t="shared" ref="BG143:BG206" ca="1" si="102">1.35*$Z$17*$M$22*BA143</f>
        <v>0.58426794720000008</v>
      </c>
      <c r="BH143" s="287">
        <f t="shared" ref="BH143:BH206" ca="1" si="103">1.35*$Z$17*$M$22*BB143</f>
        <v>0.56947635360000026</v>
      </c>
      <c r="BI143" s="287">
        <f t="shared" ref="BI143:BI206" ca="1" si="104">1.35*$Z$17*$M$22*BC143</f>
        <v>0.79135025760000022</v>
      </c>
      <c r="BJ143" s="880"/>
    </row>
    <row r="144" spans="34:62" ht="15" hidden="1" customHeight="1">
      <c r="AH144" s="299">
        <v>63</v>
      </c>
      <c r="AI144" s="299" t="b">
        <f t="shared" si="89"/>
        <v>0</v>
      </c>
      <c r="AJ144" s="186" t="b">
        <f t="shared" si="50"/>
        <v>1</v>
      </c>
      <c r="AK144" s="298" t="b">
        <f t="shared" ref="AK144:AK207" si="105">AND(AI144=TRUE,AJ144=TRUE)</f>
        <v>0</v>
      </c>
      <c r="AL144" s="287">
        <v>-1.2</v>
      </c>
      <c r="AM144" s="287">
        <v>-1.2</v>
      </c>
      <c r="AN144" s="287">
        <v>-0.4</v>
      </c>
      <c r="AO144" s="287">
        <v>-0.2</v>
      </c>
      <c r="AP144" s="287">
        <v>-1.2</v>
      </c>
      <c r="AQ144" s="880"/>
      <c r="AR144" s="287">
        <f t="shared" ca="1" si="90"/>
        <v>-1.3312434240000002</v>
      </c>
      <c r="AS144" s="287">
        <f t="shared" ca="1" si="91"/>
        <v>-1.3312434240000002</v>
      </c>
      <c r="AT144" s="287">
        <f t="shared" ca="1" si="92"/>
        <v>-0.44374780800000013</v>
      </c>
      <c r="AU144" s="287">
        <f t="shared" ca="1" si="93"/>
        <v>-0.22187390400000007</v>
      </c>
      <c r="AV144" s="287">
        <f t="shared" ca="1" si="94"/>
        <v>-1.3312434240000002</v>
      </c>
      <c r="AW144" s="880"/>
      <c r="AY144" s="6">
        <f t="shared" si="95"/>
        <v>0.72000000000000008</v>
      </c>
      <c r="AZ144" s="6">
        <f t="shared" si="96"/>
        <v>0.72000000000000008</v>
      </c>
      <c r="BA144" s="6">
        <f t="shared" si="97"/>
        <v>0.53999999999999992</v>
      </c>
      <c r="BB144" s="6">
        <f t="shared" si="98"/>
        <v>0.52000000000000013</v>
      </c>
      <c r="BC144" s="6">
        <f t="shared" si="99"/>
        <v>0.72000000000000008</v>
      </c>
      <c r="BD144" s="880"/>
      <c r="BE144" s="287">
        <f t="shared" ca="1" si="100"/>
        <v>0.79874605440000024</v>
      </c>
      <c r="BF144" s="287">
        <f t="shared" ca="1" si="101"/>
        <v>0.79874605440000024</v>
      </c>
      <c r="BG144" s="287">
        <f t="shared" ca="1" si="102"/>
        <v>0.59905954080000001</v>
      </c>
      <c r="BH144" s="287">
        <f t="shared" ca="1" si="103"/>
        <v>0.57687215040000028</v>
      </c>
      <c r="BI144" s="287">
        <f t="shared" ca="1" si="104"/>
        <v>0.79874605440000024</v>
      </c>
      <c r="BJ144" s="880"/>
    </row>
    <row r="145" spans="34:62" ht="15" hidden="1" customHeight="1">
      <c r="AH145" s="299">
        <v>64</v>
      </c>
      <c r="AI145" s="299" t="b">
        <f t="shared" si="89"/>
        <v>0</v>
      </c>
      <c r="AJ145" s="186" t="b">
        <f t="shared" si="50"/>
        <v>1</v>
      </c>
      <c r="AK145" s="298" t="b">
        <f t="shared" si="105"/>
        <v>0</v>
      </c>
      <c r="AL145" s="287">
        <v>-1.2</v>
      </c>
      <c r="AM145" s="287">
        <v>-1.2</v>
      </c>
      <c r="AN145" s="287">
        <v>-0.4</v>
      </c>
      <c r="AO145" s="287">
        <v>-0.2</v>
      </c>
      <c r="AP145" s="287">
        <v>-1.2</v>
      </c>
      <c r="AQ145" s="880"/>
      <c r="AR145" s="287">
        <f t="shared" ca="1" si="90"/>
        <v>-1.3312434240000002</v>
      </c>
      <c r="AS145" s="287">
        <f t="shared" ca="1" si="91"/>
        <v>-1.3312434240000002</v>
      </c>
      <c r="AT145" s="287">
        <f t="shared" ca="1" si="92"/>
        <v>-0.44374780800000013</v>
      </c>
      <c r="AU145" s="287">
        <f t="shared" ca="1" si="93"/>
        <v>-0.22187390400000007</v>
      </c>
      <c r="AV145" s="287">
        <f t="shared" ca="1" si="94"/>
        <v>-1.3312434240000002</v>
      </c>
      <c r="AW145" s="880"/>
      <c r="AY145" s="6">
        <f t="shared" si="95"/>
        <v>0.72666666666666679</v>
      </c>
      <c r="AZ145" s="6">
        <f t="shared" si="96"/>
        <v>0.72666666666666679</v>
      </c>
      <c r="BA145" s="6">
        <f t="shared" si="97"/>
        <v>0.55333333333333323</v>
      </c>
      <c r="BB145" s="6">
        <f t="shared" si="98"/>
        <v>0.52666666666666684</v>
      </c>
      <c r="BC145" s="6">
        <f t="shared" si="99"/>
        <v>0.72666666666666679</v>
      </c>
      <c r="BD145" s="880"/>
      <c r="BE145" s="287">
        <f t="shared" ca="1" si="100"/>
        <v>0.80614185120000026</v>
      </c>
      <c r="BF145" s="287">
        <f t="shared" ca="1" si="101"/>
        <v>0.80614185120000026</v>
      </c>
      <c r="BG145" s="287">
        <f t="shared" ca="1" si="102"/>
        <v>0.61385113440000005</v>
      </c>
      <c r="BH145" s="287">
        <f t="shared" ca="1" si="103"/>
        <v>0.5842679472000003</v>
      </c>
      <c r="BI145" s="287">
        <f t="shared" ca="1" si="104"/>
        <v>0.80614185120000026</v>
      </c>
      <c r="BJ145" s="880"/>
    </row>
    <row r="146" spans="34:62" ht="15" hidden="1" customHeight="1">
      <c r="AH146" s="299">
        <v>65</v>
      </c>
      <c r="AI146" s="299" t="b">
        <f t="shared" si="89"/>
        <v>0</v>
      </c>
      <c r="AJ146" s="186" t="b">
        <f t="shared" si="50"/>
        <v>1</v>
      </c>
      <c r="AK146" s="298" t="b">
        <f t="shared" si="105"/>
        <v>0</v>
      </c>
      <c r="AL146" s="287">
        <v>-1.2</v>
      </c>
      <c r="AM146" s="287">
        <v>-1.2</v>
      </c>
      <c r="AN146" s="287">
        <v>-0.4</v>
      </c>
      <c r="AO146" s="287">
        <v>-0.2</v>
      </c>
      <c r="AP146" s="287">
        <v>-1.2</v>
      </c>
      <c r="AQ146" s="880"/>
      <c r="AR146" s="287">
        <f t="shared" ca="1" si="90"/>
        <v>-1.3312434240000002</v>
      </c>
      <c r="AS146" s="287">
        <f t="shared" ca="1" si="91"/>
        <v>-1.3312434240000002</v>
      </c>
      <c r="AT146" s="287">
        <f t="shared" ca="1" si="92"/>
        <v>-0.44374780800000013</v>
      </c>
      <c r="AU146" s="287">
        <f t="shared" ca="1" si="93"/>
        <v>-0.22187390400000007</v>
      </c>
      <c r="AV146" s="287">
        <f t="shared" ca="1" si="94"/>
        <v>-1.3312434240000002</v>
      </c>
      <c r="AW146" s="880"/>
      <c r="AY146" s="6">
        <f t="shared" si="95"/>
        <v>0.7333333333333335</v>
      </c>
      <c r="AZ146" s="6">
        <f t="shared" si="96"/>
        <v>0.7333333333333335</v>
      </c>
      <c r="BA146" s="6">
        <f t="shared" si="97"/>
        <v>0.56666666666666654</v>
      </c>
      <c r="BB146" s="6">
        <f t="shared" si="98"/>
        <v>0.53333333333333355</v>
      </c>
      <c r="BC146" s="6">
        <f t="shared" si="99"/>
        <v>0.7333333333333335</v>
      </c>
      <c r="BD146" s="880"/>
      <c r="BE146" s="287">
        <f t="shared" ca="1" si="100"/>
        <v>0.81353764800000039</v>
      </c>
      <c r="BF146" s="287">
        <f t="shared" ca="1" si="101"/>
        <v>0.81353764800000039</v>
      </c>
      <c r="BG146" s="287">
        <f t="shared" ca="1" si="102"/>
        <v>0.62864272799999998</v>
      </c>
      <c r="BH146" s="287">
        <f t="shared" ca="1" si="103"/>
        <v>0.59166374400000032</v>
      </c>
      <c r="BI146" s="287">
        <f t="shared" ca="1" si="104"/>
        <v>0.81353764800000039</v>
      </c>
      <c r="BJ146" s="880"/>
    </row>
    <row r="147" spans="34:62" ht="15" hidden="1" customHeight="1">
      <c r="AH147" s="299">
        <v>66</v>
      </c>
      <c r="AI147" s="299" t="b">
        <f t="shared" si="89"/>
        <v>0</v>
      </c>
      <c r="AJ147" s="186" t="b">
        <f t="shared" si="50"/>
        <v>1</v>
      </c>
      <c r="AK147" s="298" t="b">
        <f t="shared" si="105"/>
        <v>0</v>
      </c>
      <c r="AL147" s="287">
        <v>-1.2</v>
      </c>
      <c r="AM147" s="287">
        <v>-1.2</v>
      </c>
      <c r="AN147" s="287">
        <v>-0.4</v>
      </c>
      <c r="AO147" s="287">
        <v>-0.2</v>
      </c>
      <c r="AP147" s="287">
        <v>-1.2</v>
      </c>
      <c r="AQ147" s="880"/>
      <c r="AR147" s="287">
        <f t="shared" ca="1" si="90"/>
        <v>-1.3312434240000002</v>
      </c>
      <c r="AS147" s="287">
        <f t="shared" ca="1" si="91"/>
        <v>-1.3312434240000002</v>
      </c>
      <c r="AT147" s="287">
        <f t="shared" ca="1" si="92"/>
        <v>-0.44374780800000013</v>
      </c>
      <c r="AU147" s="287">
        <f t="shared" ca="1" si="93"/>
        <v>-0.22187390400000007</v>
      </c>
      <c r="AV147" s="287">
        <f t="shared" ca="1" si="94"/>
        <v>-1.3312434240000002</v>
      </c>
      <c r="AW147" s="880"/>
      <c r="AY147" s="6">
        <f t="shared" si="95"/>
        <v>0.74000000000000021</v>
      </c>
      <c r="AZ147" s="6">
        <f t="shared" si="96"/>
        <v>0.74000000000000021</v>
      </c>
      <c r="BA147" s="6">
        <f t="shared" si="97"/>
        <v>0.57999999999999985</v>
      </c>
      <c r="BB147" s="6">
        <f t="shared" si="98"/>
        <v>0.54000000000000026</v>
      </c>
      <c r="BC147" s="6">
        <f t="shared" si="99"/>
        <v>0.74000000000000021</v>
      </c>
      <c r="BD147" s="880"/>
      <c r="BE147" s="287">
        <f t="shared" ca="1" si="100"/>
        <v>0.82093344480000041</v>
      </c>
      <c r="BF147" s="287">
        <f t="shared" ca="1" si="101"/>
        <v>0.82093344480000041</v>
      </c>
      <c r="BG147" s="287">
        <f t="shared" ca="1" si="102"/>
        <v>0.64343432159999991</v>
      </c>
      <c r="BH147" s="287">
        <f t="shared" ca="1" si="103"/>
        <v>0.59905954080000046</v>
      </c>
      <c r="BI147" s="287">
        <f t="shared" ca="1" si="104"/>
        <v>0.82093344480000041</v>
      </c>
      <c r="BJ147" s="880"/>
    </row>
    <row r="148" spans="34:62" ht="15" hidden="1" customHeight="1">
      <c r="AH148" s="299">
        <v>67</v>
      </c>
      <c r="AI148" s="299" t="b">
        <f t="shared" si="89"/>
        <v>0</v>
      </c>
      <c r="AJ148" s="186" t="b">
        <f t="shared" si="50"/>
        <v>1</v>
      </c>
      <c r="AK148" s="298" t="b">
        <f t="shared" si="105"/>
        <v>0</v>
      </c>
      <c r="AL148" s="287">
        <v>-1.2</v>
      </c>
      <c r="AM148" s="287">
        <v>-1.2</v>
      </c>
      <c r="AN148" s="287">
        <v>-0.4</v>
      </c>
      <c r="AO148" s="287">
        <v>-0.2</v>
      </c>
      <c r="AP148" s="287">
        <v>-1.2</v>
      </c>
      <c r="AQ148" s="880"/>
      <c r="AR148" s="287">
        <f t="shared" ca="1" si="90"/>
        <v>-1.3312434240000002</v>
      </c>
      <c r="AS148" s="287">
        <f t="shared" ca="1" si="91"/>
        <v>-1.3312434240000002</v>
      </c>
      <c r="AT148" s="287">
        <f t="shared" ca="1" si="92"/>
        <v>-0.44374780800000013</v>
      </c>
      <c r="AU148" s="287">
        <f t="shared" ca="1" si="93"/>
        <v>-0.22187390400000007</v>
      </c>
      <c r="AV148" s="287">
        <f t="shared" ca="1" si="94"/>
        <v>-1.3312434240000002</v>
      </c>
      <c r="AW148" s="880"/>
      <c r="AY148" s="6">
        <f t="shared" si="95"/>
        <v>0.74666666666666692</v>
      </c>
      <c r="AZ148" s="6">
        <f t="shared" si="96"/>
        <v>0.74666666666666692</v>
      </c>
      <c r="BA148" s="6">
        <f t="shared" si="97"/>
        <v>0.59333333333333316</v>
      </c>
      <c r="BB148" s="6">
        <f t="shared" si="98"/>
        <v>0.54666666666666697</v>
      </c>
      <c r="BC148" s="6">
        <f t="shared" si="99"/>
        <v>0.74666666666666692</v>
      </c>
      <c r="BD148" s="880"/>
      <c r="BE148" s="287">
        <f t="shared" ca="1" si="100"/>
        <v>0.82832924160000043</v>
      </c>
      <c r="BF148" s="287">
        <f t="shared" ca="1" si="101"/>
        <v>0.82832924160000043</v>
      </c>
      <c r="BG148" s="287">
        <f t="shared" ca="1" si="102"/>
        <v>0.65822591519999996</v>
      </c>
      <c r="BH148" s="287">
        <f t="shared" ca="1" si="103"/>
        <v>0.60645533760000048</v>
      </c>
      <c r="BI148" s="287">
        <f t="shared" ca="1" si="104"/>
        <v>0.82832924160000043</v>
      </c>
      <c r="BJ148" s="880"/>
    </row>
    <row r="149" spans="34:62" ht="15" hidden="1" customHeight="1">
      <c r="AH149" s="299">
        <v>68</v>
      </c>
      <c r="AI149" s="299" t="b">
        <f t="shared" si="89"/>
        <v>0</v>
      </c>
      <c r="AJ149" s="186" t="b">
        <f t="shared" si="50"/>
        <v>1</v>
      </c>
      <c r="AK149" s="298" t="b">
        <f t="shared" si="105"/>
        <v>0</v>
      </c>
      <c r="AL149" s="287">
        <v>-1.2</v>
      </c>
      <c r="AM149" s="287">
        <v>-1.2</v>
      </c>
      <c r="AN149" s="287">
        <v>-0.4</v>
      </c>
      <c r="AO149" s="287">
        <v>-0.2</v>
      </c>
      <c r="AP149" s="287">
        <v>-1.2</v>
      </c>
      <c r="AQ149" s="880"/>
      <c r="AR149" s="287">
        <f t="shared" ca="1" si="90"/>
        <v>-1.3312434240000002</v>
      </c>
      <c r="AS149" s="287">
        <f t="shared" ca="1" si="91"/>
        <v>-1.3312434240000002</v>
      </c>
      <c r="AT149" s="287">
        <f t="shared" ca="1" si="92"/>
        <v>-0.44374780800000013</v>
      </c>
      <c r="AU149" s="287">
        <f t="shared" ca="1" si="93"/>
        <v>-0.22187390400000007</v>
      </c>
      <c r="AV149" s="287">
        <f t="shared" ca="1" si="94"/>
        <v>-1.3312434240000002</v>
      </c>
      <c r="AW149" s="880"/>
      <c r="AY149" s="6">
        <f t="shared" si="95"/>
        <v>0.75333333333333363</v>
      </c>
      <c r="AZ149" s="6">
        <f t="shared" si="96"/>
        <v>0.75333333333333363</v>
      </c>
      <c r="BA149" s="6">
        <f t="shared" si="97"/>
        <v>0.60666666666666647</v>
      </c>
      <c r="BB149" s="6">
        <f t="shared" si="98"/>
        <v>0.55333333333333368</v>
      </c>
      <c r="BC149" s="6">
        <f t="shared" si="99"/>
        <v>0.75333333333333363</v>
      </c>
      <c r="BD149" s="880"/>
      <c r="BE149" s="287">
        <f t="shared" ca="1" si="100"/>
        <v>0.83572503840000045</v>
      </c>
      <c r="BF149" s="287">
        <f t="shared" ca="1" si="101"/>
        <v>0.83572503840000045</v>
      </c>
      <c r="BG149" s="287">
        <f t="shared" ca="1" si="102"/>
        <v>0.67301750879999989</v>
      </c>
      <c r="BH149" s="287">
        <f t="shared" ca="1" si="103"/>
        <v>0.6138511344000005</v>
      </c>
      <c r="BI149" s="287">
        <f t="shared" ca="1" si="104"/>
        <v>0.83572503840000045</v>
      </c>
      <c r="BJ149" s="880"/>
    </row>
    <row r="150" spans="34:62" ht="15" hidden="1" customHeight="1">
      <c r="AH150" s="299">
        <v>69</v>
      </c>
      <c r="AI150" s="299" t="b">
        <f t="shared" si="89"/>
        <v>0</v>
      </c>
      <c r="AJ150" s="186" t="b">
        <f t="shared" si="50"/>
        <v>1</v>
      </c>
      <c r="AK150" s="298" t="b">
        <f t="shared" si="105"/>
        <v>0</v>
      </c>
      <c r="AL150" s="287">
        <v>-1.2</v>
      </c>
      <c r="AM150" s="287">
        <v>-1.2</v>
      </c>
      <c r="AN150" s="287">
        <v>-0.4</v>
      </c>
      <c r="AO150" s="287">
        <v>-0.2</v>
      </c>
      <c r="AP150" s="287">
        <v>-1.2</v>
      </c>
      <c r="AQ150" s="880"/>
      <c r="AR150" s="287">
        <f t="shared" ca="1" si="90"/>
        <v>-1.3312434240000002</v>
      </c>
      <c r="AS150" s="287">
        <f t="shared" ca="1" si="91"/>
        <v>-1.3312434240000002</v>
      </c>
      <c r="AT150" s="287">
        <f t="shared" ca="1" si="92"/>
        <v>-0.44374780800000013</v>
      </c>
      <c r="AU150" s="287">
        <f t="shared" ca="1" si="93"/>
        <v>-0.22187390400000007</v>
      </c>
      <c r="AV150" s="287">
        <f t="shared" ca="1" si="94"/>
        <v>-1.3312434240000002</v>
      </c>
      <c r="AW150" s="880"/>
      <c r="AY150" s="6">
        <f t="shared" si="95"/>
        <v>0.76000000000000034</v>
      </c>
      <c r="AZ150" s="6">
        <f t="shared" si="96"/>
        <v>0.76000000000000034</v>
      </c>
      <c r="BA150" s="6">
        <f t="shared" si="97"/>
        <v>0.61999999999999977</v>
      </c>
      <c r="BB150" s="6">
        <f t="shared" si="98"/>
        <v>0.56000000000000039</v>
      </c>
      <c r="BC150" s="6">
        <f t="shared" si="99"/>
        <v>0.76000000000000034</v>
      </c>
      <c r="BD150" s="880"/>
      <c r="BE150" s="287">
        <f t="shared" ca="1" si="100"/>
        <v>0.84312083520000058</v>
      </c>
      <c r="BF150" s="287">
        <f t="shared" ca="1" si="101"/>
        <v>0.84312083520000058</v>
      </c>
      <c r="BG150" s="287">
        <f t="shared" ca="1" si="102"/>
        <v>0.68780910239999993</v>
      </c>
      <c r="BH150" s="287">
        <f t="shared" ca="1" si="103"/>
        <v>0.62124693120000052</v>
      </c>
      <c r="BI150" s="287">
        <f t="shared" ca="1" si="104"/>
        <v>0.84312083520000058</v>
      </c>
      <c r="BJ150" s="880"/>
    </row>
    <row r="151" spans="34:62" ht="15" hidden="1" customHeight="1">
      <c r="AH151" s="299">
        <v>70</v>
      </c>
      <c r="AI151" s="299" t="b">
        <f t="shared" si="89"/>
        <v>0</v>
      </c>
      <c r="AJ151" s="186" t="b">
        <f t="shared" ref="AJ151:AJ156" si="106">AND($AH$4=2)</f>
        <v>1</v>
      </c>
      <c r="AK151" s="298" t="b">
        <f t="shared" si="105"/>
        <v>0</v>
      </c>
      <c r="AL151" s="287">
        <v>-1.2</v>
      </c>
      <c r="AM151" s="287">
        <v>-1.2</v>
      </c>
      <c r="AN151" s="287">
        <v>-0.4</v>
      </c>
      <c r="AO151" s="287">
        <v>-0.2</v>
      </c>
      <c r="AP151" s="287">
        <v>-1.2</v>
      </c>
      <c r="AQ151" s="880"/>
      <c r="AR151" s="287">
        <f t="shared" ca="1" si="90"/>
        <v>-1.3312434240000002</v>
      </c>
      <c r="AS151" s="287">
        <f t="shared" ca="1" si="91"/>
        <v>-1.3312434240000002</v>
      </c>
      <c r="AT151" s="287">
        <f t="shared" ca="1" si="92"/>
        <v>-0.44374780800000013</v>
      </c>
      <c r="AU151" s="287">
        <f t="shared" ca="1" si="93"/>
        <v>-0.22187390400000007</v>
      </c>
      <c r="AV151" s="287">
        <f t="shared" ca="1" si="94"/>
        <v>-1.3312434240000002</v>
      </c>
      <c r="AW151" s="880"/>
      <c r="AY151" s="6">
        <f t="shared" si="95"/>
        <v>0.76666666666666705</v>
      </c>
      <c r="AZ151" s="6">
        <f t="shared" si="96"/>
        <v>0.76666666666666705</v>
      </c>
      <c r="BA151" s="6">
        <f t="shared" si="97"/>
        <v>0.63333333333333308</v>
      </c>
      <c r="BB151" s="6">
        <f t="shared" si="98"/>
        <v>0.5666666666666671</v>
      </c>
      <c r="BC151" s="6">
        <f t="shared" si="99"/>
        <v>0.76666666666666705</v>
      </c>
      <c r="BD151" s="880"/>
      <c r="BE151" s="287">
        <f t="shared" ca="1" si="100"/>
        <v>0.85051663200000061</v>
      </c>
      <c r="BF151" s="287">
        <f t="shared" ca="1" si="101"/>
        <v>0.85051663200000061</v>
      </c>
      <c r="BG151" s="287">
        <f t="shared" ca="1" si="102"/>
        <v>0.70260069599999986</v>
      </c>
      <c r="BH151" s="287">
        <f t="shared" ca="1" si="103"/>
        <v>0.62864272800000065</v>
      </c>
      <c r="BI151" s="287">
        <f t="shared" ca="1" si="104"/>
        <v>0.85051663200000061</v>
      </c>
      <c r="BJ151" s="880"/>
    </row>
    <row r="152" spans="34:62" ht="15" hidden="1" customHeight="1">
      <c r="AH152" s="299">
        <v>71</v>
      </c>
      <c r="AI152" s="299" t="b">
        <f t="shared" si="89"/>
        <v>0</v>
      </c>
      <c r="AJ152" s="186" t="b">
        <f t="shared" si="106"/>
        <v>1</v>
      </c>
      <c r="AK152" s="298" t="b">
        <f t="shared" si="105"/>
        <v>0</v>
      </c>
      <c r="AL152" s="287">
        <v>-1.2</v>
      </c>
      <c r="AM152" s="287">
        <v>-1.2</v>
      </c>
      <c r="AN152" s="287">
        <v>-0.4</v>
      </c>
      <c r="AO152" s="287">
        <v>-0.2</v>
      </c>
      <c r="AP152" s="287">
        <v>-1.2</v>
      </c>
      <c r="AQ152" s="880"/>
      <c r="AR152" s="287">
        <f t="shared" ca="1" si="90"/>
        <v>-1.3312434240000002</v>
      </c>
      <c r="AS152" s="287">
        <f t="shared" ca="1" si="91"/>
        <v>-1.3312434240000002</v>
      </c>
      <c r="AT152" s="287">
        <f t="shared" ca="1" si="92"/>
        <v>-0.44374780800000013</v>
      </c>
      <c r="AU152" s="287">
        <f t="shared" ca="1" si="93"/>
        <v>-0.22187390400000007</v>
      </c>
      <c r="AV152" s="287">
        <f t="shared" ca="1" si="94"/>
        <v>-1.3312434240000002</v>
      </c>
      <c r="AW152" s="880"/>
      <c r="AY152" s="6">
        <f t="shared" si="95"/>
        <v>0.77333333333333376</v>
      </c>
      <c r="AZ152" s="6">
        <f t="shared" si="96"/>
        <v>0.77333333333333376</v>
      </c>
      <c r="BA152" s="6">
        <f t="shared" si="97"/>
        <v>0.64666666666666639</v>
      </c>
      <c r="BB152" s="6">
        <f t="shared" si="98"/>
        <v>0.57333333333333381</v>
      </c>
      <c r="BC152" s="6">
        <f t="shared" si="99"/>
        <v>0.77333333333333376</v>
      </c>
      <c r="BD152" s="880"/>
      <c r="BE152" s="287">
        <f t="shared" ca="1" si="100"/>
        <v>0.85791242880000063</v>
      </c>
      <c r="BF152" s="287">
        <f t="shared" ca="1" si="101"/>
        <v>0.85791242880000063</v>
      </c>
      <c r="BG152" s="287">
        <f t="shared" ca="1" si="102"/>
        <v>0.71739228959999979</v>
      </c>
      <c r="BH152" s="287">
        <f t="shared" ca="1" si="103"/>
        <v>0.63603852480000067</v>
      </c>
      <c r="BI152" s="287">
        <f t="shared" ca="1" si="104"/>
        <v>0.85791242880000063</v>
      </c>
      <c r="BJ152" s="880"/>
    </row>
    <row r="153" spans="34:62" ht="15" hidden="1" customHeight="1">
      <c r="AH153" s="299">
        <v>72</v>
      </c>
      <c r="AI153" s="299" t="b">
        <f t="shared" si="89"/>
        <v>0</v>
      </c>
      <c r="AJ153" s="186" t="b">
        <f t="shared" si="106"/>
        <v>1</v>
      </c>
      <c r="AK153" s="298" t="b">
        <f t="shared" si="105"/>
        <v>0</v>
      </c>
      <c r="AL153" s="287">
        <v>-1.2</v>
      </c>
      <c r="AM153" s="287">
        <v>-1.2</v>
      </c>
      <c r="AN153" s="287">
        <v>-0.4</v>
      </c>
      <c r="AO153" s="287">
        <v>-0.2</v>
      </c>
      <c r="AP153" s="287">
        <v>-1.2</v>
      </c>
      <c r="AQ153" s="880"/>
      <c r="AR153" s="287">
        <f t="shared" ca="1" si="90"/>
        <v>-1.3312434240000002</v>
      </c>
      <c r="AS153" s="287">
        <f t="shared" ca="1" si="91"/>
        <v>-1.3312434240000002</v>
      </c>
      <c r="AT153" s="287">
        <f t="shared" ca="1" si="92"/>
        <v>-0.44374780800000013</v>
      </c>
      <c r="AU153" s="287">
        <f t="shared" ca="1" si="93"/>
        <v>-0.22187390400000007</v>
      </c>
      <c r="AV153" s="287">
        <f t="shared" ca="1" si="94"/>
        <v>-1.3312434240000002</v>
      </c>
      <c r="AW153" s="880"/>
      <c r="AY153" s="6">
        <f t="shared" si="95"/>
        <v>0.78000000000000047</v>
      </c>
      <c r="AZ153" s="6">
        <f t="shared" si="96"/>
        <v>0.78000000000000047</v>
      </c>
      <c r="BA153" s="6">
        <f t="shared" si="97"/>
        <v>0.6599999999999997</v>
      </c>
      <c r="BB153" s="6">
        <f t="shared" si="98"/>
        <v>0.58000000000000052</v>
      </c>
      <c r="BC153" s="6">
        <f t="shared" si="99"/>
        <v>0.78000000000000047</v>
      </c>
      <c r="BD153" s="880"/>
      <c r="BE153" s="287">
        <f t="shared" ca="1" si="100"/>
        <v>0.86530822560000065</v>
      </c>
      <c r="BF153" s="287">
        <f t="shared" ca="1" si="101"/>
        <v>0.86530822560000065</v>
      </c>
      <c r="BG153" s="287">
        <f t="shared" ca="1" si="102"/>
        <v>0.73218388319999983</v>
      </c>
      <c r="BH153" s="287">
        <f t="shared" ca="1" si="103"/>
        <v>0.64343432160000069</v>
      </c>
      <c r="BI153" s="287">
        <f t="shared" ca="1" si="104"/>
        <v>0.86530822560000065</v>
      </c>
      <c r="BJ153" s="880"/>
    </row>
    <row r="154" spans="34:62" ht="15" hidden="1" customHeight="1">
      <c r="AH154" s="299">
        <v>73</v>
      </c>
      <c r="AI154" s="299" t="b">
        <f t="shared" si="89"/>
        <v>0</v>
      </c>
      <c r="AJ154" s="186" t="b">
        <f t="shared" si="106"/>
        <v>1</v>
      </c>
      <c r="AK154" s="298" t="b">
        <f t="shared" si="105"/>
        <v>0</v>
      </c>
      <c r="AL154" s="287">
        <v>-1.2</v>
      </c>
      <c r="AM154" s="287">
        <v>-1.2</v>
      </c>
      <c r="AN154" s="287">
        <v>-0.4</v>
      </c>
      <c r="AO154" s="287">
        <v>-0.2</v>
      </c>
      <c r="AP154" s="287">
        <v>-1.2</v>
      </c>
      <c r="AQ154" s="880"/>
      <c r="AR154" s="287">
        <f t="shared" ca="1" si="90"/>
        <v>-1.3312434240000002</v>
      </c>
      <c r="AS154" s="287">
        <f t="shared" ca="1" si="91"/>
        <v>-1.3312434240000002</v>
      </c>
      <c r="AT154" s="287">
        <f t="shared" ca="1" si="92"/>
        <v>-0.44374780800000013</v>
      </c>
      <c r="AU154" s="287">
        <f t="shared" ca="1" si="93"/>
        <v>-0.22187390400000007</v>
      </c>
      <c r="AV154" s="287">
        <f t="shared" ca="1" si="94"/>
        <v>-1.3312434240000002</v>
      </c>
      <c r="AW154" s="880"/>
      <c r="AY154" s="6">
        <f t="shared" si="95"/>
        <v>0.78666666666666718</v>
      </c>
      <c r="AZ154" s="6">
        <f t="shared" si="96"/>
        <v>0.78666666666666718</v>
      </c>
      <c r="BA154" s="6">
        <f t="shared" si="97"/>
        <v>0.67333333333333301</v>
      </c>
      <c r="BB154" s="6">
        <f t="shared" si="98"/>
        <v>0.58666666666666722</v>
      </c>
      <c r="BC154" s="6">
        <f t="shared" si="99"/>
        <v>0.78666666666666718</v>
      </c>
      <c r="BD154" s="880"/>
      <c r="BE154" s="287">
        <f t="shared" ca="1" si="100"/>
        <v>0.87270402240000078</v>
      </c>
      <c r="BF154" s="287">
        <f t="shared" ca="1" si="101"/>
        <v>0.87270402240000078</v>
      </c>
      <c r="BG154" s="287">
        <f t="shared" ca="1" si="102"/>
        <v>0.74697547679999976</v>
      </c>
      <c r="BH154" s="287">
        <f t="shared" ca="1" si="103"/>
        <v>0.65083011840000071</v>
      </c>
      <c r="BI154" s="287">
        <f t="shared" ca="1" si="104"/>
        <v>0.87270402240000078</v>
      </c>
      <c r="BJ154" s="880"/>
    </row>
    <row r="155" spans="34:62" ht="15" hidden="1" customHeight="1">
      <c r="AH155" s="299">
        <v>74</v>
      </c>
      <c r="AI155" s="299" t="b">
        <f t="shared" si="89"/>
        <v>0</v>
      </c>
      <c r="AJ155" s="186" t="b">
        <f t="shared" si="106"/>
        <v>1</v>
      </c>
      <c r="AK155" s="298" t="b">
        <f t="shared" si="105"/>
        <v>0</v>
      </c>
      <c r="AL155" s="287">
        <v>-1.2</v>
      </c>
      <c r="AM155" s="287">
        <v>-1.2</v>
      </c>
      <c r="AN155" s="287">
        <v>-0.4</v>
      </c>
      <c r="AO155" s="287">
        <v>-0.2</v>
      </c>
      <c r="AP155" s="287">
        <v>-1.2</v>
      </c>
      <c r="AQ155" s="880"/>
      <c r="AR155" s="287">
        <f t="shared" ca="1" si="90"/>
        <v>-1.3312434240000002</v>
      </c>
      <c r="AS155" s="287">
        <f t="shared" ca="1" si="91"/>
        <v>-1.3312434240000002</v>
      </c>
      <c r="AT155" s="287">
        <f t="shared" ca="1" si="92"/>
        <v>-0.44374780800000013</v>
      </c>
      <c r="AU155" s="287">
        <f t="shared" ca="1" si="93"/>
        <v>-0.22187390400000007</v>
      </c>
      <c r="AV155" s="287">
        <f t="shared" ca="1" si="94"/>
        <v>-1.3312434240000002</v>
      </c>
      <c r="AW155" s="880"/>
      <c r="AY155" s="6">
        <f t="shared" si="95"/>
        <v>0.79333333333333389</v>
      </c>
      <c r="AZ155" s="6">
        <f t="shared" si="96"/>
        <v>0.79333333333333389</v>
      </c>
      <c r="BA155" s="6">
        <f t="shared" si="97"/>
        <v>0.68666666666666631</v>
      </c>
      <c r="BB155" s="6">
        <f t="shared" si="98"/>
        <v>0.59333333333333393</v>
      </c>
      <c r="BC155" s="6">
        <f t="shared" si="99"/>
        <v>0.79333333333333389</v>
      </c>
      <c r="BD155" s="880"/>
      <c r="BE155" s="287">
        <f t="shared" ca="1" si="100"/>
        <v>0.8800998192000008</v>
      </c>
      <c r="BF155" s="287">
        <f t="shared" ca="1" si="101"/>
        <v>0.8800998192000008</v>
      </c>
      <c r="BG155" s="287">
        <f t="shared" ca="1" si="102"/>
        <v>0.7617670703999998</v>
      </c>
      <c r="BH155" s="287">
        <f t="shared" ca="1" si="103"/>
        <v>0.65822591520000084</v>
      </c>
      <c r="BI155" s="287">
        <f t="shared" ca="1" si="104"/>
        <v>0.8800998192000008</v>
      </c>
      <c r="BJ155" s="880"/>
    </row>
    <row r="156" spans="34:62" ht="15" hidden="1" customHeight="1">
      <c r="AH156" s="299">
        <v>75</v>
      </c>
      <c r="AI156" s="299" t="b">
        <f t="shared" si="89"/>
        <v>0</v>
      </c>
      <c r="AJ156" s="186" t="b">
        <f t="shared" si="106"/>
        <v>1</v>
      </c>
      <c r="AK156" s="298" t="b">
        <f t="shared" si="105"/>
        <v>0</v>
      </c>
      <c r="AL156" s="287">
        <v>-1.2</v>
      </c>
      <c r="AM156" s="287">
        <v>-1.2</v>
      </c>
      <c r="AN156" s="287">
        <v>-0.4</v>
      </c>
      <c r="AO156" s="287">
        <v>-0.2</v>
      </c>
      <c r="AP156" s="287">
        <v>-1.2</v>
      </c>
      <c r="AQ156" s="880"/>
      <c r="AR156" s="287">
        <f t="shared" ca="1" si="90"/>
        <v>-1.3312434240000002</v>
      </c>
      <c r="AS156" s="287">
        <f t="shared" ca="1" si="91"/>
        <v>-1.3312434240000002</v>
      </c>
      <c r="AT156" s="287">
        <f t="shared" ca="1" si="92"/>
        <v>-0.44374780800000013</v>
      </c>
      <c r="AU156" s="287">
        <f t="shared" ca="1" si="93"/>
        <v>-0.22187390400000007</v>
      </c>
      <c r="AV156" s="287">
        <f t="shared" ca="1" si="94"/>
        <v>-1.3312434240000002</v>
      </c>
      <c r="AW156" s="880"/>
      <c r="AY156" s="287">
        <v>0.8</v>
      </c>
      <c r="AZ156" s="287">
        <v>0.8</v>
      </c>
      <c r="BA156" s="287">
        <v>0.7</v>
      </c>
      <c r="BB156" s="287">
        <v>0.6</v>
      </c>
      <c r="BC156" s="287">
        <v>0.8</v>
      </c>
      <c r="BD156" s="880"/>
      <c r="BE156" s="287">
        <f t="shared" ca="1" si="100"/>
        <v>0.88749561600000026</v>
      </c>
      <c r="BF156" s="287">
        <f t="shared" ca="1" si="101"/>
        <v>0.88749561600000026</v>
      </c>
      <c r="BG156" s="287">
        <f t="shared" ca="1" si="102"/>
        <v>0.77655866400000007</v>
      </c>
      <c r="BH156" s="287">
        <f t="shared" ca="1" si="103"/>
        <v>0.66562171200000009</v>
      </c>
      <c r="BI156" s="287">
        <f t="shared" ca="1" si="104"/>
        <v>0.88749561600000026</v>
      </c>
      <c r="BJ156" s="880"/>
    </row>
    <row r="157" spans="34:62" ht="15" hidden="1" customHeight="1">
      <c r="AH157" s="186">
        <v>5</v>
      </c>
      <c r="AI157" s="186" t="b">
        <f t="shared" si="89"/>
        <v>0</v>
      </c>
      <c r="AJ157" s="186" t="b">
        <f>AND($AH$4=3)</f>
        <v>0</v>
      </c>
      <c r="AK157" s="298" t="b">
        <f t="shared" si="105"/>
        <v>0</v>
      </c>
      <c r="AL157" s="287">
        <v>-2.4</v>
      </c>
      <c r="AM157" s="287">
        <v>-1.1000000000000001</v>
      </c>
      <c r="AN157" s="287">
        <v>-0.8</v>
      </c>
      <c r="AO157" s="287">
        <v>0</v>
      </c>
      <c r="AP157" s="287">
        <v>0</v>
      </c>
      <c r="AQ157" s="877" t="s">
        <v>136</v>
      </c>
      <c r="AR157" s="287">
        <f t="shared" ca="1" si="90"/>
        <v>-2.6624868480000004</v>
      </c>
      <c r="AS157" s="287">
        <f t="shared" ca="1" si="91"/>
        <v>-1.2203064720000003</v>
      </c>
      <c r="AT157" s="287">
        <f t="shared" ca="1" si="92"/>
        <v>-0.88749561600000026</v>
      </c>
      <c r="AU157" s="287">
        <f t="shared" ca="1" si="93"/>
        <v>0</v>
      </c>
      <c r="AV157" s="287">
        <f t="shared" ca="1" si="94"/>
        <v>0</v>
      </c>
      <c r="AW157" s="877" t="s">
        <v>136</v>
      </c>
      <c r="AY157" s="287">
        <v>-2.4</v>
      </c>
      <c r="AZ157" s="287">
        <v>-1.1000000000000001</v>
      </c>
      <c r="BA157" s="287">
        <v>-0.8</v>
      </c>
      <c r="BB157" s="287">
        <v>0</v>
      </c>
      <c r="BC157" s="287">
        <v>0</v>
      </c>
      <c r="BD157" s="877" t="s">
        <v>453</v>
      </c>
      <c r="BE157" s="287">
        <f t="shared" ca="1" si="100"/>
        <v>-2.6624868480000004</v>
      </c>
      <c r="BF157" s="287">
        <f t="shared" ca="1" si="101"/>
        <v>-1.2203064720000003</v>
      </c>
      <c r="BG157" s="287">
        <f t="shared" ca="1" si="102"/>
        <v>-0.88749561600000026</v>
      </c>
      <c r="BH157" s="287">
        <f t="shared" ca="1" si="103"/>
        <v>0</v>
      </c>
      <c r="BI157" s="287">
        <f t="shared" ca="1" si="104"/>
        <v>0</v>
      </c>
      <c r="BJ157" s="877" t="s">
        <v>453</v>
      </c>
    </row>
    <row r="158" spans="34:62" ht="15" hidden="1" customHeight="1">
      <c r="AH158" s="186">
        <v>6</v>
      </c>
      <c r="AI158" s="186" t="b">
        <f t="shared" si="89"/>
        <v>0</v>
      </c>
      <c r="AJ158" s="186" t="b">
        <f t="shared" ref="AJ158:AJ221" si="107">AND($AH$4=3)</f>
        <v>0</v>
      </c>
      <c r="AK158" s="298" t="b">
        <f t="shared" si="105"/>
        <v>0</v>
      </c>
      <c r="AL158" s="145">
        <f>+ABS($AL$157-$AL$167)/10+AL157</f>
        <v>-2.38</v>
      </c>
      <c r="AM158" s="145">
        <f>+ABS($AM$157-$AM$167)/10+AM157</f>
        <v>-1.0900000000000001</v>
      </c>
      <c r="AN158" s="145">
        <v>-0.81</v>
      </c>
      <c r="AO158" s="145">
        <v>0</v>
      </c>
      <c r="AP158" s="145">
        <v>0</v>
      </c>
      <c r="AQ158" s="877"/>
      <c r="AR158" s="287">
        <f t="shared" ca="1" si="90"/>
        <v>-2.6402994576000003</v>
      </c>
      <c r="AS158" s="287">
        <f t="shared" ca="1" si="91"/>
        <v>-1.2092127768000003</v>
      </c>
      <c r="AT158" s="287">
        <f t="shared" ca="1" si="92"/>
        <v>-0.89858931120000018</v>
      </c>
      <c r="AU158" s="287">
        <f t="shared" ca="1" si="93"/>
        <v>0</v>
      </c>
      <c r="AV158" s="287">
        <f t="shared" ca="1" si="94"/>
        <v>0</v>
      </c>
      <c r="AW158" s="877"/>
      <c r="AY158" s="145">
        <f>+ABS($AL$157-$AL$167)/10+AY157</f>
        <v>-2.38</v>
      </c>
      <c r="AZ158" s="145">
        <f>+ABS($AM$157-$AM$167)/10+AZ157</f>
        <v>-1.0900000000000001</v>
      </c>
      <c r="BA158" s="145">
        <v>-0.81</v>
      </c>
      <c r="BB158" s="145">
        <v>0</v>
      </c>
      <c r="BC158" s="145">
        <v>0</v>
      </c>
      <c r="BD158" s="877"/>
      <c r="BE158" s="287">
        <f t="shared" ca="1" si="100"/>
        <v>-2.6402994576000003</v>
      </c>
      <c r="BF158" s="287">
        <f t="shared" ca="1" si="101"/>
        <v>-1.2092127768000003</v>
      </c>
      <c r="BG158" s="287">
        <f t="shared" ca="1" si="102"/>
        <v>-0.89858931120000018</v>
      </c>
      <c r="BH158" s="287">
        <f t="shared" ca="1" si="103"/>
        <v>0</v>
      </c>
      <c r="BI158" s="287">
        <f t="shared" ca="1" si="104"/>
        <v>0</v>
      </c>
      <c r="BJ158" s="877"/>
    </row>
    <row r="159" spans="34:62" ht="15" hidden="1" customHeight="1">
      <c r="AH159" s="186">
        <v>7</v>
      </c>
      <c r="AI159" s="186" t="b">
        <f t="shared" si="89"/>
        <v>0</v>
      </c>
      <c r="AJ159" s="186" t="b">
        <f t="shared" si="107"/>
        <v>0</v>
      </c>
      <c r="AK159" s="298" t="b">
        <f t="shared" si="105"/>
        <v>0</v>
      </c>
      <c r="AL159" s="145">
        <f t="shared" ref="AL159:AL166" si="108">+($AL$157-$AL$167)+AL158</f>
        <v>-2.1799999999999997</v>
      </c>
      <c r="AM159" s="145">
        <f t="shared" ref="AM159:AM166" si="109">+ABS($AM$157-$AM$167)/10+AM158</f>
        <v>-1.08</v>
      </c>
      <c r="AN159" s="145">
        <v>-0.82</v>
      </c>
      <c r="AO159" s="145">
        <v>0</v>
      </c>
      <c r="AP159" s="145">
        <v>0</v>
      </c>
      <c r="AQ159" s="877"/>
      <c r="AR159" s="287">
        <f t="shared" ca="1" si="90"/>
        <v>-2.4184255536000001</v>
      </c>
      <c r="AS159" s="287">
        <f t="shared" ca="1" si="91"/>
        <v>-1.1981190816000002</v>
      </c>
      <c r="AT159" s="287">
        <f t="shared" ca="1" si="92"/>
        <v>-0.9096830064000001</v>
      </c>
      <c r="AU159" s="287">
        <f t="shared" ca="1" si="93"/>
        <v>0</v>
      </c>
      <c r="AV159" s="287">
        <f t="shared" ca="1" si="94"/>
        <v>0</v>
      </c>
      <c r="AW159" s="877"/>
      <c r="AY159" s="145">
        <f t="shared" ref="AY159:AY166" si="110">+($AL$157-$AL$167)+AY158</f>
        <v>-2.1799999999999997</v>
      </c>
      <c r="AZ159" s="145">
        <f t="shared" ref="AZ159:AZ166" si="111">+ABS($AM$157-$AM$167)/10+AZ158</f>
        <v>-1.08</v>
      </c>
      <c r="BA159" s="145">
        <v>-0.82</v>
      </c>
      <c r="BB159" s="145">
        <v>0</v>
      </c>
      <c r="BC159" s="145">
        <v>0</v>
      </c>
      <c r="BD159" s="877"/>
      <c r="BE159" s="287">
        <f t="shared" ca="1" si="100"/>
        <v>-2.4184255536000001</v>
      </c>
      <c r="BF159" s="287">
        <f t="shared" ca="1" si="101"/>
        <v>-1.1981190816000002</v>
      </c>
      <c r="BG159" s="287">
        <f t="shared" ca="1" si="102"/>
        <v>-0.9096830064000001</v>
      </c>
      <c r="BH159" s="287">
        <f t="shared" ca="1" si="103"/>
        <v>0</v>
      </c>
      <c r="BI159" s="287">
        <f t="shared" ca="1" si="104"/>
        <v>0</v>
      </c>
      <c r="BJ159" s="877"/>
    </row>
    <row r="160" spans="34:62" ht="15" hidden="1" customHeight="1">
      <c r="AH160" s="186">
        <v>8</v>
      </c>
      <c r="AI160" s="186" t="b">
        <f t="shared" si="89"/>
        <v>0</v>
      </c>
      <c r="AJ160" s="186" t="b">
        <f t="shared" si="107"/>
        <v>0</v>
      </c>
      <c r="AK160" s="298" t="b">
        <f t="shared" si="105"/>
        <v>0</v>
      </c>
      <c r="AL160" s="145">
        <f t="shared" si="108"/>
        <v>-1.9799999999999995</v>
      </c>
      <c r="AM160" s="145">
        <f t="shared" si="109"/>
        <v>-1.07</v>
      </c>
      <c r="AN160" s="145">
        <v>-0.83</v>
      </c>
      <c r="AO160" s="145">
        <v>0</v>
      </c>
      <c r="AP160" s="145">
        <v>0</v>
      </c>
      <c r="AQ160" s="877"/>
      <c r="AR160" s="287">
        <f t="shared" ca="1" si="90"/>
        <v>-2.1965516495999999</v>
      </c>
      <c r="AS160" s="287">
        <f t="shared" ca="1" si="91"/>
        <v>-1.1870253864000002</v>
      </c>
      <c r="AT160" s="287">
        <f t="shared" ca="1" si="92"/>
        <v>-0.92077670160000014</v>
      </c>
      <c r="AU160" s="287">
        <f t="shared" ca="1" si="93"/>
        <v>0</v>
      </c>
      <c r="AV160" s="287">
        <f t="shared" ca="1" si="94"/>
        <v>0</v>
      </c>
      <c r="AW160" s="877"/>
      <c r="AY160" s="145">
        <f t="shared" si="110"/>
        <v>-1.9799999999999995</v>
      </c>
      <c r="AZ160" s="145">
        <f t="shared" si="111"/>
        <v>-1.07</v>
      </c>
      <c r="BA160" s="145">
        <v>-0.83</v>
      </c>
      <c r="BB160" s="145">
        <v>0</v>
      </c>
      <c r="BC160" s="145">
        <v>0</v>
      </c>
      <c r="BD160" s="877"/>
      <c r="BE160" s="287">
        <f t="shared" ca="1" si="100"/>
        <v>-2.1965516495999999</v>
      </c>
      <c r="BF160" s="287">
        <f t="shared" ca="1" si="101"/>
        <v>-1.1870253864000002</v>
      </c>
      <c r="BG160" s="287">
        <f t="shared" ca="1" si="102"/>
        <v>-0.92077670160000014</v>
      </c>
      <c r="BH160" s="287">
        <f t="shared" ca="1" si="103"/>
        <v>0</v>
      </c>
      <c r="BI160" s="287">
        <f t="shared" ca="1" si="104"/>
        <v>0</v>
      </c>
      <c r="BJ160" s="877"/>
    </row>
    <row r="161" spans="34:62" ht="15" hidden="1" customHeight="1">
      <c r="AH161" s="186">
        <v>9</v>
      </c>
      <c r="AI161" s="186" t="b">
        <f t="shared" si="89"/>
        <v>0</v>
      </c>
      <c r="AJ161" s="186" t="b">
        <f t="shared" si="107"/>
        <v>0</v>
      </c>
      <c r="AK161" s="298" t="b">
        <f t="shared" si="105"/>
        <v>0</v>
      </c>
      <c r="AL161" s="145">
        <f t="shared" si="108"/>
        <v>-1.7799999999999994</v>
      </c>
      <c r="AM161" s="145">
        <f t="shared" si="109"/>
        <v>-1.06</v>
      </c>
      <c r="AN161" s="145">
        <v>-0.84</v>
      </c>
      <c r="AO161" s="145">
        <v>0</v>
      </c>
      <c r="AP161" s="145">
        <v>0</v>
      </c>
      <c r="AQ161" s="877"/>
      <c r="AR161" s="287">
        <f t="shared" ca="1" si="90"/>
        <v>-1.9746777455999998</v>
      </c>
      <c r="AS161" s="287">
        <f t="shared" ca="1" si="91"/>
        <v>-1.1759316912000002</v>
      </c>
      <c r="AT161" s="287">
        <f t="shared" ca="1" si="92"/>
        <v>-0.93187039680000017</v>
      </c>
      <c r="AU161" s="287">
        <f t="shared" ca="1" si="93"/>
        <v>0</v>
      </c>
      <c r="AV161" s="287">
        <f t="shared" ca="1" si="94"/>
        <v>0</v>
      </c>
      <c r="AW161" s="877"/>
      <c r="AY161" s="145">
        <f t="shared" si="110"/>
        <v>-1.7799999999999994</v>
      </c>
      <c r="AZ161" s="145">
        <f t="shared" si="111"/>
        <v>-1.06</v>
      </c>
      <c r="BA161" s="145">
        <v>-0.84</v>
      </c>
      <c r="BB161" s="145">
        <v>0</v>
      </c>
      <c r="BC161" s="145">
        <v>0</v>
      </c>
      <c r="BD161" s="877"/>
      <c r="BE161" s="287">
        <f t="shared" ca="1" si="100"/>
        <v>-1.9746777455999998</v>
      </c>
      <c r="BF161" s="287">
        <f t="shared" ca="1" si="101"/>
        <v>-1.1759316912000002</v>
      </c>
      <c r="BG161" s="287">
        <f t="shared" ca="1" si="102"/>
        <v>-0.93187039680000017</v>
      </c>
      <c r="BH161" s="287">
        <f t="shared" ca="1" si="103"/>
        <v>0</v>
      </c>
      <c r="BI161" s="287">
        <f t="shared" ca="1" si="104"/>
        <v>0</v>
      </c>
      <c r="BJ161" s="877"/>
    </row>
    <row r="162" spans="34:62" ht="15" hidden="1" customHeight="1">
      <c r="AH162" s="186">
        <v>10</v>
      </c>
      <c r="AI162" s="186" t="b">
        <f t="shared" si="89"/>
        <v>0</v>
      </c>
      <c r="AJ162" s="186" t="b">
        <f t="shared" si="107"/>
        <v>0</v>
      </c>
      <c r="AK162" s="298" t="b">
        <f t="shared" si="105"/>
        <v>0</v>
      </c>
      <c r="AL162" s="145">
        <f t="shared" si="108"/>
        <v>-1.5799999999999992</v>
      </c>
      <c r="AM162" s="145">
        <f t="shared" si="109"/>
        <v>-1.05</v>
      </c>
      <c r="AN162" s="145">
        <v>-0.85</v>
      </c>
      <c r="AO162" s="145">
        <v>0</v>
      </c>
      <c r="AP162" s="145">
        <v>0</v>
      </c>
      <c r="AQ162" s="877"/>
      <c r="AR162" s="287">
        <f t="shared" ca="1" si="90"/>
        <v>-1.7528038415999994</v>
      </c>
      <c r="AS162" s="287">
        <f t="shared" ca="1" si="91"/>
        <v>-1.1648379960000004</v>
      </c>
      <c r="AT162" s="287">
        <f t="shared" ca="1" si="92"/>
        <v>-0.9429640920000002</v>
      </c>
      <c r="AU162" s="287">
        <f t="shared" ca="1" si="93"/>
        <v>0</v>
      </c>
      <c r="AV162" s="287">
        <f t="shared" ca="1" si="94"/>
        <v>0</v>
      </c>
      <c r="AW162" s="877"/>
      <c r="AY162" s="145">
        <f t="shared" si="110"/>
        <v>-1.5799999999999992</v>
      </c>
      <c r="AZ162" s="145">
        <f t="shared" si="111"/>
        <v>-1.05</v>
      </c>
      <c r="BA162" s="145">
        <v>-0.85</v>
      </c>
      <c r="BB162" s="145">
        <v>0</v>
      </c>
      <c r="BC162" s="145">
        <v>0</v>
      </c>
      <c r="BD162" s="877"/>
      <c r="BE162" s="287">
        <f t="shared" ca="1" si="100"/>
        <v>-1.7528038415999994</v>
      </c>
      <c r="BF162" s="287">
        <f t="shared" ca="1" si="101"/>
        <v>-1.1648379960000004</v>
      </c>
      <c r="BG162" s="287">
        <f t="shared" ca="1" si="102"/>
        <v>-0.9429640920000002</v>
      </c>
      <c r="BH162" s="287">
        <f t="shared" ca="1" si="103"/>
        <v>0</v>
      </c>
      <c r="BI162" s="287">
        <f t="shared" ca="1" si="104"/>
        <v>0</v>
      </c>
      <c r="BJ162" s="877"/>
    </row>
    <row r="163" spans="34:62" ht="15" hidden="1" customHeight="1">
      <c r="AH163" s="186">
        <v>11</v>
      </c>
      <c r="AI163" s="186" t="b">
        <f t="shared" si="89"/>
        <v>0</v>
      </c>
      <c r="AJ163" s="186" t="b">
        <f t="shared" si="107"/>
        <v>0</v>
      </c>
      <c r="AK163" s="298" t="b">
        <f t="shared" si="105"/>
        <v>0</v>
      </c>
      <c r="AL163" s="145">
        <f t="shared" si="108"/>
        <v>-1.379999999999999</v>
      </c>
      <c r="AM163" s="145">
        <f t="shared" si="109"/>
        <v>-1.04</v>
      </c>
      <c r="AN163" s="145">
        <v>-0.86</v>
      </c>
      <c r="AO163" s="145">
        <v>0</v>
      </c>
      <c r="AP163" s="145">
        <v>0</v>
      </c>
      <c r="AQ163" s="877"/>
      <c r="AR163" s="287">
        <f t="shared" ca="1" si="90"/>
        <v>-1.5309299375999992</v>
      </c>
      <c r="AS163" s="287">
        <f t="shared" ca="1" si="91"/>
        <v>-1.1537443008000003</v>
      </c>
      <c r="AT163" s="287">
        <f t="shared" ca="1" si="92"/>
        <v>-0.95405778720000023</v>
      </c>
      <c r="AU163" s="287">
        <f t="shared" ca="1" si="93"/>
        <v>0</v>
      </c>
      <c r="AV163" s="287">
        <f t="shared" ca="1" si="94"/>
        <v>0</v>
      </c>
      <c r="AW163" s="877"/>
      <c r="AY163" s="145">
        <f t="shared" si="110"/>
        <v>-1.379999999999999</v>
      </c>
      <c r="AZ163" s="145">
        <f t="shared" si="111"/>
        <v>-1.04</v>
      </c>
      <c r="BA163" s="145">
        <v>-0.86</v>
      </c>
      <c r="BB163" s="145">
        <v>0</v>
      </c>
      <c r="BC163" s="145">
        <v>0</v>
      </c>
      <c r="BD163" s="877"/>
      <c r="BE163" s="287">
        <f t="shared" ca="1" si="100"/>
        <v>-1.5309299375999992</v>
      </c>
      <c r="BF163" s="287">
        <f t="shared" ca="1" si="101"/>
        <v>-1.1537443008000003</v>
      </c>
      <c r="BG163" s="287">
        <f t="shared" ca="1" si="102"/>
        <v>-0.95405778720000023</v>
      </c>
      <c r="BH163" s="287">
        <f t="shared" ca="1" si="103"/>
        <v>0</v>
      </c>
      <c r="BI163" s="287">
        <f t="shared" ca="1" si="104"/>
        <v>0</v>
      </c>
      <c r="BJ163" s="877"/>
    </row>
    <row r="164" spans="34:62" ht="15" hidden="1" customHeight="1">
      <c r="AH164" s="186">
        <v>12</v>
      </c>
      <c r="AI164" s="186" t="b">
        <f t="shared" si="89"/>
        <v>0</v>
      </c>
      <c r="AJ164" s="186" t="b">
        <f t="shared" si="107"/>
        <v>0</v>
      </c>
      <c r="AK164" s="298" t="b">
        <f t="shared" si="105"/>
        <v>0</v>
      </c>
      <c r="AL164" s="145">
        <f t="shared" si="108"/>
        <v>-1.1799999999999988</v>
      </c>
      <c r="AM164" s="145">
        <f t="shared" si="109"/>
        <v>-1.03</v>
      </c>
      <c r="AN164" s="145">
        <v>-0.87</v>
      </c>
      <c r="AO164" s="145">
        <v>0</v>
      </c>
      <c r="AP164" s="145">
        <v>0</v>
      </c>
      <c r="AQ164" s="877"/>
      <c r="AR164" s="287">
        <f t="shared" ca="1" si="90"/>
        <v>-1.309056033599999</v>
      </c>
      <c r="AS164" s="287">
        <f t="shared" ca="1" si="91"/>
        <v>-1.1426506056000003</v>
      </c>
      <c r="AT164" s="287">
        <f t="shared" ca="1" si="92"/>
        <v>-0.96515148240000015</v>
      </c>
      <c r="AU164" s="287">
        <f t="shared" ca="1" si="93"/>
        <v>0</v>
      </c>
      <c r="AV164" s="287">
        <f t="shared" ca="1" si="94"/>
        <v>0</v>
      </c>
      <c r="AW164" s="877"/>
      <c r="AY164" s="145">
        <f t="shared" si="110"/>
        <v>-1.1799999999999988</v>
      </c>
      <c r="AZ164" s="145">
        <f t="shared" si="111"/>
        <v>-1.03</v>
      </c>
      <c r="BA164" s="145">
        <v>-0.87</v>
      </c>
      <c r="BB164" s="145">
        <v>0</v>
      </c>
      <c r="BC164" s="145">
        <v>0</v>
      </c>
      <c r="BD164" s="877"/>
      <c r="BE164" s="287">
        <f t="shared" ca="1" si="100"/>
        <v>-1.309056033599999</v>
      </c>
      <c r="BF164" s="287">
        <f t="shared" ca="1" si="101"/>
        <v>-1.1426506056000003</v>
      </c>
      <c r="BG164" s="287">
        <f t="shared" ca="1" si="102"/>
        <v>-0.96515148240000015</v>
      </c>
      <c r="BH164" s="287">
        <f t="shared" ca="1" si="103"/>
        <v>0</v>
      </c>
      <c r="BI164" s="287">
        <f t="shared" ca="1" si="104"/>
        <v>0</v>
      </c>
      <c r="BJ164" s="877"/>
    </row>
    <row r="165" spans="34:62" ht="15" hidden="1" customHeight="1">
      <c r="AH165" s="186">
        <v>13</v>
      </c>
      <c r="AI165" s="186" t="b">
        <f t="shared" si="89"/>
        <v>0</v>
      </c>
      <c r="AJ165" s="186" t="b">
        <f t="shared" si="107"/>
        <v>0</v>
      </c>
      <c r="AK165" s="298" t="b">
        <f t="shared" si="105"/>
        <v>0</v>
      </c>
      <c r="AL165" s="145">
        <f t="shared" si="108"/>
        <v>-0.97999999999999865</v>
      </c>
      <c r="AM165" s="145">
        <f t="shared" si="109"/>
        <v>-1.02</v>
      </c>
      <c r="AN165" s="145">
        <v>-0.88</v>
      </c>
      <c r="AO165" s="145">
        <v>0</v>
      </c>
      <c r="AP165" s="145">
        <v>0</v>
      </c>
      <c r="AQ165" s="877"/>
      <c r="AR165" s="287">
        <f t="shared" ca="1" si="90"/>
        <v>-1.0871821295999988</v>
      </c>
      <c r="AS165" s="287">
        <f t="shared" ca="1" si="91"/>
        <v>-1.1315569104000003</v>
      </c>
      <c r="AT165" s="287">
        <f t="shared" ca="1" si="92"/>
        <v>-0.97624517760000018</v>
      </c>
      <c r="AU165" s="287">
        <f t="shared" ca="1" si="93"/>
        <v>0</v>
      </c>
      <c r="AV165" s="287">
        <f t="shared" ca="1" si="94"/>
        <v>0</v>
      </c>
      <c r="AW165" s="877"/>
      <c r="AY165" s="145">
        <f t="shared" si="110"/>
        <v>-0.97999999999999865</v>
      </c>
      <c r="AZ165" s="145">
        <f t="shared" si="111"/>
        <v>-1.02</v>
      </c>
      <c r="BA165" s="145">
        <v>-0.88</v>
      </c>
      <c r="BB165" s="145">
        <v>0</v>
      </c>
      <c r="BC165" s="145">
        <v>0</v>
      </c>
      <c r="BD165" s="877"/>
      <c r="BE165" s="287">
        <f t="shared" ca="1" si="100"/>
        <v>-1.0871821295999988</v>
      </c>
      <c r="BF165" s="287">
        <f t="shared" ca="1" si="101"/>
        <v>-1.1315569104000003</v>
      </c>
      <c r="BG165" s="287">
        <f t="shared" ca="1" si="102"/>
        <v>-0.97624517760000018</v>
      </c>
      <c r="BH165" s="287">
        <f t="shared" ca="1" si="103"/>
        <v>0</v>
      </c>
      <c r="BI165" s="287">
        <f t="shared" ca="1" si="104"/>
        <v>0</v>
      </c>
      <c r="BJ165" s="877"/>
    </row>
    <row r="166" spans="34:62" ht="15" hidden="1" customHeight="1">
      <c r="AH166" s="186">
        <v>14</v>
      </c>
      <c r="AI166" s="186" t="b">
        <f t="shared" si="89"/>
        <v>0</v>
      </c>
      <c r="AJ166" s="186" t="b">
        <f t="shared" si="107"/>
        <v>0</v>
      </c>
      <c r="AK166" s="298" t="b">
        <f t="shared" si="105"/>
        <v>0</v>
      </c>
      <c r="AL166" s="145">
        <f t="shared" si="108"/>
        <v>-0.77999999999999847</v>
      </c>
      <c r="AM166" s="145">
        <f t="shared" si="109"/>
        <v>-1.01</v>
      </c>
      <c r="AN166" s="145">
        <v>-0.89</v>
      </c>
      <c r="AO166" s="145">
        <v>0</v>
      </c>
      <c r="AP166" s="145">
        <v>0</v>
      </c>
      <c r="AQ166" s="877"/>
      <c r="AR166" s="287">
        <f t="shared" ca="1" si="90"/>
        <v>-0.86530822559999843</v>
      </c>
      <c r="AS166" s="287">
        <f t="shared" ca="1" si="91"/>
        <v>-1.1204632152000003</v>
      </c>
      <c r="AT166" s="287">
        <f t="shared" ca="1" si="92"/>
        <v>-0.98733887280000021</v>
      </c>
      <c r="AU166" s="287">
        <f t="shared" ca="1" si="93"/>
        <v>0</v>
      </c>
      <c r="AV166" s="287">
        <f t="shared" ca="1" si="94"/>
        <v>0</v>
      </c>
      <c r="AW166" s="877"/>
      <c r="AY166" s="145">
        <f t="shared" si="110"/>
        <v>-0.77999999999999847</v>
      </c>
      <c r="AZ166" s="145">
        <f t="shared" si="111"/>
        <v>-1.01</v>
      </c>
      <c r="BA166" s="145">
        <v>-0.89</v>
      </c>
      <c r="BB166" s="145">
        <v>0</v>
      </c>
      <c r="BC166" s="145">
        <v>0</v>
      </c>
      <c r="BD166" s="877"/>
      <c r="BE166" s="287">
        <f t="shared" ca="1" si="100"/>
        <v>-0.86530822559999843</v>
      </c>
      <c r="BF166" s="287">
        <f t="shared" ca="1" si="101"/>
        <v>-1.1204632152000003</v>
      </c>
      <c r="BG166" s="287">
        <f t="shared" ca="1" si="102"/>
        <v>-0.98733887280000021</v>
      </c>
      <c r="BH166" s="287">
        <f t="shared" ca="1" si="103"/>
        <v>0</v>
      </c>
      <c r="BI166" s="287">
        <f t="shared" ca="1" si="104"/>
        <v>0</v>
      </c>
      <c r="BJ166" s="877"/>
    </row>
    <row r="167" spans="34:62" ht="15" hidden="1" customHeight="1">
      <c r="AH167" s="186">
        <v>15</v>
      </c>
      <c r="AI167" s="186" t="b">
        <f t="shared" si="89"/>
        <v>0</v>
      </c>
      <c r="AJ167" s="186" t="b">
        <f t="shared" si="107"/>
        <v>0</v>
      </c>
      <c r="AK167" s="298" t="b">
        <f t="shared" si="105"/>
        <v>0</v>
      </c>
      <c r="AL167" s="287">
        <v>-2.6</v>
      </c>
      <c r="AM167" s="287">
        <v>-1</v>
      </c>
      <c r="AN167" s="287">
        <v>-0.9</v>
      </c>
      <c r="AO167" s="287">
        <v>0</v>
      </c>
      <c r="AP167" s="287">
        <v>0</v>
      </c>
      <c r="AQ167" s="877"/>
      <c r="AR167" s="287">
        <f t="shared" ca="1" si="90"/>
        <v>-2.8843607520000005</v>
      </c>
      <c r="AS167" s="287">
        <f t="shared" ca="1" si="91"/>
        <v>-1.1093695200000002</v>
      </c>
      <c r="AT167" s="287">
        <f t="shared" ca="1" si="92"/>
        <v>-0.99843256800000024</v>
      </c>
      <c r="AU167" s="287">
        <f t="shared" ca="1" si="93"/>
        <v>0</v>
      </c>
      <c r="AV167" s="287">
        <f t="shared" ca="1" si="94"/>
        <v>0</v>
      </c>
      <c r="AW167" s="877"/>
      <c r="AY167" s="287">
        <v>-2.6</v>
      </c>
      <c r="AZ167" s="287">
        <v>-1</v>
      </c>
      <c r="BA167" s="287">
        <v>-0.9</v>
      </c>
      <c r="BB167" s="287">
        <v>0</v>
      </c>
      <c r="BC167" s="287">
        <v>0</v>
      </c>
      <c r="BD167" s="877"/>
      <c r="BE167" s="287">
        <f t="shared" ca="1" si="100"/>
        <v>-2.8843607520000005</v>
      </c>
      <c r="BF167" s="287">
        <f t="shared" ca="1" si="101"/>
        <v>-1.1093695200000002</v>
      </c>
      <c r="BG167" s="287">
        <f t="shared" ca="1" si="102"/>
        <v>-0.99843256800000024</v>
      </c>
      <c r="BH167" s="287">
        <f t="shared" ca="1" si="103"/>
        <v>0</v>
      </c>
      <c r="BI167" s="287">
        <f t="shared" ca="1" si="104"/>
        <v>0</v>
      </c>
      <c r="BJ167" s="877"/>
    </row>
    <row r="168" spans="34:62" ht="15" hidden="1" customHeight="1">
      <c r="AH168" s="186">
        <v>16</v>
      </c>
      <c r="AI168" s="186" t="b">
        <f t="shared" si="89"/>
        <v>0</v>
      </c>
      <c r="AJ168" s="186" t="b">
        <f t="shared" si="107"/>
        <v>0</v>
      </c>
      <c r="AK168" s="298" t="b">
        <f t="shared" si="105"/>
        <v>0</v>
      </c>
      <c r="AL168" s="145">
        <f>+ABS($AL$167-$AL$182)/15+AL167</f>
        <v>-2.54</v>
      </c>
      <c r="AM168" s="145">
        <f>+ABS($AM$167-$AM$182)/15+AM167</f>
        <v>-1</v>
      </c>
      <c r="AN168" s="145">
        <f>+ABS($AN$167-$AN$182)/15+AN167</f>
        <v>-0.9</v>
      </c>
      <c r="AO168" s="145">
        <v>0</v>
      </c>
      <c r="AP168" s="145">
        <v>0</v>
      </c>
      <c r="AQ168" s="877"/>
      <c r="AR168" s="287">
        <f t="shared" ca="1" si="90"/>
        <v>-2.8177985808000008</v>
      </c>
      <c r="AS168" s="287">
        <f t="shared" ca="1" si="91"/>
        <v>-1.1093695200000002</v>
      </c>
      <c r="AT168" s="287">
        <f t="shared" ca="1" si="92"/>
        <v>-0.99843256800000024</v>
      </c>
      <c r="AU168" s="287">
        <f t="shared" ca="1" si="93"/>
        <v>0</v>
      </c>
      <c r="AV168" s="287">
        <f t="shared" ca="1" si="94"/>
        <v>0</v>
      </c>
      <c r="AW168" s="877"/>
      <c r="AY168" s="145">
        <f>+ABS($AL$167-$AL$182)/15+AY167</f>
        <v>-2.54</v>
      </c>
      <c r="AZ168" s="145">
        <f>+ABS($AM$167-$AM$182)/15+AZ167</f>
        <v>-1</v>
      </c>
      <c r="BA168" s="145">
        <f>+ABS($AN$167-$AN$182)/15+BA167</f>
        <v>-0.9</v>
      </c>
      <c r="BB168" s="145">
        <v>0</v>
      </c>
      <c r="BC168" s="145">
        <v>0</v>
      </c>
      <c r="BD168" s="877"/>
      <c r="BE168" s="287">
        <f t="shared" ca="1" si="100"/>
        <v>-2.8177985808000008</v>
      </c>
      <c r="BF168" s="287">
        <f t="shared" ca="1" si="101"/>
        <v>-1.1093695200000002</v>
      </c>
      <c r="BG168" s="287">
        <f t="shared" ca="1" si="102"/>
        <v>-0.99843256800000024</v>
      </c>
      <c r="BH168" s="287">
        <f t="shared" ca="1" si="103"/>
        <v>0</v>
      </c>
      <c r="BI168" s="287">
        <f t="shared" ca="1" si="104"/>
        <v>0</v>
      </c>
      <c r="BJ168" s="877"/>
    </row>
    <row r="169" spans="34:62" ht="15" hidden="1" customHeight="1">
      <c r="AH169" s="186">
        <v>17</v>
      </c>
      <c r="AI169" s="186" t="b">
        <f t="shared" si="89"/>
        <v>0</v>
      </c>
      <c r="AJ169" s="186" t="b">
        <f t="shared" si="107"/>
        <v>0</v>
      </c>
      <c r="AK169" s="298" t="b">
        <f t="shared" si="105"/>
        <v>0</v>
      </c>
      <c r="AL169" s="145">
        <f t="shared" ref="AL169:AL181" si="112">+ABS($AL$167-$AL$182)/15+AL168</f>
        <v>-2.48</v>
      </c>
      <c r="AM169" s="145">
        <f t="shared" ref="AM169:AM181" si="113">+ABS($AM$167-$AM$182)/15+AM168</f>
        <v>-1</v>
      </c>
      <c r="AN169" s="145">
        <f t="shared" ref="AN169:AN181" si="114">+ABS($AN$167-$AN$182)/15+AN168</f>
        <v>-0.9</v>
      </c>
      <c r="AO169" s="145">
        <v>0</v>
      </c>
      <c r="AP169" s="145">
        <v>0</v>
      </c>
      <c r="AQ169" s="877"/>
      <c r="AR169" s="287">
        <f t="shared" ca="1" si="90"/>
        <v>-2.7512364096000006</v>
      </c>
      <c r="AS169" s="287">
        <f t="shared" ca="1" si="91"/>
        <v>-1.1093695200000002</v>
      </c>
      <c r="AT169" s="287">
        <f t="shared" ca="1" si="92"/>
        <v>-0.99843256800000024</v>
      </c>
      <c r="AU169" s="287">
        <f t="shared" ca="1" si="93"/>
        <v>0</v>
      </c>
      <c r="AV169" s="287">
        <f t="shared" ca="1" si="94"/>
        <v>0</v>
      </c>
      <c r="AW169" s="877"/>
      <c r="AY169" s="145">
        <f t="shared" ref="AY169:AY181" si="115">+ABS($AL$167-$AL$182)/15+AY168</f>
        <v>-2.48</v>
      </c>
      <c r="AZ169" s="145">
        <f t="shared" ref="AZ169:AZ181" si="116">+ABS($AM$167-$AM$182)/15+AZ168</f>
        <v>-1</v>
      </c>
      <c r="BA169" s="145">
        <f t="shared" ref="BA169:BA181" si="117">+ABS($AN$167-$AN$182)/15+BA168</f>
        <v>-0.9</v>
      </c>
      <c r="BB169" s="145">
        <v>0</v>
      </c>
      <c r="BC169" s="145">
        <v>0</v>
      </c>
      <c r="BD169" s="877"/>
      <c r="BE169" s="287">
        <f t="shared" ca="1" si="100"/>
        <v>-2.7512364096000006</v>
      </c>
      <c r="BF169" s="287">
        <f t="shared" ca="1" si="101"/>
        <v>-1.1093695200000002</v>
      </c>
      <c r="BG169" s="287">
        <f t="shared" ca="1" si="102"/>
        <v>-0.99843256800000024</v>
      </c>
      <c r="BH169" s="287">
        <f t="shared" ca="1" si="103"/>
        <v>0</v>
      </c>
      <c r="BI169" s="287">
        <f t="shared" ca="1" si="104"/>
        <v>0</v>
      </c>
      <c r="BJ169" s="877"/>
    </row>
    <row r="170" spans="34:62" ht="15" hidden="1" customHeight="1">
      <c r="AH170" s="186">
        <v>18</v>
      </c>
      <c r="AI170" s="186" t="b">
        <f t="shared" si="89"/>
        <v>0</v>
      </c>
      <c r="AJ170" s="186" t="b">
        <f t="shared" si="107"/>
        <v>0</v>
      </c>
      <c r="AK170" s="298" t="b">
        <f t="shared" si="105"/>
        <v>0</v>
      </c>
      <c r="AL170" s="145">
        <f t="shared" si="112"/>
        <v>-2.42</v>
      </c>
      <c r="AM170" s="145">
        <f t="shared" si="113"/>
        <v>-1</v>
      </c>
      <c r="AN170" s="145">
        <f t="shared" si="114"/>
        <v>-0.9</v>
      </c>
      <c r="AO170" s="145">
        <v>0</v>
      </c>
      <c r="AP170" s="145">
        <v>0</v>
      </c>
      <c r="AQ170" s="877"/>
      <c r="AR170" s="287">
        <f t="shared" ca="1" si="90"/>
        <v>-2.6846742384000004</v>
      </c>
      <c r="AS170" s="287">
        <f t="shared" ca="1" si="91"/>
        <v>-1.1093695200000002</v>
      </c>
      <c r="AT170" s="287">
        <f t="shared" ca="1" si="92"/>
        <v>-0.99843256800000024</v>
      </c>
      <c r="AU170" s="287">
        <f t="shared" ca="1" si="93"/>
        <v>0</v>
      </c>
      <c r="AV170" s="287">
        <f t="shared" ca="1" si="94"/>
        <v>0</v>
      </c>
      <c r="AW170" s="877"/>
      <c r="AY170" s="145">
        <f t="shared" si="115"/>
        <v>-2.42</v>
      </c>
      <c r="AZ170" s="145">
        <f t="shared" si="116"/>
        <v>-1</v>
      </c>
      <c r="BA170" s="145">
        <f t="shared" si="117"/>
        <v>-0.9</v>
      </c>
      <c r="BB170" s="145">
        <v>0</v>
      </c>
      <c r="BC170" s="145">
        <v>0</v>
      </c>
      <c r="BD170" s="877"/>
      <c r="BE170" s="287">
        <f t="shared" ca="1" si="100"/>
        <v>-2.6846742384000004</v>
      </c>
      <c r="BF170" s="287">
        <f t="shared" ca="1" si="101"/>
        <v>-1.1093695200000002</v>
      </c>
      <c r="BG170" s="287">
        <f t="shared" ca="1" si="102"/>
        <v>-0.99843256800000024</v>
      </c>
      <c r="BH170" s="287">
        <f t="shared" ca="1" si="103"/>
        <v>0</v>
      </c>
      <c r="BI170" s="287">
        <f t="shared" ca="1" si="104"/>
        <v>0</v>
      </c>
      <c r="BJ170" s="877"/>
    </row>
    <row r="171" spans="34:62" ht="15" hidden="1" customHeight="1">
      <c r="AH171" s="186">
        <v>19</v>
      </c>
      <c r="AI171" s="186" t="b">
        <f t="shared" si="89"/>
        <v>0</v>
      </c>
      <c r="AJ171" s="186" t="b">
        <f t="shared" si="107"/>
        <v>0</v>
      </c>
      <c r="AK171" s="298" t="b">
        <f t="shared" si="105"/>
        <v>0</v>
      </c>
      <c r="AL171" s="145">
        <f t="shared" si="112"/>
        <v>-2.36</v>
      </c>
      <c r="AM171" s="145">
        <f t="shared" si="113"/>
        <v>-1</v>
      </c>
      <c r="AN171" s="145">
        <f t="shared" si="114"/>
        <v>-0.9</v>
      </c>
      <c r="AO171" s="145">
        <v>0</v>
      </c>
      <c r="AP171" s="145">
        <v>0</v>
      </c>
      <c r="AQ171" s="877"/>
      <c r="AR171" s="287">
        <f t="shared" ca="1" si="90"/>
        <v>-2.6181120672000002</v>
      </c>
      <c r="AS171" s="287">
        <f t="shared" ca="1" si="91"/>
        <v>-1.1093695200000002</v>
      </c>
      <c r="AT171" s="287">
        <f t="shared" ca="1" si="92"/>
        <v>-0.99843256800000024</v>
      </c>
      <c r="AU171" s="287">
        <f t="shared" ca="1" si="93"/>
        <v>0</v>
      </c>
      <c r="AV171" s="287">
        <f t="shared" ca="1" si="94"/>
        <v>0</v>
      </c>
      <c r="AW171" s="877"/>
      <c r="AY171" s="145">
        <f t="shared" si="115"/>
        <v>-2.36</v>
      </c>
      <c r="AZ171" s="145">
        <f t="shared" si="116"/>
        <v>-1</v>
      </c>
      <c r="BA171" s="145">
        <f t="shared" si="117"/>
        <v>-0.9</v>
      </c>
      <c r="BB171" s="145">
        <v>0</v>
      </c>
      <c r="BC171" s="145">
        <v>0</v>
      </c>
      <c r="BD171" s="877"/>
      <c r="BE171" s="287">
        <f t="shared" ca="1" si="100"/>
        <v>-2.6181120672000002</v>
      </c>
      <c r="BF171" s="287">
        <f t="shared" ca="1" si="101"/>
        <v>-1.1093695200000002</v>
      </c>
      <c r="BG171" s="287">
        <f t="shared" ca="1" si="102"/>
        <v>-0.99843256800000024</v>
      </c>
      <c r="BH171" s="287">
        <f t="shared" ca="1" si="103"/>
        <v>0</v>
      </c>
      <c r="BI171" s="287">
        <f t="shared" ca="1" si="104"/>
        <v>0</v>
      </c>
      <c r="BJ171" s="877"/>
    </row>
    <row r="172" spans="34:62" ht="15" hidden="1" customHeight="1">
      <c r="AH172" s="186">
        <v>20</v>
      </c>
      <c r="AI172" s="186" t="b">
        <f t="shared" si="89"/>
        <v>1</v>
      </c>
      <c r="AJ172" s="186" t="b">
        <f t="shared" si="107"/>
        <v>0</v>
      </c>
      <c r="AK172" s="298" t="b">
        <f t="shared" si="105"/>
        <v>0</v>
      </c>
      <c r="AL172" s="145">
        <f t="shared" si="112"/>
        <v>-2.2999999999999998</v>
      </c>
      <c r="AM172" s="145">
        <f t="shared" si="113"/>
        <v>-1</v>
      </c>
      <c r="AN172" s="145">
        <f t="shared" si="114"/>
        <v>-0.9</v>
      </c>
      <c r="AO172" s="145">
        <v>0</v>
      </c>
      <c r="AP172" s="145">
        <v>0</v>
      </c>
      <c r="AQ172" s="877"/>
      <c r="AR172" s="287">
        <f t="shared" ca="1" si="90"/>
        <v>-2.5515498960000005</v>
      </c>
      <c r="AS172" s="287">
        <f t="shared" ca="1" si="91"/>
        <v>-1.1093695200000002</v>
      </c>
      <c r="AT172" s="287">
        <f t="shared" ca="1" si="92"/>
        <v>-0.99843256800000024</v>
      </c>
      <c r="AU172" s="287">
        <f t="shared" ca="1" si="93"/>
        <v>0</v>
      </c>
      <c r="AV172" s="287">
        <f t="shared" ca="1" si="94"/>
        <v>0</v>
      </c>
      <c r="AW172" s="877"/>
      <c r="AY172" s="145">
        <f t="shared" si="115"/>
        <v>-2.2999999999999998</v>
      </c>
      <c r="AZ172" s="145">
        <f t="shared" si="116"/>
        <v>-1</v>
      </c>
      <c r="BA172" s="145">
        <f t="shared" si="117"/>
        <v>-0.9</v>
      </c>
      <c r="BB172" s="145">
        <v>0</v>
      </c>
      <c r="BC172" s="145">
        <v>0</v>
      </c>
      <c r="BD172" s="877"/>
      <c r="BE172" s="287">
        <f t="shared" ca="1" si="100"/>
        <v>-2.5515498960000005</v>
      </c>
      <c r="BF172" s="287">
        <f t="shared" ca="1" si="101"/>
        <v>-1.1093695200000002</v>
      </c>
      <c r="BG172" s="287">
        <f t="shared" ca="1" si="102"/>
        <v>-0.99843256800000024</v>
      </c>
      <c r="BH172" s="287">
        <f t="shared" ca="1" si="103"/>
        <v>0</v>
      </c>
      <c r="BI172" s="287">
        <f t="shared" ca="1" si="104"/>
        <v>0</v>
      </c>
      <c r="BJ172" s="877"/>
    </row>
    <row r="173" spans="34:62" ht="15" hidden="1" customHeight="1">
      <c r="AH173" s="186">
        <v>21</v>
      </c>
      <c r="AI173" s="186" t="b">
        <f t="shared" si="89"/>
        <v>0</v>
      </c>
      <c r="AJ173" s="186" t="b">
        <f t="shared" si="107"/>
        <v>0</v>
      </c>
      <c r="AK173" s="298" t="b">
        <f t="shared" si="105"/>
        <v>0</v>
      </c>
      <c r="AL173" s="145">
        <f t="shared" si="112"/>
        <v>-2.2399999999999998</v>
      </c>
      <c r="AM173" s="145">
        <f t="shared" si="113"/>
        <v>-1</v>
      </c>
      <c r="AN173" s="145">
        <f t="shared" si="114"/>
        <v>-0.9</v>
      </c>
      <c r="AO173" s="145">
        <v>0</v>
      </c>
      <c r="AP173" s="145">
        <v>0</v>
      </c>
      <c r="AQ173" s="877"/>
      <c r="AR173" s="287">
        <f t="shared" ca="1" si="90"/>
        <v>-2.4849877248000003</v>
      </c>
      <c r="AS173" s="287">
        <f t="shared" ca="1" si="91"/>
        <v>-1.1093695200000002</v>
      </c>
      <c r="AT173" s="287">
        <f t="shared" ca="1" si="92"/>
        <v>-0.99843256800000024</v>
      </c>
      <c r="AU173" s="287">
        <f t="shared" ca="1" si="93"/>
        <v>0</v>
      </c>
      <c r="AV173" s="287">
        <f t="shared" ca="1" si="94"/>
        <v>0</v>
      </c>
      <c r="AW173" s="877"/>
      <c r="AY173" s="145">
        <f t="shared" si="115"/>
        <v>-2.2399999999999998</v>
      </c>
      <c r="AZ173" s="145">
        <f t="shared" si="116"/>
        <v>-1</v>
      </c>
      <c r="BA173" s="145">
        <f t="shared" si="117"/>
        <v>-0.9</v>
      </c>
      <c r="BB173" s="145">
        <v>0</v>
      </c>
      <c r="BC173" s="145">
        <v>0</v>
      </c>
      <c r="BD173" s="877"/>
      <c r="BE173" s="287">
        <f t="shared" ca="1" si="100"/>
        <v>-2.4849877248000003</v>
      </c>
      <c r="BF173" s="287">
        <f t="shared" ca="1" si="101"/>
        <v>-1.1093695200000002</v>
      </c>
      <c r="BG173" s="287">
        <f t="shared" ca="1" si="102"/>
        <v>-0.99843256800000024</v>
      </c>
      <c r="BH173" s="287">
        <f t="shared" ca="1" si="103"/>
        <v>0</v>
      </c>
      <c r="BI173" s="287">
        <f t="shared" ca="1" si="104"/>
        <v>0</v>
      </c>
      <c r="BJ173" s="877"/>
    </row>
    <row r="174" spans="34:62" ht="15" hidden="1" customHeight="1">
      <c r="AH174" s="186">
        <v>22</v>
      </c>
      <c r="AI174" s="186" t="b">
        <f t="shared" si="89"/>
        <v>0</v>
      </c>
      <c r="AJ174" s="186" t="b">
        <f t="shared" si="107"/>
        <v>0</v>
      </c>
      <c r="AK174" s="298" t="b">
        <f t="shared" si="105"/>
        <v>0</v>
      </c>
      <c r="AL174" s="145">
        <f t="shared" si="112"/>
        <v>-2.1799999999999997</v>
      </c>
      <c r="AM174" s="145">
        <f t="shared" si="113"/>
        <v>-1</v>
      </c>
      <c r="AN174" s="145">
        <f t="shared" si="114"/>
        <v>-0.9</v>
      </c>
      <c r="AO174" s="145">
        <v>0</v>
      </c>
      <c r="AP174" s="145">
        <v>0</v>
      </c>
      <c r="AQ174" s="877"/>
      <c r="AR174" s="287">
        <f t="shared" ca="1" si="90"/>
        <v>-2.4184255536000001</v>
      </c>
      <c r="AS174" s="287">
        <f t="shared" ca="1" si="91"/>
        <v>-1.1093695200000002</v>
      </c>
      <c r="AT174" s="287">
        <f t="shared" ca="1" si="92"/>
        <v>-0.99843256800000024</v>
      </c>
      <c r="AU174" s="287">
        <f t="shared" ca="1" si="93"/>
        <v>0</v>
      </c>
      <c r="AV174" s="287">
        <f t="shared" ca="1" si="94"/>
        <v>0</v>
      </c>
      <c r="AW174" s="877"/>
      <c r="AY174" s="145">
        <f t="shared" si="115"/>
        <v>-2.1799999999999997</v>
      </c>
      <c r="AZ174" s="145">
        <f t="shared" si="116"/>
        <v>-1</v>
      </c>
      <c r="BA174" s="145">
        <f t="shared" si="117"/>
        <v>-0.9</v>
      </c>
      <c r="BB174" s="145">
        <v>0</v>
      </c>
      <c r="BC174" s="145">
        <v>0</v>
      </c>
      <c r="BD174" s="877"/>
      <c r="BE174" s="287">
        <f t="shared" ca="1" si="100"/>
        <v>-2.4184255536000001</v>
      </c>
      <c r="BF174" s="287">
        <f t="shared" ca="1" si="101"/>
        <v>-1.1093695200000002</v>
      </c>
      <c r="BG174" s="287">
        <f t="shared" ca="1" si="102"/>
        <v>-0.99843256800000024</v>
      </c>
      <c r="BH174" s="287">
        <f t="shared" ca="1" si="103"/>
        <v>0</v>
      </c>
      <c r="BI174" s="287">
        <f t="shared" ca="1" si="104"/>
        <v>0</v>
      </c>
      <c r="BJ174" s="877"/>
    </row>
    <row r="175" spans="34:62" ht="15" hidden="1" customHeight="1">
      <c r="AH175" s="186">
        <v>23</v>
      </c>
      <c r="AI175" s="186" t="b">
        <f t="shared" si="89"/>
        <v>0</v>
      </c>
      <c r="AJ175" s="186" t="b">
        <f t="shared" si="107"/>
        <v>0</v>
      </c>
      <c r="AK175" s="298" t="b">
        <f t="shared" si="105"/>
        <v>0</v>
      </c>
      <c r="AL175" s="145">
        <f t="shared" si="112"/>
        <v>-2.1199999999999997</v>
      </c>
      <c r="AM175" s="145">
        <f t="shared" si="113"/>
        <v>-1</v>
      </c>
      <c r="AN175" s="145">
        <f t="shared" si="114"/>
        <v>-0.9</v>
      </c>
      <c r="AO175" s="145">
        <v>0</v>
      </c>
      <c r="AP175" s="145">
        <v>0</v>
      </c>
      <c r="AQ175" s="877"/>
      <c r="AR175" s="287">
        <f t="shared" ca="1" si="90"/>
        <v>-2.3518633823999999</v>
      </c>
      <c r="AS175" s="287">
        <f t="shared" ca="1" si="91"/>
        <v>-1.1093695200000002</v>
      </c>
      <c r="AT175" s="287">
        <f t="shared" ca="1" si="92"/>
        <v>-0.99843256800000024</v>
      </c>
      <c r="AU175" s="287">
        <f t="shared" ca="1" si="93"/>
        <v>0</v>
      </c>
      <c r="AV175" s="287">
        <f t="shared" ca="1" si="94"/>
        <v>0</v>
      </c>
      <c r="AW175" s="877"/>
      <c r="AY175" s="145">
        <f t="shared" si="115"/>
        <v>-2.1199999999999997</v>
      </c>
      <c r="AZ175" s="145">
        <f t="shared" si="116"/>
        <v>-1</v>
      </c>
      <c r="BA175" s="145">
        <f t="shared" si="117"/>
        <v>-0.9</v>
      </c>
      <c r="BB175" s="145">
        <v>0</v>
      </c>
      <c r="BC175" s="145">
        <v>0</v>
      </c>
      <c r="BD175" s="877"/>
      <c r="BE175" s="287">
        <f t="shared" ca="1" si="100"/>
        <v>-2.3518633823999999</v>
      </c>
      <c r="BF175" s="287">
        <f t="shared" ca="1" si="101"/>
        <v>-1.1093695200000002</v>
      </c>
      <c r="BG175" s="287">
        <f t="shared" ca="1" si="102"/>
        <v>-0.99843256800000024</v>
      </c>
      <c r="BH175" s="287">
        <f t="shared" ca="1" si="103"/>
        <v>0</v>
      </c>
      <c r="BI175" s="287">
        <f t="shared" ca="1" si="104"/>
        <v>0</v>
      </c>
      <c r="BJ175" s="877"/>
    </row>
    <row r="176" spans="34:62" ht="15" hidden="1" customHeight="1">
      <c r="AH176" s="186">
        <v>24</v>
      </c>
      <c r="AI176" s="186" t="b">
        <f t="shared" si="89"/>
        <v>0</v>
      </c>
      <c r="AJ176" s="186" t="b">
        <f t="shared" si="107"/>
        <v>0</v>
      </c>
      <c r="AK176" s="298" t="b">
        <f t="shared" si="105"/>
        <v>0</v>
      </c>
      <c r="AL176" s="145">
        <f t="shared" si="112"/>
        <v>-2.0599999999999996</v>
      </c>
      <c r="AM176" s="145">
        <f t="shared" si="113"/>
        <v>-1</v>
      </c>
      <c r="AN176" s="145">
        <f t="shared" si="114"/>
        <v>-0.9</v>
      </c>
      <c r="AO176" s="145">
        <v>0</v>
      </c>
      <c r="AP176" s="145">
        <v>0</v>
      </c>
      <c r="AQ176" s="877"/>
      <c r="AR176" s="287">
        <f t="shared" ca="1" si="90"/>
        <v>-2.2853012112000002</v>
      </c>
      <c r="AS176" s="287">
        <f t="shared" ca="1" si="91"/>
        <v>-1.1093695200000002</v>
      </c>
      <c r="AT176" s="287">
        <f t="shared" ca="1" si="92"/>
        <v>-0.99843256800000024</v>
      </c>
      <c r="AU176" s="287">
        <f t="shared" ca="1" si="93"/>
        <v>0</v>
      </c>
      <c r="AV176" s="287">
        <f t="shared" ca="1" si="94"/>
        <v>0</v>
      </c>
      <c r="AW176" s="877"/>
      <c r="AY176" s="145">
        <f t="shared" si="115"/>
        <v>-2.0599999999999996</v>
      </c>
      <c r="AZ176" s="145">
        <f t="shared" si="116"/>
        <v>-1</v>
      </c>
      <c r="BA176" s="145">
        <f t="shared" si="117"/>
        <v>-0.9</v>
      </c>
      <c r="BB176" s="145">
        <v>0</v>
      </c>
      <c r="BC176" s="145">
        <v>0</v>
      </c>
      <c r="BD176" s="877"/>
      <c r="BE176" s="287">
        <f t="shared" ca="1" si="100"/>
        <v>-2.2853012112000002</v>
      </c>
      <c r="BF176" s="287">
        <f t="shared" ca="1" si="101"/>
        <v>-1.1093695200000002</v>
      </c>
      <c r="BG176" s="287">
        <f t="shared" ca="1" si="102"/>
        <v>-0.99843256800000024</v>
      </c>
      <c r="BH176" s="287">
        <f t="shared" ca="1" si="103"/>
        <v>0</v>
      </c>
      <c r="BI176" s="287">
        <f t="shared" ca="1" si="104"/>
        <v>0</v>
      </c>
      <c r="BJ176" s="877"/>
    </row>
    <row r="177" spans="34:62" ht="15" hidden="1" customHeight="1">
      <c r="AH177" s="186">
        <v>25</v>
      </c>
      <c r="AI177" s="186" t="b">
        <f t="shared" si="89"/>
        <v>0</v>
      </c>
      <c r="AJ177" s="186" t="b">
        <f t="shared" si="107"/>
        <v>0</v>
      </c>
      <c r="AK177" s="298" t="b">
        <f t="shared" si="105"/>
        <v>0</v>
      </c>
      <c r="AL177" s="145">
        <f t="shared" si="112"/>
        <v>-1.9999999999999996</v>
      </c>
      <c r="AM177" s="145">
        <f t="shared" si="113"/>
        <v>-1</v>
      </c>
      <c r="AN177" s="145">
        <f t="shared" si="114"/>
        <v>-0.9</v>
      </c>
      <c r="AO177" s="145">
        <v>0</v>
      </c>
      <c r="AP177" s="145">
        <v>0</v>
      </c>
      <c r="AQ177" s="877"/>
      <c r="AR177" s="287">
        <f t="shared" ca="1" si="90"/>
        <v>-2.21873904</v>
      </c>
      <c r="AS177" s="287">
        <f t="shared" ca="1" si="91"/>
        <v>-1.1093695200000002</v>
      </c>
      <c r="AT177" s="287">
        <f t="shared" ca="1" si="92"/>
        <v>-0.99843256800000024</v>
      </c>
      <c r="AU177" s="287">
        <f t="shared" ca="1" si="93"/>
        <v>0</v>
      </c>
      <c r="AV177" s="287">
        <f t="shared" ca="1" si="94"/>
        <v>0</v>
      </c>
      <c r="AW177" s="877"/>
      <c r="AY177" s="145">
        <f t="shared" si="115"/>
        <v>-1.9999999999999996</v>
      </c>
      <c r="AZ177" s="145">
        <f t="shared" si="116"/>
        <v>-1</v>
      </c>
      <c r="BA177" s="145">
        <f t="shared" si="117"/>
        <v>-0.9</v>
      </c>
      <c r="BB177" s="145">
        <v>0</v>
      </c>
      <c r="BC177" s="145">
        <v>0</v>
      </c>
      <c r="BD177" s="877"/>
      <c r="BE177" s="287">
        <f t="shared" ca="1" si="100"/>
        <v>-2.21873904</v>
      </c>
      <c r="BF177" s="287">
        <f t="shared" ca="1" si="101"/>
        <v>-1.1093695200000002</v>
      </c>
      <c r="BG177" s="287">
        <f t="shared" ca="1" si="102"/>
        <v>-0.99843256800000024</v>
      </c>
      <c r="BH177" s="287">
        <f t="shared" ca="1" si="103"/>
        <v>0</v>
      </c>
      <c r="BI177" s="287">
        <f t="shared" ca="1" si="104"/>
        <v>0</v>
      </c>
      <c r="BJ177" s="877"/>
    </row>
    <row r="178" spans="34:62" ht="15" hidden="1" customHeight="1">
      <c r="AH178" s="186">
        <v>26</v>
      </c>
      <c r="AI178" s="186" t="b">
        <f t="shared" si="89"/>
        <v>0</v>
      </c>
      <c r="AJ178" s="186" t="b">
        <f t="shared" si="107"/>
        <v>0</v>
      </c>
      <c r="AK178" s="298" t="b">
        <f t="shared" si="105"/>
        <v>0</v>
      </c>
      <c r="AL178" s="145">
        <f t="shared" si="112"/>
        <v>-1.9399999999999995</v>
      </c>
      <c r="AM178" s="145">
        <f t="shared" si="113"/>
        <v>-1</v>
      </c>
      <c r="AN178" s="145">
        <f t="shared" si="114"/>
        <v>-0.9</v>
      </c>
      <c r="AO178" s="145">
        <v>0</v>
      </c>
      <c r="AP178" s="145">
        <v>0</v>
      </c>
      <c r="AQ178" s="877"/>
      <c r="AR178" s="287">
        <f t="shared" ca="1" si="90"/>
        <v>-2.1521768687999998</v>
      </c>
      <c r="AS178" s="287">
        <f t="shared" ca="1" si="91"/>
        <v>-1.1093695200000002</v>
      </c>
      <c r="AT178" s="287">
        <f t="shared" ca="1" si="92"/>
        <v>-0.99843256800000024</v>
      </c>
      <c r="AU178" s="287">
        <f t="shared" ca="1" si="93"/>
        <v>0</v>
      </c>
      <c r="AV178" s="287">
        <f t="shared" ca="1" si="94"/>
        <v>0</v>
      </c>
      <c r="AW178" s="877"/>
      <c r="AY178" s="145">
        <f t="shared" si="115"/>
        <v>-1.9399999999999995</v>
      </c>
      <c r="AZ178" s="145">
        <f t="shared" si="116"/>
        <v>-1</v>
      </c>
      <c r="BA178" s="145">
        <f t="shared" si="117"/>
        <v>-0.9</v>
      </c>
      <c r="BB178" s="145">
        <v>0</v>
      </c>
      <c r="BC178" s="145">
        <v>0</v>
      </c>
      <c r="BD178" s="877"/>
      <c r="BE178" s="287">
        <f t="shared" ca="1" si="100"/>
        <v>-2.1521768687999998</v>
      </c>
      <c r="BF178" s="287">
        <f t="shared" ca="1" si="101"/>
        <v>-1.1093695200000002</v>
      </c>
      <c r="BG178" s="287">
        <f t="shared" ca="1" si="102"/>
        <v>-0.99843256800000024</v>
      </c>
      <c r="BH178" s="287">
        <f t="shared" ca="1" si="103"/>
        <v>0</v>
      </c>
      <c r="BI178" s="287">
        <f t="shared" ca="1" si="104"/>
        <v>0</v>
      </c>
      <c r="BJ178" s="877"/>
    </row>
    <row r="179" spans="34:62" ht="15" hidden="1" customHeight="1">
      <c r="AH179" s="186">
        <v>27</v>
      </c>
      <c r="AI179" s="186" t="b">
        <f t="shared" si="89"/>
        <v>0</v>
      </c>
      <c r="AJ179" s="186" t="b">
        <f t="shared" si="107"/>
        <v>0</v>
      </c>
      <c r="AK179" s="298" t="b">
        <f t="shared" si="105"/>
        <v>0</v>
      </c>
      <c r="AL179" s="145">
        <f t="shared" si="112"/>
        <v>-1.8799999999999994</v>
      </c>
      <c r="AM179" s="145">
        <f t="shared" si="113"/>
        <v>-1</v>
      </c>
      <c r="AN179" s="145">
        <f t="shared" si="114"/>
        <v>-0.9</v>
      </c>
      <c r="AO179" s="145">
        <v>0</v>
      </c>
      <c r="AP179" s="145">
        <v>0</v>
      </c>
      <c r="AQ179" s="877"/>
      <c r="AR179" s="287">
        <f t="shared" ca="1" si="90"/>
        <v>-2.0856146975999996</v>
      </c>
      <c r="AS179" s="287">
        <f t="shared" ca="1" si="91"/>
        <v>-1.1093695200000002</v>
      </c>
      <c r="AT179" s="287">
        <f t="shared" ca="1" si="92"/>
        <v>-0.99843256800000024</v>
      </c>
      <c r="AU179" s="287">
        <f t="shared" ca="1" si="93"/>
        <v>0</v>
      </c>
      <c r="AV179" s="287">
        <f t="shared" ca="1" si="94"/>
        <v>0</v>
      </c>
      <c r="AW179" s="877"/>
      <c r="AY179" s="145">
        <f t="shared" si="115"/>
        <v>-1.8799999999999994</v>
      </c>
      <c r="AZ179" s="145">
        <f t="shared" si="116"/>
        <v>-1</v>
      </c>
      <c r="BA179" s="145">
        <f t="shared" si="117"/>
        <v>-0.9</v>
      </c>
      <c r="BB179" s="145">
        <v>0</v>
      </c>
      <c r="BC179" s="145">
        <v>0</v>
      </c>
      <c r="BD179" s="877"/>
      <c r="BE179" s="287">
        <f t="shared" ca="1" si="100"/>
        <v>-2.0856146975999996</v>
      </c>
      <c r="BF179" s="287">
        <f t="shared" ca="1" si="101"/>
        <v>-1.1093695200000002</v>
      </c>
      <c r="BG179" s="287">
        <f t="shared" ca="1" si="102"/>
        <v>-0.99843256800000024</v>
      </c>
      <c r="BH179" s="287">
        <f t="shared" ca="1" si="103"/>
        <v>0</v>
      </c>
      <c r="BI179" s="287">
        <f t="shared" ca="1" si="104"/>
        <v>0</v>
      </c>
      <c r="BJ179" s="877"/>
    </row>
    <row r="180" spans="34:62" ht="15" hidden="1" customHeight="1">
      <c r="AH180" s="186">
        <v>28</v>
      </c>
      <c r="AI180" s="186" t="b">
        <f t="shared" si="89"/>
        <v>0</v>
      </c>
      <c r="AJ180" s="186" t="b">
        <f t="shared" si="107"/>
        <v>0</v>
      </c>
      <c r="AK180" s="298" t="b">
        <f t="shared" si="105"/>
        <v>0</v>
      </c>
      <c r="AL180" s="145">
        <f t="shared" si="112"/>
        <v>-1.8199999999999994</v>
      </c>
      <c r="AM180" s="145">
        <f t="shared" si="113"/>
        <v>-1</v>
      </c>
      <c r="AN180" s="145">
        <f t="shared" si="114"/>
        <v>-0.9</v>
      </c>
      <c r="AO180" s="145">
        <v>0</v>
      </c>
      <c r="AP180" s="145">
        <v>0</v>
      </c>
      <c r="AQ180" s="877"/>
      <c r="AR180" s="287">
        <f t="shared" ca="1" si="90"/>
        <v>-2.0190525263999999</v>
      </c>
      <c r="AS180" s="287">
        <f t="shared" ca="1" si="91"/>
        <v>-1.1093695200000002</v>
      </c>
      <c r="AT180" s="287">
        <f t="shared" ca="1" si="92"/>
        <v>-0.99843256800000024</v>
      </c>
      <c r="AU180" s="287">
        <f t="shared" ca="1" si="93"/>
        <v>0</v>
      </c>
      <c r="AV180" s="287">
        <f t="shared" ca="1" si="94"/>
        <v>0</v>
      </c>
      <c r="AW180" s="877"/>
      <c r="AY180" s="145">
        <f t="shared" si="115"/>
        <v>-1.8199999999999994</v>
      </c>
      <c r="AZ180" s="145">
        <f t="shared" si="116"/>
        <v>-1</v>
      </c>
      <c r="BA180" s="145">
        <f t="shared" si="117"/>
        <v>-0.9</v>
      </c>
      <c r="BB180" s="145">
        <v>0</v>
      </c>
      <c r="BC180" s="145">
        <v>0</v>
      </c>
      <c r="BD180" s="877"/>
      <c r="BE180" s="287">
        <f t="shared" ca="1" si="100"/>
        <v>-2.0190525263999999</v>
      </c>
      <c r="BF180" s="287">
        <f t="shared" ca="1" si="101"/>
        <v>-1.1093695200000002</v>
      </c>
      <c r="BG180" s="287">
        <f t="shared" ca="1" si="102"/>
        <v>-0.99843256800000024</v>
      </c>
      <c r="BH180" s="287">
        <f t="shared" ca="1" si="103"/>
        <v>0</v>
      </c>
      <c r="BI180" s="287">
        <f t="shared" ca="1" si="104"/>
        <v>0</v>
      </c>
      <c r="BJ180" s="877"/>
    </row>
    <row r="181" spans="34:62" ht="15" hidden="1" customHeight="1">
      <c r="AH181" s="186">
        <v>29</v>
      </c>
      <c r="AI181" s="186" t="b">
        <f t="shared" si="89"/>
        <v>0</v>
      </c>
      <c r="AJ181" s="186" t="b">
        <f t="shared" si="107"/>
        <v>0</v>
      </c>
      <c r="AK181" s="298" t="b">
        <f t="shared" si="105"/>
        <v>0</v>
      </c>
      <c r="AL181" s="145">
        <f t="shared" si="112"/>
        <v>-1.7599999999999993</v>
      </c>
      <c r="AM181" s="145">
        <f t="shared" si="113"/>
        <v>-1</v>
      </c>
      <c r="AN181" s="145">
        <f t="shared" si="114"/>
        <v>-0.9</v>
      </c>
      <c r="AO181" s="145">
        <v>0</v>
      </c>
      <c r="AP181" s="145">
        <v>0</v>
      </c>
      <c r="AQ181" s="877"/>
      <c r="AR181" s="287">
        <f t="shared" ca="1" si="90"/>
        <v>-1.9524903551999997</v>
      </c>
      <c r="AS181" s="287">
        <f t="shared" ca="1" si="91"/>
        <v>-1.1093695200000002</v>
      </c>
      <c r="AT181" s="287">
        <f t="shared" ca="1" si="92"/>
        <v>-0.99843256800000024</v>
      </c>
      <c r="AU181" s="287">
        <f t="shared" ca="1" si="93"/>
        <v>0</v>
      </c>
      <c r="AV181" s="287">
        <f t="shared" ca="1" si="94"/>
        <v>0</v>
      </c>
      <c r="AW181" s="877"/>
      <c r="AY181" s="145">
        <f t="shared" si="115"/>
        <v>-1.7599999999999993</v>
      </c>
      <c r="AZ181" s="145">
        <f t="shared" si="116"/>
        <v>-1</v>
      </c>
      <c r="BA181" s="145">
        <f t="shared" si="117"/>
        <v>-0.9</v>
      </c>
      <c r="BB181" s="145">
        <v>0</v>
      </c>
      <c r="BC181" s="145">
        <v>0</v>
      </c>
      <c r="BD181" s="877"/>
      <c r="BE181" s="287">
        <f t="shared" ca="1" si="100"/>
        <v>-1.9524903551999997</v>
      </c>
      <c r="BF181" s="287">
        <f t="shared" ca="1" si="101"/>
        <v>-1.1093695200000002</v>
      </c>
      <c r="BG181" s="287">
        <f t="shared" ca="1" si="102"/>
        <v>-0.99843256800000024</v>
      </c>
      <c r="BH181" s="287">
        <f t="shared" ca="1" si="103"/>
        <v>0</v>
      </c>
      <c r="BI181" s="287">
        <f t="shared" ca="1" si="104"/>
        <v>0</v>
      </c>
      <c r="BJ181" s="877"/>
    </row>
    <row r="182" spans="34:62" ht="15" hidden="1" customHeight="1">
      <c r="AH182" s="186">
        <v>30</v>
      </c>
      <c r="AI182" s="186" t="b">
        <f t="shared" si="89"/>
        <v>0</v>
      </c>
      <c r="AJ182" s="186" t="b">
        <f t="shared" si="107"/>
        <v>0</v>
      </c>
      <c r="AK182" s="298" t="b">
        <f t="shared" si="105"/>
        <v>0</v>
      </c>
      <c r="AL182" s="287">
        <v>-1.7</v>
      </c>
      <c r="AM182" s="287">
        <v>-1</v>
      </c>
      <c r="AN182" s="287">
        <v>-0.9</v>
      </c>
      <c r="AO182" s="287">
        <v>0</v>
      </c>
      <c r="AP182" s="287">
        <v>0</v>
      </c>
      <c r="AQ182" s="877"/>
      <c r="AR182" s="287">
        <f t="shared" ca="1" si="90"/>
        <v>-1.8859281840000004</v>
      </c>
      <c r="AS182" s="287">
        <f t="shared" ca="1" si="91"/>
        <v>-1.1093695200000002</v>
      </c>
      <c r="AT182" s="287">
        <f t="shared" ca="1" si="92"/>
        <v>-0.99843256800000024</v>
      </c>
      <c r="AU182" s="287">
        <f t="shared" ca="1" si="93"/>
        <v>0</v>
      </c>
      <c r="AV182" s="287">
        <f t="shared" ca="1" si="94"/>
        <v>0</v>
      </c>
      <c r="AW182" s="877"/>
      <c r="AY182" s="287">
        <v>-1.7</v>
      </c>
      <c r="AZ182" s="287">
        <v>-1</v>
      </c>
      <c r="BA182" s="287">
        <v>-0.9</v>
      </c>
      <c r="BB182" s="287">
        <v>0</v>
      </c>
      <c r="BC182" s="287">
        <v>0</v>
      </c>
      <c r="BD182" s="877"/>
      <c r="BE182" s="287">
        <f t="shared" ca="1" si="100"/>
        <v>-1.8859281840000004</v>
      </c>
      <c r="BF182" s="287">
        <f t="shared" ca="1" si="101"/>
        <v>-1.1093695200000002</v>
      </c>
      <c r="BG182" s="287">
        <f t="shared" ca="1" si="102"/>
        <v>-0.99843256800000024</v>
      </c>
      <c r="BH182" s="287">
        <f t="shared" ca="1" si="103"/>
        <v>0</v>
      </c>
      <c r="BI182" s="287">
        <f t="shared" ca="1" si="104"/>
        <v>0</v>
      </c>
      <c r="BJ182" s="877"/>
    </row>
    <row r="183" spans="34:62" ht="15" hidden="1" customHeight="1">
      <c r="AH183" s="186">
        <v>31</v>
      </c>
      <c r="AI183" s="186" t="b">
        <f t="shared" si="89"/>
        <v>0</v>
      </c>
      <c r="AJ183" s="186" t="b">
        <f t="shared" si="107"/>
        <v>0</v>
      </c>
      <c r="AK183" s="298" t="b">
        <f t="shared" si="105"/>
        <v>0</v>
      </c>
      <c r="AL183" s="145">
        <f>+ABS($AL$182-$AL$197)/15+AL182</f>
        <v>-1.6466666666666667</v>
      </c>
      <c r="AM183" s="145">
        <f>+ABS($AM$182-$AM$197)/15+AM182</f>
        <v>-0.98666666666666669</v>
      </c>
      <c r="AN183" s="145">
        <f>+ABS($AN$182-$AN$197)/15+AN182</f>
        <v>-0.9</v>
      </c>
      <c r="AO183" s="145">
        <v>0</v>
      </c>
      <c r="AP183" s="145">
        <v>0</v>
      </c>
      <c r="AQ183" s="877"/>
      <c r="AR183" s="287">
        <f t="shared" ca="1" si="90"/>
        <v>-1.8267618096000005</v>
      </c>
      <c r="AS183" s="287">
        <f t="shared" ca="1" si="91"/>
        <v>-1.0945779264000002</v>
      </c>
      <c r="AT183" s="287">
        <f t="shared" ca="1" si="92"/>
        <v>-0.99843256800000024</v>
      </c>
      <c r="AU183" s="287">
        <f t="shared" ca="1" si="93"/>
        <v>0</v>
      </c>
      <c r="AV183" s="287">
        <f t="shared" ca="1" si="94"/>
        <v>0</v>
      </c>
      <c r="AW183" s="877"/>
      <c r="AY183" s="145">
        <f>+ABS($AL$182-$AL$197)/15+AY182</f>
        <v>-1.6466666666666667</v>
      </c>
      <c r="AZ183" s="145">
        <f>+ABS($AM$182-$AM$197)/15+AZ182</f>
        <v>-0.98666666666666669</v>
      </c>
      <c r="BA183" s="145">
        <f>+ABS($AN$182-$AN$197)/15+BA182</f>
        <v>-0.9</v>
      </c>
      <c r="BB183" s="145">
        <v>0</v>
      </c>
      <c r="BC183" s="145">
        <v>0</v>
      </c>
      <c r="BD183" s="877"/>
      <c r="BE183" s="287">
        <f t="shared" ca="1" si="100"/>
        <v>-1.8267618096000005</v>
      </c>
      <c r="BF183" s="287">
        <f t="shared" ca="1" si="101"/>
        <v>-1.0945779264000002</v>
      </c>
      <c r="BG183" s="287">
        <f t="shared" ca="1" si="102"/>
        <v>-0.99843256800000024</v>
      </c>
      <c r="BH183" s="287">
        <f t="shared" ca="1" si="103"/>
        <v>0</v>
      </c>
      <c r="BI183" s="287">
        <f t="shared" ca="1" si="104"/>
        <v>0</v>
      </c>
      <c r="BJ183" s="877"/>
    </row>
    <row r="184" spans="34:62" ht="15" hidden="1" customHeight="1">
      <c r="AH184" s="186">
        <v>32</v>
      </c>
      <c r="AI184" s="186" t="b">
        <f t="shared" si="89"/>
        <v>0</v>
      </c>
      <c r="AJ184" s="186" t="b">
        <f t="shared" si="107"/>
        <v>0</v>
      </c>
      <c r="AK184" s="298" t="b">
        <f t="shared" si="105"/>
        <v>0</v>
      </c>
      <c r="AL184" s="145">
        <f t="shared" ref="AL184:AL196" si="118">+ABS($AL$182-$AL$197)/15+AL183</f>
        <v>-1.5933333333333335</v>
      </c>
      <c r="AM184" s="145">
        <f t="shared" ref="AM184:AM196" si="119">+ABS($AM$182-$AM$197)/15+AM183</f>
        <v>-0.97333333333333338</v>
      </c>
      <c r="AN184" s="145">
        <f t="shared" ref="AN184:AN196" si="120">+ABS($AN$182-$AN$197)/15+AN183</f>
        <v>-0.9</v>
      </c>
      <c r="AO184" s="145">
        <v>0</v>
      </c>
      <c r="AP184" s="145">
        <v>0</v>
      </c>
      <c r="AQ184" s="877"/>
      <c r="AR184" s="287">
        <f t="shared" ca="1" si="90"/>
        <v>-1.7675954352000005</v>
      </c>
      <c r="AS184" s="287">
        <f t="shared" ca="1" si="91"/>
        <v>-1.0797863328000004</v>
      </c>
      <c r="AT184" s="287">
        <f t="shared" ca="1" si="92"/>
        <v>-0.99843256800000024</v>
      </c>
      <c r="AU184" s="287">
        <f t="shared" ca="1" si="93"/>
        <v>0</v>
      </c>
      <c r="AV184" s="287">
        <f t="shared" ca="1" si="94"/>
        <v>0</v>
      </c>
      <c r="AW184" s="877"/>
      <c r="AY184" s="145">
        <f t="shared" ref="AY184:AY196" si="121">+ABS($AL$182-$AL$197)/15+AY183</f>
        <v>-1.5933333333333335</v>
      </c>
      <c r="AZ184" s="145">
        <f t="shared" ref="AZ184:AZ196" si="122">+ABS($AM$182-$AM$197)/15+AZ183</f>
        <v>-0.97333333333333338</v>
      </c>
      <c r="BA184" s="145">
        <f t="shared" ref="BA184:BA196" si="123">+ABS($AN$182-$AN$197)/15+BA183</f>
        <v>-0.9</v>
      </c>
      <c r="BB184" s="145">
        <v>0</v>
      </c>
      <c r="BC184" s="145">
        <v>0</v>
      </c>
      <c r="BD184" s="877"/>
      <c r="BE184" s="287">
        <f t="shared" ca="1" si="100"/>
        <v>-1.7675954352000005</v>
      </c>
      <c r="BF184" s="287">
        <f t="shared" ca="1" si="101"/>
        <v>-1.0797863328000004</v>
      </c>
      <c r="BG184" s="287">
        <f t="shared" ca="1" si="102"/>
        <v>-0.99843256800000024</v>
      </c>
      <c r="BH184" s="287">
        <f t="shared" ca="1" si="103"/>
        <v>0</v>
      </c>
      <c r="BI184" s="287">
        <f t="shared" ca="1" si="104"/>
        <v>0</v>
      </c>
      <c r="BJ184" s="877"/>
    </row>
    <row r="185" spans="34:62" ht="15" hidden="1" customHeight="1">
      <c r="AH185" s="186">
        <v>33</v>
      </c>
      <c r="AI185" s="186" t="b">
        <f t="shared" si="89"/>
        <v>0</v>
      </c>
      <c r="AJ185" s="186" t="b">
        <f t="shared" si="107"/>
        <v>0</v>
      </c>
      <c r="AK185" s="298" t="b">
        <f t="shared" si="105"/>
        <v>0</v>
      </c>
      <c r="AL185" s="145">
        <f t="shared" si="118"/>
        <v>-1.5400000000000003</v>
      </c>
      <c r="AM185" s="145">
        <f t="shared" si="119"/>
        <v>-0.96000000000000008</v>
      </c>
      <c r="AN185" s="145">
        <f t="shared" si="120"/>
        <v>-0.9</v>
      </c>
      <c r="AO185" s="145">
        <v>0</v>
      </c>
      <c r="AP185" s="145">
        <v>0</v>
      </c>
      <c r="AQ185" s="877"/>
      <c r="AR185" s="287">
        <f t="shared" ca="1" si="90"/>
        <v>-1.7084290608000006</v>
      </c>
      <c r="AS185" s="287">
        <f t="shared" ca="1" si="91"/>
        <v>-1.0649947392000003</v>
      </c>
      <c r="AT185" s="287">
        <f t="shared" ca="1" si="92"/>
        <v>-0.99843256800000024</v>
      </c>
      <c r="AU185" s="287">
        <f t="shared" ca="1" si="93"/>
        <v>0</v>
      </c>
      <c r="AV185" s="287">
        <f t="shared" ca="1" si="94"/>
        <v>0</v>
      </c>
      <c r="AW185" s="877"/>
      <c r="AY185" s="145">
        <f t="shared" si="121"/>
        <v>-1.5400000000000003</v>
      </c>
      <c r="AZ185" s="145">
        <f t="shared" si="122"/>
        <v>-0.96000000000000008</v>
      </c>
      <c r="BA185" s="145">
        <f t="shared" si="123"/>
        <v>-0.9</v>
      </c>
      <c r="BB185" s="145">
        <v>0</v>
      </c>
      <c r="BC185" s="145">
        <v>0</v>
      </c>
      <c r="BD185" s="877"/>
      <c r="BE185" s="287">
        <f t="shared" ca="1" si="100"/>
        <v>-1.7084290608000006</v>
      </c>
      <c r="BF185" s="287">
        <f t="shared" ca="1" si="101"/>
        <v>-1.0649947392000003</v>
      </c>
      <c r="BG185" s="287">
        <f t="shared" ca="1" si="102"/>
        <v>-0.99843256800000024</v>
      </c>
      <c r="BH185" s="287">
        <f t="shared" ca="1" si="103"/>
        <v>0</v>
      </c>
      <c r="BI185" s="287">
        <f t="shared" ca="1" si="104"/>
        <v>0</v>
      </c>
      <c r="BJ185" s="877"/>
    </row>
    <row r="186" spans="34:62" ht="15" hidden="1" customHeight="1">
      <c r="AH186" s="186">
        <v>34</v>
      </c>
      <c r="AI186" s="186" t="b">
        <f t="shared" si="89"/>
        <v>0</v>
      </c>
      <c r="AJ186" s="186" t="b">
        <f t="shared" si="107"/>
        <v>0</v>
      </c>
      <c r="AK186" s="298" t="b">
        <f t="shared" si="105"/>
        <v>0</v>
      </c>
      <c r="AL186" s="145">
        <f t="shared" si="118"/>
        <v>-1.486666666666667</v>
      </c>
      <c r="AM186" s="145">
        <f t="shared" si="119"/>
        <v>-0.94666666666666677</v>
      </c>
      <c r="AN186" s="145">
        <f t="shared" si="120"/>
        <v>-0.9</v>
      </c>
      <c r="AO186" s="145">
        <v>0</v>
      </c>
      <c r="AP186" s="145">
        <v>0</v>
      </c>
      <c r="AQ186" s="877"/>
      <c r="AR186" s="287">
        <f t="shared" ca="1" si="90"/>
        <v>-1.6492626864000006</v>
      </c>
      <c r="AS186" s="287">
        <f t="shared" ca="1" si="91"/>
        <v>-1.0502031456000003</v>
      </c>
      <c r="AT186" s="287">
        <f t="shared" ca="1" si="92"/>
        <v>-0.99843256800000024</v>
      </c>
      <c r="AU186" s="287">
        <f t="shared" ca="1" si="93"/>
        <v>0</v>
      </c>
      <c r="AV186" s="287">
        <f t="shared" ca="1" si="94"/>
        <v>0</v>
      </c>
      <c r="AW186" s="877"/>
      <c r="AY186" s="145">
        <f t="shared" si="121"/>
        <v>-1.486666666666667</v>
      </c>
      <c r="AZ186" s="145">
        <f t="shared" si="122"/>
        <v>-0.94666666666666677</v>
      </c>
      <c r="BA186" s="145">
        <f t="shared" si="123"/>
        <v>-0.9</v>
      </c>
      <c r="BB186" s="145">
        <v>0</v>
      </c>
      <c r="BC186" s="145">
        <v>0</v>
      </c>
      <c r="BD186" s="877"/>
      <c r="BE186" s="287">
        <f t="shared" ca="1" si="100"/>
        <v>-1.6492626864000006</v>
      </c>
      <c r="BF186" s="287">
        <f t="shared" ca="1" si="101"/>
        <v>-1.0502031456000003</v>
      </c>
      <c r="BG186" s="287">
        <f t="shared" ca="1" si="102"/>
        <v>-0.99843256800000024</v>
      </c>
      <c r="BH186" s="287">
        <f t="shared" ca="1" si="103"/>
        <v>0</v>
      </c>
      <c r="BI186" s="287">
        <f t="shared" ca="1" si="104"/>
        <v>0</v>
      </c>
      <c r="BJ186" s="877"/>
    </row>
    <row r="187" spans="34:62" ht="15" hidden="1" customHeight="1">
      <c r="AH187" s="186">
        <v>35</v>
      </c>
      <c r="AI187" s="186" t="b">
        <f t="shared" si="89"/>
        <v>0</v>
      </c>
      <c r="AJ187" s="186" t="b">
        <f t="shared" si="107"/>
        <v>0</v>
      </c>
      <c r="AK187" s="298" t="b">
        <f t="shared" si="105"/>
        <v>0</v>
      </c>
      <c r="AL187" s="145">
        <f t="shared" si="118"/>
        <v>-1.4333333333333338</v>
      </c>
      <c r="AM187" s="145">
        <f t="shared" si="119"/>
        <v>-0.93333333333333346</v>
      </c>
      <c r="AN187" s="145">
        <f t="shared" si="120"/>
        <v>-0.9</v>
      </c>
      <c r="AO187" s="145">
        <v>0</v>
      </c>
      <c r="AP187" s="145">
        <v>0</v>
      </c>
      <c r="AQ187" s="877"/>
      <c r="AR187" s="287">
        <f t="shared" ca="1" si="90"/>
        <v>-1.5900963120000009</v>
      </c>
      <c r="AS187" s="287">
        <f t="shared" ca="1" si="91"/>
        <v>-1.0354115520000002</v>
      </c>
      <c r="AT187" s="287">
        <f t="shared" ca="1" si="92"/>
        <v>-0.99843256800000024</v>
      </c>
      <c r="AU187" s="287">
        <f t="shared" ca="1" si="93"/>
        <v>0</v>
      </c>
      <c r="AV187" s="287">
        <f t="shared" ca="1" si="94"/>
        <v>0</v>
      </c>
      <c r="AW187" s="877"/>
      <c r="AY187" s="145">
        <f t="shared" si="121"/>
        <v>-1.4333333333333338</v>
      </c>
      <c r="AZ187" s="145">
        <f t="shared" si="122"/>
        <v>-0.93333333333333346</v>
      </c>
      <c r="BA187" s="145">
        <f t="shared" si="123"/>
        <v>-0.9</v>
      </c>
      <c r="BB187" s="145">
        <v>0</v>
      </c>
      <c r="BC187" s="145">
        <v>0</v>
      </c>
      <c r="BD187" s="877"/>
      <c r="BE187" s="287">
        <f t="shared" ca="1" si="100"/>
        <v>-1.5900963120000009</v>
      </c>
      <c r="BF187" s="287">
        <f t="shared" ca="1" si="101"/>
        <v>-1.0354115520000002</v>
      </c>
      <c r="BG187" s="287">
        <f t="shared" ca="1" si="102"/>
        <v>-0.99843256800000024</v>
      </c>
      <c r="BH187" s="287">
        <f t="shared" ca="1" si="103"/>
        <v>0</v>
      </c>
      <c r="BI187" s="287">
        <f t="shared" ca="1" si="104"/>
        <v>0</v>
      </c>
      <c r="BJ187" s="877"/>
    </row>
    <row r="188" spans="34:62" ht="15" hidden="1" customHeight="1">
      <c r="AH188" s="186">
        <v>36</v>
      </c>
      <c r="AI188" s="186" t="b">
        <f t="shared" si="89"/>
        <v>0</v>
      </c>
      <c r="AJ188" s="186" t="b">
        <f t="shared" si="107"/>
        <v>0</v>
      </c>
      <c r="AK188" s="298" t="b">
        <f t="shared" si="105"/>
        <v>0</v>
      </c>
      <c r="AL188" s="145">
        <f t="shared" si="118"/>
        <v>-1.3800000000000006</v>
      </c>
      <c r="AM188" s="145">
        <f t="shared" si="119"/>
        <v>-0.92000000000000015</v>
      </c>
      <c r="AN188" s="145">
        <f t="shared" si="120"/>
        <v>-0.9</v>
      </c>
      <c r="AO188" s="145">
        <v>0</v>
      </c>
      <c r="AP188" s="145">
        <v>0</v>
      </c>
      <c r="AQ188" s="877"/>
      <c r="AR188" s="287">
        <f t="shared" ca="1" si="90"/>
        <v>-1.530929937600001</v>
      </c>
      <c r="AS188" s="287">
        <f t="shared" ca="1" si="91"/>
        <v>-1.0206199584000004</v>
      </c>
      <c r="AT188" s="287">
        <f t="shared" ca="1" si="92"/>
        <v>-0.99843256800000024</v>
      </c>
      <c r="AU188" s="287">
        <f t="shared" ca="1" si="93"/>
        <v>0</v>
      </c>
      <c r="AV188" s="287">
        <f t="shared" ca="1" si="94"/>
        <v>0</v>
      </c>
      <c r="AW188" s="877"/>
      <c r="AY188" s="145">
        <f t="shared" si="121"/>
        <v>-1.3800000000000006</v>
      </c>
      <c r="AZ188" s="145">
        <f t="shared" si="122"/>
        <v>-0.92000000000000015</v>
      </c>
      <c r="BA188" s="145">
        <f t="shared" si="123"/>
        <v>-0.9</v>
      </c>
      <c r="BB188" s="145">
        <v>0</v>
      </c>
      <c r="BC188" s="145">
        <v>0</v>
      </c>
      <c r="BD188" s="877"/>
      <c r="BE188" s="287">
        <f t="shared" ca="1" si="100"/>
        <v>-1.530929937600001</v>
      </c>
      <c r="BF188" s="287">
        <f t="shared" ca="1" si="101"/>
        <v>-1.0206199584000004</v>
      </c>
      <c r="BG188" s="287">
        <f t="shared" ca="1" si="102"/>
        <v>-0.99843256800000024</v>
      </c>
      <c r="BH188" s="287">
        <f t="shared" ca="1" si="103"/>
        <v>0</v>
      </c>
      <c r="BI188" s="287">
        <f t="shared" ca="1" si="104"/>
        <v>0</v>
      </c>
      <c r="BJ188" s="877"/>
    </row>
    <row r="189" spans="34:62" ht="15" hidden="1" customHeight="1">
      <c r="AH189" s="186">
        <v>37</v>
      </c>
      <c r="AI189" s="186" t="b">
        <f t="shared" si="89"/>
        <v>0</v>
      </c>
      <c r="AJ189" s="186" t="b">
        <f t="shared" si="107"/>
        <v>0</v>
      </c>
      <c r="AK189" s="298" t="b">
        <f t="shared" si="105"/>
        <v>0</v>
      </c>
      <c r="AL189" s="145">
        <f t="shared" si="118"/>
        <v>-1.3266666666666673</v>
      </c>
      <c r="AM189" s="145">
        <f t="shared" si="119"/>
        <v>-0.90666666666666684</v>
      </c>
      <c r="AN189" s="145">
        <f t="shared" si="120"/>
        <v>-0.9</v>
      </c>
      <c r="AO189" s="145">
        <v>0</v>
      </c>
      <c r="AP189" s="145">
        <v>0</v>
      </c>
      <c r="AQ189" s="877"/>
      <c r="AR189" s="287">
        <f t="shared" ca="1" si="90"/>
        <v>-1.471763563200001</v>
      </c>
      <c r="AS189" s="287">
        <f t="shared" ca="1" si="91"/>
        <v>-1.0058283648000004</v>
      </c>
      <c r="AT189" s="287">
        <f t="shared" ca="1" si="92"/>
        <v>-0.99843256800000024</v>
      </c>
      <c r="AU189" s="287">
        <f t="shared" ca="1" si="93"/>
        <v>0</v>
      </c>
      <c r="AV189" s="287">
        <f t="shared" ca="1" si="94"/>
        <v>0</v>
      </c>
      <c r="AW189" s="877"/>
      <c r="AY189" s="145">
        <f t="shared" si="121"/>
        <v>-1.3266666666666673</v>
      </c>
      <c r="AZ189" s="145">
        <f t="shared" si="122"/>
        <v>-0.90666666666666684</v>
      </c>
      <c r="BA189" s="145">
        <f t="shared" si="123"/>
        <v>-0.9</v>
      </c>
      <c r="BB189" s="145">
        <v>0</v>
      </c>
      <c r="BC189" s="145">
        <v>0</v>
      </c>
      <c r="BD189" s="877"/>
      <c r="BE189" s="287">
        <f t="shared" ca="1" si="100"/>
        <v>-1.471763563200001</v>
      </c>
      <c r="BF189" s="287">
        <f t="shared" ca="1" si="101"/>
        <v>-1.0058283648000004</v>
      </c>
      <c r="BG189" s="287">
        <f t="shared" ca="1" si="102"/>
        <v>-0.99843256800000024</v>
      </c>
      <c r="BH189" s="287">
        <f t="shared" ca="1" si="103"/>
        <v>0</v>
      </c>
      <c r="BI189" s="287">
        <f t="shared" ca="1" si="104"/>
        <v>0</v>
      </c>
      <c r="BJ189" s="877"/>
    </row>
    <row r="190" spans="34:62" ht="15" hidden="1" customHeight="1">
      <c r="AH190" s="186">
        <v>38</v>
      </c>
      <c r="AI190" s="186" t="b">
        <f t="shared" si="89"/>
        <v>0</v>
      </c>
      <c r="AJ190" s="186" t="b">
        <f t="shared" si="107"/>
        <v>0</v>
      </c>
      <c r="AK190" s="298" t="b">
        <f t="shared" si="105"/>
        <v>0</v>
      </c>
      <c r="AL190" s="145">
        <f t="shared" si="118"/>
        <v>-1.2733333333333341</v>
      </c>
      <c r="AM190" s="145">
        <f t="shared" si="119"/>
        <v>-0.89333333333333353</v>
      </c>
      <c r="AN190" s="145">
        <f t="shared" si="120"/>
        <v>-0.9</v>
      </c>
      <c r="AO190" s="145">
        <v>0</v>
      </c>
      <c r="AP190" s="145">
        <v>0</v>
      </c>
      <c r="AQ190" s="877"/>
      <c r="AR190" s="287">
        <f t="shared" ca="1" si="90"/>
        <v>-1.4125971888000011</v>
      </c>
      <c r="AS190" s="287">
        <f t="shared" ca="1" si="91"/>
        <v>-0.99103677120000044</v>
      </c>
      <c r="AT190" s="287">
        <f t="shared" ca="1" si="92"/>
        <v>-0.99843256800000024</v>
      </c>
      <c r="AU190" s="287">
        <f t="shared" ca="1" si="93"/>
        <v>0</v>
      </c>
      <c r="AV190" s="287">
        <f t="shared" ca="1" si="94"/>
        <v>0</v>
      </c>
      <c r="AW190" s="877"/>
      <c r="AY190" s="145">
        <f t="shared" si="121"/>
        <v>-1.2733333333333341</v>
      </c>
      <c r="AZ190" s="145">
        <f t="shared" si="122"/>
        <v>-0.89333333333333353</v>
      </c>
      <c r="BA190" s="145">
        <f t="shared" si="123"/>
        <v>-0.9</v>
      </c>
      <c r="BB190" s="145">
        <v>0</v>
      </c>
      <c r="BC190" s="145">
        <v>0</v>
      </c>
      <c r="BD190" s="877"/>
      <c r="BE190" s="287">
        <f t="shared" ca="1" si="100"/>
        <v>-1.4125971888000011</v>
      </c>
      <c r="BF190" s="287">
        <f t="shared" ca="1" si="101"/>
        <v>-0.99103677120000044</v>
      </c>
      <c r="BG190" s="287">
        <f t="shared" ca="1" si="102"/>
        <v>-0.99843256800000024</v>
      </c>
      <c r="BH190" s="287">
        <f t="shared" ca="1" si="103"/>
        <v>0</v>
      </c>
      <c r="BI190" s="287">
        <f t="shared" ca="1" si="104"/>
        <v>0</v>
      </c>
      <c r="BJ190" s="877"/>
    </row>
    <row r="191" spans="34:62" ht="15" hidden="1" customHeight="1">
      <c r="AH191" s="186">
        <v>39</v>
      </c>
      <c r="AI191" s="186" t="b">
        <f t="shared" si="89"/>
        <v>0</v>
      </c>
      <c r="AJ191" s="186" t="b">
        <f t="shared" si="107"/>
        <v>0</v>
      </c>
      <c r="AK191" s="298" t="b">
        <f t="shared" si="105"/>
        <v>0</v>
      </c>
      <c r="AL191" s="145">
        <f t="shared" si="118"/>
        <v>-1.2200000000000009</v>
      </c>
      <c r="AM191" s="145">
        <f t="shared" si="119"/>
        <v>-0.88000000000000023</v>
      </c>
      <c r="AN191" s="145">
        <f t="shared" si="120"/>
        <v>-0.9</v>
      </c>
      <c r="AO191" s="145">
        <v>0</v>
      </c>
      <c r="AP191" s="145">
        <v>0</v>
      </c>
      <c r="AQ191" s="877"/>
      <c r="AR191" s="287">
        <f t="shared" ca="1" si="90"/>
        <v>-1.3534308144000011</v>
      </c>
      <c r="AS191" s="287">
        <f t="shared" ca="1" si="91"/>
        <v>-0.9762451776000004</v>
      </c>
      <c r="AT191" s="287">
        <f t="shared" ca="1" si="92"/>
        <v>-0.99843256800000024</v>
      </c>
      <c r="AU191" s="287">
        <f t="shared" ca="1" si="93"/>
        <v>0</v>
      </c>
      <c r="AV191" s="287">
        <f t="shared" ca="1" si="94"/>
        <v>0</v>
      </c>
      <c r="AW191" s="877"/>
      <c r="AY191" s="145">
        <f t="shared" si="121"/>
        <v>-1.2200000000000009</v>
      </c>
      <c r="AZ191" s="145">
        <f t="shared" si="122"/>
        <v>-0.88000000000000023</v>
      </c>
      <c r="BA191" s="145">
        <f t="shared" si="123"/>
        <v>-0.9</v>
      </c>
      <c r="BB191" s="145">
        <v>0</v>
      </c>
      <c r="BC191" s="145">
        <v>0</v>
      </c>
      <c r="BD191" s="877"/>
      <c r="BE191" s="287">
        <f t="shared" ca="1" si="100"/>
        <v>-1.3534308144000011</v>
      </c>
      <c r="BF191" s="287">
        <f t="shared" ca="1" si="101"/>
        <v>-0.9762451776000004</v>
      </c>
      <c r="BG191" s="287">
        <f t="shared" ca="1" si="102"/>
        <v>-0.99843256800000024</v>
      </c>
      <c r="BH191" s="287">
        <f t="shared" ca="1" si="103"/>
        <v>0</v>
      </c>
      <c r="BI191" s="287">
        <f t="shared" ca="1" si="104"/>
        <v>0</v>
      </c>
      <c r="BJ191" s="877"/>
    </row>
    <row r="192" spans="34:62" ht="15" hidden="1" customHeight="1">
      <c r="AH192" s="186">
        <v>40</v>
      </c>
      <c r="AI192" s="186" t="b">
        <f t="shared" si="89"/>
        <v>0</v>
      </c>
      <c r="AJ192" s="186" t="b">
        <f t="shared" si="107"/>
        <v>0</v>
      </c>
      <c r="AK192" s="298" t="b">
        <f t="shared" si="105"/>
        <v>0</v>
      </c>
      <c r="AL192" s="145">
        <f t="shared" si="118"/>
        <v>-1.1666666666666676</v>
      </c>
      <c r="AM192" s="145">
        <f t="shared" si="119"/>
        <v>-0.86666666666666692</v>
      </c>
      <c r="AN192" s="145">
        <f t="shared" si="120"/>
        <v>-0.9</v>
      </c>
      <c r="AO192" s="145">
        <v>0</v>
      </c>
      <c r="AP192" s="145">
        <v>0</v>
      </c>
      <c r="AQ192" s="877"/>
      <c r="AR192" s="287">
        <f t="shared" ca="1" si="90"/>
        <v>-1.2942644400000014</v>
      </c>
      <c r="AS192" s="287">
        <f t="shared" ca="1" si="91"/>
        <v>-0.96145358400000047</v>
      </c>
      <c r="AT192" s="287">
        <f t="shared" ca="1" si="92"/>
        <v>-0.99843256800000024</v>
      </c>
      <c r="AU192" s="287">
        <f t="shared" ca="1" si="93"/>
        <v>0</v>
      </c>
      <c r="AV192" s="287">
        <f t="shared" ca="1" si="94"/>
        <v>0</v>
      </c>
      <c r="AW192" s="877"/>
      <c r="AY192" s="145">
        <f t="shared" si="121"/>
        <v>-1.1666666666666676</v>
      </c>
      <c r="AZ192" s="145">
        <f t="shared" si="122"/>
        <v>-0.86666666666666692</v>
      </c>
      <c r="BA192" s="145">
        <f t="shared" si="123"/>
        <v>-0.9</v>
      </c>
      <c r="BB192" s="145">
        <v>0</v>
      </c>
      <c r="BC192" s="145">
        <v>0</v>
      </c>
      <c r="BD192" s="877"/>
      <c r="BE192" s="287">
        <f t="shared" ca="1" si="100"/>
        <v>-1.2942644400000014</v>
      </c>
      <c r="BF192" s="287">
        <f t="shared" ca="1" si="101"/>
        <v>-0.96145358400000047</v>
      </c>
      <c r="BG192" s="287">
        <f t="shared" ca="1" si="102"/>
        <v>-0.99843256800000024</v>
      </c>
      <c r="BH192" s="287">
        <f t="shared" ca="1" si="103"/>
        <v>0</v>
      </c>
      <c r="BI192" s="287">
        <f t="shared" ca="1" si="104"/>
        <v>0</v>
      </c>
      <c r="BJ192" s="877"/>
    </row>
    <row r="193" spans="34:62" ht="15" hidden="1" customHeight="1">
      <c r="AH193" s="186">
        <v>41</v>
      </c>
      <c r="AI193" s="186" t="b">
        <f t="shared" si="89"/>
        <v>0</v>
      </c>
      <c r="AJ193" s="186" t="b">
        <f t="shared" si="107"/>
        <v>0</v>
      </c>
      <c r="AK193" s="298" t="b">
        <f t="shared" si="105"/>
        <v>0</v>
      </c>
      <c r="AL193" s="145">
        <f t="shared" si="118"/>
        <v>-1.1133333333333344</v>
      </c>
      <c r="AM193" s="145">
        <f t="shared" si="119"/>
        <v>-0.85333333333333361</v>
      </c>
      <c r="AN193" s="145">
        <f t="shared" si="120"/>
        <v>-0.9</v>
      </c>
      <c r="AO193" s="145">
        <v>0</v>
      </c>
      <c r="AP193" s="145">
        <v>0</v>
      </c>
      <c r="AQ193" s="877"/>
      <c r="AR193" s="287">
        <f t="shared" ca="1" si="90"/>
        <v>-1.2350980656000015</v>
      </c>
      <c r="AS193" s="287">
        <f t="shared" ca="1" si="91"/>
        <v>-0.94666199040000054</v>
      </c>
      <c r="AT193" s="287">
        <f t="shared" ca="1" si="92"/>
        <v>-0.99843256800000024</v>
      </c>
      <c r="AU193" s="287">
        <f t="shared" ca="1" si="93"/>
        <v>0</v>
      </c>
      <c r="AV193" s="287">
        <f t="shared" ca="1" si="94"/>
        <v>0</v>
      </c>
      <c r="AW193" s="877"/>
      <c r="AY193" s="145">
        <f t="shared" si="121"/>
        <v>-1.1133333333333344</v>
      </c>
      <c r="AZ193" s="145">
        <f t="shared" si="122"/>
        <v>-0.85333333333333361</v>
      </c>
      <c r="BA193" s="145">
        <f t="shared" si="123"/>
        <v>-0.9</v>
      </c>
      <c r="BB193" s="145">
        <v>0</v>
      </c>
      <c r="BC193" s="145">
        <v>0</v>
      </c>
      <c r="BD193" s="877"/>
      <c r="BE193" s="287">
        <f t="shared" ca="1" si="100"/>
        <v>-1.2350980656000015</v>
      </c>
      <c r="BF193" s="287">
        <f t="shared" ca="1" si="101"/>
        <v>-0.94666199040000054</v>
      </c>
      <c r="BG193" s="287">
        <f t="shared" ca="1" si="102"/>
        <v>-0.99843256800000024</v>
      </c>
      <c r="BH193" s="287">
        <f t="shared" ca="1" si="103"/>
        <v>0</v>
      </c>
      <c r="BI193" s="287">
        <f t="shared" ca="1" si="104"/>
        <v>0</v>
      </c>
      <c r="BJ193" s="877"/>
    </row>
    <row r="194" spans="34:62" ht="15" hidden="1" customHeight="1">
      <c r="AH194" s="186">
        <v>42</v>
      </c>
      <c r="AI194" s="186" t="b">
        <f t="shared" si="89"/>
        <v>0</v>
      </c>
      <c r="AJ194" s="186" t="b">
        <f t="shared" si="107"/>
        <v>0</v>
      </c>
      <c r="AK194" s="298" t="b">
        <f t="shared" si="105"/>
        <v>0</v>
      </c>
      <c r="AL194" s="145">
        <f t="shared" si="118"/>
        <v>-1.0600000000000012</v>
      </c>
      <c r="AM194" s="145">
        <f t="shared" si="119"/>
        <v>-0.8400000000000003</v>
      </c>
      <c r="AN194" s="145">
        <f t="shared" si="120"/>
        <v>-0.9</v>
      </c>
      <c r="AO194" s="145">
        <v>0</v>
      </c>
      <c r="AP194" s="145">
        <v>0</v>
      </c>
      <c r="AQ194" s="877"/>
      <c r="AR194" s="287">
        <f t="shared" ca="1" si="90"/>
        <v>-1.1759316912000015</v>
      </c>
      <c r="AS194" s="287">
        <f t="shared" ca="1" si="91"/>
        <v>-0.9318703968000005</v>
      </c>
      <c r="AT194" s="287">
        <f t="shared" ca="1" si="92"/>
        <v>-0.99843256800000024</v>
      </c>
      <c r="AU194" s="287">
        <f t="shared" ca="1" si="93"/>
        <v>0</v>
      </c>
      <c r="AV194" s="287">
        <f t="shared" ca="1" si="94"/>
        <v>0</v>
      </c>
      <c r="AW194" s="877"/>
      <c r="AY194" s="145">
        <f t="shared" si="121"/>
        <v>-1.0600000000000012</v>
      </c>
      <c r="AZ194" s="145">
        <f t="shared" si="122"/>
        <v>-0.8400000000000003</v>
      </c>
      <c r="BA194" s="145">
        <f t="shared" si="123"/>
        <v>-0.9</v>
      </c>
      <c r="BB194" s="145">
        <v>0</v>
      </c>
      <c r="BC194" s="145">
        <v>0</v>
      </c>
      <c r="BD194" s="877"/>
      <c r="BE194" s="287">
        <f t="shared" ca="1" si="100"/>
        <v>-1.1759316912000015</v>
      </c>
      <c r="BF194" s="287">
        <f t="shared" ca="1" si="101"/>
        <v>-0.9318703968000005</v>
      </c>
      <c r="BG194" s="287">
        <f t="shared" ca="1" si="102"/>
        <v>-0.99843256800000024</v>
      </c>
      <c r="BH194" s="287">
        <f t="shared" ca="1" si="103"/>
        <v>0</v>
      </c>
      <c r="BI194" s="287">
        <f t="shared" ca="1" si="104"/>
        <v>0</v>
      </c>
      <c r="BJ194" s="877"/>
    </row>
    <row r="195" spans="34:62" ht="15" hidden="1" customHeight="1">
      <c r="AH195" s="186">
        <v>43</v>
      </c>
      <c r="AI195" s="186" t="b">
        <f t="shared" si="89"/>
        <v>0</v>
      </c>
      <c r="AJ195" s="186" t="b">
        <f t="shared" si="107"/>
        <v>0</v>
      </c>
      <c r="AK195" s="298" t="b">
        <f t="shared" si="105"/>
        <v>0</v>
      </c>
      <c r="AL195" s="145">
        <f t="shared" si="118"/>
        <v>-1.0066666666666679</v>
      </c>
      <c r="AM195" s="145">
        <f t="shared" si="119"/>
        <v>-0.82666666666666699</v>
      </c>
      <c r="AN195" s="145">
        <f t="shared" si="120"/>
        <v>-0.9</v>
      </c>
      <c r="AO195" s="145">
        <v>0</v>
      </c>
      <c r="AP195" s="145">
        <v>0</v>
      </c>
      <c r="AQ195" s="877"/>
      <c r="AR195" s="287">
        <f t="shared" ca="1" si="90"/>
        <v>-1.1167653168000016</v>
      </c>
      <c r="AS195" s="287">
        <f t="shared" ca="1" si="91"/>
        <v>-0.91707880320000057</v>
      </c>
      <c r="AT195" s="287">
        <f t="shared" ca="1" si="92"/>
        <v>-0.99843256800000024</v>
      </c>
      <c r="AU195" s="287">
        <f t="shared" ca="1" si="93"/>
        <v>0</v>
      </c>
      <c r="AV195" s="287">
        <f t="shared" ca="1" si="94"/>
        <v>0</v>
      </c>
      <c r="AW195" s="877"/>
      <c r="AY195" s="145">
        <f t="shared" si="121"/>
        <v>-1.0066666666666679</v>
      </c>
      <c r="AZ195" s="145">
        <f t="shared" si="122"/>
        <v>-0.82666666666666699</v>
      </c>
      <c r="BA195" s="145">
        <f t="shared" si="123"/>
        <v>-0.9</v>
      </c>
      <c r="BB195" s="145">
        <v>0</v>
      </c>
      <c r="BC195" s="145">
        <v>0</v>
      </c>
      <c r="BD195" s="877"/>
      <c r="BE195" s="287">
        <f t="shared" ca="1" si="100"/>
        <v>-1.1167653168000016</v>
      </c>
      <c r="BF195" s="287">
        <f t="shared" ca="1" si="101"/>
        <v>-0.91707880320000057</v>
      </c>
      <c r="BG195" s="287">
        <f t="shared" ca="1" si="102"/>
        <v>-0.99843256800000024</v>
      </c>
      <c r="BH195" s="287">
        <f t="shared" ca="1" si="103"/>
        <v>0</v>
      </c>
      <c r="BI195" s="287">
        <f t="shared" ca="1" si="104"/>
        <v>0</v>
      </c>
      <c r="BJ195" s="877"/>
    </row>
    <row r="196" spans="34:62" ht="15" hidden="1" customHeight="1">
      <c r="AH196" s="186">
        <v>44</v>
      </c>
      <c r="AI196" s="186" t="b">
        <f t="shared" si="89"/>
        <v>0</v>
      </c>
      <c r="AJ196" s="186" t="b">
        <f t="shared" si="107"/>
        <v>0</v>
      </c>
      <c r="AK196" s="298" t="b">
        <f t="shared" si="105"/>
        <v>0</v>
      </c>
      <c r="AL196" s="145">
        <f t="shared" si="118"/>
        <v>-0.95333333333333459</v>
      </c>
      <c r="AM196" s="145">
        <f t="shared" si="119"/>
        <v>-0.81333333333333369</v>
      </c>
      <c r="AN196" s="145">
        <f t="shared" si="120"/>
        <v>-0.9</v>
      </c>
      <c r="AO196" s="145">
        <v>0</v>
      </c>
      <c r="AP196" s="145">
        <v>0</v>
      </c>
      <c r="AQ196" s="877"/>
      <c r="AR196" s="287">
        <f t="shared" ca="1" si="90"/>
        <v>-1.0575989424000016</v>
      </c>
      <c r="AS196" s="287">
        <f t="shared" ca="1" si="91"/>
        <v>-0.90228720960000053</v>
      </c>
      <c r="AT196" s="287">
        <f t="shared" ca="1" si="92"/>
        <v>-0.99843256800000024</v>
      </c>
      <c r="AU196" s="287">
        <f t="shared" ca="1" si="93"/>
        <v>0</v>
      </c>
      <c r="AV196" s="287">
        <f t="shared" ca="1" si="94"/>
        <v>0</v>
      </c>
      <c r="AW196" s="877"/>
      <c r="AY196" s="145">
        <f t="shared" si="121"/>
        <v>-0.95333333333333459</v>
      </c>
      <c r="AZ196" s="145">
        <f t="shared" si="122"/>
        <v>-0.81333333333333369</v>
      </c>
      <c r="BA196" s="145">
        <f t="shared" si="123"/>
        <v>-0.9</v>
      </c>
      <c r="BB196" s="145">
        <v>0</v>
      </c>
      <c r="BC196" s="145">
        <v>0</v>
      </c>
      <c r="BD196" s="877"/>
      <c r="BE196" s="287">
        <f t="shared" ca="1" si="100"/>
        <v>-1.0575989424000016</v>
      </c>
      <c r="BF196" s="287">
        <f t="shared" ca="1" si="101"/>
        <v>-0.90228720960000053</v>
      </c>
      <c r="BG196" s="287">
        <f t="shared" ca="1" si="102"/>
        <v>-0.99843256800000024</v>
      </c>
      <c r="BH196" s="287">
        <f t="shared" ca="1" si="103"/>
        <v>0</v>
      </c>
      <c r="BI196" s="287">
        <f t="shared" ca="1" si="104"/>
        <v>0</v>
      </c>
      <c r="BJ196" s="877"/>
    </row>
    <row r="197" spans="34:62" ht="15" hidden="1" customHeight="1">
      <c r="AH197" s="186">
        <v>45</v>
      </c>
      <c r="AI197" s="186" t="b">
        <f t="shared" si="89"/>
        <v>0</v>
      </c>
      <c r="AJ197" s="186" t="b">
        <f t="shared" si="107"/>
        <v>0</v>
      </c>
      <c r="AK197" s="298" t="b">
        <f t="shared" si="105"/>
        <v>0</v>
      </c>
      <c r="AL197" s="287">
        <v>-0.9</v>
      </c>
      <c r="AM197" s="287">
        <v>-0.8</v>
      </c>
      <c r="AN197" s="287">
        <v>-0.9</v>
      </c>
      <c r="AO197" s="287">
        <v>0</v>
      </c>
      <c r="AP197" s="287">
        <v>0</v>
      </c>
      <c r="AQ197" s="877"/>
      <c r="AR197" s="287">
        <f t="shared" ca="1" si="90"/>
        <v>-0.99843256800000024</v>
      </c>
      <c r="AS197" s="287">
        <f t="shared" ca="1" si="91"/>
        <v>-0.88749561600000026</v>
      </c>
      <c r="AT197" s="287">
        <f t="shared" ca="1" si="92"/>
        <v>-0.99843256800000024</v>
      </c>
      <c r="AU197" s="287">
        <f t="shared" ca="1" si="93"/>
        <v>0</v>
      </c>
      <c r="AV197" s="287">
        <f t="shared" ca="1" si="94"/>
        <v>0</v>
      </c>
      <c r="AW197" s="877"/>
      <c r="AY197" s="287">
        <v>-0.9</v>
      </c>
      <c r="AZ197" s="287">
        <v>-0.8</v>
      </c>
      <c r="BA197" s="287">
        <v>-0.9</v>
      </c>
      <c r="BB197" s="287">
        <v>0</v>
      </c>
      <c r="BC197" s="287">
        <v>0</v>
      </c>
      <c r="BD197" s="877"/>
      <c r="BE197" s="287">
        <f t="shared" ca="1" si="100"/>
        <v>-0.99843256800000024</v>
      </c>
      <c r="BF197" s="287">
        <f t="shared" ca="1" si="101"/>
        <v>-0.88749561600000026</v>
      </c>
      <c r="BG197" s="287">
        <f t="shared" ca="1" si="102"/>
        <v>-0.99843256800000024</v>
      </c>
      <c r="BH197" s="287">
        <f t="shared" ca="1" si="103"/>
        <v>0</v>
      </c>
      <c r="BI197" s="287">
        <f t="shared" ca="1" si="104"/>
        <v>0</v>
      </c>
      <c r="BJ197" s="877"/>
    </row>
    <row r="198" spans="34:62" ht="15" hidden="1" customHeight="1">
      <c r="AH198" s="186">
        <v>46</v>
      </c>
      <c r="AI198" s="186" t="b">
        <f t="shared" si="89"/>
        <v>0</v>
      </c>
      <c r="AJ198" s="186" t="b">
        <f t="shared" si="107"/>
        <v>0</v>
      </c>
      <c r="AK198" s="298" t="b">
        <f t="shared" si="105"/>
        <v>0</v>
      </c>
      <c r="AL198" s="145">
        <v>-0.92</v>
      </c>
      <c r="AM198" s="145">
        <v>-0.79</v>
      </c>
      <c r="AN198" s="145">
        <v>-0.89</v>
      </c>
      <c r="AO198" s="145">
        <v>0</v>
      </c>
      <c r="AP198" s="145">
        <v>0</v>
      </c>
      <c r="AQ198" s="877"/>
      <c r="AR198" s="287">
        <f t="shared" ca="1" si="90"/>
        <v>-1.0206199584000002</v>
      </c>
      <c r="AS198" s="287">
        <f t="shared" ca="1" si="91"/>
        <v>-0.87640192080000023</v>
      </c>
      <c r="AT198" s="287">
        <f t="shared" ca="1" si="92"/>
        <v>-0.98733887280000021</v>
      </c>
      <c r="AU198" s="287">
        <f t="shared" ca="1" si="93"/>
        <v>0</v>
      </c>
      <c r="AV198" s="287">
        <f t="shared" ca="1" si="94"/>
        <v>0</v>
      </c>
      <c r="AW198" s="877"/>
      <c r="AY198" s="145">
        <v>-0.92</v>
      </c>
      <c r="AZ198" s="145">
        <v>-0.79</v>
      </c>
      <c r="BA198" s="145">
        <v>-0.89</v>
      </c>
      <c r="BB198" s="145">
        <v>0</v>
      </c>
      <c r="BC198" s="145">
        <v>0</v>
      </c>
      <c r="BD198" s="877"/>
      <c r="BE198" s="287">
        <f t="shared" ca="1" si="100"/>
        <v>-1.0206199584000002</v>
      </c>
      <c r="BF198" s="287">
        <f t="shared" ca="1" si="101"/>
        <v>-0.87640192080000023</v>
      </c>
      <c r="BG198" s="287">
        <f t="shared" ca="1" si="102"/>
        <v>-0.98733887280000021</v>
      </c>
      <c r="BH198" s="287">
        <f t="shared" ca="1" si="103"/>
        <v>0</v>
      </c>
      <c r="BI198" s="287">
        <f t="shared" ca="1" si="104"/>
        <v>0</v>
      </c>
      <c r="BJ198" s="877"/>
    </row>
    <row r="199" spans="34:62" ht="15" hidden="1" customHeight="1">
      <c r="AH199" s="186">
        <v>47</v>
      </c>
      <c r="AI199" s="186" t="b">
        <f t="shared" si="89"/>
        <v>0</v>
      </c>
      <c r="AJ199" s="186" t="b">
        <f t="shared" si="107"/>
        <v>0</v>
      </c>
      <c r="AK199" s="298" t="b">
        <f t="shared" si="105"/>
        <v>0</v>
      </c>
      <c r="AL199" s="145">
        <v>-0.93</v>
      </c>
      <c r="AM199" s="145">
        <v>-0.78</v>
      </c>
      <c r="AN199" s="145">
        <v>-0.88</v>
      </c>
      <c r="AO199" s="145">
        <v>0</v>
      </c>
      <c r="AP199" s="145">
        <v>0</v>
      </c>
      <c r="AQ199" s="877"/>
      <c r="AR199" s="287">
        <f t="shared" ca="1" si="90"/>
        <v>-1.0317136536000002</v>
      </c>
      <c r="AS199" s="287">
        <f t="shared" ca="1" si="91"/>
        <v>-0.8653082256000002</v>
      </c>
      <c r="AT199" s="287">
        <f t="shared" ca="1" si="92"/>
        <v>-0.97624517760000018</v>
      </c>
      <c r="AU199" s="287">
        <f t="shared" ca="1" si="93"/>
        <v>0</v>
      </c>
      <c r="AV199" s="287">
        <f t="shared" ca="1" si="94"/>
        <v>0</v>
      </c>
      <c r="AW199" s="877"/>
      <c r="AY199" s="145">
        <v>-0.93</v>
      </c>
      <c r="AZ199" s="145">
        <v>-0.78</v>
      </c>
      <c r="BA199" s="145">
        <v>-0.88</v>
      </c>
      <c r="BB199" s="145">
        <v>0</v>
      </c>
      <c r="BC199" s="145">
        <v>0</v>
      </c>
      <c r="BD199" s="877"/>
      <c r="BE199" s="287">
        <f t="shared" ca="1" si="100"/>
        <v>-1.0317136536000002</v>
      </c>
      <c r="BF199" s="287">
        <f t="shared" ca="1" si="101"/>
        <v>-0.8653082256000002</v>
      </c>
      <c r="BG199" s="287">
        <f t="shared" ca="1" si="102"/>
        <v>-0.97624517760000018</v>
      </c>
      <c r="BH199" s="287">
        <f t="shared" ca="1" si="103"/>
        <v>0</v>
      </c>
      <c r="BI199" s="287">
        <f t="shared" ca="1" si="104"/>
        <v>0</v>
      </c>
      <c r="BJ199" s="877"/>
    </row>
    <row r="200" spans="34:62" ht="15" hidden="1" customHeight="1">
      <c r="AH200" s="186">
        <v>48</v>
      </c>
      <c r="AI200" s="186" t="b">
        <f t="shared" si="89"/>
        <v>0</v>
      </c>
      <c r="AJ200" s="186" t="b">
        <f t="shared" si="107"/>
        <v>0</v>
      </c>
      <c r="AK200" s="298" t="b">
        <f t="shared" si="105"/>
        <v>0</v>
      </c>
      <c r="AL200" s="145">
        <v>-0.94</v>
      </c>
      <c r="AM200" s="145">
        <v>-0.77</v>
      </c>
      <c r="AN200" s="145">
        <v>-0.87</v>
      </c>
      <c r="AO200" s="145">
        <v>0</v>
      </c>
      <c r="AP200" s="145">
        <v>0</v>
      </c>
      <c r="AQ200" s="877"/>
      <c r="AR200" s="287">
        <f t="shared" ca="1" si="90"/>
        <v>-1.0428073488000003</v>
      </c>
      <c r="AS200" s="287">
        <f t="shared" ca="1" si="91"/>
        <v>-0.85421453040000017</v>
      </c>
      <c r="AT200" s="287">
        <f t="shared" ca="1" si="92"/>
        <v>-0.96515148240000015</v>
      </c>
      <c r="AU200" s="287">
        <f t="shared" ca="1" si="93"/>
        <v>0</v>
      </c>
      <c r="AV200" s="287">
        <f t="shared" ca="1" si="94"/>
        <v>0</v>
      </c>
      <c r="AW200" s="877"/>
      <c r="AY200" s="145">
        <v>-0.94</v>
      </c>
      <c r="AZ200" s="145">
        <v>-0.77</v>
      </c>
      <c r="BA200" s="145">
        <v>-0.87</v>
      </c>
      <c r="BB200" s="145">
        <v>0</v>
      </c>
      <c r="BC200" s="145">
        <v>0</v>
      </c>
      <c r="BD200" s="877"/>
      <c r="BE200" s="287">
        <f t="shared" ca="1" si="100"/>
        <v>-1.0428073488000003</v>
      </c>
      <c r="BF200" s="287">
        <f t="shared" ca="1" si="101"/>
        <v>-0.85421453040000017</v>
      </c>
      <c r="BG200" s="287">
        <f t="shared" ca="1" si="102"/>
        <v>-0.96515148240000015</v>
      </c>
      <c r="BH200" s="287">
        <f t="shared" ca="1" si="103"/>
        <v>0</v>
      </c>
      <c r="BI200" s="287">
        <f t="shared" ca="1" si="104"/>
        <v>0</v>
      </c>
      <c r="BJ200" s="877"/>
    </row>
    <row r="201" spans="34:62" ht="15" hidden="1" customHeight="1">
      <c r="AH201" s="186">
        <v>49</v>
      </c>
      <c r="AI201" s="186" t="b">
        <f t="shared" si="89"/>
        <v>0</v>
      </c>
      <c r="AJ201" s="186" t="b">
        <f t="shared" si="107"/>
        <v>0</v>
      </c>
      <c r="AK201" s="298" t="b">
        <f t="shared" si="105"/>
        <v>0</v>
      </c>
      <c r="AL201" s="145">
        <v>-0.95</v>
      </c>
      <c r="AM201" s="145">
        <v>-0.76</v>
      </c>
      <c r="AN201" s="145">
        <v>-0.86</v>
      </c>
      <c r="AO201" s="145">
        <v>0</v>
      </c>
      <c r="AP201" s="145">
        <v>0</v>
      </c>
      <c r="AQ201" s="877"/>
      <c r="AR201" s="287">
        <f t="shared" ca="1" si="90"/>
        <v>-1.0539010440000001</v>
      </c>
      <c r="AS201" s="287">
        <f t="shared" ca="1" si="91"/>
        <v>-0.84312083520000014</v>
      </c>
      <c r="AT201" s="287">
        <f t="shared" ca="1" si="92"/>
        <v>-0.95405778720000023</v>
      </c>
      <c r="AU201" s="287">
        <f t="shared" ca="1" si="93"/>
        <v>0</v>
      </c>
      <c r="AV201" s="287">
        <f t="shared" ca="1" si="94"/>
        <v>0</v>
      </c>
      <c r="AW201" s="877"/>
      <c r="AY201" s="145">
        <v>-0.95</v>
      </c>
      <c r="AZ201" s="145">
        <v>-0.76</v>
      </c>
      <c r="BA201" s="145">
        <v>-0.86</v>
      </c>
      <c r="BB201" s="145">
        <v>0</v>
      </c>
      <c r="BC201" s="145">
        <v>0</v>
      </c>
      <c r="BD201" s="877"/>
      <c r="BE201" s="287">
        <f t="shared" ca="1" si="100"/>
        <v>-1.0539010440000001</v>
      </c>
      <c r="BF201" s="287">
        <f t="shared" ca="1" si="101"/>
        <v>-0.84312083520000014</v>
      </c>
      <c r="BG201" s="287">
        <f t="shared" ca="1" si="102"/>
        <v>-0.95405778720000023</v>
      </c>
      <c r="BH201" s="287">
        <f t="shared" ca="1" si="103"/>
        <v>0</v>
      </c>
      <c r="BI201" s="287">
        <f t="shared" ca="1" si="104"/>
        <v>0</v>
      </c>
      <c r="BJ201" s="877"/>
    </row>
    <row r="202" spans="34:62" ht="15" hidden="1" customHeight="1">
      <c r="AH202" s="186">
        <v>50</v>
      </c>
      <c r="AI202" s="186" t="b">
        <f t="shared" si="89"/>
        <v>0</v>
      </c>
      <c r="AJ202" s="186" t="b">
        <f t="shared" si="107"/>
        <v>0</v>
      </c>
      <c r="AK202" s="298" t="b">
        <f t="shared" si="105"/>
        <v>0</v>
      </c>
      <c r="AL202" s="145">
        <v>-0.96</v>
      </c>
      <c r="AM202" s="145">
        <v>-0.75</v>
      </c>
      <c r="AN202" s="145">
        <v>-0.85</v>
      </c>
      <c r="AO202" s="145">
        <v>0</v>
      </c>
      <c r="AP202" s="145">
        <v>0</v>
      </c>
      <c r="AQ202" s="877"/>
      <c r="AR202" s="287">
        <f t="shared" ca="1" si="90"/>
        <v>-1.0649947392000001</v>
      </c>
      <c r="AS202" s="287">
        <f t="shared" ca="1" si="91"/>
        <v>-0.83202714000000011</v>
      </c>
      <c r="AT202" s="287">
        <f t="shared" ca="1" si="92"/>
        <v>-0.9429640920000002</v>
      </c>
      <c r="AU202" s="287">
        <f t="shared" ca="1" si="93"/>
        <v>0</v>
      </c>
      <c r="AV202" s="287">
        <f t="shared" ca="1" si="94"/>
        <v>0</v>
      </c>
      <c r="AW202" s="877"/>
      <c r="AY202" s="145">
        <v>-0.96</v>
      </c>
      <c r="AZ202" s="145">
        <v>-0.75</v>
      </c>
      <c r="BA202" s="145">
        <v>-0.85</v>
      </c>
      <c r="BB202" s="145">
        <v>0</v>
      </c>
      <c r="BC202" s="145">
        <v>0</v>
      </c>
      <c r="BD202" s="877"/>
      <c r="BE202" s="287">
        <f t="shared" ca="1" si="100"/>
        <v>-1.0649947392000001</v>
      </c>
      <c r="BF202" s="287">
        <f t="shared" ca="1" si="101"/>
        <v>-0.83202714000000011</v>
      </c>
      <c r="BG202" s="287">
        <f t="shared" ca="1" si="102"/>
        <v>-0.9429640920000002</v>
      </c>
      <c r="BH202" s="287">
        <f t="shared" ca="1" si="103"/>
        <v>0</v>
      </c>
      <c r="BI202" s="287">
        <f t="shared" ca="1" si="104"/>
        <v>0</v>
      </c>
      <c r="BJ202" s="877"/>
    </row>
    <row r="203" spans="34:62" ht="15" hidden="1" customHeight="1">
      <c r="AH203" s="186">
        <v>51</v>
      </c>
      <c r="AI203" s="186" t="b">
        <f t="shared" si="89"/>
        <v>0</v>
      </c>
      <c r="AJ203" s="186" t="b">
        <f t="shared" si="107"/>
        <v>0</v>
      </c>
      <c r="AK203" s="298" t="b">
        <f t="shared" si="105"/>
        <v>0</v>
      </c>
      <c r="AL203" s="145">
        <v>-0.97</v>
      </c>
      <c r="AM203" s="145">
        <v>-0.74</v>
      </c>
      <c r="AN203" s="145">
        <v>-0.84</v>
      </c>
      <c r="AO203" s="145">
        <v>0</v>
      </c>
      <c r="AP203" s="145">
        <v>0</v>
      </c>
      <c r="AQ203" s="877"/>
      <c r="AR203" s="287">
        <f t="shared" ca="1" si="90"/>
        <v>-1.0760884344000001</v>
      </c>
      <c r="AS203" s="287">
        <f t="shared" ca="1" si="91"/>
        <v>-0.82093344480000019</v>
      </c>
      <c r="AT203" s="287">
        <f t="shared" ca="1" si="92"/>
        <v>-0.93187039680000017</v>
      </c>
      <c r="AU203" s="287">
        <f t="shared" ca="1" si="93"/>
        <v>0</v>
      </c>
      <c r="AV203" s="287">
        <f t="shared" ca="1" si="94"/>
        <v>0</v>
      </c>
      <c r="AW203" s="877"/>
      <c r="AY203" s="145">
        <v>-0.97</v>
      </c>
      <c r="AZ203" s="145">
        <v>-0.74</v>
      </c>
      <c r="BA203" s="145">
        <v>-0.84</v>
      </c>
      <c r="BB203" s="145">
        <v>0</v>
      </c>
      <c r="BC203" s="145">
        <v>0</v>
      </c>
      <c r="BD203" s="877"/>
      <c r="BE203" s="287">
        <f t="shared" ca="1" si="100"/>
        <v>-1.0760884344000001</v>
      </c>
      <c r="BF203" s="287">
        <f t="shared" ca="1" si="101"/>
        <v>-0.82093344480000019</v>
      </c>
      <c r="BG203" s="287">
        <f t="shared" ca="1" si="102"/>
        <v>-0.93187039680000017</v>
      </c>
      <c r="BH203" s="287">
        <f t="shared" ca="1" si="103"/>
        <v>0</v>
      </c>
      <c r="BI203" s="287">
        <f t="shared" ca="1" si="104"/>
        <v>0</v>
      </c>
      <c r="BJ203" s="877"/>
    </row>
    <row r="204" spans="34:62" ht="15" hidden="1" customHeight="1">
      <c r="AH204" s="186">
        <v>52</v>
      </c>
      <c r="AI204" s="186" t="b">
        <f t="shared" si="89"/>
        <v>0</v>
      </c>
      <c r="AJ204" s="186" t="b">
        <f t="shared" si="107"/>
        <v>0</v>
      </c>
      <c r="AK204" s="298" t="b">
        <f t="shared" si="105"/>
        <v>0</v>
      </c>
      <c r="AL204" s="145">
        <v>-0.98</v>
      </c>
      <c r="AM204" s="145">
        <v>-0.73</v>
      </c>
      <c r="AN204" s="145">
        <v>-0.83</v>
      </c>
      <c r="AO204" s="145">
        <v>0</v>
      </c>
      <c r="AP204" s="145">
        <v>0</v>
      </c>
      <c r="AQ204" s="877"/>
      <c r="AR204" s="287">
        <f t="shared" ca="1" si="90"/>
        <v>-1.0871821296000002</v>
      </c>
      <c r="AS204" s="287">
        <f t="shared" ca="1" si="91"/>
        <v>-0.80983974960000016</v>
      </c>
      <c r="AT204" s="287">
        <f t="shared" ca="1" si="92"/>
        <v>-0.92077670160000014</v>
      </c>
      <c r="AU204" s="287">
        <f t="shared" ca="1" si="93"/>
        <v>0</v>
      </c>
      <c r="AV204" s="287">
        <f t="shared" ca="1" si="94"/>
        <v>0</v>
      </c>
      <c r="AW204" s="877"/>
      <c r="AY204" s="145">
        <v>-0.98</v>
      </c>
      <c r="AZ204" s="145">
        <v>-0.73</v>
      </c>
      <c r="BA204" s="145">
        <v>-0.83</v>
      </c>
      <c r="BB204" s="145">
        <v>0</v>
      </c>
      <c r="BC204" s="145">
        <v>0</v>
      </c>
      <c r="BD204" s="877"/>
      <c r="BE204" s="287">
        <f t="shared" ca="1" si="100"/>
        <v>-1.0871821296000002</v>
      </c>
      <c r="BF204" s="287">
        <f t="shared" ca="1" si="101"/>
        <v>-0.80983974960000016</v>
      </c>
      <c r="BG204" s="287">
        <f t="shared" ca="1" si="102"/>
        <v>-0.92077670160000014</v>
      </c>
      <c r="BH204" s="287">
        <f t="shared" ca="1" si="103"/>
        <v>0</v>
      </c>
      <c r="BI204" s="287">
        <f t="shared" ca="1" si="104"/>
        <v>0</v>
      </c>
      <c r="BJ204" s="877"/>
    </row>
    <row r="205" spans="34:62" ht="15" hidden="1" customHeight="1">
      <c r="AH205" s="186">
        <v>53</v>
      </c>
      <c r="AI205" s="186" t="b">
        <f t="shared" si="89"/>
        <v>0</v>
      </c>
      <c r="AJ205" s="186" t="b">
        <f t="shared" si="107"/>
        <v>0</v>
      </c>
      <c r="AK205" s="298" t="b">
        <f t="shared" si="105"/>
        <v>0</v>
      </c>
      <c r="AL205" s="145">
        <v>-0.99</v>
      </c>
      <c r="AM205" s="145">
        <v>-0.72</v>
      </c>
      <c r="AN205" s="145">
        <v>-0.82</v>
      </c>
      <c r="AO205" s="145">
        <v>0</v>
      </c>
      <c r="AP205" s="145">
        <v>0</v>
      </c>
      <c r="AQ205" s="877"/>
      <c r="AR205" s="287">
        <f t="shared" ca="1" si="90"/>
        <v>-1.0982758248000002</v>
      </c>
      <c r="AS205" s="287">
        <f t="shared" ca="1" si="91"/>
        <v>-0.79874605440000013</v>
      </c>
      <c r="AT205" s="287">
        <f t="shared" ca="1" si="92"/>
        <v>-0.9096830064000001</v>
      </c>
      <c r="AU205" s="287">
        <f t="shared" ca="1" si="93"/>
        <v>0</v>
      </c>
      <c r="AV205" s="287">
        <f t="shared" ca="1" si="94"/>
        <v>0</v>
      </c>
      <c r="AW205" s="877"/>
      <c r="AY205" s="145">
        <v>-0.99</v>
      </c>
      <c r="AZ205" s="145">
        <v>-0.72</v>
      </c>
      <c r="BA205" s="145">
        <v>-0.82</v>
      </c>
      <c r="BB205" s="145">
        <v>0</v>
      </c>
      <c r="BC205" s="145">
        <v>0</v>
      </c>
      <c r="BD205" s="877"/>
      <c r="BE205" s="287">
        <f t="shared" ca="1" si="100"/>
        <v>-1.0982758248000002</v>
      </c>
      <c r="BF205" s="287">
        <f t="shared" ca="1" si="101"/>
        <v>-0.79874605440000013</v>
      </c>
      <c r="BG205" s="287">
        <f t="shared" ca="1" si="102"/>
        <v>-0.9096830064000001</v>
      </c>
      <c r="BH205" s="287">
        <f t="shared" ca="1" si="103"/>
        <v>0</v>
      </c>
      <c r="BI205" s="287">
        <f t="shared" ca="1" si="104"/>
        <v>0</v>
      </c>
      <c r="BJ205" s="877"/>
    </row>
    <row r="206" spans="34:62" ht="15" hidden="1" customHeight="1">
      <c r="AH206" s="186">
        <v>54</v>
      </c>
      <c r="AI206" s="186" t="b">
        <f t="shared" si="89"/>
        <v>0</v>
      </c>
      <c r="AJ206" s="186" t="b">
        <f t="shared" si="107"/>
        <v>0</v>
      </c>
      <c r="AK206" s="298" t="b">
        <f t="shared" si="105"/>
        <v>0</v>
      </c>
      <c r="AL206" s="145">
        <v>-1</v>
      </c>
      <c r="AM206" s="145">
        <v>-0.71</v>
      </c>
      <c r="AN206" s="145">
        <v>-0.81</v>
      </c>
      <c r="AO206" s="145">
        <v>0</v>
      </c>
      <c r="AP206" s="145">
        <v>0</v>
      </c>
      <c r="AQ206" s="877"/>
      <c r="AR206" s="287">
        <f t="shared" ca="1" si="90"/>
        <v>-1.1093695200000002</v>
      </c>
      <c r="AS206" s="287">
        <f t="shared" ca="1" si="91"/>
        <v>-0.7876523592000001</v>
      </c>
      <c r="AT206" s="287">
        <f t="shared" ca="1" si="92"/>
        <v>-0.89858931120000018</v>
      </c>
      <c r="AU206" s="287">
        <f t="shared" ca="1" si="93"/>
        <v>0</v>
      </c>
      <c r="AV206" s="287">
        <f t="shared" ca="1" si="94"/>
        <v>0</v>
      </c>
      <c r="AW206" s="877"/>
      <c r="AY206" s="145">
        <v>-1</v>
      </c>
      <c r="AZ206" s="145">
        <v>-0.71</v>
      </c>
      <c r="BA206" s="145">
        <v>-0.81</v>
      </c>
      <c r="BB206" s="145">
        <v>0</v>
      </c>
      <c r="BC206" s="145">
        <v>0</v>
      </c>
      <c r="BD206" s="877"/>
      <c r="BE206" s="287">
        <f t="shared" ca="1" si="100"/>
        <v>-1.1093695200000002</v>
      </c>
      <c r="BF206" s="287">
        <f t="shared" ca="1" si="101"/>
        <v>-0.7876523592000001</v>
      </c>
      <c r="BG206" s="287">
        <f t="shared" ca="1" si="102"/>
        <v>-0.89858931120000018</v>
      </c>
      <c r="BH206" s="287">
        <f t="shared" ca="1" si="103"/>
        <v>0</v>
      </c>
      <c r="BI206" s="287">
        <f t="shared" ca="1" si="104"/>
        <v>0</v>
      </c>
      <c r="BJ206" s="877"/>
    </row>
    <row r="207" spans="34:62" ht="15" hidden="1" customHeight="1">
      <c r="AH207" s="186">
        <v>55</v>
      </c>
      <c r="AI207" s="186" t="b">
        <f t="shared" ref="AI207:AI227" si="124">AND($M$17=AH207)</f>
        <v>0</v>
      </c>
      <c r="AJ207" s="186" t="b">
        <f t="shared" si="107"/>
        <v>0</v>
      </c>
      <c r="AK207" s="298" t="b">
        <f t="shared" si="105"/>
        <v>0</v>
      </c>
      <c r="AL207" s="145">
        <v>-1</v>
      </c>
      <c r="AM207" s="145">
        <v>-0.7</v>
      </c>
      <c r="AN207" s="145">
        <v>-0.8</v>
      </c>
      <c r="AO207" s="145">
        <v>0</v>
      </c>
      <c r="AP207" s="145">
        <v>0</v>
      </c>
      <c r="AQ207" s="877"/>
      <c r="AR207" s="287">
        <f t="shared" ref="AR207:AR227" ca="1" si="125">1.35*$Z$17*$M$22*AL207</f>
        <v>-1.1093695200000002</v>
      </c>
      <c r="AS207" s="287">
        <f t="shared" ref="AS207:AS227" ca="1" si="126">1.35*$Z$17*$M$22*AM207</f>
        <v>-0.77655866400000007</v>
      </c>
      <c r="AT207" s="287">
        <f t="shared" ref="AT207:AT227" ca="1" si="127">1.35*$Z$17*$M$22*AN207</f>
        <v>-0.88749561600000026</v>
      </c>
      <c r="AU207" s="287">
        <f t="shared" ref="AU207:AU227" ca="1" si="128">1.35*$Z$17*$M$22*AO207</f>
        <v>0</v>
      </c>
      <c r="AV207" s="287">
        <f t="shared" ref="AV207:AV227" ca="1" si="129">1.35*$Z$17*$M$22*AP207</f>
        <v>0</v>
      </c>
      <c r="AW207" s="877"/>
      <c r="AY207" s="145">
        <v>-1</v>
      </c>
      <c r="AZ207" s="145">
        <v>-0.7</v>
      </c>
      <c r="BA207" s="145">
        <v>-0.8</v>
      </c>
      <c r="BB207" s="145">
        <v>0</v>
      </c>
      <c r="BC207" s="145">
        <v>0</v>
      </c>
      <c r="BD207" s="877"/>
      <c r="BE207" s="287">
        <f t="shared" ref="BE207:BE227" ca="1" si="130">1.35*$Z$17*$M$22*AY207</f>
        <v>-1.1093695200000002</v>
      </c>
      <c r="BF207" s="287">
        <f t="shared" ref="BF207:BF227" ca="1" si="131">1.35*$Z$17*$M$22*AZ207</f>
        <v>-0.77655866400000007</v>
      </c>
      <c r="BG207" s="287">
        <f t="shared" ref="BG207:BG227" ca="1" si="132">1.35*$Z$17*$M$22*BA207</f>
        <v>-0.88749561600000026</v>
      </c>
      <c r="BH207" s="287">
        <f t="shared" ref="BH207:BH227" ca="1" si="133">1.35*$Z$17*$M$22*BB207</f>
        <v>0</v>
      </c>
      <c r="BI207" s="287">
        <f t="shared" ref="BI207:BI227" ca="1" si="134">1.35*$Z$17*$M$22*BC207</f>
        <v>0</v>
      </c>
      <c r="BJ207" s="877"/>
    </row>
    <row r="208" spans="34:62" ht="15" hidden="1" customHeight="1">
      <c r="AH208" s="186">
        <v>56</v>
      </c>
      <c r="AI208" s="186" t="b">
        <f t="shared" si="124"/>
        <v>0</v>
      </c>
      <c r="AJ208" s="186" t="b">
        <f t="shared" si="107"/>
        <v>0</v>
      </c>
      <c r="AK208" s="298" t="b">
        <f t="shared" ref="AK208:AK227" si="135">AND(AI208=TRUE,AJ208=TRUE)</f>
        <v>0</v>
      </c>
      <c r="AL208" s="145">
        <v>-1</v>
      </c>
      <c r="AM208" s="145">
        <v>-0.7</v>
      </c>
      <c r="AN208" s="145">
        <v>-0.78</v>
      </c>
      <c r="AO208" s="145">
        <v>0</v>
      </c>
      <c r="AP208" s="145">
        <v>0</v>
      </c>
      <c r="AQ208" s="877"/>
      <c r="AR208" s="287">
        <f t="shared" ca="1" si="125"/>
        <v>-1.1093695200000002</v>
      </c>
      <c r="AS208" s="287">
        <f t="shared" ca="1" si="126"/>
        <v>-0.77655866400000007</v>
      </c>
      <c r="AT208" s="287">
        <f t="shared" ca="1" si="127"/>
        <v>-0.8653082256000002</v>
      </c>
      <c r="AU208" s="287">
        <f t="shared" ca="1" si="128"/>
        <v>0</v>
      </c>
      <c r="AV208" s="287">
        <f t="shared" ca="1" si="129"/>
        <v>0</v>
      </c>
      <c r="AW208" s="877"/>
      <c r="AY208" s="145">
        <v>-1</v>
      </c>
      <c r="AZ208" s="145">
        <v>-0.7</v>
      </c>
      <c r="BA208" s="145">
        <v>-0.78</v>
      </c>
      <c r="BB208" s="145">
        <v>0</v>
      </c>
      <c r="BC208" s="145">
        <v>0</v>
      </c>
      <c r="BD208" s="877"/>
      <c r="BE208" s="287">
        <f t="shared" ca="1" si="130"/>
        <v>-1.1093695200000002</v>
      </c>
      <c r="BF208" s="287">
        <f t="shared" ca="1" si="131"/>
        <v>-0.77655866400000007</v>
      </c>
      <c r="BG208" s="287">
        <f t="shared" ca="1" si="132"/>
        <v>-0.8653082256000002</v>
      </c>
      <c r="BH208" s="287">
        <f t="shared" ca="1" si="133"/>
        <v>0</v>
      </c>
      <c r="BI208" s="287">
        <f t="shared" ca="1" si="134"/>
        <v>0</v>
      </c>
      <c r="BJ208" s="877"/>
    </row>
    <row r="209" spans="34:62" ht="15" hidden="1" customHeight="1">
      <c r="AH209" s="186">
        <v>57</v>
      </c>
      <c r="AI209" s="186" t="b">
        <f t="shared" si="124"/>
        <v>0</v>
      </c>
      <c r="AJ209" s="186" t="b">
        <f t="shared" si="107"/>
        <v>0</v>
      </c>
      <c r="AK209" s="298" t="b">
        <f t="shared" si="135"/>
        <v>0</v>
      </c>
      <c r="AL209" s="145">
        <v>-1</v>
      </c>
      <c r="AM209" s="145">
        <v>-0.7</v>
      </c>
      <c r="AN209" s="145">
        <v>-0.76</v>
      </c>
      <c r="AO209" s="145">
        <v>0</v>
      </c>
      <c r="AP209" s="145">
        <v>0</v>
      </c>
      <c r="AQ209" s="877"/>
      <c r="AR209" s="287">
        <f t="shared" ca="1" si="125"/>
        <v>-1.1093695200000002</v>
      </c>
      <c r="AS209" s="287">
        <f t="shared" ca="1" si="126"/>
        <v>-0.77655866400000007</v>
      </c>
      <c r="AT209" s="287">
        <f t="shared" ca="1" si="127"/>
        <v>-0.84312083520000014</v>
      </c>
      <c r="AU209" s="287">
        <f t="shared" ca="1" si="128"/>
        <v>0</v>
      </c>
      <c r="AV209" s="287">
        <f t="shared" ca="1" si="129"/>
        <v>0</v>
      </c>
      <c r="AW209" s="877"/>
      <c r="AY209" s="145">
        <v>-1</v>
      </c>
      <c r="AZ209" s="145">
        <v>-0.7</v>
      </c>
      <c r="BA209" s="145">
        <v>-0.76</v>
      </c>
      <c r="BB209" s="145">
        <v>0</v>
      </c>
      <c r="BC209" s="145">
        <v>0</v>
      </c>
      <c r="BD209" s="877"/>
      <c r="BE209" s="287">
        <f t="shared" ca="1" si="130"/>
        <v>-1.1093695200000002</v>
      </c>
      <c r="BF209" s="287">
        <f t="shared" ca="1" si="131"/>
        <v>-0.77655866400000007</v>
      </c>
      <c r="BG209" s="287">
        <f t="shared" ca="1" si="132"/>
        <v>-0.84312083520000014</v>
      </c>
      <c r="BH209" s="287">
        <f t="shared" ca="1" si="133"/>
        <v>0</v>
      </c>
      <c r="BI209" s="287">
        <f t="shared" ca="1" si="134"/>
        <v>0</v>
      </c>
      <c r="BJ209" s="877"/>
    </row>
    <row r="210" spans="34:62" ht="15" hidden="1" customHeight="1">
      <c r="AH210" s="186">
        <v>58</v>
      </c>
      <c r="AI210" s="186" t="b">
        <f t="shared" si="124"/>
        <v>0</v>
      </c>
      <c r="AJ210" s="186" t="b">
        <f t="shared" si="107"/>
        <v>0</v>
      </c>
      <c r="AK210" s="298" t="b">
        <f t="shared" si="135"/>
        <v>0</v>
      </c>
      <c r="AL210" s="145">
        <v>-1</v>
      </c>
      <c r="AM210" s="145">
        <v>-0.7</v>
      </c>
      <c r="AN210" s="145">
        <v>-0.74</v>
      </c>
      <c r="AO210" s="145">
        <v>0</v>
      </c>
      <c r="AP210" s="145">
        <v>0</v>
      </c>
      <c r="AQ210" s="877"/>
      <c r="AR210" s="287">
        <f t="shared" ca="1" si="125"/>
        <v>-1.1093695200000002</v>
      </c>
      <c r="AS210" s="287">
        <f t="shared" ca="1" si="126"/>
        <v>-0.77655866400000007</v>
      </c>
      <c r="AT210" s="287">
        <f t="shared" ca="1" si="127"/>
        <v>-0.82093344480000019</v>
      </c>
      <c r="AU210" s="287">
        <f t="shared" ca="1" si="128"/>
        <v>0</v>
      </c>
      <c r="AV210" s="287">
        <f t="shared" ca="1" si="129"/>
        <v>0</v>
      </c>
      <c r="AW210" s="877"/>
      <c r="AY210" s="145">
        <v>-1</v>
      </c>
      <c r="AZ210" s="145">
        <v>-0.7</v>
      </c>
      <c r="BA210" s="145">
        <v>-0.74</v>
      </c>
      <c r="BB210" s="145">
        <v>0</v>
      </c>
      <c r="BC210" s="145">
        <v>0</v>
      </c>
      <c r="BD210" s="877"/>
      <c r="BE210" s="287">
        <f t="shared" ca="1" si="130"/>
        <v>-1.1093695200000002</v>
      </c>
      <c r="BF210" s="287">
        <f t="shared" ca="1" si="131"/>
        <v>-0.77655866400000007</v>
      </c>
      <c r="BG210" s="287">
        <f t="shared" ca="1" si="132"/>
        <v>-0.82093344480000019</v>
      </c>
      <c r="BH210" s="287">
        <f t="shared" ca="1" si="133"/>
        <v>0</v>
      </c>
      <c r="BI210" s="287">
        <f t="shared" ca="1" si="134"/>
        <v>0</v>
      </c>
      <c r="BJ210" s="877"/>
    </row>
    <row r="211" spans="34:62" ht="15" hidden="1" customHeight="1">
      <c r="AH211" s="186">
        <v>59</v>
      </c>
      <c r="AI211" s="186" t="b">
        <f t="shared" si="124"/>
        <v>0</v>
      </c>
      <c r="AJ211" s="186" t="b">
        <f t="shared" si="107"/>
        <v>0</v>
      </c>
      <c r="AK211" s="298" t="b">
        <f t="shared" si="135"/>
        <v>0</v>
      </c>
      <c r="AL211" s="145">
        <v>-1</v>
      </c>
      <c r="AM211" s="145">
        <v>-0.7</v>
      </c>
      <c r="AN211" s="145">
        <v>-0.72</v>
      </c>
      <c r="AO211" s="145">
        <v>0</v>
      </c>
      <c r="AP211" s="145">
        <v>0</v>
      </c>
      <c r="AQ211" s="877"/>
      <c r="AR211" s="287">
        <f t="shared" ca="1" si="125"/>
        <v>-1.1093695200000002</v>
      </c>
      <c r="AS211" s="287">
        <f t="shared" ca="1" si="126"/>
        <v>-0.77655866400000007</v>
      </c>
      <c r="AT211" s="287">
        <f t="shared" ca="1" si="127"/>
        <v>-0.79874605440000013</v>
      </c>
      <c r="AU211" s="287">
        <f t="shared" ca="1" si="128"/>
        <v>0</v>
      </c>
      <c r="AV211" s="287">
        <f t="shared" ca="1" si="129"/>
        <v>0</v>
      </c>
      <c r="AW211" s="877"/>
      <c r="AY211" s="145">
        <v>-1</v>
      </c>
      <c r="AZ211" s="145">
        <v>-0.7</v>
      </c>
      <c r="BA211" s="145">
        <v>-0.72</v>
      </c>
      <c r="BB211" s="145">
        <v>0</v>
      </c>
      <c r="BC211" s="145">
        <v>0</v>
      </c>
      <c r="BD211" s="877"/>
      <c r="BE211" s="287">
        <f t="shared" ca="1" si="130"/>
        <v>-1.1093695200000002</v>
      </c>
      <c r="BF211" s="287">
        <f t="shared" ca="1" si="131"/>
        <v>-0.77655866400000007</v>
      </c>
      <c r="BG211" s="287">
        <f t="shared" ca="1" si="132"/>
        <v>-0.79874605440000013</v>
      </c>
      <c r="BH211" s="287">
        <f t="shared" ca="1" si="133"/>
        <v>0</v>
      </c>
      <c r="BI211" s="287">
        <f t="shared" ca="1" si="134"/>
        <v>0</v>
      </c>
      <c r="BJ211" s="877"/>
    </row>
    <row r="212" spans="34:62" ht="15" hidden="1" customHeight="1">
      <c r="AH212" s="186">
        <v>60</v>
      </c>
      <c r="AI212" s="186" t="b">
        <f t="shared" si="124"/>
        <v>0</v>
      </c>
      <c r="AJ212" s="186" t="b">
        <f t="shared" si="107"/>
        <v>0</v>
      </c>
      <c r="AK212" s="298" t="b">
        <f t="shared" si="135"/>
        <v>0</v>
      </c>
      <c r="AL212" s="287">
        <v>-1</v>
      </c>
      <c r="AM212" s="287">
        <v>-0.7</v>
      </c>
      <c r="AN212" s="287">
        <v>-0.7</v>
      </c>
      <c r="AO212" s="287">
        <v>0</v>
      </c>
      <c r="AP212" s="287">
        <v>0</v>
      </c>
      <c r="AQ212" s="877"/>
      <c r="AR212" s="287">
        <f t="shared" ca="1" si="125"/>
        <v>-1.1093695200000002</v>
      </c>
      <c r="AS212" s="287">
        <f t="shared" ca="1" si="126"/>
        <v>-0.77655866400000007</v>
      </c>
      <c r="AT212" s="287">
        <f t="shared" ca="1" si="127"/>
        <v>-0.77655866400000007</v>
      </c>
      <c r="AU212" s="287">
        <f t="shared" ca="1" si="128"/>
        <v>0</v>
      </c>
      <c r="AV212" s="287">
        <f t="shared" ca="1" si="129"/>
        <v>0</v>
      </c>
      <c r="AW212" s="877"/>
      <c r="AY212" s="287">
        <v>-1</v>
      </c>
      <c r="AZ212" s="287">
        <v>-0.7</v>
      </c>
      <c r="BA212" s="287">
        <v>-0.7</v>
      </c>
      <c r="BB212" s="287">
        <v>0</v>
      </c>
      <c r="BC212" s="287">
        <v>0</v>
      </c>
      <c r="BD212" s="877"/>
      <c r="BE212" s="287">
        <f t="shared" ca="1" si="130"/>
        <v>-1.1093695200000002</v>
      </c>
      <c r="BF212" s="287">
        <f t="shared" ca="1" si="131"/>
        <v>-0.77655866400000007</v>
      </c>
      <c r="BG212" s="287">
        <f t="shared" ca="1" si="132"/>
        <v>-0.77655866400000007</v>
      </c>
      <c r="BH212" s="287">
        <f t="shared" ca="1" si="133"/>
        <v>0</v>
      </c>
      <c r="BI212" s="287">
        <f t="shared" ca="1" si="134"/>
        <v>0</v>
      </c>
      <c r="BJ212" s="877"/>
    </row>
    <row r="213" spans="34:62" ht="15" hidden="1" customHeight="1">
      <c r="AH213" s="186">
        <v>61</v>
      </c>
      <c r="AI213" s="186" t="b">
        <f t="shared" si="124"/>
        <v>0</v>
      </c>
      <c r="AJ213" s="186" t="b">
        <f t="shared" si="107"/>
        <v>0</v>
      </c>
      <c r="AK213" s="298" t="b">
        <f t="shared" si="135"/>
        <v>0</v>
      </c>
      <c r="AL213" s="145">
        <v>-1</v>
      </c>
      <c r="AM213" s="145">
        <v>-0.7</v>
      </c>
      <c r="AN213" s="145">
        <v>-0.7</v>
      </c>
      <c r="AO213" s="145">
        <v>0</v>
      </c>
      <c r="AP213" s="145">
        <v>0</v>
      </c>
      <c r="AQ213" s="877"/>
      <c r="AR213" s="287">
        <f t="shared" ca="1" si="125"/>
        <v>-1.1093695200000002</v>
      </c>
      <c r="AS213" s="287">
        <f t="shared" ca="1" si="126"/>
        <v>-0.77655866400000007</v>
      </c>
      <c r="AT213" s="287">
        <f t="shared" ca="1" si="127"/>
        <v>-0.77655866400000007</v>
      </c>
      <c r="AU213" s="287">
        <f t="shared" ca="1" si="128"/>
        <v>0</v>
      </c>
      <c r="AV213" s="287">
        <f t="shared" ca="1" si="129"/>
        <v>0</v>
      </c>
      <c r="AW213" s="877"/>
      <c r="AY213" s="145">
        <v>-1</v>
      </c>
      <c r="AZ213" s="145">
        <v>-0.7</v>
      </c>
      <c r="BA213" s="145">
        <v>-0.7</v>
      </c>
      <c r="BB213" s="145">
        <v>0</v>
      </c>
      <c r="BC213" s="145">
        <v>0</v>
      </c>
      <c r="BD213" s="877"/>
      <c r="BE213" s="287">
        <f t="shared" ca="1" si="130"/>
        <v>-1.1093695200000002</v>
      </c>
      <c r="BF213" s="287">
        <f t="shared" ca="1" si="131"/>
        <v>-0.77655866400000007</v>
      </c>
      <c r="BG213" s="287">
        <f t="shared" ca="1" si="132"/>
        <v>-0.77655866400000007</v>
      </c>
      <c r="BH213" s="287">
        <f t="shared" ca="1" si="133"/>
        <v>0</v>
      </c>
      <c r="BI213" s="287">
        <f t="shared" ca="1" si="134"/>
        <v>0</v>
      </c>
      <c r="BJ213" s="877"/>
    </row>
    <row r="214" spans="34:62" ht="15" hidden="1" customHeight="1">
      <c r="AH214" s="186">
        <v>62</v>
      </c>
      <c r="AI214" s="186" t="b">
        <f t="shared" si="124"/>
        <v>0</v>
      </c>
      <c r="AJ214" s="186" t="b">
        <f t="shared" si="107"/>
        <v>0</v>
      </c>
      <c r="AK214" s="298" t="b">
        <f t="shared" si="135"/>
        <v>0</v>
      </c>
      <c r="AL214" s="145">
        <v>-1</v>
      </c>
      <c r="AM214" s="145">
        <v>-0.7</v>
      </c>
      <c r="AN214" s="145">
        <v>-0.7</v>
      </c>
      <c r="AO214" s="145">
        <v>0</v>
      </c>
      <c r="AP214" s="145">
        <v>0</v>
      </c>
      <c r="AQ214" s="877"/>
      <c r="AR214" s="287">
        <f t="shared" ca="1" si="125"/>
        <v>-1.1093695200000002</v>
      </c>
      <c r="AS214" s="287">
        <f t="shared" ca="1" si="126"/>
        <v>-0.77655866400000007</v>
      </c>
      <c r="AT214" s="287">
        <f t="shared" ca="1" si="127"/>
        <v>-0.77655866400000007</v>
      </c>
      <c r="AU214" s="287">
        <f t="shared" ca="1" si="128"/>
        <v>0</v>
      </c>
      <c r="AV214" s="287">
        <f t="shared" ca="1" si="129"/>
        <v>0</v>
      </c>
      <c r="AW214" s="877"/>
      <c r="AY214" s="145">
        <v>-1</v>
      </c>
      <c r="AZ214" s="145">
        <v>-0.7</v>
      </c>
      <c r="BA214" s="145">
        <v>-0.7</v>
      </c>
      <c r="BB214" s="145">
        <v>0</v>
      </c>
      <c r="BC214" s="145">
        <v>0</v>
      </c>
      <c r="BD214" s="877"/>
      <c r="BE214" s="287">
        <f t="shared" ca="1" si="130"/>
        <v>-1.1093695200000002</v>
      </c>
      <c r="BF214" s="287">
        <f t="shared" ca="1" si="131"/>
        <v>-0.77655866400000007</v>
      </c>
      <c r="BG214" s="287">
        <f t="shared" ca="1" si="132"/>
        <v>-0.77655866400000007</v>
      </c>
      <c r="BH214" s="287">
        <f t="shared" ca="1" si="133"/>
        <v>0</v>
      </c>
      <c r="BI214" s="287">
        <f t="shared" ca="1" si="134"/>
        <v>0</v>
      </c>
      <c r="BJ214" s="877"/>
    </row>
    <row r="215" spans="34:62" ht="15" hidden="1" customHeight="1">
      <c r="AH215" s="186">
        <v>63</v>
      </c>
      <c r="AI215" s="186" t="b">
        <f t="shared" si="124"/>
        <v>0</v>
      </c>
      <c r="AJ215" s="186" t="b">
        <f t="shared" si="107"/>
        <v>0</v>
      </c>
      <c r="AK215" s="298" t="b">
        <f t="shared" si="135"/>
        <v>0</v>
      </c>
      <c r="AL215" s="145">
        <v>-1</v>
      </c>
      <c r="AM215" s="145">
        <v>-0.7</v>
      </c>
      <c r="AN215" s="145">
        <v>-0.7</v>
      </c>
      <c r="AO215" s="145">
        <v>0</v>
      </c>
      <c r="AP215" s="145">
        <v>0</v>
      </c>
      <c r="AQ215" s="877"/>
      <c r="AR215" s="287">
        <f t="shared" ca="1" si="125"/>
        <v>-1.1093695200000002</v>
      </c>
      <c r="AS215" s="287">
        <f t="shared" ca="1" si="126"/>
        <v>-0.77655866400000007</v>
      </c>
      <c r="AT215" s="287">
        <f t="shared" ca="1" si="127"/>
        <v>-0.77655866400000007</v>
      </c>
      <c r="AU215" s="287">
        <f t="shared" ca="1" si="128"/>
        <v>0</v>
      </c>
      <c r="AV215" s="287">
        <f t="shared" ca="1" si="129"/>
        <v>0</v>
      </c>
      <c r="AW215" s="877"/>
      <c r="AY215" s="145">
        <v>-1</v>
      </c>
      <c r="AZ215" s="145">
        <v>-0.7</v>
      </c>
      <c r="BA215" s="145">
        <v>-0.7</v>
      </c>
      <c r="BB215" s="145">
        <v>0</v>
      </c>
      <c r="BC215" s="145">
        <v>0</v>
      </c>
      <c r="BD215" s="877"/>
      <c r="BE215" s="287">
        <f t="shared" ca="1" si="130"/>
        <v>-1.1093695200000002</v>
      </c>
      <c r="BF215" s="287">
        <f t="shared" ca="1" si="131"/>
        <v>-0.77655866400000007</v>
      </c>
      <c r="BG215" s="287">
        <f t="shared" ca="1" si="132"/>
        <v>-0.77655866400000007</v>
      </c>
      <c r="BH215" s="287">
        <f t="shared" ca="1" si="133"/>
        <v>0</v>
      </c>
      <c r="BI215" s="287">
        <f t="shared" ca="1" si="134"/>
        <v>0</v>
      </c>
      <c r="BJ215" s="877"/>
    </row>
    <row r="216" spans="34:62" ht="15" hidden="1" customHeight="1">
      <c r="AH216" s="186">
        <v>64</v>
      </c>
      <c r="AI216" s="186" t="b">
        <f t="shared" si="124"/>
        <v>0</v>
      </c>
      <c r="AJ216" s="186" t="b">
        <f t="shared" si="107"/>
        <v>0</v>
      </c>
      <c r="AK216" s="298" t="b">
        <f t="shared" si="135"/>
        <v>0</v>
      </c>
      <c r="AL216" s="145">
        <v>-1</v>
      </c>
      <c r="AM216" s="145">
        <v>-0.7</v>
      </c>
      <c r="AN216" s="145">
        <v>-0.7</v>
      </c>
      <c r="AO216" s="145">
        <v>0</v>
      </c>
      <c r="AP216" s="145">
        <v>0</v>
      </c>
      <c r="AQ216" s="877"/>
      <c r="AR216" s="287">
        <f t="shared" ca="1" si="125"/>
        <v>-1.1093695200000002</v>
      </c>
      <c r="AS216" s="287">
        <f t="shared" ca="1" si="126"/>
        <v>-0.77655866400000007</v>
      </c>
      <c r="AT216" s="287">
        <f t="shared" ca="1" si="127"/>
        <v>-0.77655866400000007</v>
      </c>
      <c r="AU216" s="287">
        <f t="shared" ca="1" si="128"/>
        <v>0</v>
      </c>
      <c r="AV216" s="287">
        <f t="shared" ca="1" si="129"/>
        <v>0</v>
      </c>
      <c r="AW216" s="877"/>
      <c r="AY216" s="145">
        <v>-1</v>
      </c>
      <c r="AZ216" s="145">
        <v>-0.7</v>
      </c>
      <c r="BA216" s="145">
        <v>-0.7</v>
      </c>
      <c r="BB216" s="145">
        <v>0</v>
      </c>
      <c r="BC216" s="145">
        <v>0</v>
      </c>
      <c r="BD216" s="877"/>
      <c r="BE216" s="287">
        <f t="shared" ca="1" si="130"/>
        <v>-1.1093695200000002</v>
      </c>
      <c r="BF216" s="287">
        <f t="shared" ca="1" si="131"/>
        <v>-0.77655866400000007</v>
      </c>
      <c r="BG216" s="287">
        <f t="shared" ca="1" si="132"/>
        <v>-0.77655866400000007</v>
      </c>
      <c r="BH216" s="287">
        <f t="shared" ca="1" si="133"/>
        <v>0</v>
      </c>
      <c r="BI216" s="287">
        <f t="shared" ca="1" si="134"/>
        <v>0</v>
      </c>
      <c r="BJ216" s="877"/>
    </row>
    <row r="217" spans="34:62" ht="15" hidden="1" customHeight="1">
      <c r="AH217" s="186">
        <v>65</v>
      </c>
      <c r="AI217" s="186" t="b">
        <f t="shared" si="124"/>
        <v>0</v>
      </c>
      <c r="AJ217" s="186" t="b">
        <f t="shared" si="107"/>
        <v>0</v>
      </c>
      <c r="AK217" s="298" t="b">
        <f t="shared" si="135"/>
        <v>0</v>
      </c>
      <c r="AL217" s="145">
        <v>-1</v>
      </c>
      <c r="AM217" s="145">
        <v>-0.7</v>
      </c>
      <c r="AN217" s="145">
        <v>-0.7</v>
      </c>
      <c r="AO217" s="145">
        <v>0</v>
      </c>
      <c r="AP217" s="145">
        <v>0</v>
      </c>
      <c r="AQ217" s="877"/>
      <c r="AR217" s="287">
        <f t="shared" ca="1" si="125"/>
        <v>-1.1093695200000002</v>
      </c>
      <c r="AS217" s="287">
        <f t="shared" ca="1" si="126"/>
        <v>-0.77655866400000007</v>
      </c>
      <c r="AT217" s="287">
        <f t="shared" ca="1" si="127"/>
        <v>-0.77655866400000007</v>
      </c>
      <c r="AU217" s="287">
        <f t="shared" ca="1" si="128"/>
        <v>0</v>
      </c>
      <c r="AV217" s="287">
        <f t="shared" ca="1" si="129"/>
        <v>0</v>
      </c>
      <c r="AW217" s="877"/>
      <c r="AY217" s="145">
        <v>-1</v>
      </c>
      <c r="AZ217" s="145">
        <v>-0.7</v>
      </c>
      <c r="BA217" s="145">
        <v>-0.7</v>
      </c>
      <c r="BB217" s="145">
        <v>0</v>
      </c>
      <c r="BC217" s="145">
        <v>0</v>
      </c>
      <c r="BD217" s="877"/>
      <c r="BE217" s="287">
        <f t="shared" ca="1" si="130"/>
        <v>-1.1093695200000002</v>
      </c>
      <c r="BF217" s="287">
        <f t="shared" ca="1" si="131"/>
        <v>-0.77655866400000007</v>
      </c>
      <c r="BG217" s="287">
        <f t="shared" ca="1" si="132"/>
        <v>-0.77655866400000007</v>
      </c>
      <c r="BH217" s="287">
        <f t="shared" ca="1" si="133"/>
        <v>0</v>
      </c>
      <c r="BI217" s="287">
        <f t="shared" ca="1" si="134"/>
        <v>0</v>
      </c>
      <c r="BJ217" s="877"/>
    </row>
    <row r="218" spans="34:62" ht="15" hidden="1" customHeight="1">
      <c r="AH218" s="186">
        <v>66</v>
      </c>
      <c r="AI218" s="186" t="b">
        <f t="shared" si="124"/>
        <v>0</v>
      </c>
      <c r="AJ218" s="186" t="b">
        <f t="shared" si="107"/>
        <v>0</v>
      </c>
      <c r="AK218" s="298" t="b">
        <f t="shared" si="135"/>
        <v>0</v>
      </c>
      <c r="AL218" s="145">
        <v>-1</v>
      </c>
      <c r="AM218" s="145">
        <v>-0.7</v>
      </c>
      <c r="AN218" s="145">
        <v>-0.7</v>
      </c>
      <c r="AO218" s="145">
        <v>0</v>
      </c>
      <c r="AP218" s="145">
        <v>0</v>
      </c>
      <c r="AQ218" s="877"/>
      <c r="AR218" s="287">
        <f t="shared" ca="1" si="125"/>
        <v>-1.1093695200000002</v>
      </c>
      <c r="AS218" s="287">
        <f t="shared" ca="1" si="126"/>
        <v>-0.77655866400000007</v>
      </c>
      <c r="AT218" s="287">
        <f t="shared" ca="1" si="127"/>
        <v>-0.77655866400000007</v>
      </c>
      <c r="AU218" s="287">
        <f t="shared" ca="1" si="128"/>
        <v>0</v>
      </c>
      <c r="AV218" s="287">
        <f t="shared" ca="1" si="129"/>
        <v>0</v>
      </c>
      <c r="AW218" s="877"/>
      <c r="AY218" s="145">
        <v>-1</v>
      </c>
      <c r="AZ218" s="145">
        <v>-0.7</v>
      </c>
      <c r="BA218" s="145">
        <v>-0.7</v>
      </c>
      <c r="BB218" s="145">
        <v>0</v>
      </c>
      <c r="BC218" s="145">
        <v>0</v>
      </c>
      <c r="BD218" s="877"/>
      <c r="BE218" s="287">
        <f t="shared" ca="1" si="130"/>
        <v>-1.1093695200000002</v>
      </c>
      <c r="BF218" s="287">
        <f t="shared" ca="1" si="131"/>
        <v>-0.77655866400000007</v>
      </c>
      <c r="BG218" s="287">
        <f t="shared" ca="1" si="132"/>
        <v>-0.77655866400000007</v>
      </c>
      <c r="BH218" s="287">
        <f t="shared" ca="1" si="133"/>
        <v>0</v>
      </c>
      <c r="BI218" s="287">
        <f t="shared" ca="1" si="134"/>
        <v>0</v>
      </c>
      <c r="BJ218" s="877"/>
    </row>
    <row r="219" spans="34:62" ht="15" hidden="1" customHeight="1">
      <c r="AH219" s="186">
        <v>67</v>
      </c>
      <c r="AI219" s="186" t="b">
        <f t="shared" si="124"/>
        <v>0</v>
      </c>
      <c r="AJ219" s="186" t="b">
        <f t="shared" si="107"/>
        <v>0</v>
      </c>
      <c r="AK219" s="298" t="b">
        <f t="shared" si="135"/>
        <v>0</v>
      </c>
      <c r="AL219" s="145">
        <v>-1</v>
      </c>
      <c r="AM219" s="145">
        <v>-0.7</v>
      </c>
      <c r="AN219" s="145">
        <v>-0.7</v>
      </c>
      <c r="AO219" s="145">
        <v>0</v>
      </c>
      <c r="AP219" s="145">
        <v>0</v>
      </c>
      <c r="AQ219" s="877"/>
      <c r="AR219" s="287">
        <f t="shared" ca="1" si="125"/>
        <v>-1.1093695200000002</v>
      </c>
      <c r="AS219" s="287">
        <f t="shared" ca="1" si="126"/>
        <v>-0.77655866400000007</v>
      </c>
      <c r="AT219" s="287">
        <f t="shared" ca="1" si="127"/>
        <v>-0.77655866400000007</v>
      </c>
      <c r="AU219" s="287">
        <f t="shared" ca="1" si="128"/>
        <v>0</v>
      </c>
      <c r="AV219" s="287">
        <f t="shared" ca="1" si="129"/>
        <v>0</v>
      </c>
      <c r="AW219" s="877"/>
      <c r="AY219" s="145">
        <v>-1</v>
      </c>
      <c r="AZ219" s="145">
        <v>-0.7</v>
      </c>
      <c r="BA219" s="145">
        <v>-0.7</v>
      </c>
      <c r="BB219" s="145">
        <v>0</v>
      </c>
      <c r="BC219" s="145">
        <v>0</v>
      </c>
      <c r="BD219" s="877"/>
      <c r="BE219" s="287">
        <f t="shared" ca="1" si="130"/>
        <v>-1.1093695200000002</v>
      </c>
      <c r="BF219" s="287">
        <f t="shared" ca="1" si="131"/>
        <v>-0.77655866400000007</v>
      </c>
      <c r="BG219" s="287">
        <f t="shared" ca="1" si="132"/>
        <v>-0.77655866400000007</v>
      </c>
      <c r="BH219" s="287">
        <f t="shared" ca="1" si="133"/>
        <v>0</v>
      </c>
      <c r="BI219" s="287">
        <f t="shared" ca="1" si="134"/>
        <v>0</v>
      </c>
      <c r="BJ219" s="877"/>
    </row>
    <row r="220" spans="34:62" ht="15" hidden="1" customHeight="1">
      <c r="AH220" s="186">
        <v>68</v>
      </c>
      <c r="AI220" s="186" t="b">
        <f t="shared" si="124"/>
        <v>0</v>
      </c>
      <c r="AJ220" s="186" t="b">
        <f t="shared" si="107"/>
        <v>0</v>
      </c>
      <c r="AK220" s="298" t="b">
        <f t="shared" si="135"/>
        <v>0</v>
      </c>
      <c r="AL220" s="145">
        <v>-1</v>
      </c>
      <c r="AM220" s="145">
        <v>-0.7</v>
      </c>
      <c r="AN220" s="145">
        <v>-0.7</v>
      </c>
      <c r="AO220" s="145">
        <v>0</v>
      </c>
      <c r="AP220" s="145">
        <v>0</v>
      </c>
      <c r="AQ220" s="877"/>
      <c r="AR220" s="287">
        <f t="shared" ca="1" si="125"/>
        <v>-1.1093695200000002</v>
      </c>
      <c r="AS220" s="287">
        <f t="shared" ca="1" si="126"/>
        <v>-0.77655866400000007</v>
      </c>
      <c r="AT220" s="287">
        <f t="shared" ca="1" si="127"/>
        <v>-0.77655866400000007</v>
      </c>
      <c r="AU220" s="287">
        <f t="shared" ca="1" si="128"/>
        <v>0</v>
      </c>
      <c r="AV220" s="287">
        <f t="shared" ca="1" si="129"/>
        <v>0</v>
      </c>
      <c r="AW220" s="877"/>
      <c r="AY220" s="145">
        <v>-1</v>
      </c>
      <c r="AZ220" s="145">
        <v>-0.7</v>
      </c>
      <c r="BA220" s="145">
        <v>-0.7</v>
      </c>
      <c r="BB220" s="145">
        <v>0</v>
      </c>
      <c r="BC220" s="145">
        <v>0</v>
      </c>
      <c r="BD220" s="877"/>
      <c r="BE220" s="287">
        <f t="shared" ca="1" si="130"/>
        <v>-1.1093695200000002</v>
      </c>
      <c r="BF220" s="287">
        <f t="shared" ca="1" si="131"/>
        <v>-0.77655866400000007</v>
      </c>
      <c r="BG220" s="287">
        <f t="shared" ca="1" si="132"/>
        <v>-0.77655866400000007</v>
      </c>
      <c r="BH220" s="287">
        <f t="shared" ca="1" si="133"/>
        <v>0</v>
      </c>
      <c r="BI220" s="287">
        <f t="shared" ca="1" si="134"/>
        <v>0</v>
      </c>
      <c r="BJ220" s="877"/>
    </row>
    <row r="221" spans="34:62" ht="15" hidden="1" customHeight="1">
      <c r="AH221" s="186">
        <v>69</v>
      </c>
      <c r="AI221" s="186" t="b">
        <f t="shared" si="124"/>
        <v>0</v>
      </c>
      <c r="AJ221" s="186" t="b">
        <f t="shared" si="107"/>
        <v>0</v>
      </c>
      <c r="AK221" s="298" t="b">
        <f t="shared" si="135"/>
        <v>0</v>
      </c>
      <c r="AL221" s="145">
        <v>-1</v>
      </c>
      <c r="AM221" s="145">
        <v>-0.7</v>
      </c>
      <c r="AN221" s="145">
        <v>-0.7</v>
      </c>
      <c r="AO221" s="145">
        <v>0</v>
      </c>
      <c r="AP221" s="145">
        <v>0</v>
      </c>
      <c r="AQ221" s="877"/>
      <c r="AR221" s="287">
        <f t="shared" ca="1" si="125"/>
        <v>-1.1093695200000002</v>
      </c>
      <c r="AS221" s="287">
        <f t="shared" ca="1" si="126"/>
        <v>-0.77655866400000007</v>
      </c>
      <c r="AT221" s="287">
        <f t="shared" ca="1" si="127"/>
        <v>-0.77655866400000007</v>
      </c>
      <c r="AU221" s="287">
        <f t="shared" ca="1" si="128"/>
        <v>0</v>
      </c>
      <c r="AV221" s="287">
        <f t="shared" ca="1" si="129"/>
        <v>0</v>
      </c>
      <c r="AW221" s="877"/>
      <c r="AY221" s="145">
        <v>-1</v>
      </c>
      <c r="AZ221" s="145">
        <v>-0.7</v>
      </c>
      <c r="BA221" s="145">
        <v>-0.7</v>
      </c>
      <c r="BB221" s="145">
        <v>0</v>
      </c>
      <c r="BC221" s="145">
        <v>0</v>
      </c>
      <c r="BD221" s="877"/>
      <c r="BE221" s="287">
        <f t="shared" ca="1" si="130"/>
        <v>-1.1093695200000002</v>
      </c>
      <c r="BF221" s="287">
        <f t="shared" ca="1" si="131"/>
        <v>-0.77655866400000007</v>
      </c>
      <c r="BG221" s="287">
        <f t="shared" ca="1" si="132"/>
        <v>-0.77655866400000007</v>
      </c>
      <c r="BH221" s="287">
        <f t="shared" ca="1" si="133"/>
        <v>0</v>
      </c>
      <c r="BI221" s="287">
        <f t="shared" ca="1" si="134"/>
        <v>0</v>
      </c>
      <c r="BJ221" s="877"/>
    </row>
    <row r="222" spans="34:62" ht="15" hidden="1" customHeight="1">
      <c r="AH222" s="186">
        <v>70</v>
      </c>
      <c r="AI222" s="186" t="b">
        <f t="shared" si="124"/>
        <v>0</v>
      </c>
      <c r="AJ222" s="186" t="b">
        <f t="shared" ref="AJ222:AJ227" si="136">AND($AH$4=3)</f>
        <v>0</v>
      </c>
      <c r="AK222" s="298" t="b">
        <f t="shared" si="135"/>
        <v>0</v>
      </c>
      <c r="AL222" s="145">
        <v>-1</v>
      </c>
      <c r="AM222" s="145">
        <v>-0.7</v>
      </c>
      <c r="AN222" s="145">
        <v>-0.7</v>
      </c>
      <c r="AO222" s="145">
        <v>0</v>
      </c>
      <c r="AP222" s="145">
        <v>0</v>
      </c>
      <c r="AQ222" s="877"/>
      <c r="AR222" s="287">
        <f t="shared" ca="1" si="125"/>
        <v>-1.1093695200000002</v>
      </c>
      <c r="AS222" s="287">
        <f t="shared" ca="1" si="126"/>
        <v>-0.77655866400000007</v>
      </c>
      <c r="AT222" s="287">
        <f t="shared" ca="1" si="127"/>
        <v>-0.77655866400000007</v>
      </c>
      <c r="AU222" s="287">
        <f t="shared" ca="1" si="128"/>
        <v>0</v>
      </c>
      <c r="AV222" s="287">
        <f t="shared" ca="1" si="129"/>
        <v>0</v>
      </c>
      <c r="AW222" s="877"/>
      <c r="AY222" s="145">
        <v>-1</v>
      </c>
      <c r="AZ222" s="145">
        <v>-0.7</v>
      </c>
      <c r="BA222" s="145">
        <v>-0.7</v>
      </c>
      <c r="BB222" s="145">
        <v>0</v>
      </c>
      <c r="BC222" s="145">
        <v>0</v>
      </c>
      <c r="BD222" s="877"/>
      <c r="BE222" s="287">
        <f t="shared" ca="1" si="130"/>
        <v>-1.1093695200000002</v>
      </c>
      <c r="BF222" s="287">
        <f t="shared" ca="1" si="131"/>
        <v>-0.77655866400000007</v>
      </c>
      <c r="BG222" s="287">
        <f t="shared" ca="1" si="132"/>
        <v>-0.77655866400000007</v>
      </c>
      <c r="BH222" s="287">
        <f t="shared" ca="1" si="133"/>
        <v>0</v>
      </c>
      <c r="BI222" s="287">
        <f t="shared" ca="1" si="134"/>
        <v>0</v>
      </c>
      <c r="BJ222" s="877"/>
    </row>
    <row r="223" spans="34:62" ht="15" hidden="1" customHeight="1">
      <c r="AH223" s="186">
        <v>71</v>
      </c>
      <c r="AI223" s="186" t="b">
        <f t="shared" si="124"/>
        <v>0</v>
      </c>
      <c r="AJ223" s="186" t="b">
        <f t="shared" si="136"/>
        <v>0</v>
      </c>
      <c r="AK223" s="298" t="b">
        <f t="shared" si="135"/>
        <v>0</v>
      </c>
      <c r="AL223" s="145">
        <v>-1</v>
      </c>
      <c r="AM223" s="145">
        <v>-0.7</v>
      </c>
      <c r="AN223" s="145">
        <v>-0.7</v>
      </c>
      <c r="AO223" s="145">
        <v>0</v>
      </c>
      <c r="AP223" s="145">
        <v>0</v>
      </c>
      <c r="AQ223" s="877"/>
      <c r="AR223" s="287">
        <f t="shared" ca="1" si="125"/>
        <v>-1.1093695200000002</v>
      </c>
      <c r="AS223" s="287">
        <f t="shared" ca="1" si="126"/>
        <v>-0.77655866400000007</v>
      </c>
      <c r="AT223" s="287">
        <f t="shared" ca="1" si="127"/>
        <v>-0.77655866400000007</v>
      </c>
      <c r="AU223" s="287">
        <f t="shared" ca="1" si="128"/>
        <v>0</v>
      </c>
      <c r="AV223" s="287">
        <f t="shared" ca="1" si="129"/>
        <v>0</v>
      </c>
      <c r="AW223" s="877"/>
      <c r="AY223" s="145">
        <v>-1</v>
      </c>
      <c r="AZ223" s="145">
        <v>-0.7</v>
      </c>
      <c r="BA223" s="145">
        <v>-0.7</v>
      </c>
      <c r="BB223" s="145">
        <v>0</v>
      </c>
      <c r="BC223" s="145">
        <v>0</v>
      </c>
      <c r="BD223" s="877"/>
      <c r="BE223" s="287">
        <f t="shared" ca="1" si="130"/>
        <v>-1.1093695200000002</v>
      </c>
      <c r="BF223" s="287">
        <f t="shared" ca="1" si="131"/>
        <v>-0.77655866400000007</v>
      </c>
      <c r="BG223" s="287">
        <f t="shared" ca="1" si="132"/>
        <v>-0.77655866400000007</v>
      </c>
      <c r="BH223" s="287">
        <f t="shared" ca="1" si="133"/>
        <v>0</v>
      </c>
      <c r="BI223" s="287">
        <f t="shared" ca="1" si="134"/>
        <v>0</v>
      </c>
      <c r="BJ223" s="877"/>
    </row>
    <row r="224" spans="34:62" ht="15" hidden="1" customHeight="1">
      <c r="AH224" s="186">
        <v>72</v>
      </c>
      <c r="AI224" s="186" t="b">
        <f t="shared" si="124"/>
        <v>0</v>
      </c>
      <c r="AJ224" s="186" t="b">
        <f t="shared" si="136"/>
        <v>0</v>
      </c>
      <c r="AK224" s="298" t="b">
        <f t="shared" si="135"/>
        <v>0</v>
      </c>
      <c r="AL224" s="145">
        <v>-1</v>
      </c>
      <c r="AM224" s="145">
        <v>-0.7</v>
      </c>
      <c r="AN224" s="145">
        <v>-0.7</v>
      </c>
      <c r="AO224" s="145">
        <v>0</v>
      </c>
      <c r="AP224" s="145">
        <v>0</v>
      </c>
      <c r="AQ224" s="877"/>
      <c r="AR224" s="287">
        <f t="shared" ca="1" si="125"/>
        <v>-1.1093695200000002</v>
      </c>
      <c r="AS224" s="287">
        <f t="shared" ca="1" si="126"/>
        <v>-0.77655866400000007</v>
      </c>
      <c r="AT224" s="287">
        <f t="shared" ca="1" si="127"/>
        <v>-0.77655866400000007</v>
      </c>
      <c r="AU224" s="287">
        <f t="shared" ca="1" si="128"/>
        <v>0</v>
      </c>
      <c r="AV224" s="287">
        <f t="shared" ca="1" si="129"/>
        <v>0</v>
      </c>
      <c r="AW224" s="877"/>
      <c r="AY224" s="145">
        <v>-1</v>
      </c>
      <c r="AZ224" s="145">
        <v>-0.7</v>
      </c>
      <c r="BA224" s="145">
        <v>-0.7</v>
      </c>
      <c r="BB224" s="145">
        <v>0</v>
      </c>
      <c r="BC224" s="145">
        <v>0</v>
      </c>
      <c r="BD224" s="877"/>
      <c r="BE224" s="287">
        <f t="shared" ca="1" si="130"/>
        <v>-1.1093695200000002</v>
      </c>
      <c r="BF224" s="287">
        <f t="shared" ca="1" si="131"/>
        <v>-0.77655866400000007</v>
      </c>
      <c r="BG224" s="287">
        <f t="shared" ca="1" si="132"/>
        <v>-0.77655866400000007</v>
      </c>
      <c r="BH224" s="287">
        <f t="shared" ca="1" si="133"/>
        <v>0</v>
      </c>
      <c r="BI224" s="287">
        <f t="shared" ca="1" si="134"/>
        <v>0</v>
      </c>
      <c r="BJ224" s="877"/>
    </row>
    <row r="225" spans="34:62" ht="15" hidden="1" customHeight="1">
      <c r="AH225" s="186">
        <v>73</v>
      </c>
      <c r="AI225" s="186" t="b">
        <f t="shared" si="124"/>
        <v>0</v>
      </c>
      <c r="AJ225" s="186" t="b">
        <f t="shared" si="136"/>
        <v>0</v>
      </c>
      <c r="AK225" s="298" t="b">
        <f t="shared" si="135"/>
        <v>0</v>
      </c>
      <c r="AL225" s="145">
        <v>-1</v>
      </c>
      <c r="AM225" s="145">
        <v>-0.7</v>
      </c>
      <c r="AN225" s="145">
        <v>-0.7</v>
      </c>
      <c r="AO225" s="145">
        <v>0</v>
      </c>
      <c r="AP225" s="145">
        <v>0</v>
      </c>
      <c r="AQ225" s="877"/>
      <c r="AR225" s="287">
        <f t="shared" ca="1" si="125"/>
        <v>-1.1093695200000002</v>
      </c>
      <c r="AS225" s="287">
        <f t="shared" ca="1" si="126"/>
        <v>-0.77655866400000007</v>
      </c>
      <c r="AT225" s="287">
        <f t="shared" ca="1" si="127"/>
        <v>-0.77655866400000007</v>
      </c>
      <c r="AU225" s="287">
        <f t="shared" ca="1" si="128"/>
        <v>0</v>
      </c>
      <c r="AV225" s="287">
        <f t="shared" ca="1" si="129"/>
        <v>0</v>
      </c>
      <c r="AW225" s="877"/>
      <c r="AY225" s="145">
        <v>-1</v>
      </c>
      <c r="AZ225" s="145">
        <v>-0.7</v>
      </c>
      <c r="BA225" s="145">
        <v>-0.7</v>
      </c>
      <c r="BB225" s="145">
        <v>0</v>
      </c>
      <c r="BC225" s="145">
        <v>0</v>
      </c>
      <c r="BD225" s="877"/>
      <c r="BE225" s="287">
        <f t="shared" ca="1" si="130"/>
        <v>-1.1093695200000002</v>
      </c>
      <c r="BF225" s="287">
        <f t="shared" ca="1" si="131"/>
        <v>-0.77655866400000007</v>
      </c>
      <c r="BG225" s="287">
        <f t="shared" ca="1" si="132"/>
        <v>-0.77655866400000007</v>
      </c>
      <c r="BH225" s="287">
        <f t="shared" ca="1" si="133"/>
        <v>0</v>
      </c>
      <c r="BI225" s="287">
        <f t="shared" ca="1" si="134"/>
        <v>0</v>
      </c>
      <c r="BJ225" s="877"/>
    </row>
    <row r="226" spans="34:62" ht="15" hidden="1" customHeight="1">
      <c r="AH226" s="186">
        <v>74</v>
      </c>
      <c r="AI226" s="186" t="b">
        <f t="shared" si="124"/>
        <v>0</v>
      </c>
      <c r="AJ226" s="186" t="b">
        <f t="shared" si="136"/>
        <v>0</v>
      </c>
      <c r="AK226" s="298" t="b">
        <f t="shared" si="135"/>
        <v>0</v>
      </c>
      <c r="AL226" s="145">
        <v>-1</v>
      </c>
      <c r="AM226" s="145">
        <v>-0.7</v>
      </c>
      <c r="AN226" s="145">
        <v>-0.7</v>
      </c>
      <c r="AO226" s="145">
        <v>0</v>
      </c>
      <c r="AP226" s="145">
        <v>0</v>
      </c>
      <c r="AQ226" s="877"/>
      <c r="AR226" s="287">
        <f t="shared" ca="1" si="125"/>
        <v>-1.1093695200000002</v>
      </c>
      <c r="AS226" s="287">
        <f t="shared" ca="1" si="126"/>
        <v>-0.77655866400000007</v>
      </c>
      <c r="AT226" s="287">
        <f t="shared" ca="1" si="127"/>
        <v>-0.77655866400000007</v>
      </c>
      <c r="AU226" s="287">
        <f t="shared" ca="1" si="128"/>
        <v>0</v>
      </c>
      <c r="AV226" s="287">
        <f t="shared" ca="1" si="129"/>
        <v>0</v>
      </c>
      <c r="AW226" s="877"/>
      <c r="AY226" s="145">
        <v>-1</v>
      </c>
      <c r="AZ226" s="145">
        <v>-0.7</v>
      </c>
      <c r="BA226" s="145">
        <v>-0.7</v>
      </c>
      <c r="BB226" s="145">
        <v>0</v>
      </c>
      <c r="BC226" s="145">
        <v>0</v>
      </c>
      <c r="BD226" s="877"/>
      <c r="BE226" s="287">
        <f t="shared" ca="1" si="130"/>
        <v>-1.1093695200000002</v>
      </c>
      <c r="BF226" s="287">
        <f t="shared" ca="1" si="131"/>
        <v>-0.77655866400000007</v>
      </c>
      <c r="BG226" s="287">
        <f t="shared" ca="1" si="132"/>
        <v>-0.77655866400000007</v>
      </c>
      <c r="BH226" s="287">
        <f t="shared" ca="1" si="133"/>
        <v>0</v>
      </c>
      <c r="BI226" s="287">
        <f t="shared" ca="1" si="134"/>
        <v>0</v>
      </c>
      <c r="BJ226" s="877"/>
    </row>
    <row r="227" spans="34:62" ht="15" hidden="1" customHeight="1">
      <c r="AH227" s="186">
        <v>75</v>
      </c>
      <c r="AI227" s="186" t="b">
        <f t="shared" si="124"/>
        <v>0</v>
      </c>
      <c r="AJ227" s="186" t="b">
        <f t="shared" si="136"/>
        <v>0</v>
      </c>
      <c r="AK227" s="298" t="b">
        <f t="shared" si="135"/>
        <v>0</v>
      </c>
      <c r="AL227" s="287">
        <v>-1.1000000000000001</v>
      </c>
      <c r="AM227" s="287">
        <v>-0.7</v>
      </c>
      <c r="AN227" s="287">
        <v>-0.7</v>
      </c>
      <c r="AO227" s="287">
        <v>0</v>
      </c>
      <c r="AP227" s="287">
        <v>0</v>
      </c>
      <c r="AQ227" s="877"/>
      <c r="AR227" s="287">
        <f t="shared" ca="1" si="125"/>
        <v>-1.2203064720000003</v>
      </c>
      <c r="AS227" s="287">
        <f t="shared" ca="1" si="126"/>
        <v>-0.77655866400000007</v>
      </c>
      <c r="AT227" s="287">
        <f t="shared" ca="1" si="127"/>
        <v>-0.77655866400000007</v>
      </c>
      <c r="AU227" s="287">
        <f t="shared" ca="1" si="128"/>
        <v>0</v>
      </c>
      <c r="AV227" s="287">
        <f t="shared" ca="1" si="129"/>
        <v>0</v>
      </c>
      <c r="AW227" s="877"/>
      <c r="AY227" s="287">
        <v>-1.1000000000000001</v>
      </c>
      <c r="AZ227" s="287">
        <v>-0.7</v>
      </c>
      <c r="BA227" s="287">
        <v>-0.7</v>
      </c>
      <c r="BB227" s="287">
        <v>0</v>
      </c>
      <c r="BC227" s="287">
        <v>0</v>
      </c>
      <c r="BD227" s="877"/>
      <c r="BE227" s="287">
        <f t="shared" ca="1" si="130"/>
        <v>-1.2203064720000003</v>
      </c>
      <c r="BF227" s="287">
        <f t="shared" ca="1" si="131"/>
        <v>-0.77655866400000007</v>
      </c>
      <c r="BG227" s="287">
        <f t="shared" ca="1" si="132"/>
        <v>-0.77655866400000007</v>
      </c>
      <c r="BH227" s="287">
        <f t="shared" ca="1" si="133"/>
        <v>0</v>
      </c>
      <c r="BI227" s="287">
        <f t="shared" ca="1" si="134"/>
        <v>0</v>
      </c>
      <c r="BJ227" s="877"/>
    </row>
  </sheetData>
  <sheetProtection password="CD8C" sheet="1" objects="1" scenarios="1"/>
  <customSheetViews>
    <customSheetView guid="{6C52B67B-3021-4890-8879-9905AB467CFE}" scale="75" showPageBreaks="1" showGridLines="0" printArea="1" hiddenColumns="1">
      <selection activeCell="F5" sqref="F5"/>
      <pageMargins left="0.70866141732283472" right="0.70866141732283472" top="0.74803149606299213" bottom="0.74803149606299213" header="0.31496062992125984" footer="0.31496062992125984"/>
      <printOptions horizontalCentered="1"/>
      <pageSetup paperSize="9" scale="80" orientation="portrait" r:id="rId1"/>
    </customSheetView>
  </customSheetViews>
  <mergeCells count="190">
    <mergeCell ref="M34:N34"/>
    <mergeCell ref="O34:P34"/>
    <mergeCell ref="G48:G53"/>
    <mergeCell ref="G54:G57"/>
    <mergeCell ref="C35:D36"/>
    <mergeCell ref="C37:D38"/>
    <mergeCell ref="H34:J34"/>
    <mergeCell ref="E35:G35"/>
    <mergeCell ref="E36:G36"/>
    <mergeCell ref="E34:G34"/>
    <mergeCell ref="E37:G37"/>
    <mergeCell ref="E38:G38"/>
    <mergeCell ref="K37:L37"/>
    <mergeCell ref="K38:L38"/>
    <mergeCell ref="K34:L34"/>
    <mergeCell ref="H36:J36"/>
    <mergeCell ref="H37:J37"/>
    <mergeCell ref="H38:J38"/>
    <mergeCell ref="H45:K45"/>
    <mergeCell ref="H50:K50"/>
    <mergeCell ref="H55:K55"/>
    <mergeCell ref="H48:K49"/>
    <mergeCell ref="H51:K53"/>
    <mergeCell ref="H54:K54"/>
    <mergeCell ref="B1:R1"/>
    <mergeCell ref="S1:AB1"/>
    <mergeCell ref="BJ157:BJ227"/>
    <mergeCell ref="AL11:AW11"/>
    <mergeCell ref="AY11:BJ11"/>
    <mergeCell ref="AY13:BC13"/>
    <mergeCell ref="BE13:BI13"/>
    <mergeCell ref="BD15:BD85"/>
    <mergeCell ref="BJ15:BJ85"/>
    <mergeCell ref="AQ86:AQ156"/>
    <mergeCell ref="AQ157:AQ227"/>
    <mergeCell ref="AL13:AP13"/>
    <mergeCell ref="AR13:AV13"/>
    <mergeCell ref="AW15:AW85"/>
    <mergeCell ref="AW86:AW156"/>
    <mergeCell ref="AW157:AW227"/>
    <mergeCell ref="AQ15:AQ85"/>
    <mergeCell ref="BD157:BD227"/>
    <mergeCell ref="AS3:AW3"/>
    <mergeCell ref="BD86:BD156"/>
    <mergeCell ref="BJ86:BJ156"/>
    <mergeCell ref="AQ7:AQ8"/>
    <mergeCell ref="C15:L15"/>
    <mergeCell ref="AL5:AL6"/>
    <mergeCell ref="AL3:AQ3"/>
    <mergeCell ref="AM5:AM6"/>
    <mergeCell ref="AN5:AN6"/>
    <mergeCell ref="AO5:AO6"/>
    <mergeCell ref="AP5:AP6"/>
    <mergeCell ref="AQ5:AQ6"/>
    <mergeCell ref="AL7:AL8"/>
    <mergeCell ref="AM7:AM8"/>
    <mergeCell ref="AN7:AN8"/>
    <mergeCell ref="AO7:AO8"/>
    <mergeCell ref="AP7:AP8"/>
    <mergeCell ref="G11:N11"/>
    <mergeCell ref="P11:Y11"/>
    <mergeCell ref="Z11:AA11"/>
    <mergeCell ref="C8:N8"/>
    <mergeCell ref="P8:AA8"/>
    <mergeCell ref="C9:F9"/>
    <mergeCell ref="G9:N9"/>
    <mergeCell ref="P9:X9"/>
    <mergeCell ref="Y9:AA9"/>
    <mergeCell ref="C10:F10"/>
    <mergeCell ref="G10:N10"/>
    <mergeCell ref="P10:Y10"/>
    <mergeCell ref="Z10:AA10"/>
    <mergeCell ref="C11:F11"/>
    <mergeCell ref="C13:L13"/>
    <mergeCell ref="M13:N13"/>
    <mergeCell ref="P14:Y14"/>
    <mergeCell ref="C14:L14"/>
    <mergeCell ref="M14:N14"/>
    <mergeCell ref="P15:Y15"/>
    <mergeCell ref="C12:L12"/>
    <mergeCell ref="M12:N12"/>
    <mergeCell ref="Z14:AA14"/>
    <mergeCell ref="Q13:Z13"/>
    <mergeCell ref="Z15:AA15"/>
    <mergeCell ref="M15:N15"/>
    <mergeCell ref="C17:L17"/>
    <mergeCell ref="P19:Y19"/>
    <mergeCell ref="Z19:AA19"/>
    <mergeCell ref="C16:L16"/>
    <mergeCell ref="M16:N16"/>
    <mergeCell ref="P16:Y16"/>
    <mergeCell ref="Z16:AA16"/>
    <mergeCell ref="C18:L18"/>
    <mergeCell ref="M18:N18"/>
    <mergeCell ref="P17:Y17"/>
    <mergeCell ref="Z17:AA17"/>
    <mergeCell ref="M17:N17"/>
    <mergeCell ref="S22:U22"/>
    <mergeCell ref="S23:U23"/>
    <mergeCell ref="P22:R22"/>
    <mergeCell ref="P23:R23"/>
    <mergeCell ref="X23:Y23"/>
    <mergeCell ref="Z23:AA23"/>
    <mergeCell ref="C24:L24"/>
    <mergeCell ref="P18:Y18"/>
    <mergeCell ref="Z18:AA18"/>
    <mergeCell ref="E28:G28"/>
    <mergeCell ref="K27:L27"/>
    <mergeCell ref="M27:N27"/>
    <mergeCell ref="O27:P27"/>
    <mergeCell ref="P25:AA25"/>
    <mergeCell ref="M23:N23"/>
    <mergeCell ref="C27:G27"/>
    <mergeCell ref="C20:N20"/>
    <mergeCell ref="C22:L22"/>
    <mergeCell ref="M22:N22"/>
    <mergeCell ref="V23:W23"/>
    <mergeCell ref="H27:J27"/>
    <mergeCell ref="M24:N24"/>
    <mergeCell ref="P21:AA21"/>
    <mergeCell ref="C21:L21"/>
    <mergeCell ref="M21:N21"/>
    <mergeCell ref="V22:W22"/>
    <mergeCell ref="X22:Y22"/>
    <mergeCell ref="Z22:AA22"/>
    <mergeCell ref="P24:R24"/>
    <mergeCell ref="S24:U24"/>
    <mergeCell ref="V24:W24"/>
    <mergeCell ref="X24:Y24"/>
    <mergeCell ref="Z24:AA24"/>
    <mergeCell ref="O36:P36"/>
    <mergeCell ref="M37:N37"/>
    <mergeCell ref="O37:P37"/>
    <mergeCell ref="Q37:U37"/>
    <mergeCell ref="M38:N38"/>
    <mergeCell ref="O38:P38"/>
    <mergeCell ref="Q38:U38"/>
    <mergeCell ref="Q36:U36"/>
    <mergeCell ref="C23:L23"/>
    <mergeCell ref="H31:J31"/>
    <mergeCell ref="K31:L31"/>
    <mergeCell ref="M31:N31"/>
    <mergeCell ref="O31:P31"/>
    <mergeCell ref="C33:U33"/>
    <mergeCell ref="K28:L28"/>
    <mergeCell ref="M28:N28"/>
    <mergeCell ref="O28:P28"/>
    <mergeCell ref="K29:L29"/>
    <mergeCell ref="M29:N29"/>
    <mergeCell ref="O29:P29"/>
    <mergeCell ref="H29:J29"/>
    <mergeCell ref="C26:P26"/>
    <mergeCell ref="H28:J28"/>
    <mergeCell ref="C28:D28"/>
    <mergeCell ref="H56:K57"/>
    <mergeCell ref="L43:Q43"/>
    <mergeCell ref="L44:Q44"/>
    <mergeCell ref="L45:Q49"/>
    <mergeCell ref="L50:Q50"/>
    <mergeCell ref="L51:Q56"/>
    <mergeCell ref="L57:Q57"/>
    <mergeCell ref="R43:Z43"/>
    <mergeCell ref="R44:Z49"/>
    <mergeCell ref="R50:Z50"/>
    <mergeCell ref="R57:Z57"/>
    <mergeCell ref="R51:Z56"/>
    <mergeCell ref="K35:L35"/>
    <mergeCell ref="M35:N35"/>
    <mergeCell ref="O35:P35"/>
    <mergeCell ref="C40:AA40"/>
    <mergeCell ref="H43:K43"/>
    <mergeCell ref="G44:G47"/>
    <mergeCell ref="C29:D29"/>
    <mergeCell ref="E29:G29"/>
    <mergeCell ref="C30:D30"/>
    <mergeCell ref="E30:G30"/>
    <mergeCell ref="C31:D31"/>
    <mergeCell ref="E31:G31"/>
    <mergeCell ref="K36:L36"/>
    <mergeCell ref="K30:L30"/>
    <mergeCell ref="M30:N30"/>
    <mergeCell ref="O30:P30"/>
    <mergeCell ref="H30:J30"/>
    <mergeCell ref="C34:D34"/>
    <mergeCell ref="Q34:U34"/>
    <mergeCell ref="Q35:U35"/>
    <mergeCell ref="H44:K44"/>
    <mergeCell ref="H46:K47"/>
    <mergeCell ref="H35:J35"/>
    <mergeCell ref="M36:N36"/>
  </mergeCells>
  <conditionalFormatting sqref="R44:Z57">
    <cfRule type="expression" dxfId="12" priority="172">
      <formula>OR($AH$4&lt;&gt;2,$M$14&lt;=$AI$12)</formula>
    </cfRule>
  </conditionalFormatting>
  <conditionalFormatting sqref="Z11:AA11">
    <cfRule type="expression" dxfId="11" priority="1">
      <formula>$Y$9=INDEX(Site_terrain_type,1)</formula>
    </cfRule>
  </conditionalFormatting>
  <dataValidations count="6">
    <dataValidation type="whole" allowBlank="1" showInputMessage="1" showErrorMessage="1" error="Angle must be a whole number between 5° and 75°" sqref="M17:N17" xr:uid="{00000000-0002-0000-0600-000000000000}">
      <formula1>5</formula1>
      <formula2>75</formula2>
    </dataValidation>
    <dataValidation type="list" allowBlank="1" showInputMessage="1" showErrorMessage="1" sqref="M18:N18" xr:uid="{00000000-0002-0000-0600-000001000000}">
      <formula1>$AI$5:$AI$7</formula1>
    </dataValidation>
    <dataValidation type="list" allowBlank="1" showInputMessage="1" showErrorMessage="1" sqref="G9:N9" xr:uid="{00000000-0002-0000-0600-000002000000}">
      <formula1>Structure</formula1>
    </dataValidation>
    <dataValidation type="list" allowBlank="1" showInputMessage="1" showErrorMessage="1" sqref="G10:N10" xr:uid="{00000000-0002-0000-0600-000003000000}">
      <formula1>Structural_type</formula1>
    </dataValidation>
    <dataValidation type="list" allowBlank="1" showInputMessage="1" showErrorMessage="1" sqref="G11:N11" xr:uid="{00000000-0002-0000-0600-000004000000}">
      <formula1>Type_of_surface</formula1>
    </dataValidation>
    <dataValidation type="list" allowBlank="1" showInputMessage="1" showErrorMessage="1" sqref="Y9:AA9" xr:uid="{00000000-0002-0000-0600-000005000000}">
      <formula1>Site_terrain_type</formula1>
    </dataValidation>
  </dataValidations>
  <hyperlinks>
    <hyperlink ref="C61" r:id="rId2" xr:uid="{00000000-0004-0000-0600-000000000000}"/>
  </hyperlinks>
  <printOptions horizontalCentered="1"/>
  <pageMargins left="0.74803149606299213" right="0.31496062992125984" top="0.74803149606299202" bottom="0.43307086614173229" header="0" footer="0"/>
  <pageSetup paperSize="9" scale="74" orientation="portrait" r:id="rId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I253"/>
  <sheetViews>
    <sheetView showGridLines="0" topLeftCell="A7" zoomScaleNormal="100" zoomScaleSheetLayoutView="70" workbookViewId="0">
      <selection activeCell="G9" sqref="G9:N9"/>
    </sheetView>
  </sheetViews>
  <sheetFormatPr defaultRowHeight="15" customHeight="1"/>
  <cols>
    <col min="1" max="1" width="2.5703125" style="155" customWidth="1"/>
    <col min="2" max="2" width="2" style="155" customWidth="1"/>
    <col min="3" max="3" width="6.140625" style="155" customWidth="1"/>
    <col min="4" max="27" width="4.7109375" style="155" customWidth="1"/>
    <col min="28" max="28" width="2" style="155" customWidth="1"/>
    <col min="29" max="29" width="2.5703125" style="155" customWidth="1"/>
    <col min="30" max="33" width="9.140625" style="136" hidden="1" customWidth="1"/>
    <col min="34" max="36" width="9.140625" style="252" hidden="1" customWidth="1"/>
    <col min="37" max="37" width="9.140625" style="288" hidden="1" customWidth="1"/>
    <col min="38" max="42" width="9.140625" style="278" hidden="1" customWidth="1"/>
    <col min="43" max="48" width="9.140625" style="252" hidden="1" customWidth="1"/>
    <col min="49" max="58" width="9.140625" style="278" hidden="1" customWidth="1"/>
    <col min="59" max="59" width="9.140625" style="252" hidden="1" customWidth="1"/>
    <col min="60" max="60" width="9.140625" style="252" customWidth="1"/>
    <col min="61" max="61" width="9.140625" style="252"/>
    <col min="62" max="16384" width="9.140625" style="136"/>
  </cols>
  <sheetData>
    <row r="1" spans="1:61" ht="15" customHeight="1">
      <c r="A1" s="133"/>
      <c r="B1" s="769" t="s">
        <v>486</v>
      </c>
      <c r="C1" s="769"/>
      <c r="D1" s="769"/>
      <c r="E1" s="769"/>
      <c r="F1" s="769"/>
      <c r="G1" s="769"/>
      <c r="H1" s="769"/>
      <c r="I1" s="769"/>
      <c r="J1" s="769"/>
      <c r="K1" s="769"/>
      <c r="L1" s="769"/>
      <c r="M1" s="769"/>
      <c r="N1" s="769"/>
      <c r="O1" s="769"/>
      <c r="P1" s="769"/>
      <c r="Q1" s="769"/>
      <c r="R1" s="769"/>
      <c r="S1" s="770" t="s">
        <v>487</v>
      </c>
      <c r="T1" s="770"/>
      <c r="U1" s="770"/>
      <c r="V1" s="770"/>
      <c r="W1" s="770"/>
      <c r="X1" s="770"/>
      <c r="Y1" s="770"/>
      <c r="Z1" s="770"/>
      <c r="AA1" s="770"/>
      <c r="AB1" s="770"/>
      <c r="AC1" s="13"/>
      <c r="AD1" s="43"/>
      <c r="AE1" s="43"/>
      <c r="AF1" s="43"/>
      <c r="AG1" s="43"/>
      <c r="AH1" s="45"/>
      <c r="AI1" s="45"/>
      <c r="AJ1" s="45"/>
      <c r="AK1" s="281"/>
      <c r="AL1" s="98"/>
      <c r="AM1" s="98"/>
      <c r="AN1" s="98"/>
      <c r="AO1" s="98"/>
      <c r="AP1" s="98"/>
      <c r="AQ1" s="45"/>
      <c r="AR1" s="45"/>
      <c r="AS1" s="45"/>
      <c r="AT1" s="45"/>
      <c r="AU1" s="45"/>
      <c r="AV1" s="45"/>
      <c r="AW1" s="98"/>
      <c r="AX1" s="98"/>
      <c r="AY1" s="98"/>
      <c r="AZ1" s="98"/>
      <c r="BA1" s="98"/>
      <c r="BB1" s="98"/>
      <c r="BC1" s="98"/>
      <c r="BD1" s="98"/>
      <c r="BE1" s="98"/>
      <c r="BF1" s="98"/>
      <c r="BG1" s="45"/>
      <c r="BH1" s="45"/>
      <c r="BI1" s="45"/>
    </row>
    <row r="2" spans="1:61" ht="29.25" customHeight="1" thickBot="1">
      <c r="A2" s="133"/>
      <c r="AC2" s="13"/>
      <c r="AD2" s="43"/>
      <c r="AE2" s="43"/>
      <c r="AF2" s="43"/>
      <c r="AG2" s="43"/>
      <c r="AH2" s="45"/>
      <c r="AI2" s="45"/>
      <c r="AJ2" s="45"/>
      <c r="AK2" s="281"/>
      <c r="AL2" s="98"/>
      <c r="AM2" s="98"/>
      <c r="AN2" s="98"/>
      <c r="AO2" s="872" t="s">
        <v>233</v>
      </c>
      <c r="AP2" s="872"/>
      <c r="AQ2" s="872"/>
      <c r="AR2" s="872"/>
      <c r="AS2" s="872"/>
      <c r="AT2" s="872"/>
      <c r="AU2" s="45"/>
      <c r="AV2" s="881" t="s">
        <v>236</v>
      </c>
      <c r="AW2" s="881"/>
      <c r="AX2" s="881"/>
      <c r="AY2" s="881"/>
      <c r="AZ2" s="881"/>
      <c r="BA2" s="45"/>
      <c r="BB2" s="98"/>
      <c r="BC2" s="98"/>
      <c r="BD2" s="98"/>
      <c r="BE2" s="98"/>
      <c r="BF2" s="98"/>
      <c r="BG2" s="45"/>
      <c r="BH2" s="45"/>
      <c r="BI2" s="45"/>
    </row>
    <row r="3" spans="1:61" ht="19.5" customHeight="1">
      <c r="A3" s="133"/>
      <c r="AC3" s="13"/>
      <c r="AD3" s="43"/>
      <c r="AE3" s="43"/>
      <c r="AF3" s="43"/>
      <c r="AG3" s="43"/>
      <c r="AH3" s="45"/>
      <c r="AI3" s="45"/>
      <c r="AJ3" s="45"/>
      <c r="AK3" s="281"/>
      <c r="AL3" s="98"/>
      <c r="AM3" s="273" t="s">
        <v>212</v>
      </c>
      <c r="AN3" s="98"/>
      <c r="AO3" s="245" t="s">
        <v>232</v>
      </c>
      <c r="AP3" s="246" t="s">
        <v>120</v>
      </c>
      <c r="AQ3" s="246" t="s">
        <v>121</v>
      </c>
      <c r="AR3" s="246" t="s">
        <v>93</v>
      </c>
      <c r="AS3" s="246" t="s">
        <v>40</v>
      </c>
      <c r="AT3" s="246" t="s">
        <v>144</v>
      </c>
      <c r="AU3" s="45"/>
      <c r="AV3" s="282" t="s">
        <v>101</v>
      </c>
      <c r="AW3" s="246" t="s">
        <v>120</v>
      </c>
      <c r="AX3" s="246" t="s">
        <v>121</v>
      </c>
      <c r="AY3" s="246" t="s">
        <v>93</v>
      </c>
      <c r="AZ3" s="246" t="s">
        <v>40</v>
      </c>
      <c r="BA3" s="246" t="s">
        <v>144</v>
      </c>
      <c r="BB3" s="98"/>
      <c r="BC3" s="98"/>
      <c r="BD3" s="98"/>
      <c r="BE3" s="98"/>
      <c r="BF3" s="98"/>
      <c r="BG3" s="45"/>
      <c r="BH3" s="45"/>
      <c r="BI3" s="45"/>
    </row>
    <row r="4" spans="1:61" ht="19.5" customHeight="1">
      <c r="A4" s="133"/>
      <c r="AC4" s="13"/>
      <c r="AD4" s="43"/>
      <c r="AE4" s="43"/>
      <c r="AF4" s="43"/>
      <c r="AG4" s="43"/>
      <c r="AH4" s="186">
        <f>MATCH(AE30,AI5:AI6,0)</f>
        <v>2</v>
      </c>
      <c r="AI4" s="283" t="s">
        <v>133</v>
      </c>
      <c r="AJ4" s="45"/>
      <c r="AK4" s="281"/>
      <c r="AL4" s="98"/>
      <c r="AM4" s="274" t="b">
        <f>AND(-45&lt;=AI9,AI9&lt;=-5)</f>
        <v>0</v>
      </c>
      <c r="AN4" s="98"/>
      <c r="AO4" s="875" t="s">
        <v>237</v>
      </c>
      <c r="AP4" s="873">
        <f ca="1">VLOOKUP(TRUE,AK14:BF253,7,FALSE)</f>
        <v>-1.6270752960000008</v>
      </c>
      <c r="AQ4" s="873">
        <f ca="1">VLOOKUP(TRUE,AK14:BF253,8,FALSE)</f>
        <v>-1.5161383440000005</v>
      </c>
      <c r="AR4" s="873">
        <f ca="1">VLOOKUP(TRUE,AK14:BF253,9,FALSE)</f>
        <v>-0.66562171200000009</v>
      </c>
      <c r="AS4" s="873">
        <f ca="1">VLOOKUP(TRUE,AK14:BF253,10,FALSE)</f>
        <v>-0.48072679200000007</v>
      </c>
      <c r="AT4" s="873">
        <f ca="1">VLOOKUP(TRUE,AK14:BF253,11,FALSE)</f>
        <v>0</v>
      </c>
      <c r="AU4" s="45"/>
      <c r="AV4" s="284" t="s">
        <v>239</v>
      </c>
      <c r="AW4" s="285">
        <f ca="1">+AP4-1.35*$Z$14</f>
        <v>-1.8970752960000008</v>
      </c>
      <c r="AX4" s="285">
        <f ca="1">+AQ4-1.35*$Z$14</f>
        <v>-1.7861383440000005</v>
      </c>
      <c r="AY4" s="285">
        <f ca="1">+AR4-1.35*$Z$14</f>
        <v>-0.93562171200000011</v>
      </c>
      <c r="AZ4" s="285">
        <f ca="1">+AS4-1.35*$Z$14</f>
        <v>-0.75072679200000003</v>
      </c>
      <c r="BA4" s="285">
        <f ca="1">+AT4-1.35*$Z$14</f>
        <v>-0.27</v>
      </c>
      <c r="BB4" s="98"/>
      <c r="BC4" s="98"/>
      <c r="BD4" s="98"/>
      <c r="BE4" s="98"/>
      <c r="BF4" s="98"/>
      <c r="BG4" s="45"/>
      <c r="BH4" s="45"/>
      <c r="BI4" s="45"/>
    </row>
    <row r="5" spans="1:61" ht="19.5" customHeight="1" thickBot="1">
      <c r="A5" s="133"/>
      <c r="AC5" s="13"/>
      <c r="AD5" s="43"/>
      <c r="AE5" s="43"/>
      <c r="AF5" s="43"/>
      <c r="AG5" s="43"/>
      <c r="AH5" s="256">
        <v>1</v>
      </c>
      <c r="AI5" s="259">
        <v>0</v>
      </c>
      <c r="AJ5" s="45" t="str">
        <f>IF(AND($AH$4=2,M14&lt;=AI11),"ridge or trough","")</f>
        <v/>
      </c>
      <c r="AK5" s="281"/>
      <c r="AL5" s="98"/>
      <c r="AM5" s="275" t="b">
        <f>AND(5&lt;=AI9,AI9&lt;=75)</f>
        <v>1</v>
      </c>
      <c r="AN5" s="98"/>
      <c r="AO5" s="876"/>
      <c r="AP5" s="874"/>
      <c r="AQ5" s="874"/>
      <c r="AR5" s="874"/>
      <c r="AS5" s="874"/>
      <c r="AT5" s="874"/>
      <c r="AU5" s="45"/>
      <c r="AV5" s="284" t="s">
        <v>240</v>
      </c>
      <c r="AW5" s="285">
        <f ca="1">+AP4-1.35*$Z$15</f>
        <v>-1.2220752960000008</v>
      </c>
      <c r="AX5" s="285">
        <f ca="1">+AQ4-1.35*$Z$15</f>
        <v>-1.1111383440000004</v>
      </c>
      <c r="AY5" s="285">
        <f ca="1">+AR4-1.35*$Z$15</f>
        <v>-0.26062171200000006</v>
      </c>
      <c r="AZ5" s="285">
        <f ca="1">+AS4-1.35*$Z$15</f>
        <v>-7.5726792000000043E-2</v>
      </c>
      <c r="BA5" s="285">
        <f ca="1">+AT4-1.35*$Z$15</f>
        <v>0.40500000000000003</v>
      </c>
      <c r="BB5" s="98"/>
      <c r="BC5" s="98"/>
      <c r="BD5" s="98"/>
      <c r="BE5" s="98"/>
      <c r="BF5" s="98"/>
      <c r="BG5" s="45"/>
      <c r="BH5" s="45"/>
      <c r="BI5" s="45"/>
    </row>
    <row r="6" spans="1:61" ht="17.100000000000001" customHeight="1" thickBot="1">
      <c r="A6" s="133"/>
      <c r="B6" s="119"/>
      <c r="C6" s="23"/>
      <c r="D6" s="23"/>
      <c r="E6" s="23"/>
      <c r="F6" s="23"/>
      <c r="G6" s="23"/>
      <c r="H6" s="23"/>
      <c r="I6" s="23"/>
      <c r="J6" s="23"/>
      <c r="K6" s="23"/>
      <c r="L6" s="23"/>
      <c r="M6" s="23"/>
      <c r="N6" s="23"/>
      <c r="O6" s="23"/>
      <c r="P6" s="23"/>
      <c r="Q6" s="23"/>
      <c r="R6" s="23"/>
      <c r="S6" s="23"/>
      <c r="T6" s="23"/>
      <c r="U6" s="23"/>
      <c r="V6" s="23"/>
      <c r="W6" s="23"/>
      <c r="X6" s="23"/>
      <c r="Y6" s="23"/>
      <c r="Z6" s="23"/>
      <c r="AA6" s="23"/>
      <c r="AB6" s="120"/>
      <c r="AC6" s="13"/>
      <c r="AD6" s="43"/>
      <c r="AE6" s="43"/>
      <c r="AF6" s="43"/>
      <c r="AG6" s="43"/>
      <c r="AH6" s="206">
        <v>2</v>
      </c>
      <c r="AI6" s="286">
        <v>90</v>
      </c>
      <c r="AJ6" s="45" t="str">
        <f>IF(AND($AH$4=2,M14&gt;AI11),"ridge or trough","")</f>
        <v>ridge or trough</v>
      </c>
      <c r="AK6" s="281"/>
      <c r="AL6" s="98"/>
      <c r="AM6" s="270" t="b">
        <f>OR(AM4=TRUE,AM5=TRUE)</f>
        <v>1</v>
      </c>
      <c r="AN6" s="98"/>
      <c r="AO6" s="875" t="s">
        <v>238</v>
      </c>
      <c r="AP6" s="873">
        <f ca="1">VLOOKUP(TRUE,AK14:BF253,18,FALSE)</f>
        <v>0.3328108560000001</v>
      </c>
      <c r="AQ6" s="873">
        <f ca="1">VLOOKUP(TRUE,AK14:BF253,19,FALSE)</f>
        <v>0.29583187200000005</v>
      </c>
      <c r="AR6" s="873">
        <f ca="1">VLOOKUP(TRUE,AK14:BF253,20,FALSE)</f>
        <v>0.258852888</v>
      </c>
      <c r="AS6" s="873">
        <f ca="1">VLOOKUP(TRUE,AK14:BF253,21,FALSE)</f>
        <v>0.22187390400000007</v>
      </c>
      <c r="AT6" s="873">
        <f ca="1">VLOOKUP(TRUE,AK14:BF253,22,FALSE)</f>
        <v>0</v>
      </c>
      <c r="AU6" s="45"/>
      <c r="AV6" s="284" t="s">
        <v>241</v>
      </c>
      <c r="AW6" s="285">
        <f ca="1">+AP6-1.35*$Z$14</f>
        <v>6.2810856000000082E-2</v>
      </c>
      <c r="AX6" s="285">
        <f ca="1">+AQ6-1.35*$Z$14</f>
        <v>2.5831872000000033E-2</v>
      </c>
      <c r="AY6" s="285">
        <f ca="1">+AR6-1.35*$Z$14</f>
        <v>-1.1147112000000015E-2</v>
      </c>
      <c r="AZ6" s="285">
        <f ca="1">+AS6-1.35*$Z$14</f>
        <v>-4.8126095999999952E-2</v>
      </c>
      <c r="BA6" s="285">
        <f ca="1">+AT6-1.35*$Z$14</f>
        <v>-0.27</v>
      </c>
      <c r="BB6" s="98"/>
      <c r="BC6" s="98"/>
      <c r="BD6" s="98"/>
      <c r="BE6" s="98"/>
      <c r="BF6" s="98"/>
      <c r="BG6" s="45"/>
      <c r="BH6" s="45"/>
      <c r="BI6" s="45"/>
    </row>
    <row r="7" spans="1:61" ht="17.100000000000001" customHeight="1">
      <c r="A7" s="13"/>
      <c r="B7" s="119"/>
      <c r="C7" s="23"/>
      <c r="D7" s="23"/>
      <c r="E7" s="23"/>
      <c r="F7" s="23"/>
      <c r="G7" s="23"/>
      <c r="H7" s="23"/>
      <c r="I7" s="23"/>
      <c r="J7" s="23"/>
      <c r="K7" s="23"/>
      <c r="L7" s="23"/>
      <c r="M7" s="23"/>
      <c r="N7" s="23"/>
      <c r="O7" s="23"/>
      <c r="P7" s="23"/>
      <c r="Q7" s="23"/>
      <c r="R7" s="23"/>
      <c r="S7" s="23"/>
      <c r="T7" s="23"/>
      <c r="U7" s="23"/>
      <c r="V7" s="23"/>
      <c r="W7" s="23"/>
      <c r="X7" s="23"/>
      <c r="Y7" s="23"/>
      <c r="Z7" s="23"/>
      <c r="AA7" s="23"/>
      <c r="AB7" s="120"/>
      <c r="AC7" s="13"/>
      <c r="AD7" s="43"/>
      <c r="AE7" s="43"/>
      <c r="AF7" s="43"/>
      <c r="AG7" s="43"/>
      <c r="AJ7" s="45" t="str">
        <f>IF($AH$4=1,"ridge or trough","")</f>
        <v/>
      </c>
      <c r="AK7" s="281"/>
      <c r="AL7" s="98"/>
      <c r="AM7" s="98"/>
      <c r="AN7" s="98"/>
      <c r="AO7" s="876"/>
      <c r="AP7" s="874"/>
      <c r="AQ7" s="874"/>
      <c r="AR7" s="874"/>
      <c r="AS7" s="874"/>
      <c r="AT7" s="874"/>
      <c r="AU7" s="45"/>
      <c r="AV7" s="284" t="s">
        <v>242</v>
      </c>
      <c r="AW7" s="285">
        <f ca="1">+AP6-1.35*$Z$15</f>
        <v>0.73781085600000007</v>
      </c>
      <c r="AX7" s="285">
        <f ca="1">+AQ6-1.35*$Z$15</f>
        <v>0.70083187200000008</v>
      </c>
      <c r="AY7" s="285">
        <f ca="1">+AR6-1.35*$Z$15</f>
        <v>0.66385288800000009</v>
      </c>
      <c r="AZ7" s="285">
        <f ca="1">+AS6-1.35*$Z$15</f>
        <v>0.62687390400000009</v>
      </c>
      <c r="BA7" s="285">
        <f ca="1">+AT6-1.35*$Z$15</f>
        <v>0.40500000000000003</v>
      </c>
      <c r="BB7" s="98"/>
      <c r="BC7" s="98"/>
      <c r="BD7" s="98"/>
      <c r="BE7" s="98"/>
      <c r="BF7" s="98"/>
      <c r="BG7" s="45"/>
      <c r="BH7" s="45"/>
      <c r="BI7" s="45"/>
    </row>
    <row r="8" spans="1:61" ht="17.100000000000001" customHeight="1">
      <c r="A8" s="13"/>
      <c r="B8" s="119"/>
      <c r="C8" s="573" t="s">
        <v>348</v>
      </c>
      <c r="D8" s="574"/>
      <c r="E8" s="574"/>
      <c r="F8" s="574"/>
      <c r="G8" s="574"/>
      <c r="H8" s="574"/>
      <c r="I8" s="574"/>
      <c r="J8" s="574"/>
      <c r="K8" s="574"/>
      <c r="L8" s="574"/>
      <c r="M8" s="574"/>
      <c r="N8" s="575"/>
      <c r="O8" s="23"/>
      <c r="P8" s="573" t="s">
        <v>349</v>
      </c>
      <c r="Q8" s="574"/>
      <c r="R8" s="574"/>
      <c r="S8" s="574"/>
      <c r="T8" s="574"/>
      <c r="U8" s="574"/>
      <c r="V8" s="574"/>
      <c r="W8" s="574"/>
      <c r="X8" s="574"/>
      <c r="Y8" s="574"/>
      <c r="Z8" s="574"/>
      <c r="AA8" s="575"/>
      <c r="AB8" s="120"/>
      <c r="AC8" s="13"/>
      <c r="AD8" s="13" t="s">
        <v>579</v>
      </c>
      <c r="AE8" s="398" t="str">
        <f>G9</f>
        <v>Hipped roofs</v>
      </c>
      <c r="AF8" s="199" t="s">
        <v>554</v>
      </c>
      <c r="AG8" s="43"/>
      <c r="AJ8" s="45" t="str">
        <f>"Roof width b = "&amp;FIXED(M13,2)&amp;"m"</f>
        <v>Roof width b = 80.00m</v>
      </c>
      <c r="AK8" s="281"/>
      <c r="AL8" s="98"/>
      <c r="AM8" s="98"/>
      <c r="AN8" s="98"/>
      <c r="AO8" s="98" t="s">
        <v>440</v>
      </c>
      <c r="AP8" s="98">
        <f>VLOOKUP(TRUE,$AK$14:$BF$253,2,FALSE)</f>
        <v>-1.466666666666667</v>
      </c>
      <c r="AQ8" s="98">
        <f>VLOOKUP(TRUE,$AK$14:$BF$253,3,FALSE)</f>
        <v>-1.3666666666666669</v>
      </c>
      <c r="AR8" s="98">
        <f>VLOOKUP(TRUE,$AK$14:$BF$253,4,FALSE)</f>
        <v>-0.6</v>
      </c>
      <c r="AS8" s="98">
        <f>VLOOKUP(TRUE,$AK$14:$BF$253,5,FALSE)</f>
        <v>-0.43333333333333329</v>
      </c>
      <c r="AT8" s="98">
        <f>VLOOKUP(TRUE,$AK$14:$BF$253,6,FALSE)</f>
        <v>0</v>
      </c>
      <c r="AU8" s="45"/>
      <c r="AV8" s="45"/>
      <c r="AW8" s="98"/>
      <c r="AX8" s="98"/>
      <c r="AY8" s="98"/>
      <c r="AZ8" s="98"/>
      <c r="BA8" s="98"/>
      <c r="BB8" s="98"/>
      <c r="BC8" s="98"/>
      <c r="BD8" s="98"/>
      <c r="BE8" s="98"/>
      <c r="BF8" s="98"/>
      <c r="BG8" s="45"/>
      <c r="BH8" s="45"/>
      <c r="BI8" s="45"/>
    </row>
    <row r="9" spans="1:61" ht="17.100000000000001" customHeight="1">
      <c r="A9" s="13"/>
      <c r="B9" s="119"/>
      <c r="C9" s="690" t="s">
        <v>370</v>
      </c>
      <c r="D9" s="691"/>
      <c r="E9" s="691"/>
      <c r="F9" s="691"/>
      <c r="G9" s="637" t="s">
        <v>575</v>
      </c>
      <c r="H9" s="637"/>
      <c r="I9" s="637"/>
      <c r="J9" s="637"/>
      <c r="K9" s="637"/>
      <c r="L9" s="637"/>
      <c r="M9" s="637"/>
      <c r="N9" s="638"/>
      <c r="O9" s="23"/>
      <c r="P9" s="702" t="s">
        <v>368</v>
      </c>
      <c r="Q9" s="703"/>
      <c r="R9" s="703"/>
      <c r="S9" s="703"/>
      <c r="T9" s="703"/>
      <c r="U9" s="703"/>
      <c r="V9" s="703"/>
      <c r="W9" s="703"/>
      <c r="X9" s="703"/>
      <c r="Y9" s="704" t="s">
        <v>299</v>
      </c>
      <c r="Z9" s="704"/>
      <c r="AA9" s="705"/>
      <c r="AB9" s="120"/>
      <c r="AC9" s="13"/>
      <c r="AD9" s="13" t="s">
        <v>580</v>
      </c>
      <c r="AE9" s="398" t="str">
        <f>G10</f>
        <v>Reinforced concrete building</v>
      </c>
      <c r="AF9" s="199" t="s">
        <v>556</v>
      </c>
      <c r="AG9" s="43"/>
      <c r="AH9" s="186" t="s">
        <v>127</v>
      </c>
      <c r="AI9" s="145">
        <f>ROUND(M17,0)</f>
        <v>20</v>
      </c>
      <c r="AJ9" s="45"/>
      <c r="AK9" s="281"/>
      <c r="AL9" s="98"/>
      <c r="AM9" s="98"/>
      <c r="AN9" s="98"/>
      <c r="AO9" s="98" t="s">
        <v>441</v>
      </c>
      <c r="AP9" s="98">
        <f>VLOOKUP(TRUE,$AK$14:$BF$253,13,FALSE)</f>
        <v>0.30000000000000004</v>
      </c>
      <c r="AQ9" s="98">
        <f>VLOOKUP(TRUE,$AK$14:$BF$253,14,FALSE)</f>
        <v>0.26666666666666666</v>
      </c>
      <c r="AR9" s="98">
        <f>VLOOKUP(TRUE,$AK$14:$BF$253,15,FALSE)</f>
        <v>0.23333333333333328</v>
      </c>
      <c r="AS9" s="98">
        <f>VLOOKUP(TRUE,$AK$14:$BF$253,16,FALSE)</f>
        <v>0.2</v>
      </c>
      <c r="AT9" s="98">
        <f>VLOOKUP(TRUE,$AK$14:$BF$253,17,FALSE)</f>
        <v>0</v>
      </c>
      <c r="AU9" s="45"/>
      <c r="AV9" s="45"/>
      <c r="AW9" s="98"/>
      <c r="AX9" s="98"/>
      <c r="AY9" s="98"/>
      <c r="AZ9" s="98"/>
      <c r="BA9" s="98"/>
      <c r="BB9" s="98"/>
      <c r="BC9" s="98"/>
      <c r="BD9" s="98"/>
      <c r="BE9" s="98"/>
      <c r="BF9" s="98"/>
      <c r="BG9" s="45"/>
      <c r="BH9" s="45"/>
      <c r="BI9" s="45"/>
    </row>
    <row r="10" spans="1:61" ht="17.100000000000001" customHeight="1">
      <c r="A10" s="13"/>
      <c r="B10" s="119"/>
      <c r="C10" s="696" t="s">
        <v>351</v>
      </c>
      <c r="D10" s="697"/>
      <c r="E10" s="697"/>
      <c r="F10" s="697"/>
      <c r="G10" s="639" t="s">
        <v>353</v>
      </c>
      <c r="H10" s="639"/>
      <c r="I10" s="639"/>
      <c r="J10" s="639"/>
      <c r="K10" s="639"/>
      <c r="L10" s="639"/>
      <c r="M10" s="639"/>
      <c r="N10" s="640"/>
      <c r="O10" s="23"/>
      <c r="P10" s="592" t="s">
        <v>366</v>
      </c>
      <c r="Q10" s="593"/>
      <c r="R10" s="593"/>
      <c r="S10" s="593"/>
      <c r="T10" s="593"/>
      <c r="U10" s="593"/>
      <c r="V10" s="593"/>
      <c r="W10" s="593"/>
      <c r="X10" s="593"/>
      <c r="Y10" s="593"/>
      <c r="Z10" s="688">
        <v>15</v>
      </c>
      <c r="AA10" s="689"/>
      <c r="AB10" s="120"/>
      <c r="AC10" s="13"/>
      <c r="AD10" s="13" t="s">
        <v>581</v>
      </c>
      <c r="AE10" s="398" t="str">
        <f>G11</f>
        <v>Smooth (e.g. smooth concrete, steel)</v>
      </c>
      <c r="AF10" s="199" t="s">
        <v>557</v>
      </c>
      <c r="AG10" s="43"/>
      <c r="AH10" s="186" t="s">
        <v>107</v>
      </c>
      <c r="AI10" s="186">
        <f>MIN(M13, 2*M16)</f>
        <v>80</v>
      </c>
      <c r="AJ10" s="45"/>
      <c r="AK10" s="271">
        <v>1</v>
      </c>
      <c r="AL10" s="271">
        <v>2</v>
      </c>
      <c r="AM10" s="271">
        <v>3</v>
      </c>
      <c r="AN10" s="271">
        <v>4</v>
      </c>
      <c r="AO10" s="271">
        <v>5</v>
      </c>
      <c r="AP10" s="271">
        <v>6</v>
      </c>
      <c r="AQ10" s="271">
        <v>7</v>
      </c>
      <c r="AR10" s="271">
        <v>8</v>
      </c>
      <c r="AS10" s="271">
        <v>9</v>
      </c>
      <c r="AT10" s="271">
        <v>10</v>
      </c>
      <c r="AU10" s="271">
        <v>11</v>
      </c>
      <c r="AV10" s="271">
        <v>12</v>
      </c>
      <c r="AW10" s="271">
        <v>13</v>
      </c>
      <c r="AX10" s="271">
        <v>14</v>
      </c>
      <c r="AY10" s="271">
        <v>15</v>
      </c>
      <c r="AZ10" s="271">
        <v>16</v>
      </c>
      <c r="BA10" s="271">
        <v>17</v>
      </c>
      <c r="BB10" s="271">
        <v>18</v>
      </c>
      <c r="BC10" s="271">
        <v>19</v>
      </c>
      <c r="BD10" s="271">
        <v>20</v>
      </c>
      <c r="BE10" s="271">
        <v>21</v>
      </c>
      <c r="BF10" s="271">
        <v>22</v>
      </c>
      <c r="BG10" s="45"/>
      <c r="BH10" s="45"/>
      <c r="BI10" s="45"/>
    </row>
    <row r="11" spans="1:61" ht="17.100000000000001" customHeight="1">
      <c r="A11" s="13"/>
      <c r="B11" s="119"/>
      <c r="C11" s="696" t="s">
        <v>356</v>
      </c>
      <c r="D11" s="697"/>
      <c r="E11" s="697"/>
      <c r="F11" s="697"/>
      <c r="G11" s="639" t="s">
        <v>357</v>
      </c>
      <c r="H11" s="639"/>
      <c r="I11" s="639"/>
      <c r="J11" s="639"/>
      <c r="K11" s="639"/>
      <c r="L11" s="639"/>
      <c r="M11" s="639"/>
      <c r="N11" s="640"/>
      <c r="O11" s="23"/>
      <c r="P11" s="692" t="s">
        <v>367</v>
      </c>
      <c r="Q11" s="693"/>
      <c r="R11" s="693"/>
      <c r="S11" s="693"/>
      <c r="T11" s="693"/>
      <c r="U11" s="693"/>
      <c r="V11" s="693"/>
      <c r="W11" s="693"/>
      <c r="X11" s="693"/>
      <c r="Y11" s="693"/>
      <c r="Z11" s="694">
        <v>10</v>
      </c>
      <c r="AA11" s="695"/>
      <c r="AB11" s="120"/>
      <c r="AC11" s="13"/>
      <c r="AD11" s="13" t="s">
        <v>537</v>
      </c>
      <c r="AE11" s="399">
        <f>1.35</f>
        <v>1.35</v>
      </c>
      <c r="AF11" s="199">
        <v>1.35</v>
      </c>
      <c r="AG11" s="43"/>
      <c r="AH11" s="186" t="s">
        <v>153</v>
      </c>
      <c r="AI11" s="186">
        <f>+AI10/2</f>
        <v>40</v>
      </c>
      <c r="AJ11" s="45"/>
      <c r="AK11" s="281"/>
      <c r="AL11" s="98"/>
      <c r="AM11" s="98"/>
      <c r="AN11" s="98"/>
      <c r="AO11" s="98"/>
      <c r="AP11" s="98"/>
      <c r="AQ11" s="45"/>
      <c r="AR11" s="45"/>
      <c r="AS11" s="45"/>
      <c r="AT11" s="45"/>
      <c r="AU11" s="45"/>
      <c r="AV11" s="45"/>
      <c r="AW11" s="98"/>
      <c r="AX11" s="98"/>
      <c r="AY11" s="98"/>
      <c r="AZ11" s="98"/>
      <c r="BA11" s="98"/>
      <c r="BB11" s="98"/>
      <c r="BC11" s="98"/>
      <c r="BD11" s="98"/>
      <c r="BE11" s="98"/>
      <c r="BF11" s="98"/>
      <c r="BG11" s="45"/>
      <c r="BH11" s="45"/>
      <c r="BI11" s="45"/>
    </row>
    <row r="12" spans="1:61" ht="17.100000000000001" customHeight="1">
      <c r="A12" s="13"/>
      <c r="B12" s="119"/>
      <c r="C12" s="714" t="s">
        <v>347</v>
      </c>
      <c r="D12" s="715"/>
      <c r="E12" s="715"/>
      <c r="F12" s="715"/>
      <c r="G12" s="715"/>
      <c r="H12" s="715"/>
      <c r="I12" s="715"/>
      <c r="J12" s="715"/>
      <c r="K12" s="715"/>
      <c r="L12" s="715"/>
      <c r="M12" s="688">
        <v>1.35</v>
      </c>
      <c r="N12" s="689"/>
      <c r="O12" s="23"/>
      <c r="P12" s="23"/>
      <c r="Q12" s="23"/>
      <c r="R12" s="23"/>
      <c r="S12" s="23"/>
      <c r="T12" s="23"/>
      <c r="U12" s="23"/>
      <c r="V12" s="23"/>
      <c r="W12" s="23"/>
      <c r="X12" s="23"/>
      <c r="Y12" s="23"/>
      <c r="Z12" s="23"/>
      <c r="AA12" s="23"/>
      <c r="AB12" s="120"/>
      <c r="AC12" s="13"/>
      <c r="AD12" s="13" t="s">
        <v>555</v>
      </c>
      <c r="AE12" s="399">
        <f>M13</f>
        <v>80</v>
      </c>
      <c r="AF12" s="199" t="s">
        <v>559</v>
      </c>
      <c r="AG12" s="43"/>
      <c r="AH12" s="45"/>
      <c r="AI12" s="45"/>
      <c r="AJ12" s="45"/>
      <c r="AK12" s="281"/>
      <c r="AL12" s="879" t="s">
        <v>147</v>
      </c>
      <c r="AM12" s="879"/>
      <c r="AN12" s="879"/>
      <c r="AO12" s="879"/>
      <c r="AP12" s="879"/>
      <c r="AQ12" s="879" t="s">
        <v>148</v>
      </c>
      <c r="AR12" s="879"/>
      <c r="AS12" s="879"/>
      <c r="AT12" s="879"/>
      <c r="AU12" s="879"/>
      <c r="AV12" s="145"/>
      <c r="AW12" s="879" t="s">
        <v>149</v>
      </c>
      <c r="AX12" s="879"/>
      <c r="AY12" s="879"/>
      <c r="AZ12" s="879"/>
      <c r="BA12" s="879"/>
      <c r="BB12" s="879" t="s">
        <v>150</v>
      </c>
      <c r="BC12" s="879"/>
      <c r="BD12" s="879"/>
      <c r="BE12" s="879"/>
      <c r="BF12" s="879"/>
      <c r="BG12" s="45"/>
      <c r="BH12" s="45"/>
      <c r="BI12" s="45"/>
    </row>
    <row r="13" spans="1:61" ht="17.100000000000001" customHeight="1">
      <c r="A13" s="13"/>
      <c r="B13" s="119"/>
      <c r="C13" s="714" t="s">
        <v>409</v>
      </c>
      <c r="D13" s="715"/>
      <c r="E13" s="715"/>
      <c r="F13" s="715"/>
      <c r="G13" s="715"/>
      <c r="H13" s="715"/>
      <c r="I13" s="715"/>
      <c r="J13" s="715"/>
      <c r="K13" s="715"/>
      <c r="L13" s="715"/>
      <c r="M13" s="653">
        <v>80</v>
      </c>
      <c r="N13" s="654"/>
      <c r="O13" s="23"/>
      <c r="P13" s="427"/>
      <c r="Q13" s="574" t="s">
        <v>363</v>
      </c>
      <c r="R13" s="574"/>
      <c r="S13" s="574"/>
      <c r="T13" s="574"/>
      <c r="U13" s="574"/>
      <c r="V13" s="574"/>
      <c r="W13" s="574"/>
      <c r="X13" s="574"/>
      <c r="Y13" s="574"/>
      <c r="Z13" s="574"/>
      <c r="AA13" s="195" t="s">
        <v>288</v>
      </c>
      <c r="AB13" s="120"/>
      <c r="AC13" s="13"/>
      <c r="AD13" s="13" t="s">
        <v>540</v>
      </c>
      <c r="AE13" s="399">
        <f>M14</f>
        <v>50</v>
      </c>
      <c r="AF13" s="199" t="s">
        <v>560</v>
      </c>
      <c r="AG13" s="43"/>
      <c r="AH13" s="45" t="s">
        <v>127</v>
      </c>
      <c r="AI13" s="45" t="s">
        <v>127</v>
      </c>
      <c r="AJ13" s="45" t="s">
        <v>145</v>
      </c>
      <c r="AK13" s="281" t="s">
        <v>146</v>
      </c>
      <c r="AL13" s="145" t="s">
        <v>120</v>
      </c>
      <c r="AM13" s="145" t="s">
        <v>121</v>
      </c>
      <c r="AN13" s="145" t="s">
        <v>93</v>
      </c>
      <c r="AO13" s="145" t="s">
        <v>40</v>
      </c>
      <c r="AP13" s="145" t="s">
        <v>144</v>
      </c>
      <c r="AQ13" s="145" t="s">
        <v>120</v>
      </c>
      <c r="AR13" s="145" t="s">
        <v>121</v>
      </c>
      <c r="AS13" s="145" t="s">
        <v>93</v>
      </c>
      <c r="AT13" s="145" t="s">
        <v>40</v>
      </c>
      <c r="AU13" s="145" t="s">
        <v>144</v>
      </c>
      <c r="AV13" s="877" t="s">
        <v>135</v>
      </c>
      <c r="AW13" s="145" t="s">
        <v>120</v>
      </c>
      <c r="AX13" s="145" t="s">
        <v>121</v>
      </c>
      <c r="AY13" s="145" t="s">
        <v>93</v>
      </c>
      <c r="AZ13" s="145" t="s">
        <v>40</v>
      </c>
      <c r="BA13" s="145" t="s">
        <v>144</v>
      </c>
      <c r="BB13" s="145" t="s">
        <v>120</v>
      </c>
      <c r="BC13" s="145" t="s">
        <v>121</v>
      </c>
      <c r="BD13" s="145" t="s">
        <v>93</v>
      </c>
      <c r="BE13" s="145" t="s">
        <v>40</v>
      </c>
      <c r="BF13" s="145" t="s">
        <v>144</v>
      </c>
      <c r="BG13" s="877" t="s">
        <v>451</v>
      </c>
      <c r="BH13" s="45"/>
      <c r="BI13" s="45"/>
    </row>
    <row r="14" spans="1:61" ht="17.100000000000001" customHeight="1">
      <c r="A14" s="13"/>
      <c r="B14" s="119"/>
      <c r="C14" s="714" t="s">
        <v>410</v>
      </c>
      <c r="D14" s="715"/>
      <c r="E14" s="715"/>
      <c r="F14" s="715"/>
      <c r="G14" s="715"/>
      <c r="H14" s="715"/>
      <c r="I14" s="715"/>
      <c r="J14" s="715"/>
      <c r="K14" s="715"/>
      <c r="L14" s="715"/>
      <c r="M14" s="653">
        <v>50</v>
      </c>
      <c r="N14" s="654"/>
      <c r="O14" s="23"/>
      <c r="P14" s="716" t="s">
        <v>360</v>
      </c>
      <c r="Q14" s="717"/>
      <c r="R14" s="717"/>
      <c r="S14" s="717"/>
      <c r="T14" s="717"/>
      <c r="U14" s="717"/>
      <c r="V14" s="717"/>
      <c r="W14" s="717"/>
      <c r="X14" s="717"/>
      <c r="Y14" s="717"/>
      <c r="Z14" s="653">
        <v>0.2</v>
      </c>
      <c r="AA14" s="654"/>
      <c r="AB14" s="120"/>
      <c r="AC14" s="13"/>
      <c r="AD14" s="13" t="s">
        <v>539</v>
      </c>
      <c r="AE14" s="399">
        <f>82</f>
        <v>82</v>
      </c>
      <c r="AF14" s="199">
        <v>82</v>
      </c>
      <c r="AG14" s="43"/>
      <c r="AH14" s="276">
        <v>-45</v>
      </c>
      <c r="AI14" s="45" t="b">
        <f t="shared" ref="AI14:AI77" si="0">AND($AI$9=AH14)</f>
        <v>0</v>
      </c>
      <c r="AJ14" s="45" t="b">
        <f>AND($AH$4=1)</f>
        <v>0</v>
      </c>
      <c r="AK14" s="281" t="b">
        <f>AND(AI14=TRUE,AJ14=TRUE)</f>
        <v>0</v>
      </c>
      <c r="AL14" s="287">
        <v>-0.9</v>
      </c>
      <c r="AM14" s="287">
        <v>-0.8</v>
      </c>
      <c r="AN14" s="287">
        <v>-0.9</v>
      </c>
      <c r="AO14" s="287">
        <v>-0.7</v>
      </c>
      <c r="AP14" s="287">
        <v>-1.1000000000000001</v>
      </c>
      <c r="AQ14" s="287">
        <f t="shared" ref="AQ14:AQ77" ca="1" si="1">1.35*$Z$17*$M$22*AL14</f>
        <v>-0.99843256800000024</v>
      </c>
      <c r="AR14" s="287">
        <f t="shared" ref="AR14:AR77" ca="1" si="2">1.35*$Z$17*$M$22*AM14</f>
        <v>-0.88749561600000026</v>
      </c>
      <c r="AS14" s="287">
        <f t="shared" ref="AS14:AS77" ca="1" si="3">1.35*$Z$17*$M$22*AN14</f>
        <v>-0.99843256800000024</v>
      </c>
      <c r="AT14" s="287">
        <f t="shared" ref="AT14:AT77" ca="1" si="4">1.35*$Z$17*$M$22*AO14</f>
        <v>-0.77655866400000007</v>
      </c>
      <c r="AU14" s="287">
        <f t="shared" ref="AU14:AU77" ca="1" si="5">1.35*$Z$17*$M$22*AP14</f>
        <v>-1.2203064720000003</v>
      </c>
      <c r="AV14" s="877"/>
      <c r="AW14" s="287">
        <v>-0.9</v>
      </c>
      <c r="AX14" s="287">
        <v>-0.8</v>
      </c>
      <c r="AY14" s="287">
        <v>-0.9</v>
      </c>
      <c r="AZ14" s="287">
        <v>-0.7</v>
      </c>
      <c r="BA14" s="287">
        <v>-1.1000000000000001</v>
      </c>
      <c r="BB14" s="287">
        <f t="shared" ref="BB14:BB77" ca="1" si="6">1.35*$Z$17*$M$22*AW14</f>
        <v>-0.99843256800000024</v>
      </c>
      <c r="BC14" s="287">
        <f t="shared" ref="BC14:BC77" ca="1" si="7">1.35*$Z$17*$M$22*AX14</f>
        <v>-0.88749561600000026</v>
      </c>
      <c r="BD14" s="287">
        <f t="shared" ref="BD14:BD77" ca="1" si="8">1.35*$Z$17*$M$22*AY14</f>
        <v>-0.99843256800000024</v>
      </c>
      <c r="BE14" s="287">
        <f t="shared" ref="BE14:BE77" ca="1" si="9">1.35*$Z$17*$M$22*AZ14</f>
        <v>-0.77655866400000007</v>
      </c>
      <c r="BF14" s="287">
        <f t="shared" ref="BF14:BF77" ca="1" si="10">1.35*$Z$17*$M$22*BA14</f>
        <v>-1.2203064720000003</v>
      </c>
      <c r="BG14" s="877"/>
      <c r="BH14" s="45"/>
      <c r="BI14" s="45"/>
    </row>
    <row r="15" spans="1:61" ht="17.100000000000001" customHeight="1">
      <c r="A15" s="13"/>
      <c r="B15" s="119"/>
      <c r="C15" s="714" t="s">
        <v>407</v>
      </c>
      <c r="D15" s="715"/>
      <c r="E15" s="715"/>
      <c r="F15" s="715"/>
      <c r="G15" s="715"/>
      <c r="H15" s="715"/>
      <c r="I15" s="715"/>
      <c r="J15" s="715"/>
      <c r="K15" s="715"/>
      <c r="L15" s="715"/>
      <c r="M15" s="688">
        <v>81.8</v>
      </c>
      <c r="N15" s="689"/>
      <c r="O15" s="23"/>
      <c r="P15" s="714" t="s">
        <v>359</v>
      </c>
      <c r="Q15" s="715"/>
      <c r="R15" s="715"/>
      <c r="S15" s="715"/>
      <c r="T15" s="715"/>
      <c r="U15" s="715"/>
      <c r="V15" s="715"/>
      <c r="W15" s="715"/>
      <c r="X15" s="715"/>
      <c r="Y15" s="715"/>
      <c r="Z15" s="653">
        <v>-0.3</v>
      </c>
      <c r="AA15" s="654"/>
      <c r="AB15" s="120"/>
      <c r="AC15" s="13"/>
      <c r="AD15" s="13" t="s">
        <v>538</v>
      </c>
      <c r="AE15" s="399">
        <f>M16</f>
        <v>70</v>
      </c>
      <c r="AF15" s="199" t="s">
        <v>562</v>
      </c>
      <c r="AG15" s="43"/>
      <c r="AH15" s="45">
        <v>-44</v>
      </c>
      <c r="AI15" s="45" t="b">
        <f t="shared" si="0"/>
        <v>0</v>
      </c>
      <c r="AJ15" s="45" t="b">
        <f t="shared" ref="AJ15:AJ78" si="11">AND($AH$4=1)</f>
        <v>0</v>
      </c>
      <c r="AK15" s="281" t="b">
        <f t="shared" ref="AK15:AK78" si="12">AND(AI15=TRUE,AJ15=TRUE)</f>
        <v>0</v>
      </c>
      <c r="AL15" s="145">
        <f>0-(ABS($AL$14-$AL$29)/15-AL14)</f>
        <v>-0.95333333333333337</v>
      </c>
      <c r="AM15" s="145">
        <f>0-(ABS($AM$14-$AM$29)/15-AM14)</f>
        <v>-0.81333333333333335</v>
      </c>
      <c r="AN15" s="145">
        <f>0-(ABS($AN$14-$AN$29)/15-AN14)</f>
        <v>-0.9</v>
      </c>
      <c r="AO15" s="145">
        <f>ABS($AO$14-$AO$29)/15+AO14</f>
        <v>-0.68666666666666665</v>
      </c>
      <c r="AP15" s="145">
        <f>ABS($AL$14-$AL$29)/15+AP14</f>
        <v>-1.0466666666666669</v>
      </c>
      <c r="AQ15" s="287">
        <f t="shared" ca="1" si="1"/>
        <v>-1.0575989424000003</v>
      </c>
      <c r="AR15" s="287">
        <f t="shared" ca="1" si="2"/>
        <v>-0.9022872096000002</v>
      </c>
      <c r="AS15" s="287">
        <f t="shared" ca="1" si="3"/>
        <v>-0.99843256800000024</v>
      </c>
      <c r="AT15" s="287">
        <f t="shared" ca="1" si="4"/>
        <v>-0.76176707040000013</v>
      </c>
      <c r="AU15" s="287">
        <f t="shared" ca="1" si="5"/>
        <v>-1.1611400976000004</v>
      </c>
      <c r="AV15" s="877"/>
      <c r="AW15" s="145">
        <f>0-(ABS($AL$14-$AL$29)/15-AW14)</f>
        <v>-0.95333333333333337</v>
      </c>
      <c r="AX15" s="145">
        <f>0-(ABS($AM$14-$AM$29)/15-AX14)</f>
        <v>-0.81333333333333335</v>
      </c>
      <c r="AY15" s="145">
        <f>0-(ABS($AN$14-$AN$29)/15-AY14)</f>
        <v>-0.9</v>
      </c>
      <c r="AZ15" s="145">
        <f>ABS($AO$14-$AO$29)/15+AZ14</f>
        <v>-0.68666666666666665</v>
      </c>
      <c r="BA15" s="145">
        <f>ABS($AL$14-$AL$29)/15+BA14</f>
        <v>-1.0466666666666669</v>
      </c>
      <c r="BB15" s="287">
        <f t="shared" ca="1" si="6"/>
        <v>-1.0575989424000003</v>
      </c>
      <c r="BC15" s="287">
        <f t="shared" ca="1" si="7"/>
        <v>-0.9022872096000002</v>
      </c>
      <c r="BD15" s="287">
        <f t="shared" ca="1" si="8"/>
        <v>-0.99843256800000024</v>
      </c>
      <c r="BE15" s="287">
        <f t="shared" ca="1" si="9"/>
        <v>-0.76176707040000013</v>
      </c>
      <c r="BF15" s="287">
        <f t="shared" ca="1" si="10"/>
        <v>-1.1611400976000004</v>
      </c>
      <c r="BG15" s="877"/>
      <c r="BH15" s="45"/>
      <c r="BI15" s="45"/>
    </row>
    <row r="16" spans="1:61" ht="17.100000000000001" customHeight="1">
      <c r="A16" s="13"/>
      <c r="B16" s="119"/>
      <c r="C16" s="714" t="s">
        <v>431</v>
      </c>
      <c r="D16" s="715"/>
      <c r="E16" s="715"/>
      <c r="F16" s="715"/>
      <c r="G16" s="715"/>
      <c r="H16" s="715"/>
      <c r="I16" s="715"/>
      <c r="J16" s="715"/>
      <c r="K16" s="715"/>
      <c r="L16" s="715"/>
      <c r="M16" s="653">
        <v>70</v>
      </c>
      <c r="N16" s="654"/>
      <c r="O16" s="23"/>
      <c r="P16" s="714" t="s">
        <v>361</v>
      </c>
      <c r="Q16" s="715"/>
      <c r="R16" s="715"/>
      <c r="S16" s="715"/>
      <c r="T16" s="715"/>
      <c r="U16" s="715"/>
      <c r="V16" s="715"/>
      <c r="W16" s="715"/>
      <c r="X16" s="715"/>
      <c r="Y16" s="715"/>
      <c r="Z16" s="550" t="str">
        <f>input!Z24</f>
        <v>C</v>
      </c>
      <c r="AA16" s="551"/>
      <c r="AB16" s="120"/>
      <c r="AC16" s="13"/>
      <c r="AD16" s="13" t="s">
        <v>582</v>
      </c>
      <c r="AE16" s="398" t="str">
        <f>Y9</f>
        <v>town</v>
      </c>
      <c r="AF16" s="199" t="s">
        <v>563</v>
      </c>
      <c r="AG16" s="43"/>
      <c r="AH16" s="45">
        <v>-43</v>
      </c>
      <c r="AI16" s="45" t="b">
        <f t="shared" si="0"/>
        <v>0</v>
      </c>
      <c r="AJ16" s="45" t="b">
        <f t="shared" si="11"/>
        <v>0</v>
      </c>
      <c r="AK16" s="281" t="b">
        <f t="shared" si="12"/>
        <v>0</v>
      </c>
      <c r="AL16" s="145">
        <f t="shared" ref="AL16:AL28" si="13">0-(ABS($AL$14-$AL$29)/15-AL15)</f>
        <v>-1.0066666666666666</v>
      </c>
      <c r="AM16" s="145">
        <f t="shared" ref="AM16:AM28" si="14">0-(ABS($AM$14-$AM$29)/15-AM15)</f>
        <v>-0.82666666666666666</v>
      </c>
      <c r="AN16" s="145">
        <f t="shared" ref="AN16:AN28" si="15">0-(ABS($AN$14-$AN$29)/15-AN15)</f>
        <v>-0.9</v>
      </c>
      <c r="AO16" s="145">
        <f t="shared" ref="AO16:AO28" si="16">ABS($AO$14-$AO$29)/15+AO15</f>
        <v>-0.67333333333333334</v>
      </c>
      <c r="AP16" s="145">
        <f t="shared" ref="AP16:AP28" si="17">ABS($AL$14-$AL$29)/15+AP15</f>
        <v>-0.99333333333333351</v>
      </c>
      <c r="AQ16" s="287">
        <f t="shared" ca="1" si="1"/>
        <v>-1.1167653168000002</v>
      </c>
      <c r="AR16" s="287">
        <f t="shared" ca="1" si="2"/>
        <v>-0.91707880320000013</v>
      </c>
      <c r="AS16" s="287">
        <f t="shared" ca="1" si="3"/>
        <v>-0.99843256800000024</v>
      </c>
      <c r="AT16" s="287">
        <f t="shared" ca="1" si="4"/>
        <v>-0.7469754768000002</v>
      </c>
      <c r="AU16" s="287">
        <f t="shared" ca="1" si="5"/>
        <v>-1.1019737232000004</v>
      </c>
      <c r="AV16" s="877"/>
      <c r="AW16" s="145">
        <f t="shared" ref="AW16:AW28" si="18">0-(ABS($AL$14-$AL$29)/15-AW15)</f>
        <v>-1.0066666666666666</v>
      </c>
      <c r="AX16" s="145">
        <f t="shared" ref="AX16:AX28" si="19">0-(ABS($AM$14-$AM$29)/15-AX15)</f>
        <v>-0.82666666666666666</v>
      </c>
      <c r="AY16" s="145">
        <f t="shared" ref="AY16:AY28" si="20">0-(ABS($AN$14-$AN$29)/15-AY15)</f>
        <v>-0.9</v>
      </c>
      <c r="AZ16" s="145">
        <f t="shared" ref="AZ16:AZ28" si="21">ABS($AO$14-$AO$29)/15+AZ15</f>
        <v>-0.67333333333333334</v>
      </c>
      <c r="BA16" s="145">
        <f t="shared" ref="BA16:BA28" si="22">ABS($AL$14-$AL$29)/15+BA15</f>
        <v>-0.99333333333333351</v>
      </c>
      <c r="BB16" s="287">
        <f t="shared" ca="1" si="6"/>
        <v>-1.1167653168000002</v>
      </c>
      <c r="BC16" s="287">
        <f t="shared" ca="1" si="7"/>
        <v>-0.91707880320000013</v>
      </c>
      <c r="BD16" s="287">
        <f t="shared" ca="1" si="8"/>
        <v>-0.99843256800000024</v>
      </c>
      <c r="BE16" s="287">
        <f t="shared" ca="1" si="9"/>
        <v>-0.7469754768000002</v>
      </c>
      <c r="BF16" s="287">
        <f t="shared" ca="1" si="10"/>
        <v>-1.1019737232000004</v>
      </c>
      <c r="BG16" s="877"/>
      <c r="BH16" s="45"/>
      <c r="BI16" s="45"/>
    </row>
    <row r="17" spans="1:61" ht="17.100000000000001" customHeight="1">
      <c r="A17" s="13"/>
      <c r="B17" s="119"/>
      <c r="C17" s="714" t="s">
        <v>528</v>
      </c>
      <c r="D17" s="715"/>
      <c r="E17" s="715"/>
      <c r="F17" s="715"/>
      <c r="G17" s="715"/>
      <c r="H17" s="715"/>
      <c r="I17" s="715"/>
      <c r="J17" s="715"/>
      <c r="K17" s="715"/>
      <c r="L17" s="715"/>
      <c r="M17" s="653">
        <v>20</v>
      </c>
      <c r="N17" s="654"/>
      <c r="O17" s="23"/>
      <c r="P17" s="714" t="s">
        <v>362</v>
      </c>
      <c r="Q17" s="715"/>
      <c r="R17" s="715"/>
      <c r="S17" s="715"/>
      <c r="T17" s="715"/>
      <c r="U17" s="715"/>
      <c r="V17" s="715"/>
      <c r="W17" s="715"/>
      <c r="X17" s="715"/>
      <c r="Y17" s="715"/>
      <c r="Z17" s="550">
        <f ca="1">+input!Z25</f>
        <v>0.79320000000000002</v>
      </c>
      <c r="AA17" s="551"/>
      <c r="AB17" s="120"/>
      <c r="AC17" s="13"/>
      <c r="AD17" s="13" t="s">
        <v>541</v>
      </c>
      <c r="AE17" s="399">
        <f>Z10</f>
        <v>15</v>
      </c>
      <c r="AF17" s="199" t="s">
        <v>564</v>
      </c>
      <c r="AG17" s="43"/>
      <c r="AH17" s="45">
        <v>-42</v>
      </c>
      <c r="AI17" s="45" t="b">
        <f t="shared" si="0"/>
        <v>0</v>
      </c>
      <c r="AJ17" s="45" t="b">
        <f t="shared" si="11"/>
        <v>0</v>
      </c>
      <c r="AK17" s="281" t="b">
        <f t="shared" si="12"/>
        <v>0</v>
      </c>
      <c r="AL17" s="145">
        <f t="shared" si="13"/>
        <v>-1.0599999999999998</v>
      </c>
      <c r="AM17" s="145">
        <f t="shared" si="14"/>
        <v>-0.84</v>
      </c>
      <c r="AN17" s="145">
        <f t="shared" si="15"/>
        <v>-0.9</v>
      </c>
      <c r="AO17" s="145">
        <f t="shared" si="16"/>
        <v>-0.66</v>
      </c>
      <c r="AP17" s="145">
        <f t="shared" si="17"/>
        <v>-0.94000000000000017</v>
      </c>
      <c r="AQ17" s="287">
        <f t="shared" ca="1" si="1"/>
        <v>-1.1759316912</v>
      </c>
      <c r="AR17" s="287">
        <f t="shared" ca="1" si="2"/>
        <v>-0.93187039680000017</v>
      </c>
      <c r="AS17" s="287">
        <f t="shared" ca="1" si="3"/>
        <v>-0.99843256800000024</v>
      </c>
      <c r="AT17" s="287">
        <f t="shared" ca="1" si="4"/>
        <v>-0.73218388320000016</v>
      </c>
      <c r="AU17" s="287">
        <f t="shared" ca="1" si="5"/>
        <v>-1.0428073488000005</v>
      </c>
      <c r="AV17" s="877"/>
      <c r="AW17" s="145">
        <f t="shared" si="18"/>
        <v>-1.0599999999999998</v>
      </c>
      <c r="AX17" s="145">
        <f t="shared" si="19"/>
        <v>-0.84</v>
      </c>
      <c r="AY17" s="145">
        <f t="shared" si="20"/>
        <v>-0.9</v>
      </c>
      <c r="AZ17" s="145">
        <f t="shared" si="21"/>
        <v>-0.66</v>
      </c>
      <c r="BA17" s="145">
        <f t="shared" si="22"/>
        <v>-0.94000000000000017</v>
      </c>
      <c r="BB17" s="287">
        <f t="shared" ca="1" si="6"/>
        <v>-1.1759316912</v>
      </c>
      <c r="BC17" s="287">
        <f t="shared" ca="1" si="7"/>
        <v>-0.93187039680000017</v>
      </c>
      <c r="BD17" s="287">
        <f t="shared" ca="1" si="8"/>
        <v>-0.99843256800000024</v>
      </c>
      <c r="BE17" s="287">
        <f t="shared" ca="1" si="9"/>
        <v>-0.73218388320000016</v>
      </c>
      <c r="BF17" s="287">
        <f t="shared" ca="1" si="10"/>
        <v>-1.0428073488000005</v>
      </c>
      <c r="BG17" s="877"/>
      <c r="BH17" s="45"/>
      <c r="BI17" s="45"/>
    </row>
    <row r="18" spans="1:61" ht="17.100000000000001" customHeight="1">
      <c r="A18" s="13"/>
      <c r="B18" s="119"/>
      <c r="C18" s="739" t="s">
        <v>430</v>
      </c>
      <c r="D18" s="740"/>
      <c r="E18" s="740"/>
      <c r="F18" s="740"/>
      <c r="G18" s="740"/>
      <c r="H18" s="740"/>
      <c r="I18" s="740"/>
      <c r="J18" s="740"/>
      <c r="K18" s="740"/>
      <c r="L18" s="740"/>
      <c r="M18" s="832">
        <v>90</v>
      </c>
      <c r="N18" s="833"/>
      <c r="O18" s="23"/>
      <c r="P18" s="714" t="s">
        <v>445</v>
      </c>
      <c r="Q18" s="715"/>
      <c r="R18" s="715"/>
      <c r="S18" s="715"/>
      <c r="T18" s="715"/>
      <c r="U18" s="715"/>
      <c r="V18" s="715"/>
      <c r="W18" s="715"/>
      <c r="X18" s="715"/>
      <c r="Y18" s="715"/>
      <c r="Z18" s="550">
        <f>+input!$Z$26</f>
        <v>0.01</v>
      </c>
      <c r="AA18" s="551"/>
      <c r="AB18" s="120"/>
      <c r="AC18" s="13"/>
      <c r="AD18" s="13" t="s">
        <v>542</v>
      </c>
      <c r="AE18" s="399">
        <f>Z11</f>
        <v>10</v>
      </c>
      <c r="AF18" s="199" t="s">
        <v>565</v>
      </c>
      <c r="AG18" s="43"/>
      <c r="AH18" s="45">
        <v>-41</v>
      </c>
      <c r="AI18" s="45" t="b">
        <f t="shared" si="0"/>
        <v>0</v>
      </c>
      <c r="AJ18" s="45" t="b">
        <f t="shared" si="11"/>
        <v>0</v>
      </c>
      <c r="AK18" s="281" t="b">
        <f t="shared" si="12"/>
        <v>0</v>
      </c>
      <c r="AL18" s="145">
        <f t="shared" si="13"/>
        <v>-1.1133333333333331</v>
      </c>
      <c r="AM18" s="145">
        <f t="shared" si="14"/>
        <v>-0.85333333333333328</v>
      </c>
      <c r="AN18" s="145">
        <f t="shared" si="15"/>
        <v>-0.9</v>
      </c>
      <c r="AO18" s="145">
        <f t="shared" si="16"/>
        <v>-0.64666666666666672</v>
      </c>
      <c r="AP18" s="145">
        <f t="shared" si="17"/>
        <v>-0.88666666666666683</v>
      </c>
      <c r="AQ18" s="287">
        <f t="shared" ca="1" si="1"/>
        <v>-1.2350980655999999</v>
      </c>
      <c r="AR18" s="287">
        <f t="shared" ca="1" si="2"/>
        <v>-0.9466619904000001</v>
      </c>
      <c r="AS18" s="287">
        <f t="shared" ca="1" si="3"/>
        <v>-0.99843256800000024</v>
      </c>
      <c r="AT18" s="287">
        <f t="shared" ca="1" si="4"/>
        <v>-0.71739228960000023</v>
      </c>
      <c r="AU18" s="287">
        <f t="shared" ca="1" si="5"/>
        <v>-0.98364097440000042</v>
      </c>
      <c r="AV18" s="877"/>
      <c r="AW18" s="145">
        <f t="shared" si="18"/>
        <v>-1.1133333333333331</v>
      </c>
      <c r="AX18" s="145">
        <f t="shared" si="19"/>
        <v>-0.85333333333333328</v>
      </c>
      <c r="AY18" s="145">
        <f t="shared" si="20"/>
        <v>-0.9</v>
      </c>
      <c r="AZ18" s="145">
        <f t="shared" si="21"/>
        <v>-0.64666666666666672</v>
      </c>
      <c r="BA18" s="145">
        <f t="shared" si="22"/>
        <v>-0.88666666666666683</v>
      </c>
      <c r="BB18" s="287">
        <f t="shared" ca="1" si="6"/>
        <v>-1.2350980655999999</v>
      </c>
      <c r="BC18" s="287">
        <f t="shared" ca="1" si="7"/>
        <v>-0.9466619904000001</v>
      </c>
      <c r="BD18" s="287">
        <f t="shared" ca="1" si="8"/>
        <v>-0.99843256800000024</v>
      </c>
      <c r="BE18" s="287">
        <f t="shared" ca="1" si="9"/>
        <v>-0.71739228960000023</v>
      </c>
      <c r="BF18" s="287">
        <f t="shared" ca="1" si="10"/>
        <v>-0.98364097440000042</v>
      </c>
      <c r="BG18" s="877"/>
      <c r="BH18" s="45"/>
      <c r="BI18" s="45"/>
    </row>
    <row r="19" spans="1:61" ht="17.100000000000001" customHeight="1">
      <c r="A19" s="13"/>
      <c r="B19" s="119"/>
      <c r="C19" s="23"/>
      <c r="D19" s="23"/>
      <c r="E19" s="23"/>
      <c r="F19" s="23"/>
      <c r="G19" s="23"/>
      <c r="H19" s="23"/>
      <c r="I19" s="23"/>
      <c r="J19" s="23"/>
      <c r="K19" s="23"/>
      <c r="L19" s="23"/>
      <c r="M19" s="23"/>
      <c r="N19" s="23"/>
      <c r="O19" s="23"/>
      <c r="P19" s="739" t="s">
        <v>415</v>
      </c>
      <c r="Q19" s="740"/>
      <c r="R19" s="740"/>
      <c r="S19" s="740"/>
      <c r="T19" s="740"/>
      <c r="U19" s="740"/>
      <c r="V19" s="740"/>
      <c r="W19" s="740"/>
      <c r="X19" s="740"/>
      <c r="Y19" s="740"/>
      <c r="Z19" s="587">
        <f>AI10</f>
        <v>80</v>
      </c>
      <c r="AA19" s="588"/>
      <c r="AB19" s="120"/>
      <c r="AC19" s="13"/>
      <c r="AD19" s="13" t="s">
        <v>543</v>
      </c>
      <c r="AE19" s="399">
        <f>Z14</f>
        <v>0.2</v>
      </c>
      <c r="AF19" s="199" t="s">
        <v>566</v>
      </c>
      <c r="AG19" s="43"/>
      <c r="AH19" s="45">
        <v>-40</v>
      </c>
      <c r="AI19" s="45" t="b">
        <f t="shared" si="0"/>
        <v>0</v>
      </c>
      <c r="AJ19" s="45" t="b">
        <f t="shared" si="11"/>
        <v>0</v>
      </c>
      <c r="AK19" s="281" t="b">
        <f t="shared" si="12"/>
        <v>0</v>
      </c>
      <c r="AL19" s="145">
        <f t="shared" si="13"/>
        <v>-1.1666666666666663</v>
      </c>
      <c r="AM19" s="145">
        <f t="shared" si="14"/>
        <v>-0.86666666666666659</v>
      </c>
      <c r="AN19" s="145">
        <f t="shared" si="15"/>
        <v>-0.9</v>
      </c>
      <c r="AO19" s="145">
        <f t="shared" si="16"/>
        <v>-0.63333333333333341</v>
      </c>
      <c r="AP19" s="145">
        <f t="shared" si="17"/>
        <v>-0.83333333333333348</v>
      </c>
      <c r="AQ19" s="287">
        <f t="shared" ca="1" si="1"/>
        <v>-1.2942644399999998</v>
      </c>
      <c r="AR19" s="287">
        <f t="shared" ca="1" si="2"/>
        <v>-0.96145358400000014</v>
      </c>
      <c r="AS19" s="287">
        <f t="shared" ca="1" si="3"/>
        <v>-0.99843256800000024</v>
      </c>
      <c r="AT19" s="287">
        <f t="shared" ca="1" si="4"/>
        <v>-0.70260069600000019</v>
      </c>
      <c r="AU19" s="287">
        <f t="shared" ca="1" si="5"/>
        <v>-0.92447460000000037</v>
      </c>
      <c r="AV19" s="877"/>
      <c r="AW19" s="145">
        <f t="shared" si="18"/>
        <v>-1.1666666666666663</v>
      </c>
      <c r="AX19" s="145">
        <f t="shared" si="19"/>
        <v>-0.86666666666666659</v>
      </c>
      <c r="AY19" s="145">
        <f t="shared" si="20"/>
        <v>-0.9</v>
      </c>
      <c r="AZ19" s="145">
        <f t="shared" si="21"/>
        <v>-0.63333333333333341</v>
      </c>
      <c r="BA19" s="145">
        <f t="shared" si="22"/>
        <v>-0.83333333333333348</v>
      </c>
      <c r="BB19" s="287">
        <f t="shared" ca="1" si="6"/>
        <v>-1.2942644399999998</v>
      </c>
      <c r="BC19" s="287">
        <f t="shared" ca="1" si="7"/>
        <v>-0.96145358400000014</v>
      </c>
      <c r="BD19" s="287">
        <f t="shared" ca="1" si="8"/>
        <v>-0.99843256800000024</v>
      </c>
      <c r="BE19" s="287">
        <f t="shared" ca="1" si="9"/>
        <v>-0.70260069600000019</v>
      </c>
      <c r="BF19" s="287">
        <f t="shared" ca="1" si="10"/>
        <v>-0.92447460000000037</v>
      </c>
      <c r="BG19" s="877"/>
      <c r="BH19" s="45"/>
      <c r="BI19" s="45"/>
    </row>
    <row r="20" spans="1:61" ht="17.100000000000001" customHeight="1">
      <c r="A20" s="13"/>
      <c r="B20" s="119"/>
      <c r="C20" s="573" t="s">
        <v>645</v>
      </c>
      <c r="D20" s="574"/>
      <c r="E20" s="574"/>
      <c r="F20" s="574"/>
      <c r="G20" s="574"/>
      <c r="H20" s="574"/>
      <c r="I20" s="574"/>
      <c r="J20" s="574"/>
      <c r="K20" s="574"/>
      <c r="L20" s="574"/>
      <c r="M20" s="574"/>
      <c r="N20" s="575"/>
      <c r="O20" s="23"/>
      <c r="P20" s="23"/>
      <c r="Q20" s="23"/>
      <c r="R20" s="23"/>
      <c r="S20" s="23"/>
      <c r="T20" s="23"/>
      <c r="U20" s="23"/>
      <c r="V20" s="23"/>
      <c r="W20" s="23"/>
      <c r="X20" s="23"/>
      <c r="Y20" s="23"/>
      <c r="Z20" s="23"/>
      <c r="AA20" s="23"/>
      <c r="AB20" s="120"/>
      <c r="AC20" s="13"/>
      <c r="AD20" s="13" t="s">
        <v>544</v>
      </c>
      <c r="AE20" s="399">
        <f>Z15</f>
        <v>-0.3</v>
      </c>
      <c r="AF20" s="199" t="s">
        <v>567</v>
      </c>
      <c r="AG20" s="43"/>
      <c r="AH20" s="45">
        <v>-39</v>
      </c>
      <c r="AI20" s="45" t="b">
        <f t="shared" si="0"/>
        <v>0</v>
      </c>
      <c r="AJ20" s="45" t="b">
        <f t="shared" si="11"/>
        <v>0</v>
      </c>
      <c r="AK20" s="281" t="b">
        <f t="shared" si="12"/>
        <v>0</v>
      </c>
      <c r="AL20" s="145">
        <f t="shared" si="13"/>
        <v>-1.2199999999999995</v>
      </c>
      <c r="AM20" s="145">
        <f t="shared" si="14"/>
        <v>-0.87999999999999989</v>
      </c>
      <c r="AN20" s="145">
        <f t="shared" si="15"/>
        <v>-0.9</v>
      </c>
      <c r="AO20" s="145">
        <f t="shared" si="16"/>
        <v>-0.62000000000000011</v>
      </c>
      <c r="AP20" s="145">
        <f t="shared" si="17"/>
        <v>-0.78000000000000014</v>
      </c>
      <c r="AQ20" s="287">
        <f t="shared" ca="1" si="1"/>
        <v>-1.3534308143999998</v>
      </c>
      <c r="AR20" s="287">
        <f t="shared" ca="1" si="2"/>
        <v>-0.97624517760000007</v>
      </c>
      <c r="AS20" s="287">
        <f t="shared" ca="1" si="3"/>
        <v>-0.99843256800000024</v>
      </c>
      <c r="AT20" s="287">
        <f t="shared" ca="1" si="4"/>
        <v>-0.68780910240000026</v>
      </c>
      <c r="AU20" s="287">
        <f t="shared" ca="1" si="5"/>
        <v>-0.86530822560000031</v>
      </c>
      <c r="AV20" s="877"/>
      <c r="AW20" s="145">
        <f t="shared" si="18"/>
        <v>-1.2199999999999995</v>
      </c>
      <c r="AX20" s="145">
        <f t="shared" si="19"/>
        <v>-0.87999999999999989</v>
      </c>
      <c r="AY20" s="145">
        <f t="shared" si="20"/>
        <v>-0.9</v>
      </c>
      <c r="AZ20" s="145">
        <f t="shared" si="21"/>
        <v>-0.62000000000000011</v>
      </c>
      <c r="BA20" s="145">
        <f t="shared" si="22"/>
        <v>-0.78000000000000014</v>
      </c>
      <c r="BB20" s="287">
        <f t="shared" ca="1" si="6"/>
        <v>-1.3534308143999998</v>
      </c>
      <c r="BC20" s="287">
        <f t="shared" ca="1" si="7"/>
        <v>-0.97624517760000007</v>
      </c>
      <c r="BD20" s="287">
        <f t="shared" ca="1" si="8"/>
        <v>-0.99843256800000024</v>
      </c>
      <c r="BE20" s="287">
        <f t="shared" ca="1" si="9"/>
        <v>-0.68780910240000026</v>
      </c>
      <c r="BF20" s="287">
        <f t="shared" ca="1" si="10"/>
        <v>-0.86530822560000031</v>
      </c>
      <c r="BG20" s="877"/>
      <c r="BH20" s="45"/>
      <c r="BI20" s="45"/>
    </row>
    <row r="21" spans="1:61" ht="17.100000000000001" customHeight="1">
      <c r="A21" s="13"/>
      <c r="B21" s="119"/>
      <c r="C21" s="716" t="s">
        <v>365</v>
      </c>
      <c r="D21" s="717"/>
      <c r="E21" s="717"/>
      <c r="F21" s="717"/>
      <c r="G21" s="717"/>
      <c r="H21" s="717"/>
      <c r="I21" s="717"/>
      <c r="J21" s="717"/>
      <c r="K21" s="717"/>
      <c r="L21" s="717"/>
      <c r="M21" s="678">
        <f>input!$M$19</f>
        <v>0.1</v>
      </c>
      <c r="N21" s="679"/>
      <c r="O21" s="23"/>
      <c r="P21" s="573" t="s">
        <v>380</v>
      </c>
      <c r="Q21" s="574"/>
      <c r="R21" s="574"/>
      <c r="S21" s="574"/>
      <c r="T21" s="574"/>
      <c r="U21" s="574"/>
      <c r="V21" s="574"/>
      <c r="W21" s="574"/>
      <c r="X21" s="574"/>
      <c r="Y21" s="574"/>
      <c r="Z21" s="574"/>
      <c r="AA21" s="575"/>
      <c r="AB21" s="120"/>
      <c r="AC21" s="13"/>
      <c r="AD21" s="13" t="s">
        <v>583</v>
      </c>
      <c r="AE21" s="403" t="s">
        <v>95</v>
      </c>
      <c r="AF21" s="199"/>
      <c r="AG21" s="43"/>
      <c r="AH21" s="45">
        <v>-38</v>
      </c>
      <c r="AI21" s="45" t="b">
        <f t="shared" si="0"/>
        <v>0</v>
      </c>
      <c r="AJ21" s="45" t="b">
        <f t="shared" si="11"/>
        <v>0</v>
      </c>
      <c r="AK21" s="281" t="b">
        <f t="shared" si="12"/>
        <v>0</v>
      </c>
      <c r="AL21" s="145">
        <f t="shared" si="13"/>
        <v>-1.2733333333333328</v>
      </c>
      <c r="AM21" s="145">
        <f t="shared" si="14"/>
        <v>-0.8933333333333332</v>
      </c>
      <c r="AN21" s="145">
        <f t="shared" si="15"/>
        <v>-0.9</v>
      </c>
      <c r="AO21" s="145">
        <f t="shared" si="16"/>
        <v>-0.6066666666666668</v>
      </c>
      <c r="AP21" s="145">
        <f t="shared" si="17"/>
        <v>-0.72666666666666679</v>
      </c>
      <c r="AQ21" s="287">
        <f t="shared" ca="1" si="1"/>
        <v>-1.4125971887999997</v>
      </c>
      <c r="AR21" s="287">
        <f t="shared" ca="1" si="2"/>
        <v>-0.9910367712</v>
      </c>
      <c r="AS21" s="287">
        <f t="shared" ca="1" si="3"/>
        <v>-0.99843256800000024</v>
      </c>
      <c r="AT21" s="287">
        <f t="shared" ca="1" si="4"/>
        <v>-0.67301750880000033</v>
      </c>
      <c r="AU21" s="287">
        <f t="shared" ca="1" si="5"/>
        <v>-0.80614185120000026</v>
      </c>
      <c r="AV21" s="877"/>
      <c r="AW21" s="145">
        <f t="shared" si="18"/>
        <v>-1.2733333333333328</v>
      </c>
      <c r="AX21" s="145">
        <f t="shared" si="19"/>
        <v>-0.8933333333333332</v>
      </c>
      <c r="AY21" s="145">
        <f t="shared" si="20"/>
        <v>-0.9</v>
      </c>
      <c r="AZ21" s="145">
        <f t="shared" si="21"/>
        <v>-0.6066666666666668</v>
      </c>
      <c r="BA21" s="145">
        <f t="shared" si="22"/>
        <v>-0.72666666666666679</v>
      </c>
      <c r="BB21" s="287">
        <f t="shared" ca="1" si="6"/>
        <v>-1.4125971887999997</v>
      </c>
      <c r="BC21" s="287">
        <f t="shared" ca="1" si="7"/>
        <v>-0.9910367712</v>
      </c>
      <c r="BD21" s="287">
        <f t="shared" ca="1" si="8"/>
        <v>-0.99843256800000024</v>
      </c>
      <c r="BE21" s="287">
        <f t="shared" ca="1" si="9"/>
        <v>-0.67301750880000033</v>
      </c>
      <c r="BF21" s="287">
        <f t="shared" ca="1" si="10"/>
        <v>-0.80614185120000026</v>
      </c>
      <c r="BG21" s="877"/>
      <c r="BH21" s="45"/>
      <c r="BI21" s="45"/>
    </row>
    <row r="22" spans="1:61" s="252" customFormat="1" ht="17.100000000000001" customHeight="1">
      <c r="A22" s="13"/>
      <c r="B22" s="119"/>
      <c r="C22" s="714" t="s">
        <v>364</v>
      </c>
      <c r="D22" s="715"/>
      <c r="E22" s="715"/>
      <c r="F22" s="715"/>
      <c r="G22" s="715"/>
      <c r="H22" s="715"/>
      <c r="I22" s="715"/>
      <c r="J22" s="715"/>
      <c r="K22" s="715"/>
      <c r="L22" s="715"/>
      <c r="M22" s="550">
        <f ca="1">+input!M20</f>
        <v>1.036</v>
      </c>
      <c r="N22" s="551"/>
      <c r="O22" s="23"/>
      <c r="P22" s="809" t="s">
        <v>385</v>
      </c>
      <c r="Q22" s="810"/>
      <c r="R22" s="738" t="s">
        <v>120</v>
      </c>
      <c r="S22" s="738"/>
      <c r="T22" s="738" t="s">
        <v>121</v>
      </c>
      <c r="U22" s="738"/>
      <c r="V22" s="738" t="s">
        <v>93</v>
      </c>
      <c r="W22" s="738"/>
      <c r="X22" s="738" t="s">
        <v>40</v>
      </c>
      <c r="Y22" s="738"/>
      <c r="Z22" s="738" t="s">
        <v>144</v>
      </c>
      <c r="AA22" s="771"/>
      <c r="AB22" s="120"/>
      <c r="AC22" s="13"/>
      <c r="AD22" s="13" t="s">
        <v>545</v>
      </c>
      <c r="AE22" s="403">
        <v>5</v>
      </c>
      <c r="AF22" s="199"/>
      <c r="AG22" s="43"/>
      <c r="AH22" s="45">
        <v>-37</v>
      </c>
      <c r="AI22" s="45" t="b">
        <f t="shared" si="0"/>
        <v>0</v>
      </c>
      <c r="AJ22" s="45" t="b">
        <f t="shared" si="11"/>
        <v>0</v>
      </c>
      <c r="AK22" s="281" t="b">
        <f t="shared" si="12"/>
        <v>0</v>
      </c>
      <c r="AL22" s="145">
        <f t="shared" si="13"/>
        <v>-1.326666666666666</v>
      </c>
      <c r="AM22" s="145">
        <f t="shared" si="14"/>
        <v>-0.90666666666666651</v>
      </c>
      <c r="AN22" s="145">
        <f t="shared" si="15"/>
        <v>-0.9</v>
      </c>
      <c r="AO22" s="145">
        <f t="shared" si="16"/>
        <v>-0.59333333333333349</v>
      </c>
      <c r="AP22" s="145">
        <f t="shared" si="17"/>
        <v>-0.67333333333333345</v>
      </c>
      <c r="AQ22" s="287">
        <f t="shared" ca="1" si="1"/>
        <v>-1.4717635631999995</v>
      </c>
      <c r="AR22" s="287">
        <f t="shared" ca="1" si="2"/>
        <v>-1.0058283647999999</v>
      </c>
      <c r="AS22" s="287">
        <f t="shared" ca="1" si="3"/>
        <v>-0.99843256800000024</v>
      </c>
      <c r="AT22" s="287">
        <f t="shared" ca="1" si="4"/>
        <v>-0.65822591520000029</v>
      </c>
      <c r="AU22" s="287">
        <f t="shared" ca="1" si="5"/>
        <v>-0.74697547680000032</v>
      </c>
      <c r="AV22" s="877"/>
      <c r="AW22" s="145">
        <f t="shared" si="18"/>
        <v>-1.326666666666666</v>
      </c>
      <c r="AX22" s="145">
        <f t="shared" si="19"/>
        <v>-0.90666666666666651</v>
      </c>
      <c r="AY22" s="145">
        <f t="shared" si="20"/>
        <v>-0.9</v>
      </c>
      <c r="AZ22" s="145">
        <f t="shared" si="21"/>
        <v>-0.59333333333333349</v>
      </c>
      <c r="BA22" s="145">
        <f t="shared" si="22"/>
        <v>-0.67333333333333345</v>
      </c>
      <c r="BB22" s="287">
        <f t="shared" ca="1" si="6"/>
        <v>-1.4717635631999995</v>
      </c>
      <c r="BC22" s="287">
        <f t="shared" ca="1" si="7"/>
        <v>-1.0058283647999999</v>
      </c>
      <c r="BD22" s="287">
        <f t="shared" ca="1" si="8"/>
        <v>-0.99843256800000024</v>
      </c>
      <c r="BE22" s="287">
        <f t="shared" ca="1" si="9"/>
        <v>-0.65822591520000029</v>
      </c>
      <c r="BF22" s="287">
        <f t="shared" ca="1" si="10"/>
        <v>-0.74697547680000032</v>
      </c>
      <c r="BG22" s="877"/>
      <c r="BH22" s="45"/>
      <c r="BI22" s="45"/>
    </row>
    <row r="23" spans="1:61" s="252" customFormat="1" ht="17.100000000000001" customHeight="1">
      <c r="A23" s="13"/>
      <c r="B23" s="119"/>
      <c r="C23" s="714" t="s">
        <v>389</v>
      </c>
      <c r="D23" s="715"/>
      <c r="E23" s="715"/>
      <c r="F23" s="715"/>
      <c r="G23" s="715"/>
      <c r="H23" s="715"/>
      <c r="I23" s="715"/>
      <c r="J23" s="715"/>
      <c r="K23" s="715"/>
      <c r="L23" s="715"/>
      <c r="M23" s="550">
        <f>+M13*M14/COS(AI9*3.14/180)</f>
        <v>4256.437004882252</v>
      </c>
      <c r="N23" s="551"/>
      <c r="O23" s="23"/>
      <c r="P23" s="752" t="s">
        <v>443</v>
      </c>
      <c r="Q23" s="753"/>
      <c r="R23" s="711" t="str">
        <f ca="1">FIXED(MIN(AW4:AW7),3)</f>
        <v>-1.897</v>
      </c>
      <c r="S23" s="711"/>
      <c r="T23" s="711" t="str">
        <f ca="1">FIXED(MIN(AX4:AX7),3)</f>
        <v>-1.786</v>
      </c>
      <c r="U23" s="711"/>
      <c r="V23" s="711" t="str">
        <f ca="1">FIXED(MIN(AY4:AY7),3)</f>
        <v>-0.936</v>
      </c>
      <c r="W23" s="711"/>
      <c r="X23" s="711" t="str">
        <f ca="1">IF(AND(AH4=2,AI11&gt;=M14),"-",FIXED(MIN(AZ4:AZ7),3))</f>
        <v>-0.751</v>
      </c>
      <c r="Y23" s="711"/>
      <c r="Z23" s="711" t="str">
        <f>IF($AH$4&lt;&gt;1,"-",FIXED(MIN(BA4:BA7),3))</f>
        <v>-</v>
      </c>
      <c r="AA23" s="712"/>
      <c r="AB23" s="120"/>
      <c r="AC23" s="13"/>
      <c r="AD23" s="13" t="s">
        <v>546</v>
      </c>
      <c r="AE23" s="403">
        <v>0</v>
      </c>
      <c r="AF23" s="199"/>
      <c r="AG23" s="43"/>
      <c r="AH23" s="45">
        <v>-36</v>
      </c>
      <c r="AI23" s="45" t="b">
        <f t="shared" si="0"/>
        <v>0</v>
      </c>
      <c r="AJ23" s="45" t="b">
        <f t="shared" si="11"/>
        <v>0</v>
      </c>
      <c r="AK23" s="281" t="b">
        <f t="shared" si="12"/>
        <v>0</v>
      </c>
      <c r="AL23" s="145">
        <f t="shared" si="13"/>
        <v>-1.3799999999999992</v>
      </c>
      <c r="AM23" s="145">
        <f t="shared" si="14"/>
        <v>-0.91999999999999982</v>
      </c>
      <c r="AN23" s="145">
        <f t="shared" si="15"/>
        <v>-0.9</v>
      </c>
      <c r="AO23" s="145">
        <f t="shared" si="16"/>
        <v>-0.58000000000000018</v>
      </c>
      <c r="AP23" s="145">
        <f t="shared" si="17"/>
        <v>-0.62000000000000011</v>
      </c>
      <c r="AQ23" s="287">
        <f t="shared" ca="1" si="1"/>
        <v>-1.5309299375999994</v>
      </c>
      <c r="AR23" s="287">
        <f t="shared" ca="1" si="2"/>
        <v>-1.0206199584</v>
      </c>
      <c r="AS23" s="287">
        <f t="shared" ca="1" si="3"/>
        <v>-0.99843256800000024</v>
      </c>
      <c r="AT23" s="287">
        <f t="shared" ca="1" si="4"/>
        <v>-0.64343432160000036</v>
      </c>
      <c r="AU23" s="287">
        <f t="shared" ca="1" si="5"/>
        <v>-0.68780910240000026</v>
      </c>
      <c r="AV23" s="877"/>
      <c r="AW23" s="145">
        <f t="shared" si="18"/>
        <v>-1.3799999999999992</v>
      </c>
      <c r="AX23" s="145">
        <f t="shared" si="19"/>
        <v>-0.91999999999999982</v>
      </c>
      <c r="AY23" s="145">
        <f t="shared" si="20"/>
        <v>-0.9</v>
      </c>
      <c r="AZ23" s="145">
        <f t="shared" si="21"/>
        <v>-0.58000000000000018</v>
      </c>
      <c r="BA23" s="145">
        <f t="shared" si="22"/>
        <v>-0.62000000000000011</v>
      </c>
      <c r="BB23" s="287">
        <f t="shared" ca="1" si="6"/>
        <v>-1.5309299375999994</v>
      </c>
      <c r="BC23" s="287">
        <f t="shared" ca="1" si="7"/>
        <v>-1.0206199584</v>
      </c>
      <c r="BD23" s="287">
        <f t="shared" ca="1" si="8"/>
        <v>-0.99843256800000024</v>
      </c>
      <c r="BE23" s="287">
        <f t="shared" ca="1" si="9"/>
        <v>-0.64343432160000036</v>
      </c>
      <c r="BF23" s="287">
        <f t="shared" ca="1" si="10"/>
        <v>-0.68780910240000026</v>
      </c>
      <c r="BG23" s="877"/>
      <c r="BH23" s="45"/>
      <c r="BI23" s="45"/>
    </row>
    <row r="24" spans="1:61" s="252" customFormat="1" ht="17.100000000000001" customHeight="1">
      <c r="A24" s="13"/>
      <c r="B24" s="119"/>
      <c r="C24" s="739" t="s">
        <v>390</v>
      </c>
      <c r="D24" s="740"/>
      <c r="E24" s="740"/>
      <c r="F24" s="740"/>
      <c r="G24" s="740"/>
      <c r="H24" s="740"/>
      <c r="I24" s="740"/>
      <c r="J24" s="740"/>
      <c r="K24" s="740"/>
      <c r="L24" s="740"/>
      <c r="M24" s="587">
        <f>1.35*Z18*M23</f>
        <v>57.461899565910407</v>
      </c>
      <c r="N24" s="588"/>
      <c r="O24" s="23"/>
      <c r="P24" s="754" t="s">
        <v>444</v>
      </c>
      <c r="Q24" s="755"/>
      <c r="R24" s="768" t="str">
        <f ca="1">FIXED(MAX(AW4:AW7),3)</f>
        <v>0.738</v>
      </c>
      <c r="S24" s="768"/>
      <c r="T24" s="768" t="str">
        <f ca="1">FIXED(MAX(AX4:AX7),3)</f>
        <v>0.701</v>
      </c>
      <c r="U24" s="768"/>
      <c r="V24" s="768" t="str">
        <f ca="1">FIXED(MAX(AY4:AY7),3)</f>
        <v>0.664</v>
      </c>
      <c r="W24" s="768"/>
      <c r="X24" s="768" t="str">
        <f ca="1">IF(AND(AH4=2,AI11&gt;=M14),"-",FIXED(MAX(AZ4:AZ7),3))</f>
        <v>0.627</v>
      </c>
      <c r="Y24" s="768"/>
      <c r="Z24" s="768" t="str">
        <f>IF($AH$4&lt;&gt;1,"-",FIXED(MAX(BA4:BA7),3))</f>
        <v>-</v>
      </c>
      <c r="AA24" s="797"/>
      <c r="AB24" s="120"/>
      <c r="AC24" s="13"/>
      <c r="AD24" s="13" t="s">
        <v>547</v>
      </c>
      <c r="AE24" s="403">
        <v>1</v>
      </c>
      <c r="AF24" s="199"/>
      <c r="AG24" s="43"/>
      <c r="AH24" s="45">
        <v>-35</v>
      </c>
      <c r="AI24" s="45" t="b">
        <f t="shared" si="0"/>
        <v>0</v>
      </c>
      <c r="AJ24" s="45" t="b">
        <f t="shared" si="11"/>
        <v>0</v>
      </c>
      <c r="AK24" s="281" t="b">
        <f t="shared" si="12"/>
        <v>0</v>
      </c>
      <c r="AL24" s="145">
        <f t="shared" si="13"/>
        <v>-1.4333333333333325</v>
      </c>
      <c r="AM24" s="145">
        <f t="shared" si="14"/>
        <v>-0.93333333333333313</v>
      </c>
      <c r="AN24" s="145">
        <f t="shared" si="15"/>
        <v>-0.9</v>
      </c>
      <c r="AO24" s="145">
        <f t="shared" si="16"/>
        <v>-0.56666666666666687</v>
      </c>
      <c r="AP24" s="145">
        <f t="shared" si="17"/>
        <v>-0.56666666666666676</v>
      </c>
      <c r="AQ24" s="287">
        <f t="shared" ca="1" si="1"/>
        <v>-1.5900963119999993</v>
      </c>
      <c r="AR24" s="287">
        <f t="shared" ca="1" si="2"/>
        <v>-1.035411552</v>
      </c>
      <c r="AS24" s="287">
        <f t="shared" ca="1" si="3"/>
        <v>-0.99843256800000024</v>
      </c>
      <c r="AT24" s="287">
        <f t="shared" ca="1" si="4"/>
        <v>-0.62864272800000032</v>
      </c>
      <c r="AU24" s="287">
        <f t="shared" ca="1" si="5"/>
        <v>-0.62864272800000021</v>
      </c>
      <c r="AV24" s="877"/>
      <c r="AW24" s="145">
        <f t="shared" si="18"/>
        <v>-1.4333333333333325</v>
      </c>
      <c r="AX24" s="145">
        <f t="shared" si="19"/>
        <v>-0.93333333333333313</v>
      </c>
      <c r="AY24" s="145">
        <f t="shared" si="20"/>
        <v>-0.9</v>
      </c>
      <c r="AZ24" s="145">
        <f t="shared" si="21"/>
        <v>-0.56666666666666687</v>
      </c>
      <c r="BA24" s="145">
        <f t="shared" si="22"/>
        <v>-0.56666666666666676</v>
      </c>
      <c r="BB24" s="287">
        <f t="shared" ca="1" si="6"/>
        <v>-1.5900963119999993</v>
      </c>
      <c r="BC24" s="287">
        <f t="shared" ca="1" si="7"/>
        <v>-1.035411552</v>
      </c>
      <c r="BD24" s="287">
        <f t="shared" ca="1" si="8"/>
        <v>-0.99843256800000024</v>
      </c>
      <c r="BE24" s="287">
        <f t="shared" ca="1" si="9"/>
        <v>-0.62864272800000032</v>
      </c>
      <c r="BF24" s="287">
        <f t="shared" ca="1" si="10"/>
        <v>-0.62864272800000021</v>
      </c>
      <c r="BG24" s="877"/>
      <c r="BH24" s="45"/>
      <c r="BI24" s="45"/>
    </row>
    <row r="25" spans="1:61" s="252" customFormat="1" ht="17.100000000000001" customHeight="1">
      <c r="A25" s="13"/>
      <c r="B25" s="119"/>
      <c r="C25" s="23"/>
      <c r="D25" s="23"/>
      <c r="E25" s="23"/>
      <c r="F25" s="23"/>
      <c r="G25" s="23"/>
      <c r="H25" s="23"/>
      <c r="I25" s="23"/>
      <c r="J25" s="23"/>
      <c r="K25" s="23"/>
      <c r="L25" s="23"/>
      <c r="M25" s="23"/>
      <c r="N25" s="23"/>
      <c r="O25" s="23"/>
      <c r="P25" s="869" t="s">
        <v>442</v>
      </c>
      <c r="Q25" s="784"/>
      <c r="R25" s="784"/>
      <c r="S25" s="784"/>
      <c r="T25" s="784"/>
      <c r="U25" s="784"/>
      <c r="V25" s="784"/>
      <c r="W25" s="784"/>
      <c r="X25" s="784"/>
      <c r="Y25" s="784"/>
      <c r="Z25" s="784"/>
      <c r="AA25" s="784"/>
      <c r="AB25" s="120"/>
      <c r="AC25" s="13"/>
      <c r="AD25" s="210" t="s">
        <v>584</v>
      </c>
      <c r="AE25" s="403" t="s">
        <v>115</v>
      </c>
      <c r="AF25" s="199"/>
      <c r="AG25" s="43"/>
      <c r="AH25" s="45">
        <v>-34</v>
      </c>
      <c r="AI25" s="45" t="b">
        <f t="shared" si="0"/>
        <v>0</v>
      </c>
      <c r="AJ25" s="45" t="b">
        <f t="shared" si="11"/>
        <v>0</v>
      </c>
      <c r="AK25" s="281" t="b">
        <f t="shared" si="12"/>
        <v>0</v>
      </c>
      <c r="AL25" s="145">
        <f t="shared" si="13"/>
        <v>-1.4866666666666657</v>
      </c>
      <c r="AM25" s="145">
        <f t="shared" si="14"/>
        <v>-0.94666666666666643</v>
      </c>
      <c r="AN25" s="145">
        <f t="shared" si="15"/>
        <v>-0.9</v>
      </c>
      <c r="AO25" s="145">
        <f t="shared" si="16"/>
        <v>-0.55333333333333357</v>
      </c>
      <c r="AP25" s="145">
        <f t="shared" si="17"/>
        <v>-0.51333333333333342</v>
      </c>
      <c r="AQ25" s="287">
        <f t="shared" ca="1" si="1"/>
        <v>-1.6492626863999993</v>
      </c>
      <c r="AR25" s="287">
        <f t="shared" ca="1" si="2"/>
        <v>-1.0502031456000001</v>
      </c>
      <c r="AS25" s="287">
        <f t="shared" ca="1" si="3"/>
        <v>-0.99843256800000024</v>
      </c>
      <c r="AT25" s="287">
        <f t="shared" ca="1" si="4"/>
        <v>-0.61385113440000039</v>
      </c>
      <c r="AU25" s="287">
        <f t="shared" ca="1" si="5"/>
        <v>-0.56947635360000026</v>
      </c>
      <c r="AV25" s="877"/>
      <c r="AW25" s="145">
        <f t="shared" si="18"/>
        <v>-1.4866666666666657</v>
      </c>
      <c r="AX25" s="145">
        <f t="shared" si="19"/>
        <v>-0.94666666666666643</v>
      </c>
      <c r="AY25" s="145">
        <f t="shared" si="20"/>
        <v>-0.9</v>
      </c>
      <c r="AZ25" s="145">
        <f t="shared" si="21"/>
        <v>-0.55333333333333357</v>
      </c>
      <c r="BA25" s="145">
        <f t="shared" si="22"/>
        <v>-0.51333333333333342</v>
      </c>
      <c r="BB25" s="287">
        <f t="shared" ca="1" si="6"/>
        <v>-1.6492626863999993</v>
      </c>
      <c r="BC25" s="287">
        <f t="shared" ca="1" si="7"/>
        <v>-1.0502031456000001</v>
      </c>
      <c r="BD25" s="287">
        <f t="shared" ca="1" si="8"/>
        <v>-0.99843256800000024</v>
      </c>
      <c r="BE25" s="287">
        <f t="shared" ca="1" si="9"/>
        <v>-0.61385113440000039</v>
      </c>
      <c r="BF25" s="287">
        <f t="shared" ca="1" si="10"/>
        <v>-0.56947635360000026</v>
      </c>
      <c r="BG25" s="877"/>
      <c r="BH25" s="45"/>
      <c r="BI25" s="45"/>
    </row>
    <row r="26" spans="1:61" s="252" customFormat="1" ht="17.100000000000001" customHeight="1">
      <c r="A26" s="13"/>
      <c r="B26" s="119"/>
      <c r="C26" s="573" t="s">
        <v>428</v>
      </c>
      <c r="D26" s="574"/>
      <c r="E26" s="574"/>
      <c r="F26" s="574"/>
      <c r="G26" s="574"/>
      <c r="H26" s="574"/>
      <c r="I26" s="574"/>
      <c r="J26" s="574"/>
      <c r="K26" s="574"/>
      <c r="L26" s="574"/>
      <c r="M26" s="574"/>
      <c r="N26" s="574"/>
      <c r="O26" s="574"/>
      <c r="P26" s="574"/>
      <c r="Q26" s="575"/>
      <c r="R26" s="23"/>
      <c r="S26" s="23"/>
      <c r="T26" s="23"/>
      <c r="U26" s="23"/>
      <c r="V26" s="23"/>
      <c r="W26" s="23"/>
      <c r="X26" s="23"/>
      <c r="Y26" s="23"/>
      <c r="Z26" s="23"/>
      <c r="AA26" s="23"/>
      <c r="AB26" s="120"/>
      <c r="AC26" s="13"/>
      <c r="AD26" s="210" t="s">
        <v>548</v>
      </c>
      <c r="AE26" s="403">
        <v>1</v>
      </c>
      <c r="AF26" s="199"/>
      <c r="AG26" s="43"/>
      <c r="AH26" s="45">
        <v>-33</v>
      </c>
      <c r="AI26" s="45" t="b">
        <f t="shared" si="0"/>
        <v>0</v>
      </c>
      <c r="AJ26" s="45" t="b">
        <f t="shared" si="11"/>
        <v>0</v>
      </c>
      <c r="AK26" s="281" t="b">
        <f t="shared" si="12"/>
        <v>0</v>
      </c>
      <c r="AL26" s="145">
        <f t="shared" si="13"/>
        <v>-1.5399999999999989</v>
      </c>
      <c r="AM26" s="145">
        <f t="shared" si="14"/>
        <v>-0.95999999999999974</v>
      </c>
      <c r="AN26" s="145">
        <f t="shared" si="15"/>
        <v>-0.9</v>
      </c>
      <c r="AO26" s="145">
        <f t="shared" si="16"/>
        <v>-0.54000000000000026</v>
      </c>
      <c r="AP26" s="145">
        <f t="shared" si="17"/>
        <v>-0.46000000000000008</v>
      </c>
      <c r="AQ26" s="287">
        <f t="shared" ca="1" si="1"/>
        <v>-1.7084290607999992</v>
      </c>
      <c r="AR26" s="287">
        <f t="shared" ca="1" si="2"/>
        <v>-1.0649947391999999</v>
      </c>
      <c r="AS26" s="287">
        <f t="shared" ca="1" si="3"/>
        <v>-0.99843256800000024</v>
      </c>
      <c r="AT26" s="287">
        <f t="shared" ca="1" si="4"/>
        <v>-0.59905954080000046</v>
      </c>
      <c r="AU26" s="287">
        <f t="shared" ca="1" si="5"/>
        <v>-0.51030997920000021</v>
      </c>
      <c r="AV26" s="877"/>
      <c r="AW26" s="145">
        <f t="shared" si="18"/>
        <v>-1.5399999999999989</v>
      </c>
      <c r="AX26" s="145">
        <f t="shared" si="19"/>
        <v>-0.95999999999999974</v>
      </c>
      <c r="AY26" s="145">
        <f t="shared" si="20"/>
        <v>-0.9</v>
      </c>
      <c r="AZ26" s="145">
        <f t="shared" si="21"/>
        <v>-0.54000000000000026</v>
      </c>
      <c r="BA26" s="145">
        <f t="shared" si="22"/>
        <v>-0.46000000000000008</v>
      </c>
      <c r="BB26" s="287">
        <f t="shared" ca="1" si="6"/>
        <v>-1.7084290607999992</v>
      </c>
      <c r="BC26" s="287">
        <f t="shared" ca="1" si="7"/>
        <v>-1.0649947391999999</v>
      </c>
      <c r="BD26" s="287">
        <f t="shared" ca="1" si="8"/>
        <v>-0.99843256800000024</v>
      </c>
      <c r="BE26" s="287">
        <f t="shared" ca="1" si="9"/>
        <v>-0.59905954080000046</v>
      </c>
      <c r="BF26" s="287">
        <f t="shared" ca="1" si="10"/>
        <v>-0.51030997920000021</v>
      </c>
      <c r="BG26" s="877"/>
      <c r="BH26" s="45"/>
      <c r="BI26" s="45"/>
    </row>
    <row r="27" spans="1:61" s="252" customFormat="1" ht="17.100000000000001" customHeight="1">
      <c r="A27" s="13"/>
      <c r="B27" s="119"/>
      <c r="C27" s="843"/>
      <c r="D27" s="844"/>
      <c r="E27" s="909" t="s">
        <v>385</v>
      </c>
      <c r="F27" s="909"/>
      <c r="G27" s="909"/>
      <c r="H27" s="738" t="s">
        <v>120</v>
      </c>
      <c r="I27" s="738"/>
      <c r="J27" s="820" t="s">
        <v>121</v>
      </c>
      <c r="K27" s="820"/>
      <c r="L27" s="820" t="s">
        <v>93</v>
      </c>
      <c r="M27" s="820"/>
      <c r="N27" s="738" t="s">
        <v>40</v>
      </c>
      <c r="O27" s="738"/>
      <c r="P27" s="738" t="s">
        <v>144</v>
      </c>
      <c r="Q27" s="771"/>
      <c r="R27" s="23"/>
      <c r="S27" s="23"/>
      <c r="T27" s="23"/>
      <c r="U27" s="23"/>
      <c r="V27" s="23"/>
      <c r="W27" s="23"/>
      <c r="X27" s="23"/>
      <c r="Y27" s="23"/>
      <c r="Z27" s="23"/>
      <c r="AA27" s="23"/>
      <c r="AB27" s="120"/>
      <c r="AC27" s="13"/>
      <c r="AD27" s="210" t="s">
        <v>549</v>
      </c>
      <c r="AE27" s="403">
        <v>2</v>
      </c>
      <c r="AF27" s="199"/>
      <c r="AG27" s="43"/>
      <c r="AH27" s="45">
        <v>-32</v>
      </c>
      <c r="AI27" s="45" t="b">
        <f t="shared" si="0"/>
        <v>0</v>
      </c>
      <c r="AJ27" s="45" t="b">
        <f t="shared" si="11"/>
        <v>0</v>
      </c>
      <c r="AK27" s="281" t="b">
        <f t="shared" si="12"/>
        <v>0</v>
      </c>
      <c r="AL27" s="145">
        <f t="shared" si="13"/>
        <v>-1.5933333333333322</v>
      </c>
      <c r="AM27" s="145">
        <f t="shared" si="14"/>
        <v>-0.97333333333333305</v>
      </c>
      <c r="AN27" s="145">
        <f t="shared" si="15"/>
        <v>-0.9</v>
      </c>
      <c r="AO27" s="145">
        <f t="shared" si="16"/>
        <v>-0.52666666666666695</v>
      </c>
      <c r="AP27" s="145">
        <f t="shared" si="17"/>
        <v>-0.40666666666666673</v>
      </c>
      <c r="AQ27" s="287">
        <f t="shared" ca="1" si="1"/>
        <v>-1.767595435199999</v>
      </c>
      <c r="AR27" s="287">
        <f t="shared" ca="1" si="2"/>
        <v>-1.0797863327999999</v>
      </c>
      <c r="AS27" s="287">
        <f t="shared" ca="1" si="3"/>
        <v>-0.99843256800000024</v>
      </c>
      <c r="AT27" s="287">
        <f t="shared" ca="1" si="4"/>
        <v>-0.58426794720000041</v>
      </c>
      <c r="AU27" s="287">
        <f t="shared" ca="1" si="5"/>
        <v>-0.45114360480000015</v>
      </c>
      <c r="AV27" s="877"/>
      <c r="AW27" s="145">
        <f t="shared" si="18"/>
        <v>-1.5933333333333322</v>
      </c>
      <c r="AX27" s="145">
        <f t="shared" si="19"/>
        <v>-0.97333333333333305</v>
      </c>
      <c r="AY27" s="145">
        <f t="shared" si="20"/>
        <v>-0.9</v>
      </c>
      <c r="AZ27" s="145">
        <f t="shared" si="21"/>
        <v>-0.52666666666666695</v>
      </c>
      <c r="BA27" s="145">
        <f t="shared" si="22"/>
        <v>-0.40666666666666673</v>
      </c>
      <c r="BB27" s="287">
        <f t="shared" ca="1" si="6"/>
        <v>-1.767595435199999</v>
      </c>
      <c r="BC27" s="287">
        <f t="shared" ca="1" si="7"/>
        <v>-1.0797863327999999</v>
      </c>
      <c r="BD27" s="287">
        <f t="shared" ca="1" si="8"/>
        <v>-0.99843256800000024</v>
      </c>
      <c r="BE27" s="287">
        <f t="shared" ca="1" si="9"/>
        <v>-0.58426794720000041</v>
      </c>
      <c r="BF27" s="287">
        <f t="shared" ca="1" si="10"/>
        <v>-0.45114360480000015</v>
      </c>
      <c r="BG27" s="877"/>
      <c r="BH27" s="45"/>
      <c r="BI27" s="45"/>
    </row>
    <row r="28" spans="1:61" s="252" customFormat="1" ht="17.100000000000001" customHeight="1">
      <c r="A28" s="13"/>
      <c r="B28" s="119"/>
      <c r="C28" s="865" t="s">
        <v>434</v>
      </c>
      <c r="D28" s="866"/>
      <c r="E28" s="719" t="s">
        <v>501</v>
      </c>
      <c r="F28" s="719"/>
      <c r="G28" s="719"/>
      <c r="H28" s="711" t="str">
        <f>FIXED(AP8,3)</f>
        <v>-1.467</v>
      </c>
      <c r="I28" s="711"/>
      <c r="J28" s="711" t="str">
        <f>FIXED(AQ8,3)</f>
        <v>-1.367</v>
      </c>
      <c r="K28" s="711"/>
      <c r="L28" s="711" t="str">
        <f>FIXED(AR8,3)</f>
        <v>-0.600</v>
      </c>
      <c r="M28" s="711"/>
      <c r="N28" s="711" t="str">
        <f>IF(AND(AH4=2,AI11&gt;=M14),"-",FIXED(AS8,3))</f>
        <v>-0.433</v>
      </c>
      <c r="O28" s="711"/>
      <c r="P28" s="711" t="str">
        <f>IF($AH$4&lt;&gt;1,"-",FIXED(AT8,3))</f>
        <v>-</v>
      </c>
      <c r="Q28" s="712"/>
      <c r="R28" s="23"/>
      <c r="S28" s="23"/>
      <c r="T28" s="23"/>
      <c r="U28" s="23"/>
      <c r="V28" s="23"/>
      <c r="W28" s="23"/>
      <c r="X28" s="23"/>
      <c r="Y28" s="23"/>
      <c r="Z28" s="23"/>
      <c r="AA28" s="23"/>
      <c r="AB28" s="120"/>
      <c r="AC28" s="13"/>
      <c r="AD28" s="210" t="s">
        <v>550</v>
      </c>
      <c r="AE28" s="404">
        <v>45</v>
      </c>
      <c r="AF28" s="199"/>
      <c r="AG28" s="43"/>
      <c r="AH28" s="45">
        <v>-31</v>
      </c>
      <c r="AI28" s="45" t="b">
        <f t="shared" si="0"/>
        <v>0</v>
      </c>
      <c r="AJ28" s="45" t="b">
        <f t="shared" si="11"/>
        <v>0</v>
      </c>
      <c r="AK28" s="281" t="b">
        <f t="shared" si="12"/>
        <v>0</v>
      </c>
      <c r="AL28" s="145">
        <f t="shared" si="13"/>
        <v>-1.6466666666666654</v>
      </c>
      <c r="AM28" s="145">
        <f t="shared" si="14"/>
        <v>-0.98666666666666636</v>
      </c>
      <c r="AN28" s="145">
        <f t="shared" si="15"/>
        <v>-0.9</v>
      </c>
      <c r="AO28" s="145">
        <f t="shared" si="16"/>
        <v>-0.51333333333333364</v>
      </c>
      <c r="AP28" s="145">
        <f t="shared" si="17"/>
        <v>-0.35333333333333339</v>
      </c>
      <c r="AQ28" s="287">
        <f t="shared" ca="1" si="1"/>
        <v>-1.8267618095999989</v>
      </c>
      <c r="AR28" s="287">
        <f t="shared" ca="1" si="2"/>
        <v>-1.0945779264</v>
      </c>
      <c r="AS28" s="287">
        <f t="shared" ca="1" si="3"/>
        <v>-0.99843256800000024</v>
      </c>
      <c r="AT28" s="287">
        <f t="shared" ca="1" si="4"/>
        <v>-0.56947635360000048</v>
      </c>
      <c r="AU28" s="287">
        <f t="shared" ca="1" si="5"/>
        <v>-0.39197723040000015</v>
      </c>
      <c r="AV28" s="877"/>
      <c r="AW28" s="145">
        <f t="shared" si="18"/>
        <v>-1.6466666666666654</v>
      </c>
      <c r="AX28" s="145">
        <f t="shared" si="19"/>
        <v>-0.98666666666666636</v>
      </c>
      <c r="AY28" s="145">
        <f t="shared" si="20"/>
        <v>-0.9</v>
      </c>
      <c r="AZ28" s="145">
        <f t="shared" si="21"/>
        <v>-0.51333333333333364</v>
      </c>
      <c r="BA28" s="145">
        <f t="shared" si="22"/>
        <v>-0.35333333333333339</v>
      </c>
      <c r="BB28" s="287">
        <f t="shared" ca="1" si="6"/>
        <v>-1.8267618095999989</v>
      </c>
      <c r="BC28" s="287">
        <f t="shared" ca="1" si="7"/>
        <v>-1.0945779264</v>
      </c>
      <c r="BD28" s="287">
        <f t="shared" ca="1" si="8"/>
        <v>-0.99843256800000024</v>
      </c>
      <c r="BE28" s="287">
        <f t="shared" ca="1" si="9"/>
        <v>-0.56947635360000048</v>
      </c>
      <c r="BF28" s="287">
        <f t="shared" ca="1" si="10"/>
        <v>-0.39197723040000015</v>
      </c>
      <c r="BG28" s="877"/>
      <c r="BH28" s="45"/>
      <c r="BI28" s="45"/>
    </row>
    <row r="29" spans="1:61" s="252" customFormat="1" ht="17.100000000000001" customHeight="1">
      <c r="A29" s="13"/>
      <c r="B29" s="119"/>
      <c r="C29" s="835" t="s">
        <v>435</v>
      </c>
      <c r="D29" s="836"/>
      <c r="E29" s="837" t="s">
        <v>501</v>
      </c>
      <c r="F29" s="837"/>
      <c r="G29" s="837"/>
      <c r="H29" s="746" t="str">
        <f>FIXED(AP9,3)</f>
        <v>0.300</v>
      </c>
      <c r="I29" s="746"/>
      <c r="J29" s="746" t="str">
        <f>FIXED(AQ9,3)</f>
        <v>0.267</v>
      </c>
      <c r="K29" s="746"/>
      <c r="L29" s="746" t="str">
        <f>FIXED(AR9,3)</f>
        <v>0.233</v>
      </c>
      <c r="M29" s="746"/>
      <c r="N29" s="746" t="str">
        <f>IF(AND(AH4=2,AI11&gt;=M14),"-",FIXED(AS9,3))</f>
        <v>0.200</v>
      </c>
      <c r="O29" s="746"/>
      <c r="P29" s="746" t="str">
        <f>IF($AH$4&lt;&gt;1,"-",FIXED(AT9,3))</f>
        <v>-</v>
      </c>
      <c r="Q29" s="747"/>
      <c r="R29" s="23"/>
      <c r="S29" s="23"/>
      <c r="T29" s="23"/>
      <c r="U29" s="23"/>
      <c r="V29" s="23"/>
      <c r="W29" s="23"/>
      <c r="X29" s="23"/>
      <c r="Y29" s="23"/>
      <c r="Z29" s="23"/>
      <c r="AA29" s="23"/>
      <c r="AB29" s="120"/>
      <c r="AC29" s="13"/>
      <c r="AD29" s="210" t="s">
        <v>586</v>
      </c>
      <c r="AE29" s="399">
        <f>M17</f>
        <v>20</v>
      </c>
      <c r="AF29" s="199" t="s">
        <v>569</v>
      </c>
      <c r="AG29" s="43"/>
      <c r="AH29" s="276">
        <v>-30</v>
      </c>
      <c r="AI29" s="45" t="b">
        <f t="shared" si="0"/>
        <v>0</v>
      </c>
      <c r="AJ29" s="45" t="b">
        <f t="shared" si="11"/>
        <v>0</v>
      </c>
      <c r="AK29" s="281" t="b">
        <f t="shared" si="12"/>
        <v>0</v>
      </c>
      <c r="AL29" s="287">
        <v>-1.7</v>
      </c>
      <c r="AM29" s="287">
        <v>-1</v>
      </c>
      <c r="AN29" s="287">
        <v>-0.9</v>
      </c>
      <c r="AO29" s="287">
        <v>-0.5</v>
      </c>
      <c r="AP29" s="287">
        <v>-0.7</v>
      </c>
      <c r="AQ29" s="287">
        <f t="shared" ca="1" si="1"/>
        <v>-1.8859281840000004</v>
      </c>
      <c r="AR29" s="287">
        <f t="shared" ca="1" si="2"/>
        <v>-1.1093695200000002</v>
      </c>
      <c r="AS29" s="287">
        <f t="shared" ca="1" si="3"/>
        <v>-0.99843256800000024</v>
      </c>
      <c r="AT29" s="287">
        <f t="shared" ca="1" si="4"/>
        <v>-0.55468476000000011</v>
      </c>
      <c r="AU29" s="287">
        <f t="shared" ca="1" si="5"/>
        <v>-0.77655866400000007</v>
      </c>
      <c r="AV29" s="877"/>
      <c r="AW29" s="287">
        <v>-1.7</v>
      </c>
      <c r="AX29" s="287">
        <v>-1</v>
      </c>
      <c r="AY29" s="287">
        <v>-0.9</v>
      </c>
      <c r="AZ29" s="287">
        <v>-0.5</v>
      </c>
      <c r="BA29" s="287">
        <v>-0.7</v>
      </c>
      <c r="BB29" s="287">
        <f t="shared" ca="1" si="6"/>
        <v>-1.8859281840000004</v>
      </c>
      <c r="BC29" s="287">
        <f t="shared" ca="1" si="7"/>
        <v>-1.1093695200000002</v>
      </c>
      <c r="BD29" s="287">
        <f t="shared" ca="1" si="8"/>
        <v>-0.99843256800000024</v>
      </c>
      <c r="BE29" s="287">
        <f t="shared" ca="1" si="9"/>
        <v>-0.55468476000000011</v>
      </c>
      <c r="BF29" s="287">
        <f t="shared" ca="1" si="10"/>
        <v>-0.77655866400000007</v>
      </c>
      <c r="BG29" s="877"/>
      <c r="BH29" s="45"/>
      <c r="BI29" s="45"/>
    </row>
    <row r="30" spans="1:61" s="252" customFormat="1" ht="17.100000000000001" customHeight="1">
      <c r="A30" s="13"/>
      <c r="B30" s="119"/>
      <c r="C30" s="838" t="s">
        <v>434</v>
      </c>
      <c r="D30" s="839"/>
      <c r="E30" s="753" t="s">
        <v>422</v>
      </c>
      <c r="F30" s="753"/>
      <c r="G30" s="753"/>
      <c r="H30" s="711" t="str">
        <f ca="1">FIXED(AP4,3)</f>
        <v>-1.627</v>
      </c>
      <c r="I30" s="711"/>
      <c r="J30" s="711" t="str">
        <f ca="1">FIXED(AQ4,3)</f>
        <v>-1.516</v>
      </c>
      <c r="K30" s="711"/>
      <c r="L30" s="711" t="str">
        <f ca="1">FIXED(AR4,3)</f>
        <v>-0.666</v>
      </c>
      <c r="M30" s="711"/>
      <c r="N30" s="711" t="str">
        <f ca="1">IF(AND(AH4=2,AI11&gt;=M14),"-",FIXED(AS4,3))</f>
        <v>-0.481</v>
      </c>
      <c r="O30" s="711"/>
      <c r="P30" s="711" t="str">
        <f>IF($AH$4&lt;&gt;1,"-",FIXED(AT4,3))</f>
        <v>-</v>
      </c>
      <c r="Q30" s="712"/>
      <c r="R30" s="23"/>
      <c r="S30" s="23"/>
      <c r="T30" s="23"/>
      <c r="U30" s="23"/>
      <c r="V30" s="23"/>
      <c r="W30" s="23"/>
      <c r="X30" s="23"/>
      <c r="Y30" s="23"/>
      <c r="Z30" s="23"/>
      <c r="AA30" s="23"/>
      <c r="AB30" s="120"/>
      <c r="AC30" s="13"/>
      <c r="AD30" s="210" t="s">
        <v>585</v>
      </c>
      <c r="AE30" s="405">
        <f>M18</f>
        <v>90</v>
      </c>
      <c r="AF30" s="199" t="s">
        <v>570</v>
      </c>
      <c r="AG30" s="43"/>
      <c r="AH30" s="45">
        <v>-29</v>
      </c>
      <c r="AI30" s="45" t="b">
        <f t="shared" si="0"/>
        <v>0</v>
      </c>
      <c r="AJ30" s="45" t="b">
        <f t="shared" si="11"/>
        <v>0</v>
      </c>
      <c r="AK30" s="281" t="b">
        <f t="shared" si="12"/>
        <v>0</v>
      </c>
      <c r="AL30" s="145">
        <f>0-(ABS($AL$29-$AL$44)/15-AL29)</f>
        <v>-1.76</v>
      </c>
      <c r="AM30" s="145">
        <f>0-(ABS($AM$29-$AM$44)/15-AM29)</f>
        <v>-1</v>
      </c>
      <c r="AN30" s="145">
        <f>0-(ABS($AN$29-$AN$44)/15-AN29)</f>
        <v>-0.9</v>
      </c>
      <c r="AO30" s="145">
        <f>0-(ABS($AO$29-$AO$44)/15-AO29)</f>
        <v>-0.5</v>
      </c>
      <c r="AP30" s="145">
        <f>0-(ABS($AP$29-$AP$44)/15-AP29)</f>
        <v>-0.7</v>
      </c>
      <c r="AQ30" s="287">
        <f t="shared" ca="1" si="1"/>
        <v>-1.9524903552000004</v>
      </c>
      <c r="AR30" s="287">
        <f t="shared" ca="1" si="2"/>
        <v>-1.1093695200000002</v>
      </c>
      <c r="AS30" s="287">
        <f t="shared" ca="1" si="3"/>
        <v>-0.99843256800000024</v>
      </c>
      <c r="AT30" s="287">
        <f t="shared" ca="1" si="4"/>
        <v>-0.55468476000000011</v>
      </c>
      <c r="AU30" s="287">
        <f t="shared" ca="1" si="5"/>
        <v>-0.77655866400000007</v>
      </c>
      <c r="AV30" s="877"/>
      <c r="AW30" s="145">
        <f>0-(ABS($AL$29-$AL$44)/15-AW29)</f>
        <v>-1.76</v>
      </c>
      <c r="AX30" s="145">
        <f>0-(ABS($AM$29-$AM$44)/15-AX29)</f>
        <v>-1</v>
      </c>
      <c r="AY30" s="145">
        <f>0-(ABS($AN$29-$AN$44)/15-AY29)</f>
        <v>-0.9</v>
      </c>
      <c r="AZ30" s="145">
        <f>0-(ABS($AO$29-$AO$44)/15-AZ29)</f>
        <v>-0.5</v>
      </c>
      <c r="BA30" s="145">
        <f>0-(ABS($AP$29-$AP$44)/15-BA29)</f>
        <v>-0.7</v>
      </c>
      <c r="BB30" s="287">
        <f t="shared" ca="1" si="6"/>
        <v>-1.9524903552000004</v>
      </c>
      <c r="BC30" s="287">
        <f t="shared" ca="1" si="7"/>
        <v>-1.1093695200000002</v>
      </c>
      <c r="BD30" s="287">
        <f t="shared" ca="1" si="8"/>
        <v>-0.99843256800000024</v>
      </c>
      <c r="BE30" s="287">
        <f t="shared" ca="1" si="9"/>
        <v>-0.55468476000000011</v>
      </c>
      <c r="BF30" s="287">
        <f t="shared" ca="1" si="10"/>
        <v>-0.77655866400000007</v>
      </c>
      <c r="BG30" s="877"/>
      <c r="BH30" s="45"/>
      <c r="BI30" s="45"/>
    </row>
    <row r="31" spans="1:61" s="252" customFormat="1" ht="17.100000000000001" customHeight="1">
      <c r="A31" s="13"/>
      <c r="B31" s="119"/>
      <c r="C31" s="840" t="s">
        <v>435</v>
      </c>
      <c r="D31" s="841"/>
      <c r="E31" s="755" t="s">
        <v>422</v>
      </c>
      <c r="F31" s="755"/>
      <c r="G31" s="755"/>
      <c r="H31" s="768" t="str">
        <f ca="1">FIXED(AP6,3)</f>
        <v>0.333</v>
      </c>
      <c r="I31" s="768"/>
      <c r="J31" s="768" t="str">
        <f ca="1">FIXED(AQ6,3)</f>
        <v>0.296</v>
      </c>
      <c r="K31" s="768"/>
      <c r="L31" s="768" t="str">
        <f ca="1">FIXED(AR6,3)</f>
        <v>0.259</v>
      </c>
      <c r="M31" s="768"/>
      <c r="N31" s="768" t="str">
        <f ca="1">IF(AND(AH4=2,AI11&gt;=M14),"-",FIXED(AS6,3))</f>
        <v>0.222</v>
      </c>
      <c r="O31" s="768"/>
      <c r="P31" s="768" t="str">
        <f>IF($AH$4&lt;&gt;1,"-",FIXED(AT6,3))</f>
        <v>-</v>
      </c>
      <c r="Q31" s="797"/>
      <c r="R31" s="23"/>
      <c r="S31" s="23"/>
      <c r="T31" s="23"/>
      <c r="U31" s="23"/>
      <c r="V31" s="23"/>
      <c r="W31" s="23"/>
      <c r="X31" s="23"/>
      <c r="Y31" s="23"/>
      <c r="Z31" s="23"/>
      <c r="AA31" s="23"/>
      <c r="AB31" s="120"/>
      <c r="AC31" s="13"/>
      <c r="AD31" s="210" t="s">
        <v>552</v>
      </c>
      <c r="AE31" s="401" t="s">
        <v>465</v>
      </c>
      <c r="AF31" s="199"/>
      <c r="AG31" s="43"/>
      <c r="AH31" s="45">
        <v>-28</v>
      </c>
      <c r="AI31" s="45" t="b">
        <f t="shared" si="0"/>
        <v>0</v>
      </c>
      <c r="AJ31" s="45" t="b">
        <f t="shared" si="11"/>
        <v>0</v>
      </c>
      <c r="AK31" s="281" t="b">
        <f t="shared" si="12"/>
        <v>0</v>
      </c>
      <c r="AL31" s="145">
        <f t="shared" ref="AL31:AL43" si="23">0-(ABS($AL$29-$AL$44)/15-AL30)</f>
        <v>-1.82</v>
      </c>
      <c r="AM31" s="145">
        <f t="shared" ref="AM31:AM43" si="24">0-(ABS($AM$29-$AM$44)/15-AM30)</f>
        <v>-1</v>
      </c>
      <c r="AN31" s="145">
        <f t="shared" ref="AN31:AN43" si="25">0-(ABS($AN$29-$AN$44)/15-AN30)</f>
        <v>-0.9</v>
      </c>
      <c r="AO31" s="145">
        <f t="shared" ref="AO31:AO43" si="26">0-(ABS($AO$29-$AO$44)/15-AO30)</f>
        <v>-0.5</v>
      </c>
      <c r="AP31" s="145">
        <f t="shared" ref="AP31:AP43" si="27">0-(ABS($AP$29-$AP$44)/15-AP30)</f>
        <v>-0.7</v>
      </c>
      <c r="AQ31" s="287">
        <f t="shared" ca="1" si="1"/>
        <v>-2.0190525264000003</v>
      </c>
      <c r="AR31" s="287">
        <f t="shared" ca="1" si="2"/>
        <v>-1.1093695200000002</v>
      </c>
      <c r="AS31" s="287">
        <f t="shared" ca="1" si="3"/>
        <v>-0.99843256800000024</v>
      </c>
      <c r="AT31" s="287">
        <f t="shared" ca="1" si="4"/>
        <v>-0.55468476000000011</v>
      </c>
      <c r="AU31" s="287">
        <f t="shared" ca="1" si="5"/>
        <v>-0.77655866400000007</v>
      </c>
      <c r="AV31" s="877"/>
      <c r="AW31" s="145">
        <f t="shared" ref="AW31:AW43" si="28">0-(ABS($AL$29-$AL$44)/15-AW30)</f>
        <v>-1.82</v>
      </c>
      <c r="AX31" s="145">
        <f t="shared" ref="AX31:AX43" si="29">0-(ABS($AM$29-$AM$44)/15-AX30)</f>
        <v>-1</v>
      </c>
      <c r="AY31" s="145">
        <f t="shared" ref="AY31:AY43" si="30">0-(ABS($AN$29-$AN$44)/15-AY30)</f>
        <v>-0.9</v>
      </c>
      <c r="AZ31" s="145">
        <f t="shared" ref="AZ31:AZ43" si="31">0-(ABS($AO$29-$AO$44)/15-AZ30)</f>
        <v>-0.5</v>
      </c>
      <c r="BA31" s="145">
        <f t="shared" ref="BA31:BA43" si="32">0-(ABS($AP$29-$AP$44)/15-BA30)</f>
        <v>-0.7</v>
      </c>
      <c r="BB31" s="287">
        <f t="shared" ca="1" si="6"/>
        <v>-2.0190525264000003</v>
      </c>
      <c r="BC31" s="287">
        <f t="shared" ca="1" si="7"/>
        <v>-1.1093695200000002</v>
      </c>
      <c r="BD31" s="287">
        <f t="shared" ca="1" si="8"/>
        <v>-0.99843256800000024</v>
      </c>
      <c r="BE31" s="287">
        <f t="shared" ca="1" si="9"/>
        <v>-0.55468476000000011</v>
      </c>
      <c r="BF31" s="287">
        <f t="shared" ca="1" si="10"/>
        <v>-0.77655866400000007</v>
      </c>
      <c r="BG31" s="877"/>
      <c r="BH31" s="45"/>
      <c r="BI31" s="45"/>
    </row>
    <row r="32" spans="1:61" s="252" customFormat="1" ht="17.100000000000001" customHeight="1">
      <c r="A32" s="13"/>
      <c r="B32" s="119"/>
      <c r="C32" s="181"/>
      <c r="D32" s="158"/>
      <c r="E32" s="158"/>
      <c r="F32" s="158"/>
      <c r="G32" s="158"/>
      <c r="H32" s="158"/>
      <c r="I32" s="158"/>
      <c r="J32" s="158"/>
      <c r="K32" s="158"/>
      <c r="L32" s="158"/>
      <c r="M32" s="158"/>
      <c r="N32" s="158"/>
      <c r="O32" s="23"/>
      <c r="P32" s="23"/>
      <c r="Q32" s="23"/>
      <c r="R32" s="23"/>
      <c r="S32" s="23"/>
      <c r="T32" s="23"/>
      <c r="U32" s="23"/>
      <c r="V32" s="23"/>
      <c r="W32" s="23"/>
      <c r="X32" s="23"/>
      <c r="Y32" s="23"/>
      <c r="Z32" s="23"/>
      <c r="AA32" s="23"/>
      <c r="AB32" s="120"/>
      <c r="AC32" s="13"/>
      <c r="AD32" s="210" t="s">
        <v>553</v>
      </c>
      <c r="AE32" s="401" t="s">
        <v>476</v>
      </c>
      <c r="AF32" s="199"/>
      <c r="AG32" s="43"/>
      <c r="AH32" s="45">
        <v>-27</v>
      </c>
      <c r="AI32" s="45" t="b">
        <f t="shared" si="0"/>
        <v>0</v>
      </c>
      <c r="AJ32" s="45" t="b">
        <f t="shared" si="11"/>
        <v>0</v>
      </c>
      <c r="AK32" s="281" t="b">
        <f t="shared" si="12"/>
        <v>0</v>
      </c>
      <c r="AL32" s="145">
        <f t="shared" si="23"/>
        <v>-1.8800000000000001</v>
      </c>
      <c r="AM32" s="145">
        <f t="shared" si="24"/>
        <v>-1</v>
      </c>
      <c r="AN32" s="145">
        <f t="shared" si="25"/>
        <v>-0.9</v>
      </c>
      <c r="AO32" s="145">
        <f t="shared" si="26"/>
        <v>-0.5</v>
      </c>
      <c r="AP32" s="145">
        <f t="shared" si="27"/>
        <v>-0.7</v>
      </c>
      <c r="AQ32" s="287">
        <f t="shared" ca="1" si="1"/>
        <v>-2.0856146976000005</v>
      </c>
      <c r="AR32" s="287">
        <f t="shared" ca="1" si="2"/>
        <v>-1.1093695200000002</v>
      </c>
      <c r="AS32" s="287">
        <f t="shared" ca="1" si="3"/>
        <v>-0.99843256800000024</v>
      </c>
      <c r="AT32" s="287">
        <f t="shared" ca="1" si="4"/>
        <v>-0.55468476000000011</v>
      </c>
      <c r="AU32" s="287">
        <f t="shared" ca="1" si="5"/>
        <v>-0.77655866400000007</v>
      </c>
      <c r="AV32" s="877"/>
      <c r="AW32" s="145">
        <f t="shared" si="28"/>
        <v>-1.8800000000000001</v>
      </c>
      <c r="AX32" s="145">
        <f t="shared" si="29"/>
        <v>-1</v>
      </c>
      <c r="AY32" s="145">
        <f t="shared" si="30"/>
        <v>-0.9</v>
      </c>
      <c r="AZ32" s="145">
        <f t="shared" si="31"/>
        <v>-0.5</v>
      </c>
      <c r="BA32" s="145">
        <f t="shared" si="32"/>
        <v>-0.7</v>
      </c>
      <c r="BB32" s="287">
        <f t="shared" ca="1" si="6"/>
        <v>-2.0856146976000005</v>
      </c>
      <c r="BC32" s="287">
        <f t="shared" ca="1" si="7"/>
        <v>-1.1093695200000002</v>
      </c>
      <c r="BD32" s="287">
        <f t="shared" ca="1" si="8"/>
        <v>-0.99843256800000024</v>
      </c>
      <c r="BE32" s="287">
        <f t="shared" ca="1" si="9"/>
        <v>-0.55468476000000011</v>
      </c>
      <c r="BF32" s="287">
        <f t="shared" ca="1" si="10"/>
        <v>-0.77655866400000007</v>
      </c>
      <c r="BG32" s="877"/>
      <c r="BH32" s="45"/>
      <c r="BI32" s="45"/>
    </row>
    <row r="33" spans="1:61" s="252" customFormat="1" ht="17.100000000000001" customHeight="1">
      <c r="A33" s="13"/>
      <c r="B33" s="119"/>
      <c r="C33" s="573" t="s">
        <v>424</v>
      </c>
      <c r="D33" s="574"/>
      <c r="E33" s="574"/>
      <c r="F33" s="574"/>
      <c r="G33" s="574"/>
      <c r="H33" s="574"/>
      <c r="I33" s="574"/>
      <c r="J33" s="574"/>
      <c r="K33" s="574"/>
      <c r="L33" s="574"/>
      <c r="M33" s="574"/>
      <c r="N33" s="574"/>
      <c r="O33" s="574"/>
      <c r="P33" s="574"/>
      <c r="Q33" s="574"/>
      <c r="R33" s="574"/>
      <c r="S33" s="574"/>
      <c r="T33" s="574"/>
      <c r="U33" s="574"/>
      <c r="V33" s="575"/>
      <c r="W33" s="23"/>
      <c r="X33" s="23"/>
      <c r="Y33" s="23"/>
      <c r="Z33" s="23"/>
      <c r="AA33" s="23"/>
      <c r="AB33" s="120"/>
      <c r="AC33" s="13"/>
      <c r="AD33" s="210" t="s">
        <v>551</v>
      </c>
      <c r="AE33" s="401">
        <v>0.5</v>
      </c>
      <c r="AF33" s="199"/>
      <c r="AG33" s="43"/>
      <c r="AH33" s="45">
        <v>-26</v>
      </c>
      <c r="AI33" s="45" t="b">
        <f t="shared" si="0"/>
        <v>0</v>
      </c>
      <c r="AJ33" s="45" t="b">
        <f t="shared" si="11"/>
        <v>0</v>
      </c>
      <c r="AK33" s="281" t="b">
        <f t="shared" si="12"/>
        <v>0</v>
      </c>
      <c r="AL33" s="145">
        <f t="shared" si="23"/>
        <v>-1.9400000000000002</v>
      </c>
      <c r="AM33" s="145">
        <f t="shared" si="24"/>
        <v>-1</v>
      </c>
      <c r="AN33" s="145">
        <f t="shared" si="25"/>
        <v>-0.9</v>
      </c>
      <c r="AO33" s="145">
        <f t="shared" si="26"/>
        <v>-0.5</v>
      </c>
      <c r="AP33" s="145">
        <f t="shared" si="27"/>
        <v>-0.7</v>
      </c>
      <c r="AQ33" s="287">
        <f t="shared" ca="1" si="1"/>
        <v>-2.1521768688000007</v>
      </c>
      <c r="AR33" s="287">
        <f t="shared" ca="1" si="2"/>
        <v>-1.1093695200000002</v>
      </c>
      <c r="AS33" s="287">
        <f t="shared" ca="1" si="3"/>
        <v>-0.99843256800000024</v>
      </c>
      <c r="AT33" s="287">
        <f t="shared" ca="1" si="4"/>
        <v>-0.55468476000000011</v>
      </c>
      <c r="AU33" s="287">
        <f t="shared" ca="1" si="5"/>
        <v>-0.77655866400000007</v>
      </c>
      <c r="AV33" s="877"/>
      <c r="AW33" s="145">
        <f t="shared" si="28"/>
        <v>-1.9400000000000002</v>
      </c>
      <c r="AX33" s="145">
        <f t="shared" si="29"/>
        <v>-1</v>
      </c>
      <c r="AY33" s="145">
        <f t="shared" si="30"/>
        <v>-0.9</v>
      </c>
      <c r="AZ33" s="145">
        <f t="shared" si="31"/>
        <v>-0.5</v>
      </c>
      <c r="BA33" s="145">
        <f t="shared" si="32"/>
        <v>-0.7</v>
      </c>
      <c r="BB33" s="287">
        <f t="shared" ca="1" si="6"/>
        <v>-2.1521768688000007</v>
      </c>
      <c r="BC33" s="287">
        <f t="shared" ca="1" si="7"/>
        <v>-1.1093695200000002</v>
      </c>
      <c r="BD33" s="287">
        <f t="shared" ca="1" si="8"/>
        <v>-0.99843256800000024</v>
      </c>
      <c r="BE33" s="287">
        <f t="shared" ca="1" si="9"/>
        <v>-0.55468476000000011</v>
      </c>
      <c r="BF33" s="287">
        <f t="shared" ca="1" si="10"/>
        <v>-0.77655866400000007</v>
      </c>
      <c r="BG33" s="877"/>
      <c r="BH33" s="45"/>
      <c r="BI33" s="45"/>
    </row>
    <row r="34" spans="1:61" s="252" customFormat="1" ht="17.100000000000001" customHeight="1">
      <c r="A34" s="13"/>
      <c r="B34" s="119"/>
      <c r="C34" s="907"/>
      <c r="D34" s="908"/>
      <c r="E34" s="909" t="s">
        <v>385</v>
      </c>
      <c r="F34" s="909"/>
      <c r="G34" s="909"/>
      <c r="H34" s="906" t="s">
        <v>120</v>
      </c>
      <c r="I34" s="906"/>
      <c r="J34" s="867" t="s">
        <v>121</v>
      </c>
      <c r="K34" s="867"/>
      <c r="L34" s="867" t="s">
        <v>93</v>
      </c>
      <c r="M34" s="867"/>
      <c r="N34" s="867" t="s">
        <v>40</v>
      </c>
      <c r="O34" s="867"/>
      <c r="P34" s="867" t="s">
        <v>144</v>
      </c>
      <c r="Q34" s="867"/>
      <c r="R34" s="910" t="s">
        <v>420</v>
      </c>
      <c r="S34" s="911"/>
      <c r="T34" s="911"/>
      <c r="U34" s="911"/>
      <c r="V34" s="912"/>
      <c r="W34" s="23"/>
      <c r="X34" s="23"/>
      <c r="Y34" s="23"/>
      <c r="Z34" s="23"/>
      <c r="AA34" s="23"/>
      <c r="AB34" s="120"/>
      <c r="AC34" s="13"/>
      <c r="AD34" s="43" t="s">
        <v>587</v>
      </c>
      <c r="AE34" s="43"/>
      <c r="AF34" s="43"/>
      <c r="AG34" s="43"/>
      <c r="AH34" s="45">
        <v>-25</v>
      </c>
      <c r="AI34" s="45" t="b">
        <f t="shared" si="0"/>
        <v>0</v>
      </c>
      <c r="AJ34" s="45" t="b">
        <f t="shared" si="11"/>
        <v>0</v>
      </c>
      <c r="AK34" s="281" t="b">
        <f t="shared" si="12"/>
        <v>0</v>
      </c>
      <c r="AL34" s="145">
        <f t="shared" si="23"/>
        <v>-2</v>
      </c>
      <c r="AM34" s="145">
        <f t="shared" si="24"/>
        <v>-1</v>
      </c>
      <c r="AN34" s="145">
        <f t="shared" si="25"/>
        <v>-0.9</v>
      </c>
      <c r="AO34" s="145">
        <f t="shared" si="26"/>
        <v>-0.5</v>
      </c>
      <c r="AP34" s="145">
        <f t="shared" si="27"/>
        <v>-0.7</v>
      </c>
      <c r="AQ34" s="287">
        <f t="shared" ca="1" si="1"/>
        <v>-2.2187390400000004</v>
      </c>
      <c r="AR34" s="287">
        <f t="shared" ca="1" si="2"/>
        <v>-1.1093695200000002</v>
      </c>
      <c r="AS34" s="287">
        <f t="shared" ca="1" si="3"/>
        <v>-0.99843256800000024</v>
      </c>
      <c r="AT34" s="287">
        <f t="shared" ca="1" si="4"/>
        <v>-0.55468476000000011</v>
      </c>
      <c r="AU34" s="287">
        <f t="shared" ca="1" si="5"/>
        <v>-0.77655866400000007</v>
      </c>
      <c r="AV34" s="877"/>
      <c r="AW34" s="145">
        <f t="shared" si="28"/>
        <v>-2</v>
      </c>
      <c r="AX34" s="145">
        <f t="shared" si="29"/>
        <v>-1</v>
      </c>
      <c r="AY34" s="145">
        <f t="shared" si="30"/>
        <v>-0.9</v>
      </c>
      <c r="AZ34" s="145">
        <f t="shared" si="31"/>
        <v>-0.5</v>
      </c>
      <c r="BA34" s="145">
        <f t="shared" si="32"/>
        <v>-0.7</v>
      </c>
      <c r="BB34" s="287">
        <f t="shared" ca="1" si="6"/>
        <v>-2.2187390400000004</v>
      </c>
      <c r="BC34" s="287">
        <f t="shared" ca="1" si="7"/>
        <v>-1.1093695200000002</v>
      </c>
      <c r="BD34" s="287">
        <f t="shared" ca="1" si="8"/>
        <v>-0.99843256800000024</v>
      </c>
      <c r="BE34" s="287">
        <f t="shared" ca="1" si="9"/>
        <v>-0.55468476000000011</v>
      </c>
      <c r="BF34" s="287">
        <f t="shared" ca="1" si="10"/>
        <v>-0.77655866400000007</v>
      </c>
      <c r="BG34" s="877"/>
      <c r="BH34" s="45"/>
      <c r="BI34" s="45"/>
    </row>
    <row r="35" spans="1:61" s="252" customFormat="1" ht="17.100000000000001" customHeight="1">
      <c r="A35" s="13"/>
      <c r="B35" s="119"/>
      <c r="C35" s="882" t="s">
        <v>434</v>
      </c>
      <c r="D35" s="883"/>
      <c r="E35" s="753" t="s">
        <v>393</v>
      </c>
      <c r="F35" s="753"/>
      <c r="G35" s="753"/>
      <c r="H35" s="711" t="str">
        <f ca="1">FIXED(AW4,3)</f>
        <v>-1.897</v>
      </c>
      <c r="I35" s="711"/>
      <c r="J35" s="711" t="str">
        <f ca="1">FIXED(AX4,3)</f>
        <v>-1.786</v>
      </c>
      <c r="K35" s="711"/>
      <c r="L35" s="711" t="str">
        <f ca="1">FIXED(AY4,3)</f>
        <v>-0.936</v>
      </c>
      <c r="M35" s="711"/>
      <c r="N35" s="711" t="str">
        <f ca="1">IF(AND(AH4=2,AI11&gt;=M14),"-",FIXED(AZ4,3))</f>
        <v>-0.751</v>
      </c>
      <c r="O35" s="711"/>
      <c r="P35" s="711" t="str">
        <f>IF($AH$4&lt;&gt;1,"-",FIXED(BA4,3))</f>
        <v>-</v>
      </c>
      <c r="Q35" s="711"/>
      <c r="R35" s="827" t="str">
        <f>"case I =   "&amp;FIXED(Z14,3)</f>
        <v>case I =   0.200</v>
      </c>
      <c r="S35" s="711"/>
      <c r="T35" s="711"/>
      <c r="U35" s="711"/>
      <c r="V35" s="712"/>
      <c r="W35" s="23"/>
      <c r="X35" s="23"/>
      <c r="Y35" s="23"/>
      <c r="Z35" s="23"/>
      <c r="AA35" s="23"/>
      <c r="AB35" s="120"/>
      <c r="AC35" s="13"/>
      <c r="AD35" s="43" t="s">
        <v>588</v>
      </c>
      <c r="AE35" s="43"/>
      <c r="AF35" s="43"/>
      <c r="AG35" s="43"/>
      <c r="AH35" s="45">
        <v>-24</v>
      </c>
      <c r="AI35" s="45" t="b">
        <f t="shared" si="0"/>
        <v>0</v>
      </c>
      <c r="AJ35" s="45" t="b">
        <f t="shared" si="11"/>
        <v>0</v>
      </c>
      <c r="AK35" s="281" t="b">
        <f t="shared" si="12"/>
        <v>0</v>
      </c>
      <c r="AL35" s="145">
        <f t="shared" si="23"/>
        <v>-2.06</v>
      </c>
      <c r="AM35" s="145">
        <f t="shared" si="24"/>
        <v>-1</v>
      </c>
      <c r="AN35" s="145">
        <f t="shared" si="25"/>
        <v>-0.9</v>
      </c>
      <c r="AO35" s="145">
        <f t="shared" si="26"/>
        <v>-0.5</v>
      </c>
      <c r="AP35" s="145">
        <f t="shared" si="27"/>
        <v>-0.7</v>
      </c>
      <c r="AQ35" s="287">
        <f t="shared" ca="1" si="1"/>
        <v>-2.2853012112000006</v>
      </c>
      <c r="AR35" s="287">
        <f t="shared" ca="1" si="2"/>
        <v>-1.1093695200000002</v>
      </c>
      <c r="AS35" s="287">
        <f t="shared" ca="1" si="3"/>
        <v>-0.99843256800000024</v>
      </c>
      <c r="AT35" s="287">
        <f t="shared" ca="1" si="4"/>
        <v>-0.55468476000000011</v>
      </c>
      <c r="AU35" s="287">
        <f t="shared" ca="1" si="5"/>
        <v>-0.77655866400000007</v>
      </c>
      <c r="AV35" s="877"/>
      <c r="AW35" s="145">
        <f t="shared" si="28"/>
        <v>-2.06</v>
      </c>
      <c r="AX35" s="145">
        <f t="shared" si="29"/>
        <v>-1</v>
      </c>
      <c r="AY35" s="145">
        <f t="shared" si="30"/>
        <v>-0.9</v>
      </c>
      <c r="AZ35" s="145">
        <f t="shared" si="31"/>
        <v>-0.5</v>
      </c>
      <c r="BA35" s="145">
        <f t="shared" si="32"/>
        <v>-0.7</v>
      </c>
      <c r="BB35" s="287">
        <f t="shared" ca="1" si="6"/>
        <v>-2.2853012112000006</v>
      </c>
      <c r="BC35" s="287">
        <f t="shared" ca="1" si="7"/>
        <v>-1.1093695200000002</v>
      </c>
      <c r="BD35" s="287">
        <f t="shared" ca="1" si="8"/>
        <v>-0.99843256800000024</v>
      </c>
      <c r="BE35" s="287">
        <f t="shared" ca="1" si="9"/>
        <v>-0.55468476000000011</v>
      </c>
      <c r="BF35" s="287">
        <f t="shared" ca="1" si="10"/>
        <v>-0.77655866400000007</v>
      </c>
      <c r="BG35" s="877"/>
      <c r="BH35" s="45"/>
      <c r="BI35" s="45"/>
    </row>
    <row r="36" spans="1:61" s="252" customFormat="1" ht="17.100000000000001" customHeight="1">
      <c r="A36" s="13"/>
      <c r="B36" s="119"/>
      <c r="C36" s="884"/>
      <c r="D36" s="885"/>
      <c r="E36" s="751" t="s">
        <v>393</v>
      </c>
      <c r="F36" s="751"/>
      <c r="G36" s="751"/>
      <c r="H36" s="746" t="str">
        <f ca="1">FIXED(AW5,3)</f>
        <v>-1.222</v>
      </c>
      <c r="I36" s="746"/>
      <c r="J36" s="746" t="str">
        <f ca="1">FIXED(AX5,3)</f>
        <v>-1.111</v>
      </c>
      <c r="K36" s="746"/>
      <c r="L36" s="746" t="str">
        <f ca="1">FIXED(AY5,3)</f>
        <v>-0.261</v>
      </c>
      <c r="M36" s="746"/>
      <c r="N36" s="746" t="str">
        <f ca="1">IF(AND(AH4=2,AI11&gt;=M14),"-",FIXED(AZ5,3))</f>
        <v>-0.076</v>
      </c>
      <c r="O36" s="746"/>
      <c r="P36" s="746" t="str">
        <f>IF($AH$4&lt;&gt;1,"-",FIXED(BA5,3))</f>
        <v>-</v>
      </c>
      <c r="Q36" s="746"/>
      <c r="R36" s="861" t="str">
        <f>"case II =   "&amp;FIXED(Z15,3)</f>
        <v>case II =   -0.300</v>
      </c>
      <c r="S36" s="746"/>
      <c r="T36" s="746"/>
      <c r="U36" s="746"/>
      <c r="V36" s="747"/>
      <c r="W36" s="23"/>
      <c r="X36" s="23"/>
      <c r="Y36" s="23"/>
      <c r="Z36" s="23"/>
      <c r="AA36" s="23"/>
      <c r="AB36" s="120"/>
      <c r="AC36" s="13"/>
      <c r="AD36" s="43"/>
      <c r="AE36" s="43"/>
      <c r="AF36" s="43"/>
      <c r="AG36" s="43"/>
      <c r="AH36" s="45">
        <v>-23</v>
      </c>
      <c r="AI36" s="45" t="b">
        <f t="shared" si="0"/>
        <v>0</v>
      </c>
      <c r="AJ36" s="45" t="b">
        <f t="shared" si="11"/>
        <v>0</v>
      </c>
      <c r="AK36" s="281" t="b">
        <f t="shared" si="12"/>
        <v>0</v>
      </c>
      <c r="AL36" s="145">
        <f t="shared" si="23"/>
        <v>-2.12</v>
      </c>
      <c r="AM36" s="145">
        <f t="shared" si="24"/>
        <v>-1</v>
      </c>
      <c r="AN36" s="145">
        <f t="shared" si="25"/>
        <v>-0.9</v>
      </c>
      <c r="AO36" s="145">
        <f t="shared" si="26"/>
        <v>-0.5</v>
      </c>
      <c r="AP36" s="145">
        <f t="shared" si="27"/>
        <v>-0.7</v>
      </c>
      <c r="AQ36" s="287">
        <f t="shared" ca="1" si="1"/>
        <v>-2.3518633824000004</v>
      </c>
      <c r="AR36" s="287">
        <f t="shared" ca="1" si="2"/>
        <v>-1.1093695200000002</v>
      </c>
      <c r="AS36" s="287">
        <f t="shared" ca="1" si="3"/>
        <v>-0.99843256800000024</v>
      </c>
      <c r="AT36" s="287">
        <f t="shared" ca="1" si="4"/>
        <v>-0.55468476000000011</v>
      </c>
      <c r="AU36" s="287">
        <f t="shared" ca="1" si="5"/>
        <v>-0.77655866400000007</v>
      </c>
      <c r="AV36" s="877"/>
      <c r="AW36" s="145">
        <f t="shared" si="28"/>
        <v>-2.12</v>
      </c>
      <c r="AX36" s="145">
        <f t="shared" si="29"/>
        <v>-1</v>
      </c>
      <c r="AY36" s="145">
        <f t="shared" si="30"/>
        <v>-0.9</v>
      </c>
      <c r="AZ36" s="145">
        <f t="shared" si="31"/>
        <v>-0.5</v>
      </c>
      <c r="BA36" s="145">
        <f t="shared" si="32"/>
        <v>-0.7</v>
      </c>
      <c r="BB36" s="287">
        <f t="shared" ca="1" si="6"/>
        <v>-2.3518633824000004</v>
      </c>
      <c r="BC36" s="287">
        <f t="shared" ca="1" si="7"/>
        <v>-1.1093695200000002</v>
      </c>
      <c r="BD36" s="287">
        <f t="shared" ca="1" si="8"/>
        <v>-0.99843256800000024</v>
      </c>
      <c r="BE36" s="287">
        <f t="shared" ca="1" si="9"/>
        <v>-0.55468476000000011</v>
      </c>
      <c r="BF36" s="287">
        <f t="shared" ca="1" si="10"/>
        <v>-0.77655866400000007</v>
      </c>
      <c r="BG36" s="877"/>
      <c r="BH36" s="45"/>
      <c r="BI36" s="45"/>
    </row>
    <row r="37" spans="1:61" s="252" customFormat="1" ht="17.100000000000001" customHeight="1">
      <c r="A37" s="13"/>
      <c r="B37" s="119"/>
      <c r="C37" s="882" t="s">
        <v>435</v>
      </c>
      <c r="D37" s="883"/>
      <c r="E37" s="753" t="s">
        <v>393</v>
      </c>
      <c r="F37" s="753"/>
      <c r="G37" s="753"/>
      <c r="H37" s="711" t="str">
        <f ca="1">FIXED(AW6,3)</f>
        <v>0.063</v>
      </c>
      <c r="I37" s="711"/>
      <c r="J37" s="711" t="str">
        <f ca="1">FIXED(AX6,3)</f>
        <v>0.026</v>
      </c>
      <c r="K37" s="711"/>
      <c r="L37" s="711" t="str">
        <f ca="1">FIXED(AY6,3)</f>
        <v>-0.011</v>
      </c>
      <c r="M37" s="711"/>
      <c r="N37" s="711" t="str">
        <f ca="1">IF(AND(AH4=2,AI11&gt;=M14),"-",FIXED(AZ6,3))</f>
        <v>-0.048</v>
      </c>
      <c r="O37" s="711"/>
      <c r="P37" s="711" t="str">
        <f>IF($AH$4&lt;&gt;1,"-",FIXED(BA6,3))</f>
        <v>-</v>
      </c>
      <c r="Q37" s="711"/>
      <c r="R37" s="827" t="str">
        <f>"case I =   "&amp;FIXED(Z14,3)</f>
        <v>case I =   0.200</v>
      </c>
      <c r="S37" s="711"/>
      <c r="T37" s="711"/>
      <c r="U37" s="711"/>
      <c r="V37" s="712"/>
      <c r="W37" s="23"/>
      <c r="X37" s="23"/>
      <c r="Y37" s="23"/>
      <c r="Z37" s="23"/>
      <c r="AA37" s="23"/>
      <c r="AB37" s="120"/>
      <c r="AC37" s="13"/>
      <c r="AD37" s="43"/>
      <c r="AE37" s="43"/>
      <c r="AF37" s="43"/>
      <c r="AG37" s="43"/>
      <c r="AH37" s="45">
        <v>-22</v>
      </c>
      <c r="AI37" s="45" t="b">
        <f t="shared" si="0"/>
        <v>0</v>
      </c>
      <c r="AJ37" s="45" t="b">
        <f t="shared" si="11"/>
        <v>0</v>
      </c>
      <c r="AK37" s="281" t="b">
        <f t="shared" si="12"/>
        <v>0</v>
      </c>
      <c r="AL37" s="145">
        <f t="shared" si="23"/>
        <v>-2.1800000000000002</v>
      </c>
      <c r="AM37" s="145">
        <f t="shared" si="24"/>
        <v>-1</v>
      </c>
      <c r="AN37" s="145">
        <f t="shared" si="25"/>
        <v>-0.9</v>
      </c>
      <c r="AO37" s="145">
        <f t="shared" si="26"/>
        <v>-0.5</v>
      </c>
      <c r="AP37" s="145">
        <f t="shared" si="27"/>
        <v>-0.7</v>
      </c>
      <c r="AQ37" s="287">
        <f t="shared" ca="1" si="1"/>
        <v>-2.4184255536000006</v>
      </c>
      <c r="AR37" s="287">
        <f t="shared" ca="1" si="2"/>
        <v>-1.1093695200000002</v>
      </c>
      <c r="AS37" s="287">
        <f t="shared" ca="1" si="3"/>
        <v>-0.99843256800000024</v>
      </c>
      <c r="AT37" s="287">
        <f t="shared" ca="1" si="4"/>
        <v>-0.55468476000000011</v>
      </c>
      <c r="AU37" s="287">
        <f t="shared" ca="1" si="5"/>
        <v>-0.77655866400000007</v>
      </c>
      <c r="AV37" s="877"/>
      <c r="AW37" s="145">
        <f t="shared" si="28"/>
        <v>-2.1800000000000002</v>
      </c>
      <c r="AX37" s="145">
        <f t="shared" si="29"/>
        <v>-1</v>
      </c>
      <c r="AY37" s="145">
        <f t="shared" si="30"/>
        <v>-0.9</v>
      </c>
      <c r="AZ37" s="145">
        <f t="shared" si="31"/>
        <v>-0.5</v>
      </c>
      <c r="BA37" s="145">
        <f t="shared" si="32"/>
        <v>-0.7</v>
      </c>
      <c r="BB37" s="287">
        <f t="shared" ca="1" si="6"/>
        <v>-2.4184255536000006</v>
      </c>
      <c r="BC37" s="287">
        <f t="shared" ca="1" si="7"/>
        <v>-1.1093695200000002</v>
      </c>
      <c r="BD37" s="287">
        <f t="shared" ca="1" si="8"/>
        <v>-0.99843256800000024</v>
      </c>
      <c r="BE37" s="287">
        <f t="shared" ca="1" si="9"/>
        <v>-0.55468476000000011</v>
      </c>
      <c r="BF37" s="287">
        <f t="shared" ca="1" si="10"/>
        <v>-0.77655866400000007</v>
      </c>
      <c r="BG37" s="877"/>
      <c r="BH37" s="45"/>
      <c r="BI37" s="45"/>
    </row>
    <row r="38" spans="1:61" s="252" customFormat="1" ht="17.100000000000001" customHeight="1">
      <c r="A38" s="13"/>
      <c r="B38" s="119"/>
      <c r="C38" s="886"/>
      <c r="D38" s="887"/>
      <c r="E38" s="755" t="s">
        <v>393</v>
      </c>
      <c r="F38" s="755"/>
      <c r="G38" s="755"/>
      <c r="H38" s="768" t="str">
        <f ca="1">FIXED(AW7,3)</f>
        <v>0.738</v>
      </c>
      <c r="I38" s="768"/>
      <c r="J38" s="768" t="str">
        <f ca="1">FIXED(AX7,3)</f>
        <v>0.701</v>
      </c>
      <c r="K38" s="768"/>
      <c r="L38" s="768" t="str">
        <f ca="1">FIXED(AY7,3)</f>
        <v>0.664</v>
      </c>
      <c r="M38" s="768"/>
      <c r="N38" s="768" t="str">
        <f ca="1">IF(AND(AH4=2,AI11&gt;=M14),"-",FIXED(AZ7,3))</f>
        <v>0.627</v>
      </c>
      <c r="O38" s="768"/>
      <c r="P38" s="768" t="str">
        <f>IF($AH$4&lt;&gt;1,"-",FIXED(BA7,3))</f>
        <v>-</v>
      </c>
      <c r="Q38" s="768"/>
      <c r="R38" s="828" t="str">
        <f>"case II =   "&amp;FIXED(Z15,3)</f>
        <v>case II =   -0.300</v>
      </c>
      <c r="S38" s="768"/>
      <c r="T38" s="768"/>
      <c r="U38" s="768"/>
      <c r="V38" s="797"/>
      <c r="W38" s="23"/>
      <c r="X38" s="23"/>
      <c r="Y38" s="23"/>
      <c r="Z38" s="23"/>
      <c r="AA38" s="23"/>
      <c r="AB38" s="120"/>
      <c r="AC38" s="13"/>
      <c r="AD38" s="43"/>
      <c r="AE38" s="43"/>
      <c r="AF38" s="43"/>
      <c r="AG38" s="43"/>
      <c r="AH38" s="45">
        <v>-21</v>
      </c>
      <c r="AI38" s="45" t="b">
        <f t="shared" si="0"/>
        <v>0</v>
      </c>
      <c r="AJ38" s="45" t="b">
        <f t="shared" si="11"/>
        <v>0</v>
      </c>
      <c r="AK38" s="281" t="b">
        <f t="shared" si="12"/>
        <v>0</v>
      </c>
      <c r="AL38" s="145">
        <f t="shared" si="23"/>
        <v>-2.2400000000000002</v>
      </c>
      <c r="AM38" s="145">
        <f t="shared" si="24"/>
        <v>-1</v>
      </c>
      <c r="AN38" s="145">
        <f t="shared" si="25"/>
        <v>-0.9</v>
      </c>
      <c r="AO38" s="145">
        <f t="shared" si="26"/>
        <v>-0.5</v>
      </c>
      <c r="AP38" s="145">
        <f t="shared" si="27"/>
        <v>-0.7</v>
      </c>
      <c r="AQ38" s="287">
        <f t="shared" ca="1" si="1"/>
        <v>-2.4849877248000007</v>
      </c>
      <c r="AR38" s="287">
        <f t="shared" ca="1" si="2"/>
        <v>-1.1093695200000002</v>
      </c>
      <c r="AS38" s="287">
        <f t="shared" ca="1" si="3"/>
        <v>-0.99843256800000024</v>
      </c>
      <c r="AT38" s="287">
        <f t="shared" ca="1" si="4"/>
        <v>-0.55468476000000011</v>
      </c>
      <c r="AU38" s="287">
        <f t="shared" ca="1" si="5"/>
        <v>-0.77655866400000007</v>
      </c>
      <c r="AV38" s="877"/>
      <c r="AW38" s="145">
        <f t="shared" si="28"/>
        <v>-2.2400000000000002</v>
      </c>
      <c r="AX38" s="145">
        <f t="shared" si="29"/>
        <v>-1</v>
      </c>
      <c r="AY38" s="145">
        <f t="shared" si="30"/>
        <v>-0.9</v>
      </c>
      <c r="AZ38" s="145">
        <f t="shared" si="31"/>
        <v>-0.5</v>
      </c>
      <c r="BA38" s="145">
        <f t="shared" si="32"/>
        <v>-0.7</v>
      </c>
      <c r="BB38" s="287">
        <f t="shared" ca="1" si="6"/>
        <v>-2.4849877248000007</v>
      </c>
      <c r="BC38" s="287">
        <f t="shared" ca="1" si="7"/>
        <v>-1.1093695200000002</v>
      </c>
      <c r="BD38" s="287">
        <f t="shared" ca="1" si="8"/>
        <v>-0.99843256800000024</v>
      </c>
      <c r="BE38" s="287">
        <f t="shared" ca="1" si="9"/>
        <v>-0.55468476000000011</v>
      </c>
      <c r="BF38" s="287">
        <f t="shared" ca="1" si="10"/>
        <v>-0.77655866400000007</v>
      </c>
      <c r="BG38" s="877"/>
      <c r="BH38" s="45"/>
      <c r="BI38" s="45"/>
    </row>
    <row r="39" spans="1:61" s="252" customFormat="1" ht="17.100000000000001" customHeight="1">
      <c r="A39" s="13"/>
      <c r="B39" s="119"/>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120"/>
      <c r="AC39" s="13"/>
      <c r="AD39" s="43"/>
      <c r="AE39" s="43"/>
      <c r="AF39" s="43"/>
      <c r="AG39" s="43"/>
      <c r="AH39" s="45">
        <v>-20</v>
      </c>
      <c r="AI39" s="45" t="b">
        <f t="shared" si="0"/>
        <v>0</v>
      </c>
      <c r="AJ39" s="45" t="b">
        <f t="shared" si="11"/>
        <v>0</v>
      </c>
      <c r="AK39" s="281" t="b">
        <f t="shared" si="12"/>
        <v>0</v>
      </c>
      <c r="AL39" s="145">
        <f t="shared" si="23"/>
        <v>-2.3000000000000003</v>
      </c>
      <c r="AM39" s="145">
        <f t="shared" si="24"/>
        <v>-1</v>
      </c>
      <c r="AN39" s="145">
        <f t="shared" si="25"/>
        <v>-0.9</v>
      </c>
      <c r="AO39" s="145">
        <f t="shared" si="26"/>
        <v>-0.5</v>
      </c>
      <c r="AP39" s="145">
        <f t="shared" si="27"/>
        <v>-0.7</v>
      </c>
      <c r="AQ39" s="287">
        <f t="shared" ca="1" si="1"/>
        <v>-2.5515498960000009</v>
      </c>
      <c r="AR39" s="287">
        <f t="shared" ca="1" si="2"/>
        <v>-1.1093695200000002</v>
      </c>
      <c r="AS39" s="287">
        <f t="shared" ca="1" si="3"/>
        <v>-0.99843256800000024</v>
      </c>
      <c r="AT39" s="287">
        <f t="shared" ca="1" si="4"/>
        <v>-0.55468476000000011</v>
      </c>
      <c r="AU39" s="287">
        <f t="shared" ca="1" si="5"/>
        <v>-0.77655866400000007</v>
      </c>
      <c r="AV39" s="877"/>
      <c r="AW39" s="145">
        <f t="shared" si="28"/>
        <v>-2.3000000000000003</v>
      </c>
      <c r="AX39" s="145">
        <f t="shared" si="29"/>
        <v>-1</v>
      </c>
      <c r="AY39" s="145">
        <f t="shared" si="30"/>
        <v>-0.9</v>
      </c>
      <c r="AZ39" s="145">
        <f t="shared" si="31"/>
        <v>-0.5</v>
      </c>
      <c r="BA39" s="145">
        <f t="shared" si="32"/>
        <v>-0.7</v>
      </c>
      <c r="BB39" s="287">
        <f t="shared" ca="1" si="6"/>
        <v>-2.5515498960000009</v>
      </c>
      <c r="BC39" s="287">
        <f t="shared" ca="1" si="7"/>
        <v>-1.1093695200000002</v>
      </c>
      <c r="BD39" s="287">
        <f t="shared" ca="1" si="8"/>
        <v>-0.99843256800000024</v>
      </c>
      <c r="BE39" s="287">
        <f t="shared" ca="1" si="9"/>
        <v>-0.55468476000000011</v>
      </c>
      <c r="BF39" s="287">
        <f t="shared" ca="1" si="10"/>
        <v>-0.77655866400000007</v>
      </c>
      <c r="BG39" s="877"/>
      <c r="BH39" s="45"/>
      <c r="BI39" s="45"/>
    </row>
    <row r="40" spans="1:61" s="252" customFormat="1" ht="17.100000000000001" customHeight="1">
      <c r="A40" s="13"/>
      <c r="B40" s="119"/>
      <c r="C40" s="573" t="s">
        <v>458</v>
      </c>
      <c r="D40" s="574"/>
      <c r="E40" s="574"/>
      <c r="F40" s="574"/>
      <c r="G40" s="574"/>
      <c r="H40" s="574"/>
      <c r="I40" s="574"/>
      <c r="J40" s="574"/>
      <c r="K40" s="574"/>
      <c r="L40" s="574"/>
      <c r="M40" s="574"/>
      <c r="N40" s="574"/>
      <c r="O40" s="574"/>
      <c r="P40" s="574"/>
      <c r="Q40" s="574"/>
      <c r="R40" s="574"/>
      <c r="S40" s="574"/>
      <c r="T40" s="574"/>
      <c r="U40" s="574"/>
      <c r="V40" s="574"/>
      <c r="W40" s="574"/>
      <c r="X40" s="574"/>
      <c r="Y40" s="574"/>
      <c r="Z40" s="574"/>
      <c r="AA40" s="575"/>
      <c r="AB40" s="120"/>
      <c r="AC40" s="13"/>
      <c r="AD40" s="43"/>
      <c r="AE40" s="43"/>
      <c r="AF40" s="43"/>
      <c r="AG40" s="43"/>
      <c r="AH40" s="45">
        <v>-19</v>
      </c>
      <c r="AI40" s="45" t="b">
        <f t="shared" si="0"/>
        <v>0</v>
      </c>
      <c r="AJ40" s="45" t="b">
        <f t="shared" si="11"/>
        <v>0</v>
      </c>
      <c r="AK40" s="281" t="b">
        <f t="shared" si="12"/>
        <v>0</v>
      </c>
      <c r="AL40" s="145">
        <f t="shared" si="23"/>
        <v>-2.3600000000000003</v>
      </c>
      <c r="AM40" s="145">
        <f t="shared" si="24"/>
        <v>-1</v>
      </c>
      <c r="AN40" s="145">
        <f t="shared" si="25"/>
        <v>-0.9</v>
      </c>
      <c r="AO40" s="145">
        <f t="shared" si="26"/>
        <v>-0.5</v>
      </c>
      <c r="AP40" s="145">
        <f t="shared" si="27"/>
        <v>-0.7</v>
      </c>
      <c r="AQ40" s="287">
        <f t="shared" ca="1" si="1"/>
        <v>-2.6181120672000007</v>
      </c>
      <c r="AR40" s="287">
        <f t="shared" ca="1" si="2"/>
        <v>-1.1093695200000002</v>
      </c>
      <c r="AS40" s="287">
        <f t="shared" ca="1" si="3"/>
        <v>-0.99843256800000024</v>
      </c>
      <c r="AT40" s="287">
        <f t="shared" ca="1" si="4"/>
        <v>-0.55468476000000011</v>
      </c>
      <c r="AU40" s="287">
        <f t="shared" ca="1" si="5"/>
        <v>-0.77655866400000007</v>
      </c>
      <c r="AV40" s="877"/>
      <c r="AW40" s="145">
        <f t="shared" si="28"/>
        <v>-2.3600000000000003</v>
      </c>
      <c r="AX40" s="145">
        <f t="shared" si="29"/>
        <v>-1</v>
      </c>
      <c r="AY40" s="145">
        <f t="shared" si="30"/>
        <v>-0.9</v>
      </c>
      <c r="AZ40" s="145">
        <f t="shared" si="31"/>
        <v>-0.5</v>
      </c>
      <c r="BA40" s="145">
        <f t="shared" si="32"/>
        <v>-0.7</v>
      </c>
      <c r="BB40" s="287">
        <f t="shared" ca="1" si="6"/>
        <v>-2.6181120672000007</v>
      </c>
      <c r="BC40" s="287">
        <f t="shared" ca="1" si="7"/>
        <v>-1.1093695200000002</v>
      </c>
      <c r="BD40" s="287">
        <f t="shared" ca="1" si="8"/>
        <v>-0.99843256800000024</v>
      </c>
      <c r="BE40" s="287">
        <f t="shared" ca="1" si="9"/>
        <v>-0.55468476000000011</v>
      </c>
      <c r="BF40" s="287">
        <f t="shared" ca="1" si="10"/>
        <v>-0.77655866400000007</v>
      </c>
      <c r="BG40" s="877"/>
      <c r="BH40" s="45"/>
      <c r="BI40" s="45"/>
    </row>
    <row r="41" spans="1:61" s="252" customFormat="1" ht="17.100000000000001" customHeight="1">
      <c r="A41" s="13"/>
      <c r="B41" s="119"/>
      <c r="C41" s="35"/>
      <c r="D41" s="36"/>
      <c r="E41" s="36"/>
      <c r="F41" s="36"/>
      <c r="G41" s="36"/>
      <c r="H41" s="36"/>
      <c r="I41" s="36"/>
      <c r="J41" s="36"/>
      <c r="K41" s="36"/>
      <c r="L41" s="36"/>
      <c r="M41" s="36"/>
      <c r="N41" s="36"/>
      <c r="O41" s="36"/>
      <c r="P41" s="36"/>
      <c r="Q41" s="36"/>
      <c r="R41" s="36"/>
      <c r="S41" s="36"/>
      <c r="T41" s="36"/>
      <c r="U41" s="36"/>
      <c r="V41" s="36"/>
      <c r="W41" s="36"/>
      <c r="X41" s="36"/>
      <c r="Y41" s="36"/>
      <c r="Z41" s="36"/>
      <c r="AA41" s="37"/>
      <c r="AB41" s="120"/>
      <c r="AC41" s="13"/>
      <c r="AD41" s="43"/>
      <c r="AE41" s="43"/>
      <c r="AF41" s="43"/>
      <c r="AG41" s="43"/>
      <c r="AH41" s="45">
        <v>-18</v>
      </c>
      <c r="AI41" s="45" t="b">
        <f t="shared" si="0"/>
        <v>0</v>
      </c>
      <c r="AJ41" s="45" t="b">
        <f t="shared" si="11"/>
        <v>0</v>
      </c>
      <c r="AK41" s="281" t="b">
        <f t="shared" si="12"/>
        <v>0</v>
      </c>
      <c r="AL41" s="145">
        <f t="shared" si="23"/>
        <v>-2.4200000000000004</v>
      </c>
      <c r="AM41" s="145">
        <f t="shared" si="24"/>
        <v>-1</v>
      </c>
      <c r="AN41" s="145">
        <f t="shared" si="25"/>
        <v>-0.9</v>
      </c>
      <c r="AO41" s="145">
        <f t="shared" si="26"/>
        <v>-0.5</v>
      </c>
      <c r="AP41" s="145">
        <f t="shared" si="27"/>
        <v>-0.7</v>
      </c>
      <c r="AQ41" s="287">
        <f t="shared" ca="1" si="1"/>
        <v>-2.6846742384000009</v>
      </c>
      <c r="AR41" s="287">
        <f t="shared" ca="1" si="2"/>
        <v>-1.1093695200000002</v>
      </c>
      <c r="AS41" s="287">
        <f t="shared" ca="1" si="3"/>
        <v>-0.99843256800000024</v>
      </c>
      <c r="AT41" s="287">
        <f t="shared" ca="1" si="4"/>
        <v>-0.55468476000000011</v>
      </c>
      <c r="AU41" s="287">
        <f t="shared" ca="1" si="5"/>
        <v>-0.77655866400000007</v>
      </c>
      <c r="AV41" s="877"/>
      <c r="AW41" s="145">
        <f t="shared" si="28"/>
        <v>-2.4200000000000004</v>
      </c>
      <c r="AX41" s="145">
        <f t="shared" si="29"/>
        <v>-1</v>
      </c>
      <c r="AY41" s="145">
        <f t="shared" si="30"/>
        <v>-0.9</v>
      </c>
      <c r="AZ41" s="145">
        <f t="shared" si="31"/>
        <v>-0.5</v>
      </c>
      <c r="BA41" s="145">
        <f t="shared" si="32"/>
        <v>-0.7</v>
      </c>
      <c r="BB41" s="287">
        <f t="shared" ca="1" si="6"/>
        <v>-2.6846742384000009</v>
      </c>
      <c r="BC41" s="287">
        <f t="shared" ca="1" si="7"/>
        <v>-1.1093695200000002</v>
      </c>
      <c r="BD41" s="287">
        <f t="shared" ca="1" si="8"/>
        <v>-0.99843256800000024</v>
      </c>
      <c r="BE41" s="287">
        <f t="shared" ca="1" si="9"/>
        <v>-0.55468476000000011</v>
      </c>
      <c r="BF41" s="287">
        <f t="shared" ca="1" si="10"/>
        <v>-0.77655866400000007</v>
      </c>
      <c r="BG41" s="877"/>
      <c r="BH41" s="45"/>
      <c r="BI41" s="45"/>
    </row>
    <row r="42" spans="1:61" s="252" customFormat="1" ht="17.100000000000001" customHeight="1" thickBot="1">
      <c r="A42" s="13"/>
      <c r="B42" s="119"/>
      <c r="C42" s="25"/>
      <c r="D42" s="26"/>
      <c r="E42" s="26"/>
      <c r="F42" s="26"/>
      <c r="G42" s="26"/>
      <c r="H42" s="829" t="str">
        <f>"d1 = "&amp;FIXED(AI10/10,2)&amp;"m"</f>
        <v>d1 = 8.00m</v>
      </c>
      <c r="I42" s="829"/>
      <c r="J42" s="829"/>
      <c r="K42" s="829"/>
      <c r="L42" s="829" t="str">
        <f>"d2 = "&amp;MAX(0,FIXED(IF(AH4=1,M14/2-AI10/10,MIN(M14,AI11)-AI10/10),2))&amp;"m"</f>
        <v>d2 = 32m</v>
      </c>
      <c r="M42" s="829"/>
      <c r="N42" s="829"/>
      <c r="O42" s="829"/>
      <c r="P42" s="829"/>
      <c r="Q42" s="829"/>
      <c r="R42" s="830" t="str">
        <f>IF(AH4=2,IF(OR($AH$4&lt;&gt;2,AI11&gt;=M14),"","d3 = "&amp;FIXED(M14-AI11,2)&amp;"m"),"d3 = "&amp;FIXED(AI10/10,2)&amp;"m                           d4 = "&amp;MAX(0,FIXED(IF(AH4=1,M14/2-AI10/10,MIN(M14,AI11)-AI10/10),2))&amp;"m")</f>
        <v>d3 = 10.00m</v>
      </c>
      <c r="S42" s="830"/>
      <c r="T42" s="830"/>
      <c r="U42" s="830"/>
      <c r="V42" s="830"/>
      <c r="W42" s="830"/>
      <c r="X42" s="830"/>
      <c r="Y42" s="830"/>
      <c r="Z42" s="830"/>
      <c r="AA42" s="38"/>
      <c r="AB42" s="120"/>
      <c r="AC42" s="13"/>
      <c r="AD42" s="43"/>
      <c r="AE42" s="43"/>
      <c r="AF42" s="43"/>
      <c r="AG42" s="43"/>
      <c r="AH42" s="45">
        <v>-17</v>
      </c>
      <c r="AI42" s="45" t="b">
        <f t="shared" si="0"/>
        <v>0</v>
      </c>
      <c r="AJ42" s="45" t="b">
        <f t="shared" si="11"/>
        <v>0</v>
      </c>
      <c r="AK42" s="281" t="b">
        <f t="shared" si="12"/>
        <v>0</v>
      </c>
      <c r="AL42" s="145">
        <f t="shared" si="23"/>
        <v>-2.4800000000000004</v>
      </c>
      <c r="AM42" s="145">
        <f t="shared" si="24"/>
        <v>-1</v>
      </c>
      <c r="AN42" s="145">
        <f t="shared" si="25"/>
        <v>-0.9</v>
      </c>
      <c r="AO42" s="145">
        <f t="shared" si="26"/>
        <v>-0.5</v>
      </c>
      <c r="AP42" s="145">
        <f t="shared" si="27"/>
        <v>-0.7</v>
      </c>
      <c r="AQ42" s="287">
        <f t="shared" ca="1" si="1"/>
        <v>-2.751236409600001</v>
      </c>
      <c r="AR42" s="287">
        <f t="shared" ca="1" si="2"/>
        <v>-1.1093695200000002</v>
      </c>
      <c r="AS42" s="287">
        <f t="shared" ca="1" si="3"/>
        <v>-0.99843256800000024</v>
      </c>
      <c r="AT42" s="287">
        <f t="shared" ca="1" si="4"/>
        <v>-0.55468476000000011</v>
      </c>
      <c r="AU42" s="287">
        <f t="shared" ca="1" si="5"/>
        <v>-0.77655866400000007</v>
      </c>
      <c r="AV42" s="877"/>
      <c r="AW42" s="145">
        <f t="shared" si="28"/>
        <v>-2.4800000000000004</v>
      </c>
      <c r="AX42" s="145">
        <f t="shared" si="29"/>
        <v>-1</v>
      </c>
      <c r="AY42" s="145">
        <f t="shared" si="30"/>
        <v>-0.9</v>
      </c>
      <c r="AZ42" s="145">
        <f t="shared" si="31"/>
        <v>-0.5</v>
      </c>
      <c r="BA42" s="145">
        <f t="shared" si="32"/>
        <v>-0.7</v>
      </c>
      <c r="BB42" s="287">
        <f t="shared" ca="1" si="6"/>
        <v>-2.751236409600001</v>
      </c>
      <c r="BC42" s="287">
        <f t="shared" ca="1" si="7"/>
        <v>-1.1093695200000002</v>
      </c>
      <c r="BD42" s="287">
        <f t="shared" ca="1" si="8"/>
        <v>-0.99843256800000024</v>
      </c>
      <c r="BE42" s="287">
        <f t="shared" ca="1" si="9"/>
        <v>-0.55468476000000011</v>
      </c>
      <c r="BF42" s="287">
        <f t="shared" ca="1" si="10"/>
        <v>-0.77655866400000007</v>
      </c>
      <c r="BG42" s="877"/>
      <c r="BH42" s="45"/>
      <c r="BI42" s="45"/>
    </row>
    <row r="43" spans="1:61" s="252" customFormat="1" ht="17.100000000000001" customHeight="1">
      <c r="A43" s="13"/>
      <c r="B43" s="119"/>
      <c r="C43" s="25"/>
      <c r="D43" s="26"/>
      <c r="E43" s="26"/>
      <c r="F43" s="26"/>
      <c r="G43" s="825" t="str">
        <f>IF(AH4=1,"b3 = ","b4 = ")&amp;FIXED(+AI10/4,2)&amp;"m"</f>
        <v>b4 = 20.00m</v>
      </c>
      <c r="H43" s="721" t="s">
        <v>425</v>
      </c>
      <c r="I43" s="722"/>
      <c r="J43" s="722"/>
      <c r="K43" s="723"/>
      <c r="L43" s="890" t="str">
        <f>IF(AH4=2,"Zone H","")</f>
        <v>Zone H</v>
      </c>
      <c r="M43" s="891"/>
      <c r="N43" s="891"/>
      <c r="O43" s="891"/>
      <c r="P43" s="891"/>
      <c r="Q43" s="915"/>
      <c r="R43" s="896"/>
      <c r="S43" s="896"/>
      <c r="T43" s="896"/>
      <c r="U43" s="897"/>
      <c r="V43" s="904"/>
      <c r="W43" s="904"/>
      <c r="X43" s="904"/>
      <c r="Y43" s="904"/>
      <c r="Z43" s="905"/>
      <c r="AA43" s="38"/>
      <c r="AB43" s="120"/>
      <c r="AC43" s="13"/>
      <c r="AD43" s="43"/>
      <c r="AE43" s="43"/>
      <c r="AF43" s="43"/>
      <c r="AG43" s="43"/>
      <c r="AH43" s="45">
        <v>-16</v>
      </c>
      <c r="AI43" s="45" t="b">
        <f t="shared" si="0"/>
        <v>0</v>
      </c>
      <c r="AJ43" s="45" t="b">
        <f t="shared" si="11"/>
        <v>0</v>
      </c>
      <c r="AK43" s="281" t="b">
        <f t="shared" si="12"/>
        <v>0</v>
      </c>
      <c r="AL43" s="145">
        <f t="shared" si="23"/>
        <v>-2.5400000000000005</v>
      </c>
      <c r="AM43" s="145">
        <f t="shared" si="24"/>
        <v>-1</v>
      </c>
      <c r="AN43" s="145">
        <f t="shared" si="25"/>
        <v>-0.9</v>
      </c>
      <c r="AO43" s="145">
        <f t="shared" si="26"/>
        <v>-0.5</v>
      </c>
      <c r="AP43" s="145">
        <f t="shared" si="27"/>
        <v>-0.7</v>
      </c>
      <c r="AQ43" s="287">
        <f t="shared" ca="1" si="1"/>
        <v>-2.8177985808000012</v>
      </c>
      <c r="AR43" s="287">
        <f t="shared" ca="1" si="2"/>
        <v>-1.1093695200000002</v>
      </c>
      <c r="AS43" s="287">
        <f t="shared" ca="1" si="3"/>
        <v>-0.99843256800000024</v>
      </c>
      <c r="AT43" s="287">
        <f t="shared" ca="1" si="4"/>
        <v>-0.55468476000000011</v>
      </c>
      <c r="AU43" s="287">
        <f t="shared" ca="1" si="5"/>
        <v>-0.77655866400000007</v>
      </c>
      <c r="AV43" s="877"/>
      <c r="AW43" s="145">
        <f t="shared" si="28"/>
        <v>-2.5400000000000005</v>
      </c>
      <c r="AX43" s="145">
        <f t="shared" si="29"/>
        <v>-1</v>
      </c>
      <c r="AY43" s="145">
        <f t="shared" si="30"/>
        <v>-0.9</v>
      </c>
      <c r="AZ43" s="145">
        <f t="shared" si="31"/>
        <v>-0.5</v>
      </c>
      <c r="BA43" s="145">
        <f t="shared" si="32"/>
        <v>-0.7</v>
      </c>
      <c r="BB43" s="287">
        <f t="shared" ca="1" si="6"/>
        <v>-2.8177985808000012</v>
      </c>
      <c r="BC43" s="287">
        <f t="shared" ca="1" si="7"/>
        <v>-1.1093695200000002</v>
      </c>
      <c r="BD43" s="287">
        <f t="shared" ca="1" si="8"/>
        <v>-0.99843256800000024</v>
      </c>
      <c r="BE43" s="287">
        <f t="shared" ca="1" si="9"/>
        <v>-0.55468476000000011</v>
      </c>
      <c r="BF43" s="287">
        <f t="shared" ca="1" si="10"/>
        <v>-0.77655866400000007</v>
      </c>
      <c r="BG43" s="877"/>
      <c r="BH43" s="45"/>
      <c r="BI43" s="45"/>
    </row>
    <row r="44" spans="1:61" s="252" customFormat="1" ht="17.100000000000001" customHeight="1">
      <c r="A44" s="13"/>
      <c r="B44" s="119"/>
      <c r="C44" s="25"/>
      <c r="D44" s="26"/>
      <c r="E44" s="26"/>
      <c r="F44" s="26"/>
      <c r="G44" s="825"/>
      <c r="H44" s="927" t="str">
        <f ca="1">R23&amp;" kN/m2"</f>
        <v>-1.897 kN/m2</v>
      </c>
      <c r="I44" s="928"/>
      <c r="J44" s="928"/>
      <c r="K44" s="929"/>
      <c r="L44" s="854"/>
      <c r="M44" s="855"/>
      <c r="N44" s="855"/>
      <c r="O44" s="855"/>
      <c r="P44" s="855"/>
      <c r="Q44" s="913"/>
      <c r="R44" s="898"/>
      <c r="S44" s="898"/>
      <c r="T44" s="898"/>
      <c r="U44" s="899"/>
      <c r="V44" s="846"/>
      <c r="W44" s="846"/>
      <c r="X44" s="846"/>
      <c r="Y44" s="846"/>
      <c r="Z44" s="847"/>
      <c r="AA44" s="38"/>
      <c r="AB44" s="120"/>
      <c r="AC44" s="13"/>
      <c r="AD44" s="43"/>
      <c r="AE44" s="43"/>
      <c r="AF44" s="43"/>
      <c r="AG44" s="43"/>
      <c r="AH44" s="276">
        <v>-15</v>
      </c>
      <c r="AI44" s="45" t="b">
        <f t="shared" si="0"/>
        <v>0</v>
      </c>
      <c r="AJ44" s="45" t="b">
        <f t="shared" si="11"/>
        <v>0</v>
      </c>
      <c r="AK44" s="281" t="b">
        <f t="shared" si="12"/>
        <v>0</v>
      </c>
      <c r="AL44" s="287">
        <v>-2.6</v>
      </c>
      <c r="AM44" s="287">
        <v>-1</v>
      </c>
      <c r="AN44" s="287">
        <v>-0.9</v>
      </c>
      <c r="AO44" s="287">
        <v>-0.5</v>
      </c>
      <c r="AP44" s="287">
        <v>-0.7</v>
      </c>
      <c r="AQ44" s="287">
        <f t="shared" ca="1" si="1"/>
        <v>-2.8843607520000005</v>
      </c>
      <c r="AR44" s="287">
        <f t="shared" ca="1" si="2"/>
        <v>-1.1093695200000002</v>
      </c>
      <c r="AS44" s="287">
        <f t="shared" ca="1" si="3"/>
        <v>-0.99843256800000024</v>
      </c>
      <c r="AT44" s="287">
        <f t="shared" ca="1" si="4"/>
        <v>-0.55468476000000011</v>
      </c>
      <c r="AU44" s="287">
        <f t="shared" ca="1" si="5"/>
        <v>-0.77655866400000007</v>
      </c>
      <c r="AV44" s="877"/>
      <c r="AW44" s="287">
        <v>-2.6</v>
      </c>
      <c r="AX44" s="287">
        <v>-1</v>
      </c>
      <c r="AY44" s="287">
        <v>-0.9</v>
      </c>
      <c r="AZ44" s="287">
        <v>-0.5</v>
      </c>
      <c r="BA44" s="287">
        <v>-0.7</v>
      </c>
      <c r="BB44" s="287">
        <f t="shared" ca="1" si="6"/>
        <v>-2.8843607520000005</v>
      </c>
      <c r="BC44" s="287">
        <f t="shared" ca="1" si="7"/>
        <v>-1.1093695200000002</v>
      </c>
      <c r="BD44" s="287">
        <f t="shared" ca="1" si="8"/>
        <v>-0.99843256800000024</v>
      </c>
      <c r="BE44" s="287">
        <f t="shared" ca="1" si="9"/>
        <v>-0.55468476000000011</v>
      </c>
      <c r="BF44" s="287">
        <f t="shared" ca="1" si="10"/>
        <v>-0.77655866400000007</v>
      </c>
      <c r="BG44" s="877"/>
      <c r="BH44" s="45"/>
      <c r="BI44" s="45"/>
    </row>
    <row r="45" spans="1:61" s="252" customFormat="1" ht="17.100000000000001" customHeight="1">
      <c r="A45" s="13"/>
      <c r="B45" s="119"/>
      <c r="C45" s="25"/>
      <c r="D45" s="26"/>
      <c r="E45" s="26"/>
      <c r="F45" s="26"/>
      <c r="G45" s="825"/>
      <c r="H45" s="845" t="str">
        <f ca="1">R24&amp;" kN/m2"</f>
        <v>0.738 kN/m2</v>
      </c>
      <c r="I45" s="846"/>
      <c r="J45" s="846"/>
      <c r="K45" s="847"/>
      <c r="L45" s="854"/>
      <c r="M45" s="855"/>
      <c r="N45" s="855"/>
      <c r="O45" s="855"/>
      <c r="P45" s="855"/>
      <c r="Q45" s="913"/>
      <c r="R45" s="156"/>
      <c r="S45" s="156"/>
      <c r="T45" s="156"/>
      <c r="U45" s="157"/>
      <c r="V45" s="425" t="str">
        <f>IF(OR($AH$4&lt;&gt;2,AI11&gt;=M14),"","Zone I")</f>
        <v>Zone I</v>
      </c>
      <c r="W45" s="158"/>
      <c r="X45" s="158"/>
      <c r="Y45" s="158"/>
      <c r="Z45" s="159"/>
      <c r="AA45" s="38"/>
      <c r="AB45" s="120"/>
      <c r="AC45" s="13"/>
      <c r="AD45" s="43"/>
      <c r="AE45" s="43"/>
      <c r="AF45" s="43"/>
      <c r="AG45" s="43"/>
      <c r="AH45" s="45">
        <v>-14</v>
      </c>
      <c r="AI45" s="45" t="b">
        <f t="shared" si="0"/>
        <v>0</v>
      </c>
      <c r="AJ45" s="45" t="b">
        <f t="shared" si="11"/>
        <v>0</v>
      </c>
      <c r="AK45" s="281" t="b">
        <f t="shared" si="12"/>
        <v>0</v>
      </c>
      <c r="AL45" s="145">
        <f>+ABS($AL$44-$AL$54)/10+AL44</f>
        <v>-2.58</v>
      </c>
      <c r="AM45" s="145">
        <f>0-(ABS($AM$44-$AM$54)/10-AM44)</f>
        <v>-1.02</v>
      </c>
      <c r="AN45" s="145">
        <f>+ABS($AN$44-$AN$54)/10+AN44</f>
        <v>-0.89</v>
      </c>
      <c r="AO45" s="145">
        <f>+ABS($AO$44-$AO$54)/10+AO44</f>
        <v>-0.5</v>
      </c>
      <c r="AP45" s="145">
        <f>+ABS($AP$44-$AP$54)/10+AP44</f>
        <v>-0.67999999999999994</v>
      </c>
      <c r="AQ45" s="287">
        <f t="shared" ca="1" si="1"/>
        <v>-2.8621733616000005</v>
      </c>
      <c r="AR45" s="287">
        <f t="shared" ca="1" si="2"/>
        <v>-1.1315569104000003</v>
      </c>
      <c r="AS45" s="287">
        <f t="shared" ca="1" si="3"/>
        <v>-0.98733887280000021</v>
      </c>
      <c r="AT45" s="287">
        <f t="shared" ca="1" si="4"/>
        <v>-0.55468476000000011</v>
      </c>
      <c r="AU45" s="287">
        <f t="shared" ca="1" si="5"/>
        <v>-0.75437127360000011</v>
      </c>
      <c r="AV45" s="877"/>
      <c r="AW45" s="145">
        <f>+ABS($AL$44-$AL$54)/10+AW44</f>
        <v>-2.58</v>
      </c>
      <c r="AX45" s="145">
        <f>0-(ABS($AM$44-$AM$54)/10-AX44)</f>
        <v>-1.02</v>
      </c>
      <c r="AY45" s="145">
        <f>+ABS($AN$44-$AN$54)/10+AY44</f>
        <v>-0.89</v>
      </c>
      <c r="AZ45" s="145">
        <f>+ABS($AO$44-$AO$54)/10+AZ44</f>
        <v>-0.5</v>
      </c>
      <c r="BA45" s="145">
        <f>+ABS($AP$44-$AP$54)/10+BA44</f>
        <v>-0.67999999999999994</v>
      </c>
      <c r="BB45" s="287">
        <f t="shared" ca="1" si="6"/>
        <v>-2.8621733616000005</v>
      </c>
      <c r="BC45" s="287">
        <f t="shared" ca="1" si="7"/>
        <v>-1.1315569104000003</v>
      </c>
      <c r="BD45" s="287">
        <f t="shared" ca="1" si="8"/>
        <v>-0.98733887280000021</v>
      </c>
      <c r="BE45" s="287">
        <f t="shared" ca="1" si="9"/>
        <v>-0.55468476000000011</v>
      </c>
      <c r="BF45" s="287">
        <f t="shared" ca="1" si="10"/>
        <v>-0.75437127360000011</v>
      </c>
      <c r="BG45" s="877"/>
      <c r="BH45" s="45"/>
      <c r="BI45" s="45"/>
    </row>
    <row r="46" spans="1:61" s="252" customFormat="1" ht="17.100000000000001" customHeight="1" thickBot="1">
      <c r="A46" s="13"/>
      <c r="B46" s="119"/>
      <c r="C46" s="25"/>
      <c r="D46" s="26"/>
      <c r="E46" s="26"/>
      <c r="F46" s="26"/>
      <c r="G46" s="825"/>
      <c r="H46" s="848"/>
      <c r="I46" s="849"/>
      <c r="J46" s="849"/>
      <c r="K46" s="850"/>
      <c r="L46" s="916" t="str">
        <f ca="1">IF(AH4=1,"",V23&amp;" kN/m2")</f>
        <v>-0.936 kN/m2</v>
      </c>
      <c r="M46" s="894"/>
      <c r="N46" s="894"/>
      <c r="O46" s="894"/>
      <c r="P46" s="894"/>
      <c r="Q46" s="917"/>
      <c r="R46" s="156"/>
      <c r="S46" s="156"/>
      <c r="T46" s="156"/>
      <c r="U46" s="157"/>
      <c r="V46" s="424" t="str">
        <f ca="1">IF(OR($AH$4&lt;&gt;2,AI11&gt;=M14),"",X23&amp;" kN/m2")</f>
        <v>-0.751 kN/m2</v>
      </c>
      <c r="W46" s="158"/>
      <c r="X46" s="158"/>
      <c r="Y46" s="158"/>
      <c r="Z46" s="159"/>
      <c r="AA46" s="38"/>
      <c r="AB46" s="120"/>
      <c r="AC46" s="13"/>
      <c r="AD46" s="43"/>
      <c r="AE46" s="43"/>
      <c r="AF46" s="43"/>
      <c r="AG46" s="43"/>
      <c r="AH46" s="45">
        <v>-13</v>
      </c>
      <c r="AI46" s="45" t="b">
        <f t="shared" si="0"/>
        <v>0</v>
      </c>
      <c r="AJ46" s="45" t="b">
        <f t="shared" si="11"/>
        <v>0</v>
      </c>
      <c r="AK46" s="281" t="b">
        <f t="shared" si="12"/>
        <v>0</v>
      </c>
      <c r="AL46" s="145">
        <f t="shared" ref="AL46:AL53" si="33">+ABS($AL$44-$AL$54)/10+AL45</f>
        <v>-2.56</v>
      </c>
      <c r="AM46" s="145">
        <f t="shared" ref="AM46:AM53" si="34">0-(ABS($AM$44-$AM$54)/10-AM45)</f>
        <v>-1.04</v>
      </c>
      <c r="AN46" s="145">
        <f t="shared" ref="AN46:AN53" si="35">+ABS($AN$44-$AN$54)/10+AN45</f>
        <v>-0.88</v>
      </c>
      <c r="AO46" s="145">
        <f t="shared" ref="AO46:AO53" si="36">+ABS($AO$44-$AO$54)/10+AO45</f>
        <v>-0.5</v>
      </c>
      <c r="AP46" s="145">
        <f t="shared" ref="AP46:AP53" si="37">+ABS($AP$44-$AP$54)/10+AP45</f>
        <v>-0.65999999999999992</v>
      </c>
      <c r="AQ46" s="287">
        <f t="shared" ca="1" si="1"/>
        <v>-2.8399859712000004</v>
      </c>
      <c r="AR46" s="287">
        <f t="shared" ca="1" si="2"/>
        <v>-1.1537443008000003</v>
      </c>
      <c r="AS46" s="287">
        <f t="shared" ca="1" si="3"/>
        <v>-0.97624517760000018</v>
      </c>
      <c r="AT46" s="287">
        <f t="shared" ca="1" si="4"/>
        <v>-0.55468476000000011</v>
      </c>
      <c r="AU46" s="287">
        <f t="shared" ca="1" si="5"/>
        <v>-0.73218388320000005</v>
      </c>
      <c r="AV46" s="877"/>
      <c r="AW46" s="145">
        <f t="shared" ref="AW46:AW53" si="38">+ABS($AL$44-$AL$54)/10+AW45</f>
        <v>-2.56</v>
      </c>
      <c r="AX46" s="145">
        <f t="shared" ref="AX46:AX53" si="39">0-(ABS($AM$44-$AM$54)/10-AX45)</f>
        <v>-1.04</v>
      </c>
      <c r="AY46" s="145">
        <f t="shared" ref="AY46:AY53" si="40">+ABS($AN$44-$AN$54)/10+AY45</f>
        <v>-0.88</v>
      </c>
      <c r="AZ46" s="145">
        <f t="shared" ref="AZ46:AZ53" si="41">+ABS($AO$44-$AO$54)/10+AZ45</f>
        <v>-0.5</v>
      </c>
      <c r="BA46" s="145">
        <f t="shared" ref="BA46:BA53" si="42">+ABS($AP$44-$AP$54)/10+BA45</f>
        <v>-0.65999999999999992</v>
      </c>
      <c r="BB46" s="287">
        <f t="shared" ca="1" si="6"/>
        <v>-2.8399859712000004</v>
      </c>
      <c r="BC46" s="287">
        <f t="shared" ca="1" si="7"/>
        <v>-1.1537443008000003</v>
      </c>
      <c r="BD46" s="287">
        <f t="shared" ca="1" si="8"/>
        <v>-0.97624517760000018</v>
      </c>
      <c r="BE46" s="287">
        <f t="shared" ca="1" si="9"/>
        <v>-0.55468476000000011</v>
      </c>
      <c r="BF46" s="287">
        <f t="shared" ca="1" si="10"/>
        <v>-0.73218388320000005</v>
      </c>
      <c r="BG46" s="877"/>
      <c r="BH46" s="45"/>
      <c r="BI46" s="45"/>
    </row>
    <row r="47" spans="1:61" s="252" customFormat="1" ht="17.100000000000001" customHeight="1">
      <c r="A47" s="13"/>
      <c r="B47" s="119"/>
      <c r="C47" s="25"/>
      <c r="D47" s="26"/>
      <c r="E47" s="26"/>
      <c r="F47" s="26"/>
      <c r="G47" s="825" t="str">
        <f>IF(AH4=1,"b2 = "&amp;FIXED(M13-2*AI10/4,2)&amp;"m","b2 = "&amp;FIXED((M13-2*AI10/4)/2,2)&amp;"m   b3 = "&amp;FIXED((M13-2*AI10/4)/2,2)&amp;"m")</f>
        <v>b2 = 20.00m   b3 = 20.00m</v>
      </c>
      <c r="H47" s="890" t="str">
        <f>IF(AH4=1,"","Zone G")</f>
        <v>Zone G</v>
      </c>
      <c r="I47" s="891"/>
      <c r="J47" s="891"/>
      <c r="K47" s="892"/>
      <c r="L47" s="845" t="str">
        <f ca="1">IF(AH4=1,"",V24&amp;" kN/m2")</f>
        <v>0.664 kN/m2</v>
      </c>
      <c r="M47" s="846"/>
      <c r="N47" s="846"/>
      <c r="O47" s="846"/>
      <c r="P47" s="846"/>
      <c r="Q47" s="914"/>
      <c r="R47" s="156"/>
      <c r="S47" s="156"/>
      <c r="T47" s="156"/>
      <c r="U47" s="157"/>
      <c r="V47" s="424" t="str">
        <f ca="1">IF(OR($AH$4&lt;&gt;2,AI11&gt;=M14),"",X24&amp;" kN/m2")</f>
        <v>0.627 kN/m2</v>
      </c>
      <c r="W47" s="158"/>
      <c r="X47" s="158"/>
      <c r="Y47" s="158"/>
      <c r="Z47" s="159"/>
      <c r="AA47" s="38"/>
      <c r="AB47" s="120"/>
      <c r="AC47" s="13"/>
      <c r="AD47" s="43"/>
      <c r="AE47" s="43"/>
      <c r="AF47" s="43"/>
      <c r="AG47" s="43"/>
      <c r="AH47" s="45">
        <v>-12</v>
      </c>
      <c r="AI47" s="45" t="b">
        <f t="shared" si="0"/>
        <v>0</v>
      </c>
      <c r="AJ47" s="45" t="b">
        <f t="shared" si="11"/>
        <v>0</v>
      </c>
      <c r="AK47" s="281" t="b">
        <f t="shared" si="12"/>
        <v>0</v>
      </c>
      <c r="AL47" s="145">
        <f t="shared" si="33"/>
        <v>-2.54</v>
      </c>
      <c r="AM47" s="145">
        <f t="shared" si="34"/>
        <v>-1.06</v>
      </c>
      <c r="AN47" s="145">
        <f t="shared" si="35"/>
        <v>-0.87</v>
      </c>
      <c r="AO47" s="145">
        <f t="shared" si="36"/>
        <v>-0.5</v>
      </c>
      <c r="AP47" s="145">
        <f t="shared" si="37"/>
        <v>-0.6399999999999999</v>
      </c>
      <c r="AQ47" s="287">
        <f t="shared" ca="1" si="1"/>
        <v>-2.8177985808000008</v>
      </c>
      <c r="AR47" s="287">
        <f t="shared" ca="1" si="2"/>
        <v>-1.1759316912000002</v>
      </c>
      <c r="AS47" s="287">
        <f t="shared" ca="1" si="3"/>
        <v>-0.96515148240000015</v>
      </c>
      <c r="AT47" s="287">
        <f t="shared" ca="1" si="4"/>
        <v>-0.55468476000000011</v>
      </c>
      <c r="AU47" s="287">
        <f t="shared" ca="1" si="5"/>
        <v>-0.70999649279999999</v>
      </c>
      <c r="AV47" s="877"/>
      <c r="AW47" s="145">
        <f t="shared" si="38"/>
        <v>-2.54</v>
      </c>
      <c r="AX47" s="145">
        <f t="shared" si="39"/>
        <v>-1.06</v>
      </c>
      <c r="AY47" s="145">
        <f t="shared" si="40"/>
        <v>-0.87</v>
      </c>
      <c r="AZ47" s="145">
        <f t="shared" si="41"/>
        <v>-0.5</v>
      </c>
      <c r="BA47" s="145">
        <f t="shared" si="42"/>
        <v>-0.6399999999999999</v>
      </c>
      <c r="BB47" s="287">
        <f t="shared" ca="1" si="6"/>
        <v>-2.8177985808000008</v>
      </c>
      <c r="BC47" s="287">
        <f t="shared" ca="1" si="7"/>
        <v>-1.1759316912000002</v>
      </c>
      <c r="BD47" s="287">
        <f t="shared" ca="1" si="8"/>
        <v>-0.96515148240000015</v>
      </c>
      <c r="BE47" s="287">
        <f t="shared" ca="1" si="9"/>
        <v>-0.55468476000000011</v>
      </c>
      <c r="BF47" s="287">
        <f t="shared" ca="1" si="10"/>
        <v>-0.70999649279999999</v>
      </c>
      <c r="BG47" s="877"/>
      <c r="BH47" s="45"/>
      <c r="BI47" s="45"/>
    </row>
    <row r="48" spans="1:61" s="252" customFormat="1" ht="17.100000000000001" customHeight="1">
      <c r="A48" s="13"/>
      <c r="B48" s="119"/>
      <c r="C48" s="25"/>
      <c r="D48" s="26"/>
      <c r="E48" s="26"/>
      <c r="F48" s="26"/>
      <c r="G48" s="825"/>
      <c r="H48" s="916" t="str">
        <f ca="1">IF(AH4=1,"",T23&amp;" kN/m2")</f>
        <v>-1.786 kN/m2</v>
      </c>
      <c r="I48" s="894"/>
      <c r="J48" s="894"/>
      <c r="K48" s="895"/>
      <c r="L48" s="845"/>
      <c r="M48" s="846"/>
      <c r="N48" s="846"/>
      <c r="O48" s="846"/>
      <c r="P48" s="846"/>
      <c r="Q48" s="914"/>
      <c r="R48" s="898" t="str">
        <f>IF(AH4=1,"Zone J","")</f>
        <v/>
      </c>
      <c r="S48" s="898"/>
      <c r="T48" s="898"/>
      <c r="U48" s="899"/>
      <c r="V48" s="894" t="str">
        <f>IF(AH4=1,"Zone I","")</f>
        <v/>
      </c>
      <c r="W48" s="894"/>
      <c r="X48" s="894"/>
      <c r="Y48" s="894"/>
      <c r="Z48" s="895"/>
      <c r="AA48" s="38"/>
      <c r="AB48" s="120"/>
      <c r="AC48" s="13"/>
      <c r="AD48" s="43"/>
      <c r="AE48" s="43"/>
      <c r="AF48" s="43"/>
      <c r="AG48" s="43"/>
      <c r="AH48" s="45">
        <v>-11</v>
      </c>
      <c r="AI48" s="45" t="b">
        <f t="shared" si="0"/>
        <v>0</v>
      </c>
      <c r="AJ48" s="45" t="b">
        <f t="shared" si="11"/>
        <v>0</v>
      </c>
      <c r="AK48" s="281" t="b">
        <f t="shared" si="12"/>
        <v>0</v>
      </c>
      <c r="AL48" s="145">
        <f t="shared" si="33"/>
        <v>-2.52</v>
      </c>
      <c r="AM48" s="145">
        <f t="shared" si="34"/>
        <v>-1.08</v>
      </c>
      <c r="AN48" s="145">
        <f t="shared" si="35"/>
        <v>-0.86</v>
      </c>
      <c r="AO48" s="145">
        <f t="shared" si="36"/>
        <v>-0.5</v>
      </c>
      <c r="AP48" s="145">
        <f t="shared" si="37"/>
        <v>-0.61999999999999988</v>
      </c>
      <c r="AQ48" s="287">
        <f t="shared" ca="1" si="1"/>
        <v>-2.7956111904000007</v>
      </c>
      <c r="AR48" s="287">
        <f t="shared" ca="1" si="2"/>
        <v>-1.1981190816000002</v>
      </c>
      <c r="AS48" s="287">
        <f t="shared" ca="1" si="3"/>
        <v>-0.95405778720000023</v>
      </c>
      <c r="AT48" s="287">
        <f t="shared" ca="1" si="4"/>
        <v>-0.55468476000000011</v>
      </c>
      <c r="AU48" s="287">
        <f t="shared" ca="1" si="5"/>
        <v>-0.68780910240000004</v>
      </c>
      <c r="AV48" s="877"/>
      <c r="AW48" s="145">
        <f t="shared" si="38"/>
        <v>-2.52</v>
      </c>
      <c r="AX48" s="145">
        <f t="shared" si="39"/>
        <v>-1.08</v>
      </c>
      <c r="AY48" s="145">
        <f t="shared" si="40"/>
        <v>-0.86</v>
      </c>
      <c r="AZ48" s="145">
        <f t="shared" si="41"/>
        <v>-0.5</v>
      </c>
      <c r="BA48" s="145">
        <f t="shared" si="42"/>
        <v>-0.61999999999999988</v>
      </c>
      <c r="BB48" s="287">
        <f t="shared" ca="1" si="6"/>
        <v>-2.7956111904000007</v>
      </c>
      <c r="BC48" s="287">
        <f t="shared" ca="1" si="7"/>
        <v>-1.1981190816000002</v>
      </c>
      <c r="BD48" s="287">
        <f t="shared" ca="1" si="8"/>
        <v>-0.95405778720000023</v>
      </c>
      <c r="BE48" s="287">
        <f t="shared" ca="1" si="9"/>
        <v>-0.55468476000000011</v>
      </c>
      <c r="BF48" s="287">
        <f t="shared" ca="1" si="10"/>
        <v>-0.68780910240000004</v>
      </c>
      <c r="BG48" s="877"/>
      <c r="BH48" s="45"/>
      <c r="BI48" s="45"/>
    </row>
    <row r="49" spans="1:61" s="252" customFormat="1" ht="17.100000000000001" customHeight="1">
      <c r="A49" s="13"/>
      <c r="B49" s="119"/>
      <c r="C49" s="25"/>
      <c r="D49" s="26"/>
      <c r="E49" s="26"/>
      <c r="F49" s="26"/>
      <c r="G49" s="825"/>
      <c r="H49" s="845" t="str">
        <f ca="1">IF(AH4=1,"Zone G",T24&amp;" kN/m2")</f>
        <v>0.701 kN/m2</v>
      </c>
      <c r="I49" s="846"/>
      <c r="J49" s="846"/>
      <c r="K49" s="847"/>
      <c r="L49" s="845" t="str">
        <f>IF(AH4=1,"Zone H","")</f>
        <v/>
      </c>
      <c r="M49" s="846"/>
      <c r="N49" s="846"/>
      <c r="O49" s="846"/>
      <c r="P49" s="846"/>
      <c r="Q49" s="914"/>
      <c r="R49" s="898"/>
      <c r="S49" s="898"/>
      <c r="T49" s="898"/>
      <c r="U49" s="899"/>
      <c r="V49" s="894"/>
      <c r="W49" s="894"/>
      <c r="X49" s="894"/>
      <c r="Y49" s="894"/>
      <c r="Z49" s="895"/>
      <c r="AA49" s="38"/>
      <c r="AB49" s="120"/>
      <c r="AC49" s="13"/>
      <c r="AD49" s="43"/>
      <c r="AE49" s="43"/>
      <c r="AF49" s="43"/>
      <c r="AG49" s="43"/>
      <c r="AH49" s="45">
        <v>-10</v>
      </c>
      <c r="AI49" s="45" t="b">
        <f t="shared" si="0"/>
        <v>0</v>
      </c>
      <c r="AJ49" s="45" t="b">
        <f t="shared" si="11"/>
        <v>0</v>
      </c>
      <c r="AK49" s="281" t="b">
        <f t="shared" si="12"/>
        <v>0</v>
      </c>
      <c r="AL49" s="145">
        <f t="shared" si="33"/>
        <v>-2.5</v>
      </c>
      <c r="AM49" s="145">
        <f t="shared" si="34"/>
        <v>-1.1000000000000001</v>
      </c>
      <c r="AN49" s="145">
        <f t="shared" si="35"/>
        <v>-0.85</v>
      </c>
      <c r="AO49" s="145">
        <f t="shared" si="36"/>
        <v>-0.5</v>
      </c>
      <c r="AP49" s="145">
        <f t="shared" si="37"/>
        <v>-0.59999999999999987</v>
      </c>
      <c r="AQ49" s="287">
        <f t="shared" ca="1" si="1"/>
        <v>-2.7734238000000007</v>
      </c>
      <c r="AR49" s="287">
        <f t="shared" ca="1" si="2"/>
        <v>-1.2203064720000003</v>
      </c>
      <c r="AS49" s="287">
        <f t="shared" ca="1" si="3"/>
        <v>-0.9429640920000002</v>
      </c>
      <c r="AT49" s="287">
        <f t="shared" ca="1" si="4"/>
        <v>-0.55468476000000011</v>
      </c>
      <c r="AU49" s="287">
        <f t="shared" ca="1" si="5"/>
        <v>-0.66562171199999998</v>
      </c>
      <c r="AV49" s="877"/>
      <c r="AW49" s="145">
        <f t="shared" si="38"/>
        <v>-2.5</v>
      </c>
      <c r="AX49" s="145">
        <f t="shared" si="39"/>
        <v>-1.1000000000000001</v>
      </c>
      <c r="AY49" s="145">
        <f t="shared" si="40"/>
        <v>-0.85</v>
      </c>
      <c r="AZ49" s="145">
        <f t="shared" si="41"/>
        <v>-0.5</v>
      </c>
      <c r="BA49" s="145">
        <f t="shared" si="42"/>
        <v>-0.59999999999999987</v>
      </c>
      <c r="BB49" s="287">
        <f t="shared" ca="1" si="6"/>
        <v>-2.7734238000000007</v>
      </c>
      <c r="BC49" s="287">
        <f t="shared" ca="1" si="7"/>
        <v>-1.2203064720000003</v>
      </c>
      <c r="BD49" s="287">
        <f t="shared" ca="1" si="8"/>
        <v>-0.9429640920000002</v>
      </c>
      <c r="BE49" s="287">
        <f t="shared" ca="1" si="9"/>
        <v>-0.55468476000000011</v>
      </c>
      <c r="BF49" s="287">
        <f t="shared" ca="1" si="10"/>
        <v>-0.66562171199999998</v>
      </c>
      <c r="BG49" s="877"/>
      <c r="BH49" s="45"/>
      <c r="BI49" s="45"/>
    </row>
    <row r="50" spans="1:61" s="252" customFormat="1" ht="17.100000000000001" customHeight="1" thickBot="1">
      <c r="A50" s="13"/>
      <c r="B50" s="119"/>
      <c r="C50" s="25"/>
      <c r="D50" s="26"/>
      <c r="E50" s="26"/>
      <c r="F50" s="26"/>
      <c r="G50" s="825"/>
      <c r="H50" s="924" t="str">
        <f>IF(AH4=1,T23&amp;" kN/m2","")</f>
        <v/>
      </c>
      <c r="I50" s="925"/>
      <c r="J50" s="925"/>
      <c r="K50" s="926"/>
      <c r="L50" s="919" t="str">
        <f>IF(AH4=1,V23&amp;" kN/m2","")</f>
        <v/>
      </c>
      <c r="M50" s="902"/>
      <c r="N50" s="902"/>
      <c r="O50" s="902"/>
      <c r="P50" s="902"/>
      <c r="Q50" s="920"/>
      <c r="R50" s="900" t="str">
        <f>IF(AH4=1,Z23&amp;" kN/m2","")</f>
        <v/>
      </c>
      <c r="S50" s="900"/>
      <c r="T50" s="900"/>
      <c r="U50" s="901"/>
      <c r="V50" s="902" t="str">
        <f>IF(AH4=1,X23&amp;" kN/m2","")</f>
        <v/>
      </c>
      <c r="W50" s="902"/>
      <c r="X50" s="902"/>
      <c r="Y50" s="902"/>
      <c r="Z50" s="903"/>
      <c r="AA50" s="38"/>
      <c r="AB50" s="120"/>
      <c r="AC50" s="13"/>
      <c r="AD50" s="43"/>
      <c r="AE50" s="43"/>
      <c r="AF50" s="43"/>
      <c r="AG50" s="43"/>
      <c r="AH50" s="45">
        <v>-9</v>
      </c>
      <c r="AI50" s="45" t="b">
        <f t="shared" si="0"/>
        <v>0</v>
      </c>
      <c r="AJ50" s="45" t="b">
        <f t="shared" si="11"/>
        <v>0</v>
      </c>
      <c r="AK50" s="281" t="b">
        <f t="shared" si="12"/>
        <v>0</v>
      </c>
      <c r="AL50" s="145">
        <f t="shared" si="33"/>
        <v>-2.48</v>
      </c>
      <c r="AM50" s="145">
        <f t="shared" si="34"/>
        <v>-1.1200000000000001</v>
      </c>
      <c r="AN50" s="145">
        <f t="shared" si="35"/>
        <v>-0.84</v>
      </c>
      <c r="AO50" s="145">
        <f t="shared" si="36"/>
        <v>-0.5</v>
      </c>
      <c r="AP50" s="145">
        <f t="shared" si="37"/>
        <v>-0.57999999999999985</v>
      </c>
      <c r="AQ50" s="287">
        <f t="shared" ca="1" si="1"/>
        <v>-2.7512364096000006</v>
      </c>
      <c r="AR50" s="287">
        <f t="shared" ca="1" si="2"/>
        <v>-1.2424938624000004</v>
      </c>
      <c r="AS50" s="287">
        <f t="shared" ca="1" si="3"/>
        <v>-0.93187039680000017</v>
      </c>
      <c r="AT50" s="287">
        <f t="shared" ca="1" si="4"/>
        <v>-0.55468476000000011</v>
      </c>
      <c r="AU50" s="287">
        <f t="shared" ca="1" si="5"/>
        <v>-0.64343432159999991</v>
      </c>
      <c r="AV50" s="877"/>
      <c r="AW50" s="145">
        <f t="shared" si="38"/>
        <v>-2.48</v>
      </c>
      <c r="AX50" s="145">
        <f t="shared" si="39"/>
        <v>-1.1200000000000001</v>
      </c>
      <c r="AY50" s="145">
        <f t="shared" si="40"/>
        <v>-0.84</v>
      </c>
      <c r="AZ50" s="145">
        <f t="shared" si="41"/>
        <v>-0.5</v>
      </c>
      <c r="BA50" s="145">
        <f t="shared" si="42"/>
        <v>-0.57999999999999985</v>
      </c>
      <c r="BB50" s="287">
        <f t="shared" ca="1" si="6"/>
        <v>-2.7512364096000006</v>
      </c>
      <c r="BC50" s="287">
        <f t="shared" ca="1" si="7"/>
        <v>-1.2424938624000004</v>
      </c>
      <c r="BD50" s="287">
        <f t="shared" ca="1" si="8"/>
        <v>-0.93187039680000017</v>
      </c>
      <c r="BE50" s="287">
        <f t="shared" ca="1" si="9"/>
        <v>-0.55468476000000011</v>
      </c>
      <c r="BF50" s="287">
        <f t="shared" ca="1" si="10"/>
        <v>-0.64343432159999991</v>
      </c>
      <c r="BG50" s="877"/>
      <c r="BH50" s="45"/>
      <c r="BI50" s="45"/>
    </row>
    <row r="51" spans="1:61" s="252" customFormat="1" ht="17.100000000000001" customHeight="1" thickTop="1">
      <c r="A51" s="13"/>
      <c r="B51" s="119"/>
      <c r="C51" s="25"/>
      <c r="D51" s="26"/>
      <c r="E51" s="26"/>
      <c r="F51" s="26"/>
      <c r="G51" s="825"/>
      <c r="H51" s="921" t="str">
        <f>IF(AH4=2,"Zone G",T24&amp;" kN/m2")</f>
        <v>Zone G</v>
      </c>
      <c r="I51" s="922"/>
      <c r="J51" s="922"/>
      <c r="K51" s="923"/>
      <c r="L51" s="845" t="str">
        <f>IF(AH4=1,V24&amp;" kN/m2","")</f>
        <v/>
      </c>
      <c r="M51" s="846"/>
      <c r="N51" s="846"/>
      <c r="O51" s="846"/>
      <c r="P51" s="846"/>
      <c r="Q51" s="914"/>
      <c r="R51" s="846" t="str">
        <f>IF(AH4=1,Z24&amp;" kN/m2","")</f>
        <v/>
      </c>
      <c r="S51" s="846"/>
      <c r="T51" s="846"/>
      <c r="U51" s="847"/>
      <c r="V51" s="846" t="str">
        <f>IF(AH4=1,X24&amp;" kN/m2","")</f>
        <v/>
      </c>
      <c r="W51" s="846"/>
      <c r="X51" s="846"/>
      <c r="Y51" s="846"/>
      <c r="Z51" s="847"/>
      <c r="AA51" s="38"/>
      <c r="AB51" s="120"/>
      <c r="AC51" s="13"/>
      <c r="AD51" s="43"/>
      <c r="AE51" s="43"/>
      <c r="AF51" s="43"/>
      <c r="AG51" s="43"/>
      <c r="AH51" s="45">
        <v>-8</v>
      </c>
      <c r="AI51" s="45" t="b">
        <f t="shared" si="0"/>
        <v>0</v>
      </c>
      <c r="AJ51" s="45" t="b">
        <f t="shared" si="11"/>
        <v>0</v>
      </c>
      <c r="AK51" s="281" t="b">
        <f t="shared" si="12"/>
        <v>0</v>
      </c>
      <c r="AL51" s="145">
        <f t="shared" si="33"/>
        <v>-2.46</v>
      </c>
      <c r="AM51" s="145">
        <f t="shared" si="34"/>
        <v>-1.1400000000000001</v>
      </c>
      <c r="AN51" s="145">
        <f t="shared" si="35"/>
        <v>-0.83</v>
      </c>
      <c r="AO51" s="145">
        <f t="shared" si="36"/>
        <v>-0.5</v>
      </c>
      <c r="AP51" s="145">
        <f t="shared" si="37"/>
        <v>-0.55999999999999983</v>
      </c>
      <c r="AQ51" s="287">
        <f t="shared" ca="1" si="1"/>
        <v>-2.7290490192000005</v>
      </c>
      <c r="AR51" s="287">
        <f t="shared" ca="1" si="2"/>
        <v>-1.2646812528000004</v>
      </c>
      <c r="AS51" s="287">
        <f t="shared" ca="1" si="3"/>
        <v>-0.92077670160000014</v>
      </c>
      <c r="AT51" s="287">
        <f t="shared" ca="1" si="4"/>
        <v>-0.55468476000000011</v>
      </c>
      <c r="AU51" s="287">
        <f t="shared" ca="1" si="5"/>
        <v>-0.62124693119999996</v>
      </c>
      <c r="AV51" s="877"/>
      <c r="AW51" s="145">
        <f t="shared" si="38"/>
        <v>-2.46</v>
      </c>
      <c r="AX51" s="145">
        <f t="shared" si="39"/>
        <v>-1.1400000000000001</v>
      </c>
      <c r="AY51" s="145">
        <f t="shared" si="40"/>
        <v>-0.83</v>
      </c>
      <c r="AZ51" s="145">
        <f t="shared" si="41"/>
        <v>-0.5</v>
      </c>
      <c r="BA51" s="145">
        <f t="shared" si="42"/>
        <v>-0.55999999999999983</v>
      </c>
      <c r="BB51" s="287">
        <f t="shared" ca="1" si="6"/>
        <v>-2.7290490192000005</v>
      </c>
      <c r="BC51" s="287">
        <f t="shared" ca="1" si="7"/>
        <v>-1.2646812528000004</v>
      </c>
      <c r="BD51" s="287">
        <f t="shared" ca="1" si="8"/>
        <v>-0.92077670160000014</v>
      </c>
      <c r="BE51" s="287">
        <f t="shared" ca="1" si="9"/>
        <v>-0.55468476000000011</v>
      </c>
      <c r="BF51" s="287">
        <f t="shared" ca="1" si="10"/>
        <v>-0.62124693119999996</v>
      </c>
      <c r="BG51" s="877"/>
      <c r="BH51" s="45"/>
      <c r="BI51" s="45"/>
    </row>
    <row r="52" spans="1:61" s="252" customFormat="1" ht="17.100000000000001" customHeight="1">
      <c r="A52" s="13"/>
      <c r="B52" s="119"/>
      <c r="C52" s="25"/>
      <c r="D52" s="26"/>
      <c r="E52" s="26"/>
      <c r="F52" s="26"/>
      <c r="G52" s="825"/>
      <c r="H52" s="845" t="str">
        <f ca="1">IF(AH4=1,"",T23&amp;" kN/m2")</f>
        <v>-1.786 kN/m2</v>
      </c>
      <c r="I52" s="846"/>
      <c r="J52" s="846"/>
      <c r="K52" s="847"/>
      <c r="L52" s="854" t="str">
        <f>IF(AH4=2,"Zone H","")</f>
        <v>Zone H</v>
      </c>
      <c r="M52" s="855"/>
      <c r="N52" s="855"/>
      <c r="O52" s="855"/>
      <c r="P52" s="855"/>
      <c r="Q52" s="913"/>
      <c r="R52" s="846"/>
      <c r="S52" s="846"/>
      <c r="T52" s="846"/>
      <c r="U52" s="847"/>
      <c r="V52" s="846"/>
      <c r="W52" s="846"/>
      <c r="X52" s="846"/>
      <c r="Y52" s="846"/>
      <c r="Z52" s="847"/>
      <c r="AA52" s="38"/>
      <c r="AB52" s="120"/>
      <c r="AC52" s="13"/>
      <c r="AD52" s="43"/>
      <c r="AE52" s="43"/>
      <c r="AF52" s="43"/>
      <c r="AG52" s="43"/>
      <c r="AH52" s="45">
        <v>-7</v>
      </c>
      <c r="AI52" s="45" t="b">
        <f t="shared" si="0"/>
        <v>0</v>
      </c>
      <c r="AJ52" s="45" t="b">
        <f t="shared" si="11"/>
        <v>0</v>
      </c>
      <c r="AK52" s="281" t="b">
        <f t="shared" si="12"/>
        <v>0</v>
      </c>
      <c r="AL52" s="145">
        <f t="shared" si="33"/>
        <v>-2.44</v>
      </c>
      <c r="AM52" s="145">
        <f t="shared" si="34"/>
        <v>-1.1600000000000001</v>
      </c>
      <c r="AN52" s="145">
        <f t="shared" si="35"/>
        <v>-0.82</v>
      </c>
      <c r="AO52" s="145">
        <f t="shared" si="36"/>
        <v>-0.5</v>
      </c>
      <c r="AP52" s="145">
        <f t="shared" si="37"/>
        <v>-0.53999999999999981</v>
      </c>
      <c r="AQ52" s="287">
        <f t="shared" ca="1" si="1"/>
        <v>-2.7068616288000005</v>
      </c>
      <c r="AR52" s="287">
        <f t="shared" ca="1" si="2"/>
        <v>-1.2868686432000005</v>
      </c>
      <c r="AS52" s="287">
        <f t="shared" ca="1" si="3"/>
        <v>-0.9096830064000001</v>
      </c>
      <c r="AT52" s="287">
        <f t="shared" ca="1" si="4"/>
        <v>-0.55468476000000011</v>
      </c>
      <c r="AU52" s="287">
        <f t="shared" ca="1" si="5"/>
        <v>-0.5990595407999999</v>
      </c>
      <c r="AV52" s="877"/>
      <c r="AW52" s="145">
        <f t="shared" si="38"/>
        <v>-2.44</v>
      </c>
      <c r="AX52" s="145">
        <f t="shared" si="39"/>
        <v>-1.1600000000000001</v>
      </c>
      <c r="AY52" s="145">
        <f t="shared" si="40"/>
        <v>-0.82</v>
      </c>
      <c r="AZ52" s="145">
        <f t="shared" si="41"/>
        <v>-0.5</v>
      </c>
      <c r="BA52" s="145">
        <f t="shared" si="42"/>
        <v>-0.53999999999999981</v>
      </c>
      <c r="BB52" s="287">
        <f t="shared" ca="1" si="6"/>
        <v>-2.7068616288000005</v>
      </c>
      <c r="BC52" s="287">
        <f t="shared" ca="1" si="7"/>
        <v>-1.2868686432000005</v>
      </c>
      <c r="BD52" s="287">
        <f t="shared" ca="1" si="8"/>
        <v>-0.9096830064000001</v>
      </c>
      <c r="BE52" s="287">
        <f t="shared" ca="1" si="9"/>
        <v>-0.55468476000000011</v>
      </c>
      <c r="BF52" s="287">
        <f t="shared" ca="1" si="10"/>
        <v>-0.5990595407999999</v>
      </c>
      <c r="BG52" s="877"/>
      <c r="BH52" s="45"/>
      <c r="BI52" s="45"/>
    </row>
    <row r="53" spans="1:61" s="252" customFormat="1" ht="17.100000000000001" customHeight="1">
      <c r="A53" s="13"/>
      <c r="B53" s="119"/>
      <c r="C53" s="25"/>
      <c r="D53" s="26"/>
      <c r="E53" s="26"/>
      <c r="F53" s="26"/>
      <c r="G53" s="825"/>
      <c r="H53" s="845" t="str">
        <f ca="1">IF(AH4=1,"",T24&amp;" kN/m2")</f>
        <v>0.701 kN/m2</v>
      </c>
      <c r="I53" s="846"/>
      <c r="J53" s="846"/>
      <c r="K53" s="847"/>
      <c r="L53" s="854"/>
      <c r="M53" s="855"/>
      <c r="N53" s="855"/>
      <c r="O53" s="855"/>
      <c r="P53" s="855"/>
      <c r="Q53" s="913"/>
      <c r="R53" s="158"/>
      <c r="S53" s="158"/>
      <c r="T53" s="158"/>
      <c r="U53" s="159"/>
      <c r="V53" s="425" t="str">
        <f>IF(OR($AH$4&lt;&gt;2,AI11&gt;=M14),"","Zone I")</f>
        <v>Zone I</v>
      </c>
      <c r="W53" s="158"/>
      <c r="X53" s="158"/>
      <c r="Y53" s="158"/>
      <c r="Z53" s="159"/>
      <c r="AA53" s="38"/>
      <c r="AB53" s="120"/>
      <c r="AC53" s="13"/>
      <c r="AD53" s="43"/>
      <c r="AE53" s="43"/>
      <c r="AF53" s="43"/>
      <c r="AG53" s="43"/>
      <c r="AH53" s="45">
        <v>-6</v>
      </c>
      <c r="AI53" s="45" t="b">
        <f t="shared" si="0"/>
        <v>0</v>
      </c>
      <c r="AJ53" s="45" t="b">
        <f t="shared" si="11"/>
        <v>0</v>
      </c>
      <c r="AK53" s="281" t="b">
        <f t="shared" si="12"/>
        <v>0</v>
      </c>
      <c r="AL53" s="145">
        <f t="shared" si="33"/>
        <v>-2.42</v>
      </c>
      <c r="AM53" s="145">
        <f t="shared" si="34"/>
        <v>-1.1800000000000002</v>
      </c>
      <c r="AN53" s="145">
        <f t="shared" si="35"/>
        <v>-0.80999999999999994</v>
      </c>
      <c r="AO53" s="145">
        <f t="shared" si="36"/>
        <v>-0.5</v>
      </c>
      <c r="AP53" s="145">
        <f t="shared" si="37"/>
        <v>-0.5199999999999998</v>
      </c>
      <c r="AQ53" s="287">
        <f t="shared" ca="1" si="1"/>
        <v>-2.6846742384000004</v>
      </c>
      <c r="AR53" s="287">
        <f t="shared" ca="1" si="2"/>
        <v>-1.3090560336000003</v>
      </c>
      <c r="AS53" s="287">
        <f t="shared" ca="1" si="3"/>
        <v>-0.89858931120000007</v>
      </c>
      <c r="AT53" s="287">
        <f t="shared" ca="1" si="4"/>
        <v>-0.55468476000000011</v>
      </c>
      <c r="AU53" s="287">
        <f t="shared" ca="1" si="5"/>
        <v>-0.57687215039999984</v>
      </c>
      <c r="AV53" s="877"/>
      <c r="AW53" s="145">
        <f t="shared" si="38"/>
        <v>-2.42</v>
      </c>
      <c r="AX53" s="145">
        <f t="shared" si="39"/>
        <v>-1.1800000000000002</v>
      </c>
      <c r="AY53" s="145">
        <f t="shared" si="40"/>
        <v>-0.80999999999999994</v>
      </c>
      <c r="AZ53" s="145">
        <f t="shared" si="41"/>
        <v>-0.5</v>
      </c>
      <c r="BA53" s="145">
        <f t="shared" si="42"/>
        <v>-0.5199999999999998</v>
      </c>
      <c r="BB53" s="287">
        <f t="shared" ca="1" si="6"/>
        <v>-2.6846742384000004</v>
      </c>
      <c r="BC53" s="287">
        <f t="shared" ca="1" si="7"/>
        <v>-1.3090560336000003</v>
      </c>
      <c r="BD53" s="287">
        <f t="shared" ca="1" si="8"/>
        <v>-0.89858931120000007</v>
      </c>
      <c r="BE53" s="287">
        <f t="shared" ca="1" si="9"/>
        <v>-0.55468476000000011</v>
      </c>
      <c r="BF53" s="287">
        <f t="shared" ca="1" si="10"/>
        <v>-0.57687215039999984</v>
      </c>
      <c r="BG53" s="877"/>
      <c r="BH53" s="45"/>
      <c r="BI53" s="45"/>
    </row>
    <row r="54" spans="1:61" s="252" customFormat="1" ht="17.100000000000001" customHeight="1" thickBot="1">
      <c r="A54" s="13"/>
      <c r="B54" s="119"/>
      <c r="C54" s="25"/>
      <c r="D54" s="26"/>
      <c r="E54" s="26"/>
      <c r="F54" s="26"/>
      <c r="G54" s="825"/>
      <c r="H54" s="848"/>
      <c r="I54" s="849"/>
      <c r="J54" s="849"/>
      <c r="K54" s="850"/>
      <c r="L54" s="845" t="str">
        <f ca="1">IF(AH4=1,"",V23&amp;" kN/m2")</f>
        <v>-0.936 kN/m2</v>
      </c>
      <c r="M54" s="846"/>
      <c r="N54" s="846"/>
      <c r="O54" s="846"/>
      <c r="P54" s="846"/>
      <c r="Q54" s="914"/>
      <c r="R54" s="158"/>
      <c r="S54" s="158"/>
      <c r="T54" s="158"/>
      <c r="U54" s="159"/>
      <c r="V54" s="424" t="str">
        <f ca="1">IF(OR($AH$4&lt;&gt;2,AI11&gt;=M14),"",X23&amp;" kN/m2")</f>
        <v>-0.751 kN/m2</v>
      </c>
      <c r="W54" s="158"/>
      <c r="X54" s="158"/>
      <c r="Y54" s="158"/>
      <c r="Z54" s="159"/>
      <c r="AA54" s="38"/>
      <c r="AB54" s="120"/>
      <c r="AC54" s="13"/>
      <c r="AD54" s="43"/>
      <c r="AE54" s="43"/>
      <c r="AF54" s="43"/>
      <c r="AG54" s="43"/>
      <c r="AH54" s="276">
        <v>-5</v>
      </c>
      <c r="AI54" s="45" t="b">
        <f t="shared" si="0"/>
        <v>0</v>
      </c>
      <c r="AJ54" s="45" t="b">
        <f t="shared" si="11"/>
        <v>0</v>
      </c>
      <c r="AK54" s="281" t="b">
        <f t="shared" si="12"/>
        <v>0</v>
      </c>
      <c r="AL54" s="287">
        <v>-2.4</v>
      </c>
      <c r="AM54" s="287">
        <v>-1.2</v>
      </c>
      <c r="AN54" s="287">
        <v>-0.8</v>
      </c>
      <c r="AO54" s="287">
        <v>-0.5</v>
      </c>
      <c r="AP54" s="287">
        <v>-0.5</v>
      </c>
      <c r="AQ54" s="287">
        <f t="shared" ca="1" si="1"/>
        <v>-2.6624868480000004</v>
      </c>
      <c r="AR54" s="287">
        <f t="shared" ca="1" si="2"/>
        <v>-1.3312434240000002</v>
      </c>
      <c r="AS54" s="287">
        <f t="shared" ca="1" si="3"/>
        <v>-0.88749561600000026</v>
      </c>
      <c r="AT54" s="287">
        <f t="shared" ca="1" si="4"/>
        <v>-0.55468476000000011</v>
      </c>
      <c r="AU54" s="287">
        <f t="shared" ca="1" si="5"/>
        <v>-0.55468476000000011</v>
      </c>
      <c r="AV54" s="877"/>
      <c r="AW54" s="287">
        <v>-2.4</v>
      </c>
      <c r="AX54" s="287">
        <v>-1.2</v>
      </c>
      <c r="AY54" s="287">
        <v>-0.8</v>
      </c>
      <c r="AZ54" s="287">
        <v>-0.5</v>
      </c>
      <c r="BA54" s="287">
        <v>-0.5</v>
      </c>
      <c r="BB54" s="287">
        <f t="shared" ca="1" si="6"/>
        <v>-2.6624868480000004</v>
      </c>
      <c r="BC54" s="287">
        <f t="shared" ca="1" si="7"/>
        <v>-1.3312434240000002</v>
      </c>
      <c r="BD54" s="287">
        <f t="shared" ca="1" si="8"/>
        <v>-0.88749561600000026</v>
      </c>
      <c r="BE54" s="287">
        <f t="shared" ca="1" si="9"/>
        <v>-0.55468476000000011</v>
      </c>
      <c r="BF54" s="287">
        <f t="shared" ca="1" si="10"/>
        <v>-0.55468476000000011</v>
      </c>
      <c r="BG54" s="877"/>
      <c r="BH54" s="45"/>
      <c r="BI54" s="45"/>
    </row>
    <row r="55" spans="1:61" s="252" customFormat="1" ht="17.100000000000001" customHeight="1">
      <c r="A55" s="13"/>
      <c r="B55" s="119"/>
      <c r="C55" s="25"/>
      <c r="D55" s="26"/>
      <c r="E55" s="26"/>
      <c r="F55" s="26"/>
      <c r="G55" s="825" t="str">
        <f>"b1 = "&amp;FIXED(+AI10/4,2)&amp;"m"</f>
        <v>b1 = 20.00m</v>
      </c>
      <c r="H55" s="890" t="s">
        <v>425</v>
      </c>
      <c r="I55" s="891"/>
      <c r="J55" s="891"/>
      <c r="K55" s="892"/>
      <c r="L55" s="845" t="str">
        <f ca="1">IF(AH4=1,"",V24&amp;" kN/m2")</f>
        <v>0.664 kN/m2</v>
      </c>
      <c r="M55" s="846"/>
      <c r="N55" s="846"/>
      <c r="O55" s="846"/>
      <c r="P55" s="846"/>
      <c r="Q55" s="914"/>
      <c r="R55" s="158"/>
      <c r="S55" s="158"/>
      <c r="T55" s="158"/>
      <c r="U55" s="159"/>
      <c r="V55" s="424" t="str">
        <f ca="1">IF(OR($AH$4&lt;&gt;2,AI11&gt;=M14),"",X24&amp;" kN/m2")</f>
        <v>0.627 kN/m2</v>
      </c>
      <c r="W55" s="158"/>
      <c r="X55" s="158"/>
      <c r="Y55" s="158"/>
      <c r="Z55" s="159"/>
      <c r="AA55" s="38"/>
      <c r="AB55" s="120"/>
      <c r="AC55" s="13"/>
      <c r="AD55" s="43"/>
      <c r="AE55" s="43"/>
      <c r="AF55" s="43"/>
      <c r="AG55" s="43"/>
      <c r="AH55" s="45">
        <v>-4</v>
      </c>
      <c r="AI55" s="45" t="b">
        <f t="shared" si="0"/>
        <v>0</v>
      </c>
      <c r="AJ55" s="45" t="b">
        <f t="shared" si="11"/>
        <v>0</v>
      </c>
      <c r="AK55" s="281" t="b">
        <f t="shared" si="12"/>
        <v>0</v>
      </c>
      <c r="AL55" s="145">
        <f>+ABS($AL$54-$AL$63)/10+AL54</f>
        <v>-2.34</v>
      </c>
      <c r="AM55" s="145">
        <f>+ABS($AM$54-$AM$63)/10+AM54</f>
        <v>-1.2</v>
      </c>
      <c r="AN55" s="145">
        <f>+ABS($AN$54-$AN$63)/10+AN54</f>
        <v>-0.78</v>
      </c>
      <c r="AO55" s="145">
        <f>+ABS($AO$54-$AO$63)/10+AO54</f>
        <v>-0.49</v>
      </c>
      <c r="AP55" s="145">
        <f>0-(ABS($AP$54-$AP$63)/10-AP54)</f>
        <v>-0.54</v>
      </c>
      <c r="AQ55" s="287">
        <f t="shared" ca="1" si="1"/>
        <v>-2.5959246768000002</v>
      </c>
      <c r="AR55" s="287">
        <f t="shared" ca="1" si="2"/>
        <v>-1.3312434240000002</v>
      </c>
      <c r="AS55" s="287">
        <f t="shared" ca="1" si="3"/>
        <v>-0.8653082256000002</v>
      </c>
      <c r="AT55" s="287">
        <f t="shared" ca="1" si="4"/>
        <v>-0.54359106480000008</v>
      </c>
      <c r="AU55" s="287">
        <f t="shared" ca="1" si="5"/>
        <v>-0.59905954080000012</v>
      </c>
      <c r="AV55" s="877"/>
      <c r="AW55" s="145">
        <f>+ABS(AW$54-AW$64)/10+AW54</f>
        <v>-2.1579999999999999</v>
      </c>
      <c r="AX55" s="145">
        <f>+ABS(AX$54-AX$64)/10+AX54</f>
        <v>-1.0779999999999998</v>
      </c>
      <c r="AY55" s="145">
        <f>+ABS(AY$54-AY$64)/10+AY54</f>
        <v>-0.71800000000000008</v>
      </c>
      <c r="AZ55" s="145">
        <f>+ABS(AZ$54-AZ$64)/10+AZ54</f>
        <v>-0.49099999999999999</v>
      </c>
      <c r="BA55" s="145">
        <f>0-(ABS(BA$54-BA$63)/10-BA54)</f>
        <v>-0.54</v>
      </c>
      <c r="BB55" s="287">
        <f t="shared" ca="1" si="6"/>
        <v>-2.3940194241600006</v>
      </c>
      <c r="BC55" s="287">
        <f t="shared" ca="1" si="7"/>
        <v>-1.1959003425600001</v>
      </c>
      <c r="BD55" s="287">
        <f t="shared" ca="1" si="8"/>
        <v>-0.79652731536000021</v>
      </c>
      <c r="BE55" s="287">
        <f t="shared" ca="1" si="9"/>
        <v>-0.54470043432000015</v>
      </c>
      <c r="BF55" s="287">
        <f t="shared" ca="1" si="10"/>
        <v>-0.59905954080000012</v>
      </c>
      <c r="BG55" s="877"/>
      <c r="BH55" s="45"/>
      <c r="BI55" s="45"/>
    </row>
    <row r="56" spans="1:61" s="252" customFormat="1" ht="17.100000000000001" customHeight="1">
      <c r="A56" s="13"/>
      <c r="B56" s="119"/>
      <c r="C56" s="25"/>
      <c r="D56" s="26"/>
      <c r="E56" s="26"/>
      <c r="F56" s="26"/>
      <c r="G56" s="825"/>
      <c r="H56" s="927" t="str">
        <f ca="1">R23&amp;" kN/m2"</f>
        <v>-1.897 kN/m2</v>
      </c>
      <c r="I56" s="928"/>
      <c r="J56" s="928"/>
      <c r="K56" s="929"/>
      <c r="L56" s="845"/>
      <c r="M56" s="846"/>
      <c r="N56" s="846"/>
      <c r="O56" s="846"/>
      <c r="P56" s="846"/>
      <c r="Q56" s="914"/>
      <c r="R56" s="846"/>
      <c r="S56" s="846"/>
      <c r="T56" s="846"/>
      <c r="U56" s="847"/>
      <c r="V56" s="846"/>
      <c r="W56" s="846"/>
      <c r="X56" s="846"/>
      <c r="Y56" s="846"/>
      <c r="Z56" s="847"/>
      <c r="AA56" s="38"/>
      <c r="AB56" s="120"/>
      <c r="AC56" s="13"/>
      <c r="AD56" s="43"/>
      <c r="AE56" s="43"/>
      <c r="AF56" s="43"/>
      <c r="AG56" s="43"/>
      <c r="AH56" s="45">
        <v>-3</v>
      </c>
      <c r="AI56" s="45" t="b">
        <f t="shared" si="0"/>
        <v>0</v>
      </c>
      <c r="AJ56" s="45" t="b">
        <f t="shared" si="11"/>
        <v>0</v>
      </c>
      <c r="AK56" s="281" t="b">
        <f t="shared" si="12"/>
        <v>0</v>
      </c>
      <c r="AL56" s="145">
        <f t="shared" ref="AL56:AL62" si="43">+ABS($AL$54-$AL$63)/10+AL55</f>
        <v>-2.2799999999999998</v>
      </c>
      <c r="AM56" s="145">
        <f t="shared" ref="AM56:AM62" si="44">+ABS($AM$54-$AM$63)/10+AM55</f>
        <v>-1.2</v>
      </c>
      <c r="AN56" s="145">
        <f t="shared" ref="AN56:AN62" si="45">+ABS($AN$54-$AN$63)/10+AN55</f>
        <v>-0.76</v>
      </c>
      <c r="AO56" s="145">
        <f t="shared" ref="AO56:AO62" si="46">+ABS($AO$54-$AO$63)/10+AO55</f>
        <v>-0.48</v>
      </c>
      <c r="AP56" s="145">
        <f t="shared" ref="AP56:AP62" si="47">0-(ABS($AP$54-$AP$63)/10-AP55)</f>
        <v>-0.58000000000000007</v>
      </c>
      <c r="AQ56" s="287">
        <f t="shared" ca="1" si="1"/>
        <v>-2.5293625056000004</v>
      </c>
      <c r="AR56" s="287">
        <f t="shared" ca="1" si="2"/>
        <v>-1.3312434240000002</v>
      </c>
      <c r="AS56" s="287">
        <f t="shared" ca="1" si="3"/>
        <v>-0.84312083520000014</v>
      </c>
      <c r="AT56" s="287">
        <f t="shared" ca="1" si="4"/>
        <v>-0.53249736960000005</v>
      </c>
      <c r="AU56" s="287">
        <f t="shared" ca="1" si="5"/>
        <v>-0.64343432160000025</v>
      </c>
      <c r="AV56" s="877"/>
      <c r="AW56" s="145">
        <f t="shared" ref="AW56:AZ62" si="48">+ABS(AW$54-AW$64)/10+AW55</f>
        <v>-1.9159999999999999</v>
      </c>
      <c r="AX56" s="145">
        <f t="shared" si="48"/>
        <v>-0.95599999999999985</v>
      </c>
      <c r="AY56" s="145">
        <f t="shared" si="48"/>
        <v>-0.63600000000000012</v>
      </c>
      <c r="AZ56" s="145">
        <f t="shared" si="48"/>
        <v>-0.48199999999999998</v>
      </c>
      <c r="BA56" s="145">
        <f t="shared" ref="BA56:BA62" si="49">0-(ABS(BA$54-BA$63)/10-BA55)</f>
        <v>-0.58000000000000007</v>
      </c>
      <c r="BB56" s="287">
        <f t="shared" ca="1" si="6"/>
        <v>-2.1255520003200004</v>
      </c>
      <c r="BC56" s="287">
        <f t="shared" ca="1" si="7"/>
        <v>-1.06055726112</v>
      </c>
      <c r="BD56" s="287">
        <f t="shared" ca="1" si="8"/>
        <v>-0.70555901472000027</v>
      </c>
      <c r="BE56" s="287">
        <f t="shared" ca="1" si="9"/>
        <v>-0.53471610864000008</v>
      </c>
      <c r="BF56" s="287">
        <f t="shared" ca="1" si="10"/>
        <v>-0.64343432160000025</v>
      </c>
      <c r="BG56" s="877"/>
      <c r="BH56" s="45"/>
      <c r="BI56" s="45"/>
    </row>
    <row r="57" spans="1:61" s="252" customFormat="1" ht="17.100000000000001" customHeight="1">
      <c r="A57" s="13"/>
      <c r="B57" s="119"/>
      <c r="C57" s="25"/>
      <c r="D57" s="26"/>
      <c r="E57" s="26"/>
      <c r="F57" s="26"/>
      <c r="G57" s="825"/>
      <c r="H57" s="845" t="str">
        <f ca="1">R24&amp;" kN/m2"</f>
        <v>0.738 kN/m2</v>
      </c>
      <c r="I57" s="846"/>
      <c r="J57" s="846"/>
      <c r="K57" s="847"/>
      <c r="L57" s="845"/>
      <c r="M57" s="846"/>
      <c r="N57" s="846"/>
      <c r="O57" s="846"/>
      <c r="P57" s="846"/>
      <c r="Q57" s="914"/>
      <c r="R57" s="846"/>
      <c r="S57" s="846"/>
      <c r="T57" s="846"/>
      <c r="U57" s="847"/>
      <c r="V57" s="846"/>
      <c r="W57" s="846"/>
      <c r="X57" s="846"/>
      <c r="Y57" s="846"/>
      <c r="Z57" s="847"/>
      <c r="AA57" s="38"/>
      <c r="AB57" s="120"/>
      <c r="AC57" s="13"/>
      <c r="AD57" s="43"/>
      <c r="AE57" s="43"/>
      <c r="AF57" s="43"/>
      <c r="AG57" s="43"/>
      <c r="AH57" s="45">
        <v>-2</v>
      </c>
      <c r="AI57" s="45" t="b">
        <f t="shared" si="0"/>
        <v>0</v>
      </c>
      <c r="AJ57" s="45" t="b">
        <f t="shared" si="11"/>
        <v>0</v>
      </c>
      <c r="AK57" s="281" t="b">
        <f t="shared" si="12"/>
        <v>0</v>
      </c>
      <c r="AL57" s="145">
        <f t="shared" si="43"/>
        <v>-2.2199999999999998</v>
      </c>
      <c r="AM57" s="145">
        <f t="shared" si="44"/>
        <v>-1.2</v>
      </c>
      <c r="AN57" s="145">
        <f t="shared" si="45"/>
        <v>-0.74</v>
      </c>
      <c r="AO57" s="145">
        <f t="shared" si="46"/>
        <v>-0.47</v>
      </c>
      <c r="AP57" s="145">
        <f t="shared" si="47"/>
        <v>-0.62000000000000011</v>
      </c>
      <c r="AQ57" s="287">
        <f t="shared" ca="1" si="1"/>
        <v>-2.4628003344000002</v>
      </c>
      <c r="AR57" s="287">
        <f t="shared" ca="1" si="2"/>
        <v>-1.3312434240000002</v>
      </c>
      <c r="AS57" s="287">
        <f t="shared" ca="1" si="3"/>
        <v>-0.82093344480000019</v>
      </c>
      <c r="AT57" s="287">
        <f t="shared" ca="1" si="4"/>
        <v>-0.52140367440000013</v>
      </c>
      <c r="AU57" s="287">
        <f t="shared" ca="1" si="5"/>
        <v>-0.68780910240000026</v>
      </c>
      <c r="AV57" s="877"/>
      <c r="AW57" s="145">
        <f t="shared" si="48"/>
        <v>-1.6739999999999999</v>
      </c>
      <c r="AX57" s="145">
        <f t="shared" si="48"/>
        <v>-0.83399999999999985</v>
      </c>
      <c r="AY57" s="145">
        <f t="shared" si="48"/>
        <v>-0.55400000000000016</v>
      </c>
      <c r="AZ57" s="145">
        <f t="shared" si="48"/>
        <v>-0.47299999999999998</v>
      </c>
      <c r="BA57" s="145">
        <f t="shared" si="49"/>
        <v>-0.62000000000000011</v>
      </c>
      <c r="BB57" s="287">
        <f t="shared" ca="1" si="6"/>
        <v>-1.8570845764800004</v>
      </c>
      <c r="BC57" s="287">
        <f t="shared" ca="1" si="7"/>
        <v>-0.92521417967999997</v>
      </c>
      <c r="BD57" s="287">
        <f t="shared" ca="1" si="8"/>
        <v>-0.61459071408000032</v>
      </c>
      <c r="BE57" s="287">
        <f t="shared" ca="1" si="9"/>
        <v>-0.52473178296000011</v>
      </c>
      <c r="BF57" s="287">
        <f t="shared" ca="1" si="10"/>
        <v>-0.68780910240000026</v>
      </c>
      <c r="BG57" s="877"/>
      <c r="BH57" s="45"/>
      <c r="BI57" s="45"/>
    </row>
    <row r="58" spans="1:61" s="252" customFormat="1" ht="17.100000000000001" customHeight="1" thickBot="1">
      <c r="A58" s="13"/>
      <c r="B58" s="119"/>
      <c r="C58" s="25"/>
      <c r="D58" s="26"/>
      <c r="E58" s="26"/>
      <c r="F58" s="26"/>
      <c r="G58" s="825"/>
      <c r="H58" s="848"/>
      <c r="I58" s="849"/>
      <c r="J58" s="849"/>
      <c r="K58" s="850"/>
      <c r="L58" s="848"/>
      <c r="M58" s="849"/>
      <c r="N58" s="849"/>
      <c r="O58" s="849"/>
      <c r="P58" s="849"/>
      <c r="Q58" s="918"/>
      <c r="R58" s="849"/>
      <c r="S58" s="849"/>
      <c r="T58" s="849"/>
      <c r="U58" s="850"/>
      <c r="V58" s="849"/>
      <c r="W58" s="849"/>
      <c r="X58" s="849"/>
      <c r="Y58" s="849"/>
      <c r="Z58" s="850"/>
      <c r="AA58" s="38"/>
      <c r="AB58" s="120"/>
      <c r="AC58" s="13"/>
      <c r="AD58" s="43"/>
      <c r="AE58" s="43"/>
      <c r="AF58" s="43"/>
      <c r="AG58" s="43"/>
      <c r="AH58" s="45">
        <v>-1</v>
      </c>
      <c r="AI58" s="45" t="b">
        <f t="shared" si="0"/>
        <v>0</v>
      </c>
      <c r="AJ58" s="45" t="b">
        <f t="shared" si="11"/>
        <v>0</v>
      </c>
      <c r="AK58" s="281" t="b">
        <f t="shared" si="12"/>
        <v>0</v>
      </c>
      <c r="AL58" s="145">
        <f t="shared" si="43"/>
        <v>-2.1599999999999997</v>
      </c>
      <c r="AM58" s="145">
        <f t="shared" si="44"/>
        <v>-1.2</v>
      </c>
      <c r="AN58" s="145">
        <f t="shared" si="45"/>
        <v>-0.72</v>
      </c>
      <c r="AO58" s="145">
        <f t="shared" si="46"/>
        <v>-0.45999999999999996</v>
      </c>
      <c r="AP58" s="145">
        <f t="shared" si="47"/>
        <v>-0.66000000000000014</v>
      </c>
      <c r="AQ58" s="287">
        <f t="shared" ca="1" si="1"/>
        <v>-2.3962381632</v>
      </c>
      <c r="AR58" s="287">
        <f t="shared" ca="1" si="2"/>
        <v>-1.3312434240000002</v>
      </c>
      <c r="AS58" s="287">
        <f t="shared" ca="1" si="3"/>
        <v>-0.79874605440000013</v>
      </c>
      <c r="AT58" s="287">
        <f t="shared" ca="1" si="4"/>
        <v>-0.5103099792000001</v>
      </c>
      <c r="AU58" s="287">
        <f t="shared" ca="1" si="5"/>
        <v>-0.73218388320000027</v>
      </c>
      <c r="AV58" s="877"/>
      <c r="AW58" s="145">
        <f t="shared" si="48"/>
        <v>-1.4319999999999999</v>
      </c>
      <c r="AX58" s="145">
        <f t="shared" si="48"/>
        <v>-0.71199999999999986</v>
      </c>
      <c r="AY58" s="145">
        <f t="shared" si="48"/>
        <v>-0.47200000000000014</v>
      </c>
      <c r="AZ58" s="145">
        <f t="shared" si="48"/>
        <v>-0.46399999999999997</v>
      </c>
      <c r="BA58" s="145">
        <f t="shared" si="49"/>
        <v>-0.66000000000000014</v>
      </c>
      <c r="BB58" s="287">
        <f t="shared" ca="1" si="6"/>
        <v>-1.5886171526400001</v>
      </c>
      <c r="BC58" s="287">
        <f t="shared" ca="1" si="7"/>
        <v>-0.78987109824000001</v>
      </c>
      <c r="BD58" s="287">
        <f t="shared" ca="1" si="8"/>
        <v>-0.52362241344000027</v>
      </c>
      <c r="BE58" s="287">
        <f t="shared" ca="1" si="9"/>
        <v>-0.51474745728000004</v>
      </c>
      <c r="BF58" s="287">
        <f t="shared" ca="1" si="10"/>
        <v>-0.73218388320000027</v>
      </c>
      <c r="BG58" s="877"/>
      <c r="BH58" s="45"/>
      <c r="BI58" s="45"/>
    </row>
    <row r="59" spans="1:61" s="252" customFormat="1" ht="17.100000000000001" customHeight="1">
      <c r="A59" s="13"/>
      <c r="B59" s="119"/>
      <c r="C59" s="29"/>
      <c r="D59" s="30"/>
      <c r="E59" s="30"/>
      <c r="F59" s="30"/>
      <c r="G59" s="30"/>
      <c r="H59" s="30"/>
      <c r="I59" s="30"/>
      <c r="J59" s="30"/>
      <c r="K59" s="30"/>
      <c r="L59" s="30"/>
      <c r="M59" s="30"/>
      <c r="N59" s="30"/>
      <c r="O59" s="30"/>
      <c r="P59" s="30"/>
      <c r="Q59" s="30"/>
      <c r="R59" s="30"/>
      <c r="S59" s="30"/>
      <c r="T59" s="30"/>
      <c r="U59" s="30"/>
      <c r="V59" s="30"/>
      <c r="W59" s="30"/>
      <c r="X59" s="30"/>
      <c r="Y59" s="30"/>
      <c r="Z59" s="30"/>
      <c r="AA59" s="39"/>
      <c r="AB59" s="120"/>
      <c r="AC59" s="13"/>
      <c r="AD59" s="43"/>
      <c r="AE59" s="43"/>
      <c r="AF59" s="43"/>
      <c r="AG59" s="43"/>
      <c r="AH59" s="45">
        <v>1</v>
      </c>
      <c r="AI59" s="45" t="b">
        <f t="shared" si="0"/>
        <v>0</v>
      </c>
      <c r="AJ59" s="45" t="b">
        <f t="shared" si="11"/>
        <v>0</v>
      </c>
      <c r="AK59" s="281" t="b">
        <f t="shared" si="12"/>
        <v>0</v>
      </c>
      <c r="AL59" s="145">
        <f t="shared" si="43"/>
        <v>-2.0999999999999996</v>
      </c>
      <c r="AM59" s="145">
        <f t="shared" si="44"/>
        <v>-1.2</v>
      </c>
      <c r="AN59" s="145">
        <f t="shared" si="45"/>
        <v>-0.7</v>
      </c>
      <c r="AO59" s="145">
        <f t="shared" si="46"/>
        <v>-0.44999999999999996</v>
      </c>
      <c r="AP59" s="145">
        <f t="shared" si="47"/>
        <v>-0.70000000000000018</v>
      </c>
      <c r="AQ59" s="287">
        <f t="shared" ca="1" si="1"/>
        <v>-2.3296759919999999</v>
      </c>
      <c r="AR59" s="287">
        <f t="shared" ca="1" si="2"/>
        <v>-1.3312434240000002</v>
      </c>
      <c r="AS59" s="287">
        <f t="shared" ca="1" si="3"/>
        <v>-0.77655866400000007</v>
      </c>
      <c r="AT59" s="287">
        <f t="shared" ca="1" si="4"/>
        <v>-0.49921628400000007</v>
      </c>
      <c r="AU59" s="287">
        <f t="shared" ca="1" si="5"/>
        <v>-0.7765586640000004</v>
      </c>
      <c r="AV59" s="877"/>
      <c r="AW59" s="145">
        <f t="shared" si="48"/>
        <v>-1.19</v>
      </c>
      <c r="AX59" s="145">
        <f t="shared" si="48"/>
        <v>-0.58999999999999986</v>
      </c>
      <c r="AY59" s="145">
        <f t="shared" si="48"/>
        <v>-0.39000000000000012</v>
      </c>
      <c r="AZ59" s="145">
        <f t="shared" si="48"/>
        <v>-0.45499999999999996</v>
      </c>
      <c r="BA59" s="145">
        <f t="shared" si="49"/>
        <v>-0.70000000000000018</v>
      </c>
      <c r="BB59" s="287">
        <f t="shared" ca="1" si="6"/>
        <v>-1.3201497288000001</v>
      </c>
      <c r="BC59" s="287">
        <f t="shared" ca="1" si="7"/>
        <v>-0.65452801679999995</v>
      </c>
      <c r="BD59" s="287">
        <f t="shared" ca="1" si="8"/>
        <v>-0.43265411280000021</v>
      </c>
      <c r="BE59" s="287">
        <f t="shared" ca="1" si="9"/>
        <v>-0.50476313160000008</v>
      </c>
      <c r="BF59" s="287">
        <f t="shared" ca="1" si="10"/>
        <v>-0.7765586640000004</v>
      </c>
      <c r="BG59" s="877"/>
      <c r="BH59" s="45"/>
      <c r="BI59" s="45"/>
    </row>
    <row r="60" spans="1:61" s="252" customFormat="1" ht="17.100000000000001" customHeight="1">
      <c r="A60" s="13"/>
      <c r="B60" s="119"/>
      <c r="C60" s="23"/>
      <c r="D60" s="23"/>
      <c r="E60" s="23"/>
      <c r="F60" s="23"/>
      <c r="G60" s="23"/>
      <c r="H60" s="23"/>
      <c r="I60" s="23"/>
      <c r="J60" s="23"/>
      <c r="K60" s="23"/>
      <c r="L60" s="23"/>
      <c r="M60" s="23"/>
      <c r="N60" s="23"/>
      <c r="O60" s="23"/>
      <c r="P60" s="23"/>
      <c r="Q60" s="23"/>
      <c r="R60" s="23"/>
      <c r="S60" s="23"/>
      <c r="T60" s="23"/>
      <c r="U60" s="23"/>
      <c r="V60" s="23"/>
      <c r="W60" s="23"/>
      <c r="X60" s="23"/>
      <c r="Y60" s="23"/>
      <c r="Z60" s="23"/>
      <c r="AA60" s="408" t="s">
        <v>500</v>
      </c>
      <c r="AB60" s="120"/>
      <c r="AC60" s="13"/>
      <c r="AD60" s="43"/>
      <c r="AE60" s="43"/>
      <c r="AF60" s="43"/>
      <c r="AG60" s="43"/>
      <c r="AH60" s="45">
        <v>2</v>
      </c>
      <c r="AI60" s="45" t="b">
        <f t="shared" si="0"/>
        <v>0</v>
      </c>
      <c r="AJ60" s="45" t="b">
        <f t="shared" si="11"/>
        <v>0</v>
      </c>
      <c r="AK60" s="281" t="b">
        <f t="shared" si="12"/>
        <v>0</v>
      </c>
      <c r="AL60" s="145">
        <f t="shared" si="43"/>
        <v>-2.0399999999999996</v>
      </c>
      <c r="AM60" s="145">
        <f t="shared" si="44"/>
        <v>-1.2</v>
      </c>
      <c r="AN60" s="145">
        <f t="shared" si="45"/>
        <v>-0.67999999999999994</v>
      </c>
      <c r="AO60" s="145">
        <f t="shared" si="46"/>
        <v>-0.43999999999999995</v>
      </c>
      <c r="AP60" s="145">
        <f t="shared" si="47"/>
        <v>-0.74000000000000021</v>
      </c>
      <c r="AQ60" s="287">
        <f t="shared" ca="1" si="1"/>
        <v>-2.2631138208000001</v>
      </c>
      <c r="AR60" s="287">
        <f t="shared" ca="1" si="2"/>
        <v>-1.3312434240000002</v>
      </c>
      <c r="AS60" s="287">
        <f t="shared" ca="1" si="3"/>
        <v>-0.75437127360000011</v>
      </c>
      <c r="AT60" s="287">
        <f t="shared" ca="1" si="4"/>
        <v>-0.48812258880000003</v>
      </c>
      <c r="AU60" s="287">
        <f t="shared" ca="1" si="5"/>
        <v>-0.82093344480000041</v>
      </c>
      <c r="AV60" s="877"/>
      <c r="AW60" s="145">
        <f t="shared" si="48"/>
        <v>-0.94799999999999995</v>
      </c>
      <c r="AX60" s="145">
        <f t="shared" si="48"/>
        <v>-0.46799999999999986</v>
      </c>
      <c r="AY60" s="145">
        <f t="shared" si="48"/>
        <v>-0.30800000000000011</v>
      </c>
      <c r="AZ60" s="145">
        <f t="shared" si="48"/>
        <v>-0.44599999999999995</v>
      </c>
      <c r="BA60" s="145">
        <f t="shared" si="49"/>
        <v>-0.74000000000000021</v>
      </c>
      <c r="BB60" s="287">
        <f t="shared" ca="1" si="6"/>
        <v>-1.0516823049600001</v>
      </c>
      <c r="BC60" s="287">
        <f t="shared" ca="1" si="7"/>
        <v>-0.51918493535999999</v>
      </c>
      <c r="BD60" s="287">
        <f t="shared" ca="1" si="8"/>
        <v>-0.34168581216000021</v>
      </c>
      <c r="BE60" s="287">
        <f t="shared" ca="1" si="9"/>
        <v>-0.49477880592000006</v>
      </c>
      <c r="BF60" s="287">
        <f t="shared" ca="1" si="10"/>
        <v>-0.82093344480000041</v>
      </c>
      <c r="BG60" s="877"/>
      <c r="BH60" s="45"/>
      <c r="BI60" s="45"/>
    </row>
    <row r="61" spans="1:61" s="252" customFormat="1" ht="17.100000000000001" customHeight="1" thickBot="1">
      <c r="A61" s="13"/>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409" t="s">
        <v>395</v>
      </c>
      <c r="AB61" s="126"/>
      <c r="AC61" s="13"/>
      <c r="AD61" s="43"/>
      <c r="AE61" s="43"/>
      <c r="AF61" s="43"/>
      <c r="AG61" s="43"/>
      <c r="AH61" s="45">
        <v>3</v>
      </c>
      <c r="AI61" s="45" t="b">
        <f t="shared" si="0"/>
        <v>0</v>
      </c>
      <c r="AJ61" s="45" t="b">
        <f t="shared" si="11"/>
        <v>0</v>
      </c>
      <c r="AK61" s="281" t="b">
        <f t="shared" si="12"/>
        <v>0</v>
      </c>
      <c r="AL61" s="145">
        <f t="shared" si="43"/>
        <v>-1.9799999999999995</v>
      </c>
      <c r="AM61" s="145">
        <f t="shared" si="44"/>
        <v>-1.2</v>
      </c>
      <c r="AN61" s="145">
        <f t="shared" si="45"/>
        <v>-0.65999999999999992</v>
      </c>
      <c r="AO61" s="145">
        <f t="shared" si="46"/>
        <v>-0.42999999999999994</v>
      </c>
      <c r="AP61" s="145">
        <f t="shared" si="47"/>
        <v>-0.78000000000000025</v>
      </c>
      <c r="AQ61" s="287">
        <f t="shared" ca="1" si="1"/>
        <v>-2.1965516495999999</v>
      </c>
      <c r="AR61" s="287">
        <f t="shared" ca="1" si="2"/>
        <v>-1.3312434240000002</v>
      </c>
      <c r="AS61" s="287">
        <f t="shared" ca="1" si="3"/>
        <v>-0.73218388320000005</v>
      </c>
      <c r="AT61" s="287">
        <f t="shared" ca="1" si="4"/>
        <v>-0.4770288936</v>
      </c>
      <c r="AU61" s="287">
        <f t="shared" ca="1" si="5"/>
        <v>-0.86530822560000042</v>
      </c>
      <c r="AV61" s="877"/>
      <c r="AW61" s="145">
        <f t="shared" si="48"/>
        <v>-0.70599999999999996</v>
      </c>
      <c r="AX61" s="145">
        <f t="shared" si="48"/>
        <v>-0.34599999999999986</v>
      </c>
      <c r="AY61" s="145">
        <f t="shared" si="48"/>
        <v>-0.22600000000000009</v>
      </c>
      <c r="AZ61" s="145">
        <f t="shared" si="48"/>
        <v>-0.43699999999999994</v>
      </c>
      <c r="BA61" s="145">
        <f t="shared" si="49"/>
        <v>-0.78000000000000025</v>
      </c>
      <c r="BB61" s="287">
        <f t="shared" ca="1" si="6"/>
        <v>-0.78321488112000015</v>
      </c>
      <c r="BC61" s="287">
        <f t="shared" ca="1" si="7"/>
        <v>-0.38384185391999992</v>
      </c>
      <c r="BD61" s="287">
        <f t="shared" ca="1" si="8"/>
        <v>-0.25071751152000016</v>
      </c>
      <c r="BE61" s="287">
        <f t="shared" ca="1" si="9"/>
        <v>-0.48479448024000005</v>
      </c>
      <c r="BF61" s="287">
        <f t="shared" ca="1" si="10"/>
        <v>-0.86530822560000042</v>
      </c>
      <c r="BG61" s="877"/>
      <c r="BH61" s="45"/>
      <c r="BI61" s="45"/>
    </row>
    <row r="62" spans="1:61" s="252" customFormat="1" ht="1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43"/>
      <c r="AE62" s="43"/>
      <c r="AF62" s="43"/>
      <c r="AG62" s="43"/>
      <c r="AH62" s="45">
        <v>4</v>
      </c>
      <c r="AI62" s="45" t="b">
        <f t="shared" si="0"/>
        <v>0</v>
      </c>
      <c r="AJ62" s="45" t="b">
        <f t="shared" si="11"/>
        <v>0</v>
      </c>
      <c r="AK62" s="281" t="b">
        <f t="shared" si="12"/>
        <v>0</v>
      </c>
      <c r="AL62" s="145">
        <f t="shared" si="43"/>
        <v>-1.9199999999999995</v>
      </c>
      <c r="AM62" s="145">
        <f t="shared" si="44"/>
        <v>-1.2</v>
      </c>
      <c r="AN62" s="145">
        <f t="shared" si="45"/>
        <v>-0.6399999999999999</v>
      </c>
      <c r="AO62" s="145">
        <f t="shared" si="46"/>
        <v>-0.41999999999999993</v>
      </c>
      <c r="AP62" s="145">
        <f t="shared" si="47"/>
        <v>-0.82000000000000028</v>
      </c>
      <c r="AQ62" s="287">
        <f t="shared" ca="1" si="1"/>
        <v>-2.1299894783999997</v>
      </c>
      <c r="AR62" s="287">
        <f t="shared" ca="1" si="2"/>
        <v>-1.3312434240000002</v>
      </c>
      <c r="AS62" s="287">
        <f t="shared" ca="1" si="3"/>
        <v>-0.70999649279999999</v>
      </c>
      <c r="AT62" s="287">
        <f t="shared" ca="1" si="4"/>
        <v>-0.46593519840000003</v>
      </c>
      <c r="AU62" s="287">
        <f t="shared" ca="1" si="5"/>
        <v>-0.90968300640000055</v>
      </c>
      <c r="AV62" s="877"/>
      <c r="AW62" s="145">
        <f t="shared" si="48"/>
        <v>-0.46399999999999997</v>
      </c>
      <c r="AX62" s="145">
        <f t="shared" si="48"/>
        <v>-0.22399999999999987</v>
      </c>
      <c r="AY62" s="145">
        <f t="shared" si="48"/>
        <v>-0.14400000000000007</v>
      </c>
      <c r="AZ62" s="145">
        <f t="shared" si="48"/>
        <v>-0.42799999999999994</v>
      </c>
      <c r="BA62" s="145">
        <f t="shared" si="49"/>
        <v>-0.82000000000000028</v>
      </c>
      <c r="BB62" s="287">
        <f t="shared" ca="1" si="6"/>
        <v>-0.51474745728000004</v>
      </c>
      <c r="BC62" s="287">
        <f t="shared" ca="1" si="7"/>
        <v>-0.24849877247999991</v>
      </c>
      <c r="BD62" s="287">
        <f t="shared" ca="1" si="8"/>
        <v>-0.1597492108800001</v>
      </c>
      <c r="BE62" s="287">
        <f t="shared" ca="1" si="9"/>
        <v>-0.47481015456000003</v>
      </c>
      <c r="BF62" s="287">
        <f t="shared" ca="1" si="10"/>
        <v>-0.90968300640000055</v>
      </c>
      <c r="BG62" s="877"/>
      <c r="BH62" s="45"/>
      <c r="BI62" s="45"/>
    </row>
    <row r="63" spans="1:61" s="252" customFormat="1" ht="15" hidden="1"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43"/>
      <c r="AE63" s="43"/>
      <c r="AF63" s="43"/>
      <c r="AG63" s="43"/>
      <c r="AH63" s="276">
        <v>5</v>
      </c>
      <c r="AI63" s="45" t="b">
        <f t="shared" si="0"/>
        <v>0</v>
      </c>
      <c r="AJ63" s="45" t="b">
        <f t="shared" si="11"/>
        <v>0</v>
      </c>
      <c r="AK63" s="281" t="b">
        <f t="shared" si="12"/>
        <v>0</v>
      </c>
      <c r="AL63" s="287">
        <v>-1.8</v>
      </c>
      <c r="AM63" s="287">
        <v>-1.2</v>
      </c>
      <c r="AN63" s="287">
        <v>-0.6</v>
      </c>
      <c r="AO63" s="287">
        <v>-0.4</v>
      </c>
      <c r="AP63" s="287">
        <v>-0.9</v>
      </c>
      <c r="AQ63" s="287">
        <f t="shared" ca="1" si="1"/>
        <v>-1.9968651360000005</v>
      </c>
      <c r="AR63" s="287">
        <f t="shared" ca="1" si="2"/>
        <v>-1.3312434240000002</v>
      </c>
      <c r="AS63" s="287">
        <f t="shared" ca="1" si="3"/>
        <v>-0.66562171200000009</v>
      </c>
      <c r="AT63" s="287">
        <f t="shared" ca="1" si="4"/>
        <v>-0.44374780800000013</v>
      </c>
      <c r="AU63" s="287">
        <f t="shared" ca="1" si="5"/>
        <v>-0.99843256800000024</v>
      </c>
      <c r="AV63" s="877"/>
      <c r="AW63" s="287">
        <v>0</v>
      </c>
      <c r="AX63" s="287">
        <v>0</v>
      </c>
      <c r="AY63" s="287">
        <v>0</v>
      </c>
      <c r="AZ63" s="287">
        <v>-0.4</v>
      </c>
      <c r="BA63" s="287">
        <v>-0.9</v>
      </c>
      <c r="BB63" s="287">
        <f t="shared" ca="1" si="6"/>
        <v>0</v>
      </c>
      <c r="BC63" s="287">
        <f t="shared" ca="1" si="7"/>
        <v>0</v>
      </c>
      <c r="BD63" s="287">
        <f t="shared" ca="1" si="8"/>
        <v>0</v>
      </c>
      <c r="BE63" s="287">
        <f t="shared" ca="1" si="9"/>
        <v>-0.44374780800000013</v>
      </c>
      <c r="BF63" s="287">
        <f t="shared" ca="1" si="10"/>
        <v>-0.99843256800000024</v>
      </c>
      <c r="BG63" s="877"/>
      <c r="BH63" s="45"/>
      <c r="BI63" s="45"/>
    </row>
    <row r="64" spans="1:61" s="252" customFormat="1" ht="15" hidden="1" customHeight="1">
      <c r="A64" s="13"/>
      <c r="B64" s="13"/>
      <c r="C64" s="13"/>
      <c r="D64" s="13"/>
      <c r="E64" s="13"/>
      <c r="F64" s="13"/>
      <c r="G64" s="13"/>
      <c r="L64" s="13"/>
      <c r="M64" s="13"/>
      <c r="N64" s="13"/>
      <c r="O64" s="13"/>
      <c r="P64" s="13"/>
      <c r="Q64" s="13"/>
      <c r="R64" s="13"/>
      <c r="S64" s="13"/>
      <c r="T64" s="13"/>
      <c r="U64" s="13"/>
      <c r="V64" s="13"/>
      <c r="W64" s="13"/>
      <c r="X64" s="13"/>
      <c r="Y64" s="13"/>
      <c r="Z64" s="13"/>
      <c r="AA64" s="13"/>
      <c r="AB64" s="13"/>
      <c r="AC64" s="13"/>
      <c r="AD64" s="43"/>
      <c r="AE64" s="43"/>
      <c r="AF64" s="43"/>
      <c r="AG64" s="43"/>
      <c r="AH64" s="45">
        <v>6</v>
      </c>
      <c r="AI64" s="45" t="b">
        <f t="shared" si="0"/>
        <v>0</v>
      </c>
      <c r="AJ64" s="45" t="b">
        <f t="shared" si="11"/>
        <v>0</v>
      </c>
      <c r="AK64" s="281" t="b">
        <f t="shared" si="12"/>
        <v>0</v>
      </c>
      <c r="AL64" s="145">
        <f>+ABS($AL$63-$AL$73)/10+AL63</f>
        <v>-1.73</v>
      </c>
      <c r="AM64" s="145">
        <f>+ABS($AM$63-$AM$73)/10+AM63</f>
        <v>-1.1599999999999999</v>
      </c>
      <c r="AN64" s="145">
        <f>+ABS($AN$63-$AN$73)/10+AN63</f>
        <v>-0.57999999999999996</v>
      </c>
      <c r="AO64" s="145">
        <f>+ABS($AO$63-$AO$73)/10+AO63</f>
        <v>-0.39</v>
      </c>
      <c r="AP64" s="145">
        <f>0-(ABS($AP$63-$AP$73)/10-AP63)</f>
        <v>-0.94000000000000006</v>
      </c>
      <c r="AQ64" s="287">
        <f t="shared" ca="1" si="1"/>
        <v>-1.9192092696000003</v>
      </c>
      <c r="AR64" s="287">
        <f t="shared" ca="1" si="2"/>
        <v>-1.2868686432000003</v>
      </c>
      <c r="AS64" s="287">
        <f t="shared" ca="1" si="3"/>
        <v>-0.64343432160000014</v>
      </c>
      <c r="AT64" s="287">
        <f t="shared" ca="1" si="4"/>
        <v>-0.4326541128000001</v>
      </c>
      <c r="AU64" s="287">
        <f t="shared" ca="1" si="5"/>
        <v>-1.0428073488000003</v>
      </c>
      <c r="AV64" s="877"/>
      <c r="AW64" s="145">
        <f>0.2/10+AW63</f>
        <v>0.02</v>
      </c>
      <c r="AX64" s="145">
        <f>0.2/10+AX63</f>
        <v>0.02</v>
      </c>
      <c r="AY64" s="145">
        <f>0.2/10+AY63</f>
        <v>0.02</v>
      </c>
      <c r="AZ64" s="145">
        <f>-0.1/10+AZ63</f>
        <v>-0.41000000000000003</v>
      </c>
      <c r="BA64" s="145">
        <f>-0.4/10+BA63</f>
        <v>-0.94000000000000006</v>
      </c>
      <c r="BB64" s="287">
        <f t="shared" ca="1" si="6"/>
        <v>2.2187390400000003E-2</v>
      </c>
      <c r="BC64" s="287">
        <f t="shared" ca="1" si="7"/>
        <v>2.2187390400000003E-2</v>
      </c>
      <c r="BD64" s="287">
        <f t="shared" ca="1" si="8"/>
        <v>2.2187390400000003E-2</v>
      </c>
      <c r="BE64" s="287">
        <f t="shared" ca="1" si="9"/>
        <v>-0.45484150320000011</v>
      </c>
      <c r="BF64" s="287">
        <f t="shared" ca="1" si="10"/>
        <v>-1.0428073488000003</v>
      </c>
      <c r="BG64" s="877"/>
      <c r="BH64" s="45"/>
      <c r="BI64" s="45"/>
    </row>
    <row r="65" spans="1:61" s="252" customFormat="1" ht="15" hidden="1" customHeight="1">
      <c r="A65" s="13"/>
      <c r="B65" s="13"/>
      <c r="C65" s="13"/>
      <c r="D65" s="13"/>
      <c r="O65" s="13"/>
      <c r="P65" s="13"/>
      <c r="Q65" s="13"/>
      <c r="R65" s="13"/>
      <c r="S65" s="13"/>
      <c r="T65" s="13"/>
      <c r="U65" s="13"/>
      <c r="V65" s="13"/>
      <c r="W65" s="13"/>
      <c r="X65" s="13"/>
      <c r="Y65" s="13"/>
      <c r="Z65" s="13"/>
      <c r="AA65" s="13"/>
      <c r="AB65" s="13"/>
      <c r="AC65" s="13"/>
      <c r="AD65" s="43"/>
      <c r="AE65" s="43"/>
      <c r="AF65" s="43"/>
      <c r="AG65" s="43"/>
      <c r="AH65" s="45">
        <v>7</v>
      </c>
      <c r="AI65" s="45" t="b">
        <f t="shared" si="0"/>
        <v>0</v>
      </c>
      <c r="AJ65" s="45" t="b">
        <f t="shared" si="11"/>
        <v>0</v>
      </c>
      <c r="AK65" s="281" t="b">
        <f t="shared" si="12"/>
        <v>0</v>
      </c>
      <c r="AL65" s="145">
        <f t="shared" ref="AL65:AL72" si="50">+ABS($AL$63-$AL$73)/10+AL64</f>
        <v>-1.66</v>
      </c>
      <c r="AM65" s="145">
        <f t="shared" ref="AM65:AM72" si="51">+ABS($AM$63-$AM$73)/10+AM64</f>
        <v>-1.1199999999999999</v>
      </c>
      <c r="AN65" s="145">
        <f t="shared" ref="AN65:AN72" si="52">+ABS($AN$63-$AN$73)/10+AN64</f>
        <v>-0.55999999999999994</v>
      </c>
      <c r="AO65" s="145">
        <f t="shared" ref="AO65:AO72" si="53">+ABS($AO$63-$AO$73)/10+AO64</f>
        <v>-0.38</v>
      </c>
      <c r="AP65" s="145">
        <f t="shared" ref="AP65:AP72" si="54">0-(ABS($AP$63-$AP$73)/10-AP64)</f>
        <v>-0.98000000000000009</v>
      </c>
      <c r="AQ65" s="287">
        <f t="shared" ca="1" si="1"/>
        <v>-1.8415534032000003</v>
      </c>
      <c r="AR65" s="287">
        <f t="shared" ca="1" si="2"/>
        <v>-1.2424938624000001</v>
      </c>
      <c r="AS65" s="287">
        <f t="shared" ca="1" si="3"/>
        <v>-0.62124693120000007</v>
      </c>
      <c r="AT65" s="287">
        <f t="shared" ca="1" si="4"/>
        <v>-0.42156041760000007</v>
      </c>
      <c r="AU65" s="287">
        <f t="shared" ca="1" si="5"/>
        <v>-1.0871821296000004</v>
      </c>
      <c r="AV65" s="877"/>
      <c r="AW65" s="145">
        <f t="shared" ref="AW65:AW72" si="55">0.2/10+AW64</f>
        <v>0.04</v>
      </c>
      <c r="AX65" s="145">
        <f t="shared" ref="AX65:AX72" si="56">0.2/10+AX64</f>
        <v>0.04</v>
      </c>
      <c r="AY65" s="145">
        <f t="shared" ref="AY65:AY72" si="57">0.2/10+AY64</f>
        <v>0.04</v>
      </c>
      <c r="AZ65" s="145">
        <f t="shared" ref="AZ65:AZ72" si="58">-0.1/10+AZ64</f>
        <v>-0.42000000000000004</v>
      </c>
      <c r="BA65" s="145">
        <f t="shared" ref="BA65:BA72" si="59">-0.4/10+BA64</f>
        <v>-0.98000000000000009</v>
      </c>
      <c r="BB65" s="287">
        <f t="shared" ca="1" si="6"/>
        <v>4.4374780800000006E-2</v>
      </c>
      <c r="BC65" s="287">
        <f t="shared" ca="1" si="7"/>
        <v>4.4374780800000006E-2</v>
      </c>
      <c r="BD65" s="287">
        <f t="shared" ca="1" si="8"/>
        <v>4.4374780800000006E-2</v>
      </c>
      <c r="BE65" s="287">
        <f t="shared" ca="1" si="9"/>
        <v>-0.46593519840000014</v>
      </c>
      <c r="BF65" s="287">
        <f t="shared" ca="1" si="10"/>
        <v>-1.0871821296000004</v>
      </c>
      <c r="BG65" s="877"/>
      <c r="BH65" s="45"/>
      <c r="BI65" s="45"/>
    </row>
    <row r="66" spans="1:61" s="252" customFormat="1" ht="15" hidden="1" customHeight="1">
      <c r="A66" s="13"/>
      <c r="B66" s="13"/>
      <c r="C66" s="13"/>
      <c r="D66" s="13"/>
      <c r="O66" s="13"/>
      <c r="P66" s="13"/>
      <c r="Q66" s="13"/>
      <c r="R66" s="13"/>
      <c r="S66" s="13"/>
      <c r="T66" s="13"/>
      <c r="U66" s="13"/>
      <c r="V66" s="13"/>
      <c r="W66" s="13"/>
      <c r="X66" s="13"/>
      <c r="Y66" s="13"/>
      <c r="Z66" s="13"/>
      <c r="AA66" s="13"/>
      <c r="AB66" s="13"/>
      <c r="AC66" s="13"/>
      <c r="AD66" s="43"/>
      <c r="AE66" s="43"/>
      <c r="AF66" s="43"/>
      <c r="AG66" s="43"/>
      <c r="AH66" s="45">
        <v>8</v>
      </c>
      <c r="AI66" s="45" t="b">
        <f t="shared" si="0"/>
        <v>0</v>
      </c>
      <c r="AJ66" s="45" t="b">
        <f t="shared" si="11"/>
        <v>0</v>
      </c>
      <c r="AK66" s="281" t="b">
        <f t="shared" si="12"/>
        <v>0</v>
      </c>
      <c r="AL66" s="145">
        <f t="shared" si="50"/>
        <v>-1.5899999999999999</v>
      </c>
      <c r="AM66" s="145">
        <f t="shared" si="51"/>
        <v>-1.0799999999999998</v>
      </c>
      <c r="AN66" s="145">
        <f t="shared" si="52"/>
        <v>-0.53999999999999992</v>
      </c>
      <c r="AO66" s="145">
        <f t="shared" si="53"/>
        <v>-0.37</v>
      </c>
      <c r="AP66" s="145">
        <f t="shared" si="54"/>
        <v>-1.02</v>
      </c>
      <c r="AQ66" s="287">
        <f t="shared" ca="1" si="1"/>
        <v>-1.7638975368000003</v>
      </c>
      <c r="AR66" s="287">
        <f t="shared" ca="1" si="2"/>
        <v>-1.1981190816</v>
      </c>
      <c r="AS66" s="287">
        <f t="shared" ca="1" si="3"/>
        <v>-0.59905954080000001</v>
      </c>
      <c r="AT66" s="287">
        <f t="shared" ca="1" si="4"/>
        <v>-0.41046672240000009</v>
      </c>
      <c r="AU66" s="287">
        <f t="shared" ca="1" si="5"/>
        <v>-1.1315569104000003</v>
      </c>
      <c r="AV66" s="877"/>
      <c r="AW66" s="145">
        <f t="shared" si="55"/>
        <v>0.06</v>
      </c>
      <c r="AX66" s="145">
        <f t="shared" si="56"/>
        <v>0.06</v>
      </c>
      <c r="AY66" s="145">
        <f t="shared" si="57"/>
        <v>0.06</v>
      </c>
      <c r="AZ66" s="145">
        <f t="shared" si="58"/>
        <v>-0.43000000000000005</v>
      </c>
      <c r="BA66" s="145">
        <f t="shared" si="59"/>
        <v>-1.02</v>
      </c>
      <c r="BB66" s="287">
        <f t="shared" ca="1" si="6"/>
        <v>6.6562171200000006E-2</v>
      </c>
      <c r="BC66" s="287">
        <f t="shared" ca="1" si="7"/>
        <v>6.6562171200000006E-2</v>
      </c>
      <c r="BD66" s="287">
        <f t="shared" ca="1" si="8"/>
        <v>6.6562171200000006E-2</v>
      </c>
      <c r="BE66" s="287">
        <f t="shared" ca="1" si="9"/>
        <v>-0.47702889360000017</v>
      </c>
      <c r="BF66" s="287">
        <f t="shared" ca="1" si="10"/>
        <v>-1.1315569104000003</v>
      </c>
      <c r="BG66" s="877"/>
      <c r="BH66" s="45"/>
      <c r="BI66" s="45"/>
    </row>
    <row r="67" spans="1:61" s="252" customFormat="1" ht="15" hidden="1" customHeight="1">
      <c r="A67" s="13"/>
      <c r="B67" s="13"/>
      <c r="AB67" s="13"/>
      <c r="AC67" s="13"/>
      <c r="AD67" s="43"/>
      <c r="AE67" s="43"/>
      <c r="AF67" s="43"/>
      <c r="AG67" s="43"/>
      <c r="AH67" s="45">
        <v>9</v>
      </c>
      <c r="AI67" s="45" t="b">
        <f t="shared" si="0"/>
        <v>0</v>
      </c>
      <c r="AJ67" s="45" t="b">
        <f t="shared" si="11"/>
        <v>0</v>
      </c>
      <c r="AK67" s="281" t="b">
        <f t="shared" si="12"/>
        <v>0</v>
      </c>
      <c r="AL67" s="145">
        <f t="shared" si="50"/>
        <v>-1.5199999999999998</v>
      </c>
      <c r="AM67" s="145">
        <f t="shared" si="51"/>
        <v>-1.0399999999999998</v>
      </c>
      <c r="AN67" s="145">
        <f t="shared" si="52"/>
        <v>-0.51999999999999991</v>
      </c>
      <c r="AO67" s="145">
        <f t="shared" si="53"/>
        <v>-0.36</v>
      </c>
      <c r="AP67" s="145">
        <f t="shared" si="54"/>
        <v>-1.06</v>
      </c>
      <c r="AQ67" s="287">
        <f t="shared" ca="1" si="1"/>
        <v>-1.6862416704000001</v>
      </c>
      <c r="AR67" s="287">
        <f t="shared" ca="1" si="2"/>
        <v>-1.1537443008000001</v>
      </c>
      <c r="AS67" s="287">
        <f t="shared" ca="1" si="3"/>
        <v>-0.57687215040000006</v>
      </c>
      <c r="AT67" s="287">
        <f t="shared" ca="1" si="4"/>
        <v>-0.39937302720000006</v>
      </c>
      <c r="AU67" s="287">
        <f t="shared" ca="1" si="5"/>
        <v>-1.1759316912000002</v>
      </c>
      <c r="AV67" s="877"/>
      <c r="AW67" s="145">
        <f t="shared" si="55"/>
        <v>0.08</v>
      </c>
      <c r="AX67" s="145">
        <f t="shared" si="56"/>
        <v>0.08</v>
      </c>
      <c r="AY67" s="145">
        <f t="shared" si="57"/>
        <v>0.08</v>
      </c>
      <c r="AZ67" s="145">
        <f t="shared" si="58"/>
        <v>-0.44000000000000006</v>
      </c>
      <c r="BA67" s="145">
        <f t="shared" si="59"/>
        <v>-1.06</v>
      </c>
      <c r="BB67" s="287">
        <f t="shared" ca="1" si="6"/>
        <v>8.8749561600000013E-2</v>
      </c>
      <c r="BC67" s="287">
        <f t="shared" ca="1" si="7"/>
        <v>8.8749561600000013E-2</v>
      </c>
      <c r="BD67" s="287">
        <f t="shared" ca="1" si="8"/>
        <v>8.8749561600000013E-2</v>
      </c>
      <c r="BE67" s="287">
        <f t="shared" ca="1" si="9"/>
        <v>-0.48812258880000015</v>
      </c>
      <c r="BF67" s="287">
        <f t="shared" ca="1" si="10"/>
        <v>-1.1759316912000002</v>
      </c>
      <c r="BG67" s="877"/>
      <c r="BH67" s="45"/>
      <c r="BI67" s="45"/>
    </row>
    <row r="68" spans="1:61" s="252" customFormat="1" ht="15" hidden="1" customHeight="1">
      <c r="A68" s="13"/>
      <c r="B68" s="13"/>
      <c r="AB68" s="13"/>
      <c r="AC68" s="13"/>
      <c r="AD68" s="43"/>
      <c r="AE68" s="43"/>
      <c r="AF68" s="43"/>
      <c r="AG68" s="43"/>
      <c r="AH68" s="45">
        <v>10</v>
      </c>
      <c r="AI68" s="45" t="b">
        <f t="shared" si="0"/>
        <v>0</v>
      </c>
      <c r="AJ68" s="45" t="b">
        <f t="shared" si="11"/>
        <v>0</v>
      </c>
      <c r="AK68" s="281" t="b">
        <f t="shared" si="12"/>
        <v>0</v>
      </c>
      <c r="AL68" s="145">
        <f t="shared" si="50"/>
        <v>-1.4499999999999997</v>
      </c>
      <c r="AM68" s="145">
        <f t="shared" si="51"/>
        <v>-0.99999999999999978</v>
      </c>
      <c r="AN68" s="145">
        <f t="shared" si="52"/>
        <v>-0.49999999999999989</v>
      </c>
      <c r="AO68" s="145">
        <f t="shared" si="53"/>
        <v>-0.35</v>
      </c>
      <c r="AP68" s="145">
        <f t="shared" si="54"/>
        <v>-1.1000000000000001</v>
      </c>
      <c r="AQ68" s="287">
        <f t="shared" ca="1" si="1"/>
        <v>-1.6085858040000001</v>
      </c>
      <c r="AR68" s="287">
        <f t="shared" ca="1" si="2"/>
        <v>-1.10936952</v>
      </c>
      <c r="AS68" s="287">
        <f t="shared" ca="1" si="3"/>
        <v>-0.55468476</v>
      </c>
      <c r="AT68" s="287">
        <f t="shared" ca="1" si="4"/>
        <v>-0.38827933200000003</v>
      </c>
      <c r="AU68" s="287">
        <f t="shared" ca="1" si="5"/>
        <v>-1.2203064720000003</v>
      </c>
      <c r="AV68" s="877"/>
      <c r="AW68" s="145">
        <f t="shared" si="55"/>
        <v>0.1</v>
      </c>
      <c r="AX68" s="145">
        <f t="shared" si="56"/>
        <v>0.1</v>
      </c>
      <c r="AY68" s="145">
        <f t="shared" si="57"/>
        <v>0.1</v>
      </c>
      <c r="AZ68" s="145">
        <f t="shared" si="58"/>
        <v>-0.45000000000000007</v>
      </c>
      <c r="BA68" s="145">
        <f t="shared" si="59"/>
        <v>-1.1000000000000001</v>
      </c>
      <c r="BB68" s="287">
        <f t="shared" ca="1" si="6"/>
        <v>0.11093695200000003</v>
      </c>
      <c r="BC68" s="287">
        <f t="shared" ca="1" si="7"/>
        <v>0.11093695200000003</v>
      </c>
      <c r="BD68" s="287">
        <f t="shared" ca="1" si="8"/>
        <v>0.11093695200000003</v>
      </c>
      <c r="BE68" s="287">
        <f t="shared" ca="1" si="9"/>
        <v>-0.49921628400000018</v>
      </c>
      <c r="BF68" s="287">
        <f t="shared" ca="1" si="10"/>
        <v>-1.2203064720000003</v>
      </c>
      <c r="BG68" s="877"/>
      <c r="BH68" s="45"/>
      <c r="BI68" s="45"/>
    </row>
    <row r="69" spans="1:61" s="252" customFormat="1" ht="15" hidden="1" customHeight="1">
      <c r="A69" s="13"/>
      <c r="B69" s="13"/>
      <c r="AB69" s="13"/>
      <c r="AC69" s="13"/>
      <c r="AD69" s="43"/>
      <c r="AE69" s="43"/>
      <c r="AF69" s="43"/>
      <c r="AG69" s="43"/>
      <c r="AH69" s="45">
        <v>11</v>
      </c>
      <c r="AI69" s="45" t="b">
        <f t="shared" si="0"/>
        <v>0</v>
      </c>
      <c r="AJ69" s="45" t="b">
        <f t="shared" si="11"/>
        <v>0</v>
      </c>
      <c r="AK69" s="281" t="b">
        <f t="shared" si="12"/>
        <v>0</v>
      </c>
      <c r="AL69" s="145">
        <f t="shared" si="50"/>
        <v>-1.3799999999999997</v>
      </c>
      <c r="AM69" s="145">
        <f t="shared" si="51"/>
        <v>-0.95999999999999974</v>
      </c>
      <c r="AN69" s="145">
        <f t="shared" si="52"/>
        <v>-0.47999999999999987</v>
      </c>
      <c r="AO69" s="145">
        <f t="shared" si="53"/>
        <v>-0.33999999999999997</v>
      </c>
      <c r="AP69" s="145">
        <f t="shared" si="54"/>
        <v>-1.1400000000000001</v>
      </c>
      <c r="AQ69" s="287">
        <f t="shared" ca="1" si="1"/>
        <v>-1.5309299375999998</v>
      </c>
      <c r="AR69" s="287">
        <f t="shared" ca="1" si="2"/>
        <v>-1.0649947391999999</v>
      </c>
      <c r="AS69" s="287">
        <f t="shared" ca="1" si="3"/>
        <v>-0.53249736959999994</v>
      </c>
      <c r="AT69" s="287">
        <f t="shared" ca="1" si="4"/>
        <v>-0.37718563680000006</v>
      </c>
      <c r="AU69" s="287">
        <f t="shared" ca="1" si="5"/>
        <v>-1.2646812528000004</v>
      </c>
      <c r="AV69" s="877"/>
      <c r="AW69" s="145">
        <f t="shared" si="55"/>
        <v>0.12000000000000001</v>
      </c>
      <c r="AX69" s="145">
        <f t="shared" si="56"/>
        <v>0.12000000000000001</v>
      </c>
      <c r="AY69" s="145">
        <f t="shared" si="57"/>
        <v>0.12000000000000001</v>
      </c>
      <c r="AZ69" s="145">
        <f t="shared" si="58"/>
        <v>-0.46000000000000008</v>
      </c>
      <c r="BA69" s="145">
        <f t="shared" si="59"/>
        <v>-1.1400000000000001</v>
      </c>
      <c r="BB69" s="287">
        <f t="shared" ca="1" si="6"/>
        <v>0.13312434240000004</v>
      </c>
      <c r="BC69" s="287">
        <f t="shared" ca="1" si="7"/>
        <v>0.13312434240000004</v>
      </c>
      <c r="BD69" s="287">
        <f t="shared" ca="1" si="8"/>
        <v>0.13312434240000004</v>
      </c>
      <c r="BE69" s="287">
        <f t="shared" ca="1" si="9"/>
        <v>-0.51030997920000021</v>
      </c>
      <c r="BF69" s="287">
        <f t="shared" ca="1" si="10"/>
        <v>-1.2646812528000004</v>
      </c>
      <c r="BG69" s="877"/>
      <c r="BH69" s="45"/>
      <c r="BI69" s="45"/>
    </row>
    <row r="70" spans="1:61" s="252" customFormat="1" ht="15" hidden="1" customHeight="1">
      <c r="A70" s="13"/>
      <c r="B70" s="13"/>
      <c r="AB70" s="13"/>
      <c r="AC70" s="13"/>
      <c r="AD70" s="43"/>
      <c r="AE70" s="43"/>
      <c r="AF70" s="43"/>
      <c r="AG70" s="43"/>
      <c r="AH70" s="45">
        <v>12</v>
      </c>
      <c r="AI70" s="45" t="b">
        <f t="shared" si="0"/>
        <v>0</v>
      </c>
      <c r="AJ70" s="45" t="b">
        <f t="shared" si="11"/>
        <v>0</v>
      </c>
      <c r="AK70" s="281" t="b">
        <f t="shared" si="12"/>
        <v>0</v>
      </c>
      <c r="AL70" s="145">
        <f t="shared" si="50"/>
        <v>-1.3099999999999996</v>
      </c>
      <c r="AM70" s="145">
        <f t="shared" si="51"/>
        <v>-0.91999999999999971</v>
      </c>
      <c r="AN70" s="145">
        <f t="shared" si="52"/>
        <v>-0.45999999999999985</v>
      </c>
      <c r="AO70" s="145">
        <f t="shared" si="53"/>
        <v>-0.32999999999999996</v>
      </c>
      <c r="AP70" s="145">
        <f t="shared" si="54"/>
        <v>-1.1800000000000002</v>
      </c>
      <c r="AQ70" s="287">
        <f t="shared" ca="1" si="1"/>
        <v>-1.4532740711999999</v>
      </c>
      <c r="AR70" s="287">
        <f t="shared" ca="1" si="2"/>
        <v>-1.0206199584</v>
      </c>
      <c r="AS70" s="287">
        <f t="shared" ca="1" si="3"/>
        <v>-0.51030997919999999</v>
      </c>
      <c r="AT70" s="287">
        <f t="shared" ca="1" si="4"/>
        <v>-0.36609194160000003</v>
      </c>
      <c r="AU70" s="287">
        <f t="shared" ca="1" si="5"/>
        <v>-1.3090560336000003</v>
      </c>
      <c r="AV70" s="877"/>
      <c r="AW70" s="145">
        <f t="shared" si="55"/>
        <v>0.14000000000000001</v>
      </c>
      <c r="AX70" s="145">
        <f t="shared" si="56"/>
        <v>0.14000000000000001</v>
      </c>
      <c r="AY70" s="145">
        <f t="shared" si="57"/>
        <v>0.14000000000000001</v>
      </c>
      <c r="AZ70" s="145">
        <f t="shared" si="58"/>
        <v>-0.47000000000000008</v>
      </c>
      <c r="BA70" s="145">
        <f t="shared" si="59"/>
        <v>-1.1800000000000002</v>
      </c>
      <c r="BB70" s="287">
        <f t="shared" ca="1" si="6"/>
        <v>0.15531173280000005</v>
      </c>
      <c r="BC70" s="287">
        <f t="shared" ca="1" si="7"/>
        <v>0.15531173280000005</v>
      </c>
      <c r="BD70" s="287">
        <f t="shared" ca="1" si="8"/>
        <v>0.15531173280000005</v>
      </c>
      <c r="BE70" s="287">
        <f t="shared" ca="1" si="9"/>
        <v>-0.52140367440000024</v>
      </c>
      <c r="BF70" s="287">
        <f t="shared" ca="1" si="10"/>
        <v>-1.3090560336000003</v>
      </c>
      <c r="BG70" s="877"/>
      <c r="BH70" s="45"/>
      <c r="BI70" s="45"/>
    </row>
    <row r="71" spans="1:61" s="252" customFormat="1" ht="15" hidden="1" customHeight="1">
      <c r="A71" s="13"/>
      <c r="B71" s="13"/>
      <c r="AB71" s="13"/>
      <c r="AC71" s="13"/>
      <c r="AD71" s="43"/>
      <c r="AE71" s="43"/>
      <c r="AF71" s="43"/>
      <c r="AG71" s="43"/>
      <c r="AH71" s="45">
        <v>13</v>
      </c>
      <c r="AI71" s="45" t="b">
        <f t="shared" si="0"/>
        <v>0</v>
      </c>
      <c r="AJ71" s="45" t="b">
        <f t="shared" si="11"/>
        <v>0</v>
      </c>
      <c r="AK71" s="281" t="b">
        <f t="shared" si="12"/>
        <v>0</v>
      </c>
      <c r="AL71" s="145">
        <f t="shared" si="50"/>
        <v>-1.2399999999999995</v>
      </c>
      <c r="AM71" s="145">
        <f t="shared" si="51"/>
        <v>-0.87999999999999967</v>
      </c>
      <c r="AN71" s="145">
        <f t="shared" si="52"/>
        <v>-0.43999999999999984</v>
      </c>
      <c r="AO71" s="145">
        <f t="shared" si="53"/>
        <v>-0.31999999999999995</v>
      </c>
      <c r="AP71" s="145">
        <f t="shared" si="54"/>
        <v>-1.2200000000000002</v>
      </c>
      <c r="AQ71" s="287">
        <f t="shared" ca="1" si="1"/>
        <v>-1.3756182047999999</v>
      </c>
      <c r="AR71" s="287">
        <f t="shared" ca="1" si="2"/>
        <v>-0.97624517759999985</v>
      </c>
      <c r="AS71" s="287">
        <f t="shared" ca="1" si="3"/>
        <v>-0.48812258879999992</v>
      </c>
      <c r="AT71" s="287">
        <f t="shared" ca="1" si="4"/>
        <v>-0.35499824639999999</v>
      </c>
      <c r="AU71" s="287">
        <f t="shared" ca="1" si="5"/>
        <v>-1.3534308144000005</v>
      </c>
      <c r="AV71" s="877"/>
      <c r="AW71" s="145">
        <f t="shared" si="55"/>
        <v>0.16</v>
      </c>
      <c r="AX71" s="145">
        <f t="shared" si="56"/>
        <v>0.16</v>
      </c>
      <c r="AY71" s="145">
        <f t="shared" si="57"/>
        <v>0.16</v>
      </c>
      <c r="AZ71" s="145">
        <f t="shared" si="58"/>
        <v>-0.48000000000000009</v>
      </c>
      <c r="BA71" s="145">
        <f t="shared" si="59"/>
        <v>-1.2200000000000002</v>
      </c>
      <c r="BB71" s="287">
        <f t="shared" ca="1" si="6"/>
        <v>0.17749912320000003</v>
      </c>
      <c r="BC71" s="287">
        <f t="shared" ca="1" si="7"/>
        <v>0.17749912320000003</v>
      </c>
      <c r="BD71" s="287">
        <f t="shared" ca="1" si="8"/>
        <v>0.17749912320000003</v>
      </c>
      <c r="BE71" s="287">
        <f t="shared" ca="1" si="9"/>
        <v>-0.53249736960000016</v>
      </c>
      <c r="BF71" s="287">
        <f t="shared" ca="1" si="10"/>
        <v>-1.3534308144000005</v>
      </c>
      <c r="BG71" s="877"/>
      <c r="BH71" s="45"/>
      <c r="BI71" s="45"/>
    </row>
    <row r="72" spans="1:61" s="252" customFormat="1" ht="15" hidden="1" customHeight="1">
      <c r="A72" s="13"/>
      <c r="B72" s="13"/>
      <c r="AB72" s="13"/>
      <c r="AC72" s="13"/>
      <c r="AD72" s="43"/>
      <c r="AE72" s="43"/>
      <c r="AF72" s="43"/>
      <c r="AG72" s="43"/>
      <c r="AH72" s="45">
        <v>14</v>
      </c>
      <c r="AI72" s="45" t="b">
        <f t="shared" si="0"/>
        <v>0</v>
      </c>
      <c r="AJ72" s="45" t="b">
        <f t="shared" si="11"/>
        <v>0</v>
      </c>
      <c r="AK72" s="281" t="b">
        <f t="shared" si="12"/>
        <v>0</v>
      </c>
      <c r="AL72" s="145">
        <f t="shared" si="50"/>
        <v>-1.1699999999999995</v>
      </c>
      <c r="AM72" s="145">
        <f t="shared" si="51"/>
        <v>-0.83999999999999964</v>
      </c>
      <c r="AN72" s="145">
        <f t="shared" si="52"/>
        <v>-0.41999999999999982</v>
      </c>
      <c r="AO72" s="145">
        <f t="shared" si="53"/>
        <v>-0.30999999999999994</v>
      </c>
      <c r="AP72" s="145">
        <f t="shared" si="54"/>
        <v>-1.2600000000000002</v>
      </c>
      <c r="AQ72" s="287">
        <f t="shared" ca="1" si="1"/>
        <v>-1.2979623383999996</v>
      </c>
      <c r="AR72" s="287">
        <f t="shared" ca="1" si="2"/>
        <v>-0.93187039679999983</v>
      </c>
      <c r="AS72" s="287">
        <f t="shared" ca="1" si="3"/>
        <v>-0.46593519839999992</v>
      </c>
      <c r="AT72" s="287">
        <f t="shared" ca="1" si="4"/>
        <v>-0.34390455120000002</v>
      </c>
      <c r="AU72" s="287">
        <f t="shared" ca="1" si="5"/>
        <v>-1.3978055952000006</v>
      </c>
      <c r="AV72" s="877"/>
      <c r="AW72" s="145">
        <f t="shared" si="55"/>
        <v>0.18</v>
      </c>
      <c r="AX72" s="145">
        <f t="shared" si="56"/>
        <v>0.18</v>
      </c>
      <c r="AY72" s="145">
        <f t="shared" si="57"/>
        <v>0.18</v>
      </c>
      <c r="AZ72" s="145">
        <f t="shared" si="58"/>
        <v>-0.4900000000000001</v>
      </c>
      <c r="BA72" s="145">
        <f t="shared" si="59"/>
        <v>-1.2600000000000002</v>
      </c>
      <c r="BB72" s="287">
        <f t="shared" ca="1" si="6"/>
        <v>0.19968651360000003</v>
      </c>
      <c r="BC72" s="287">
        <f t="shared" ca="1" si="7"/>
        <v>0.19968651360000003</v>
      </c>
      <c r="BD72" s="287">
        <f t="shared" ca="1" si="8"/>
        <v>0.19968651360000003</v>
      </c>
      <c r="BE72" s="287">
        <f t="shared" ca="1" si="9"/>
        <v>-0.54359106480000019</v>
      </c>
      <c r="BF72" s="287">
        <f t="shared" ca="1" si="10"/>
        <v>-1.3978055952000006</v>
      </c>
      <c r="BG72" s="877"/>
      <c r="BH72" s="45"/>
      <c r="BI72" s="45"/>
    </row>
    <row r="73" spans="1:61" s="252" customFormat="1" ht="15" hidden="1" customHeight="1">
      <c r="A73" s="13"/>
      <c r="B73" s="13"/>
      <c r="AB73" s="13"/>
      <c r="AC73" s="13"/>
      <c r="AD73" s="43"/>
      <c r="AE73" s="43"/>
      <c r="AF73" s="43"/>
      <c r="AG73" s="43"/>
      <c r="AH73" s="276">
        <v>15</v>
      </c>
      <c r="AI73" s="45" t="b">
        <f t="shared" si="0"/>
        <v>0</v>
      </c>
      <c r="AJ73" s="45" t="b">
        <f t="shared" si="11"/>
        <v>0</v>
      </c>
      <c r="AK73" s="281" t="b">
        <f t="shared" si="12"/>
        <v>0</v>
      </c>
      <c r="AL73" s="287">
        <v>-1.1000000000000001</v>
      </c>
      <c r="AM73" s="287">
        <v>-0.8</v>
      </c>
      <c r="AN73" s="287">
        <v>-0.4</v>
      </c>
      <c r="AO73" s="287">
        <v>-0.5</v>
      </c>
      <c r="AP73" s="287">
        <v>-1.3</v>
      </c>
      <c r="AQ73" s="287">
        <f t="shared" ca="1" si="1"/>
        <v>-1.2203064720000003</v>
      </c>
      <c r="AR73" s="287">
        <f t="shared" ca="1" si="2"/>
        <v>-0.88749561600000026</v>
      </c>
      <c r="AS73" s="287">
        <f t="shared" ca="1" si="3"/>
        <v>-0.44374780800000013</v>
      </c>
      <c r="AT73" s="287">
        <f t="shared" ca="1" si="4"/>
        <v>-0.55468476000000011</v>
      </c>
      <c r="AU73" s="287">
        <f t="shared" ca="1" si="5"/>
        <v>-1.4421803760000003</v>
      </c>
      <c r="AV73" s="877"/>
      <c r="AW73" s="287">
        <v>0.2</v>
      </c>
      <c r="AX73" s="287">
        <v>0.2</v>
      </c>
      <c r="AY73" s="287">
        <v>0.2</v>
      </c>
      <c r="AZ73" s="287">
        <v>-0.5</v>
      </c>
      <c r="BA73" s="287">
        <v>-1.3</v>
      </c>
      <c r="BB73" s="287">
        <f t="shared" ca="1" si="6"/>
        <v>0.22187390400000007</v>
      </c>
      <c r="BC73" s="287">
        <f t="shared" ca="1" si="7"/>
        <v>0.22187390400000007</v>
      </c>
      <c r="BD73" s="287">
        <f t="shared" ca="1" si="8"/>
        <v>0.22187390400000007</v>
      </c>
      <c r="BE73" s="287">
        <f t="shared" ca="1" si="9"/>
        <v>-0.55468476000000011</v>
      </c>
      <c r="BF73" s="287">
        <f t="shared" ca="1" si="10"/>
        <v>-1.4421803760000003</v>
      </c>
      <c r="BG73" s="877"/>
      <c r="BH73" s="45"/>
      <c r="BI73" s="45"/>
    </row>
    <row r="74" spans="1:61" s="252" customFormat="1" ht="15" hidden="1" customHeight="1">
      <c r="A74" s="13"/>
      <c r="B74" s="13"/>
      <c r="AB74" s="13"/>
      <c r="AC74" s="13"/>
      <c r="AD74" s="43"/>
      <c r="AE74" s="43"/>
      <c r="AF74" s="43"/>
      <c r="AG74" s="43"/>
      <c r="AH74" s="45">
        <v>16</v>
      </c>
      <c r="AI74" s="45" t="b">
        <f t="shared" si="0"/>
        <v>0</v>
      </c>
      <c r="AJ74" s="45" t="b">
        <f t="shared" si="11"/>
        <v>0</v>
      </c>
      <c r="AK74" s="281" t="b">
        <f t="shared" si="12"/>
        <v>0</v>
      </c>
      <c r="AL74" s="145">
        <f>+ABS($AL$73-$AL$88)/15+AL73</f>
        <v>-1.06</v>
      </c>
      <c r="AM74" s="145">
        <f>+ABS($AM$73-$AM$88)/15+AM73</f>
        <v>-0.78</v>
      </c>
      <c r="AN74" s="145">
        <f>+ABS($AN$73-$AN$88)/15+AN73</f>
        <v>-0.38666666666666671</v>
      </c>
      <c r="AO74" s="145">
        <f>+ABS($AO$73-$AO$88)/15+AO73</f>
        <v>-0.5</v>
      </c>
      <c r="AP74" s="145">
        <f>+ABS($AP$73-$AP$88)/15+AP73</f>
        <v>-1.2733333333333334</v>
      </c>
      <c r="AQ74" s="287">
        <f t="shared" ca="1" si="1"/>
        <v>-1.1759316912000002</v>
      </c>
      <c r="AR74" s="287">
        <f t="shared" ca="1" si="2"/>
        <v>-0.8653082256000002</v>
      </c>
      <c r="AS74" s="287">
        <f t="shared" ca="1" si="3"/>
        <v>-0.42895621440000015</v>
      </c>
      <c r="AT74" s="287">
        <f t="shared" ca="1" si="4"/>
        <v>-0.55468476000000011</v>
      </c>
      <c r="AU74" s="287">
        <f t="shared" ca="1" si="5"/>
        <v>-1.4125971888000004</v>
      </c>
      <c r="AV74" s="877"/>
      <c r="AW74" s="145">
        <f>0.6/15+AW73</f>
        <v>0.24000000000000002</v>
      </c>
      <c r="AX74" s="145">
        <f>0.3/15+AX73</f>
        <v>0.22</v>
      </c>
      <c r="AY74" s="145">
        <f>0.2/15+AY73</f>
        <v>0.21333333333333335</v>
      </c>
      <c r="AZ74" s="287">
        <v>-0.5</v>
      </c>
      <c r="BA74" s="145">
        <f>0.4/15+BA73</f>
        <v>-1.2733333333333334</v>
      </c>
      <c r="BB74" s="287">
        <f t="shared" ca="1" si="6"/>
        <v>0.26624868480000008</v>
      </c>
      <c r="BC74" s="287">
        <f t="shared" ca="1" si="7"/>
        <v>0.24406129440000005</v>
      </c>
      <c r="BD74" s="287">
        <f t="shared" ca="1" si="8"/>
        <v>0.23666549760000005</v>
      </c>
      <c r="BE74" s="287">
        <f t="shared" ca="1" si="9"/>
        <v>-0.55468476000000011</v>
      </c>
      <c r="BF74" s="287">
        <f t="shared" ca="1" si="10"/>
        <v>-1.4125971888000004</v>
      </c>
      <c r="BG74" s="877"/>
      <c r="BH74" s="45"/>
      <c r="BI74" s="45"/>
    </row>
    <row r="75" spans="1:61" s="252" customFormat="1" ht="15" hidden="1" customHeight="1">
      <c r="A75" s="13"/>
      <c r="B75" s="13"/>
      <c r="AB75" s="13"/>
      <c r="AC75" s="13"/>
      <c r="AD75" s="43"/>
      <c r="AE75" s="43"/>
      <c r="AF75" s="43"/>
      <c r="AG75" s="43"/>
      <c r="AH75" s="45">
        <v>17</v>
      </c>
      <c r="AI75" s="45" t="b">
        <f t="shared" si="0"/>
        <v>0</v>
      </c>
      <c r="AJ75" s="45" t="b">
        <f t="shared" si="11"/>
        <v>0</v>
      </c>
      <c r="AK75" s="281" t="b">
        <f t="shared" si="12"/>
        <v>0</v>
      </c>
      <c r="AL75" s="145">
        <f t="shared" ref="AL75:AL87" si="60">+ABS($AL$73-$AL$88)/15+AL74</f>
        <v>-1.02</v>
      </c>
      <c r="AM75" s="145">
        <f t="shared" ref="AM75:AM87" si="61">+ABS($AM$73-$AM$88)/15+AM74</f>
        <v>-0.76</v>
      </c>
      <c r="AN75" s="145">
        <f t="shared" ref="AN75:AN87" si="62">+ABS($AN$73-$AN$88)/15+AN74</f>
        <v>-0.37333333333333341</v>
      </c>
      <c r="AO75" s="145">
        <f t="shared" ref="AO75:AO87" si="63">+ABS($AO$73-$AO$88)/15+AO74</f>
        <v>-0.5</v>
      </c>
      <c r="AP75" s="145">
        <f t="shared" ref="AP75:AP87" si="64">+ABS($AP$73-$AP$88)/15+AP74</f>
        <v>-1.2466666666666668</v>
      </c>
      <c r="AQ75" s="287">
        <f t="shared" ca="1" si="1"/>
        <v>-1.1315569104000003</v>
      </c>
      <c r="AR75" s="287">
        <f t="shared" ca="1" si="2"/>
        <v>-0.84312083520000014</v>
      </c>
      <c r="AS75" s="287">
        <f t="shared" ca="1" si="3"/>
        <v>-0.41416462080000016</v>
      </c>
      <c r="AT75" s="287">
        <f t="shared" ca="1" si="4"/>
        <v>-0.55468476000000011</v>
      </c>
      <c r="AU75" s="287">
        <f t="shared" ca="1" si="5"/>
        <v>-1.3830140016000005</v>
      </c>
      <c r="AV75" s="877"/>
      <c r="AW75" s="145">
        <f t="shared" ref="AW75:AW87" si="65">0.6/15+AW74</f>
        <v>0.28000000000000003</v>
      </c>
      <c r="AX75" s="145">
        <f t="shared" ref="AX75:AX87" si="66">0.3/15+AX74</f>
        <v>0.24</v>
      </c>
      <c r="AY75" s="145">
        <f t="shared" ref="AY75:AY86" si="67">0.2/15+AY74</f>
        <v>0.22666666666666668</v>
      </c>
      <c r="AZ75" s="287">
        <v>-0.5</v>
      </c>
      <c r="BA75" s="145">
        <f t="shared" ref="BA75:BA87" si="68">0.4/15+BA74</f>
        <v>-1.2466666666666668</v>
      </c>
      <c r="BB75" s="287">
        <f t="shared" ca="1" si="6"/>
        <v>0.31062346560000009</v>
      </c>
      <c r="BC75" s="287">
        <f t="shared" ca="1" si="7"/>
        <v>0.26624868480000002</v>
      </c>
      <c r="BD75" s="287">
        <f t="shared" ca="1" si="8"/>
        <v>0.25145709120000009</v>
      </c>
      <c r="BE75" s="287">
        <f t="shared" ca="1" si="9"/>
        <v>-0.55468476000000011</v>
      </c>
      <c r="BF75" s="287">
        <f t="shared" ca="1" si="10"/>
        <v>-1.3830140016000005</v>
      </c>
      <c r="BG75" s="877"/>
      <c r="BH75" s="45"/>
      <c r="BI75" s="45"/>
    </row>
    <row r="76" spans="1:61" s="252" customFormat="1" ht="15" hidden="1" customHeight="1">
      <c r="A76" s="13"/>
      <c r="B76" s="13"/>
      <c r="AB76" s="13"/>
      <c r="AC76" s="13"/>
      <c r="AD76" s="43"/>
      <c r="AE76" s="43"/>
      <c r="AF76" s="43"/>
      <c r="AG76" s="43"/>
      <c r="AH76" s="45">
        <v>18</v>
      </c>
      <c r="AI76" s="45" t="b">
        <f t="shared" si="0"/>
        <v>0</v>
      </c>
      <c r="AJ76" s="45" t="b">
        <f t="shared" si="11"/>
        <v>0</v>
      </c>
      <c r="AK76" s="281" t="b">
        <f t="shared" si="12"/>
        <v>0</v>
      </c>
      <c r="AL76" s="145">
        <f t="shared" si="60"/>
        <v>-0.98</v>
      </c>
      <c r="AM76" s="145">
        <f t="shared" si="61"/>
        <v>-0.74</v>
      </c>
      <c r="AN76" s="145">
        <f t="shared" si="62"/>
        <v>-0.3600000000000001</v>
      </c>
      <c r="AO76" s="145">
        <f t="shared" si="63"/>
        <v>-0.5</v>
      </c>
      <c r="AP76" s="145">
        <f t="shared" si="64"/>
        <v>-1.2200000000000002</v>
      </c>
      <c r="AQ76" s="287">
        <f t="shared" ca="1" si="1"/>
        <v>-1.0871821296000002</v>
      </c>
      <c r="AR76" s="287">
        <f t="shared" ca="1" si="2"/>
        <v>-0.82093344480000019</v>
      </c>
      <c r="AS76" s="287">
        <f t="shared" ca="1" si="3"/>
        <v>-0.39937302720000017</v>
      </c>
      <c r="AT76" s="287">
        <f t="shared" ca="1" si="4"/>
        <v>-0.55468476000000011</v>
      </c>
      <c r="AU76" s="287">
        <f t="shared" ca="1" si="5"/>
        <v>-1.3534308144000005</v>
      </c>
      <c r="AV76" s="877"/>
      <c r="AW76" s="145">
        <f t="shared" si="65"/>
        <v>0.32</v>
      </c>
      <c r="AX76" s="145">
        <f t="shared" si="66"/>
        <v>0.26</v>
      </c>
      <c r="AY76" s="145">
        <f t="shared" si="67"/>
        <v>0.24000000000000002</v>
      </c>
      <c r="AZ76" s="287">
        <v>-0.5</v>
      </c>
      <c r="BA76" s="145">
        <f t="shared" si="68"/>
        <v>-1.2200000000000002</v>
      </c>
      <c r="BB76" s="287">
        <f t="shared" ca="1" si="6"/>
        <v>0.35499824640000005</v>
      </c>
      <c r="BC76" s="287">
        <f t="shared" ca="1" si="7"/>
        <v>0.28843607520000009</v>
      </c>
      <c r="BD76" s="287">
        <f t="shared" ca="1" si="8"/>
        <v>0.26624868480000008</v>
      </c>
      <c r="BE76" s="287">
        <f t="shared" ca="1" si="9"/>
        <v>-0.55468476000000011</v>
      </c>
      <c r="BF76" s="287">
        <f t="shared" ca="1" si="10"/>
        <v>-1.3534308144000005</v>
      </c>
      <c r="BG76" s="877"/>
      <c r="BH76" s="45"/>
      <c r="BI76" s="45"/>
    </row>
    <row r="77" spans="1:61" s="252" customFormat="1" ht="15" hidden="1" customHeight="1">
      <c r="A77" s="13"/>
      <c r="B77" s="13"/>
      <c r="AB77" s="13"/>
      <c r="AC77" s="13"/>
      <c r="AD77" s="43"/>
      <c r="AE77" s="43"/>
      <c r="AF77" s="43"/>
      <c r="AG77" s="43"/>
      <c r="AH77" s="45">
        <v>19</v>
      </c>
      <c r="AI77" s="45" t="b">
        <f t="shared" si="0"/>
        <v>0</v>
      </c>
      <c r="AJ77" s="45" t="b">
        <f t="shared" si="11"/>
        <v>0</v>
      </c>
      <c r="AK77" s="281" t="b">
        <f t="shared" si="12"/>
        <v>0</v>
      </c>
      <c r="AL77" s="145">
        <f t="shared" si="60"/>
        <v>-0.94</v>
      </c>
      <c r="AM77" s="145">
        <f t="shared" si="61"/>
        <v>-0.72</v>
      </c>
      <c r="AN77" s="145">
        <f t="shared" si="62"/>
        <v>-0.34666666666666679</v>
      </c>
      <c r="AO77" s="145">
        <f t="shared" si="63"/>
        <v>-0.5</v>
      </c>
      <c r="AP77" s="145">
        <f t="shared" si="64"/>
        <v>-1.1933333333333336</v>
      </c>
      <c r="AQ77" s="287">
        <f t="shared" ca="1" si="1"/>
        <v>-1.0428073488000003</v>
      </c>
      <c r="AR77" s="287">
        <f t="shared" ca="1" si="2"/>
        <v>-0.79874605440000013</v>
      </c>
      <c r="AS77" s="287">
        <f t="shared" ca="1" si="3"/>
        <v>-0.38458143360000019</v>
      </c>
      <c r="AT77" s="287">
        <f t="shared" ca="1" si="4"/>
        <v>-0.55468476000000011</v>
      </c>
      <c r="AU77" s="287">
        <f t="shared" ca="1" si="5"/>
        <v>-1.3238476272000006</v>
      </c>
      <c r="AV77" s="877"/>
      <c r="AW77" s="145">
        <f t="shared" si="65"/>
        <v>0.36</v>
      </c>
      <c r="AX77" s="145">
        <f t="shared" si="66"/>
        <v>0.28000000000000003</v>
      </c>
      <c r="AY77" s="145">
        <f t="shared" si="67"/>
        <v>0.25333333333333335</v>
      </c>
      <c r="AZ77" s="287">
        <v>-0.5</v>
      </c>
      <c r="BA77" s="145">
        <f t="shared" si="68"/>
        <v>-1.1933333333333336</v>
      </c>
      <c r="BB77" s="287">
        <f t="shared" ca="1" si="6"/>
        <v>0.39937302720000006</v>
      </c>
      <c r="BC77" s="287">
        <f t="shared" ca="1" si="7"/>
        <v>0.31062346560000009</v>
      </c>
      <c r="BD77" s="287">
        <f t="shared" ca="1" si="8"/>
        <v>0.28104027840000007</v>
      </c>
      <c r="BE77" s="287">
        <f t="shared" ca="1" si="9"/>
        <v>-0.55468476000000011</v>
      </c>
      <c r="BF77" s="287">
        <f t="shared" ca="1" si="10"/>
        <v>-1.3238476272000006</v>
      </c>
      <c r="BG77" s="877"/>
      <c r="BH77" s="45"/>
      <c r="BI77" s="45"/>
    </row>
    <row r="78" spans="1:61" s="252" customFormat="1" ht="15" hidden="1" customHeight="1">
      <c r="A78" s="13"/>
      <c r="B78" s="13"/>
      <c r="AB78" s="13"/>
      <c r="AC78" s="13"/>
      <c r="AD78" s="43"/>
      <c r="AE78" s="43"/>
      <c r="AF78" s="43"/>
      <c r="AG78" s="43"/>
      <c r="AH78" s="45">
        <v>20</v>
      </c>
      <c r="AI78" s="45" t="b">
        <f t="shared" ref="AI78:AI141" si="69">AND($AI$9=AH78)</f>
        <v>1</v>
      </c>
      <c r="AJ78" s="45" t="b">
        <f t="shared" si="11"/>
        <v>0</v>
      </c>
      <c r="AK78" s="281" t="b">
        <f t="shared" si="12"/>
        <v>0</v>
      </c>
      <c r="AL78" s="145">
        <f t="shared" si="60"/>
        <v>-0.89999999999999991</v>
      </c>
      <c r="AM78" s="145">
        <f t="shared" si="61"/>
        <v>-0.7</v>
      </c>
      <c r="AN78" s="145">
        <f t="shared" si="62"/>
        <v>-0.33333333333333348</v>
      </c>
      <c r="AO78" s="145">
        <f t="shared" si="63"/>
        <v>-0.5</v>
      </c>
      <c r="AP78" s="145">
        <f t="shared" si="64"/>
        <v>-1.166666666666667</v>
      </c>
      <c r="AQ78" s="287">
        <f t="shared" ref="AQ78:AQ141" ca="1" si="70">1.35*$Z$17*$M$22*AL78</f>
        <v>-0.99843256800000013</v>
      </c>
      <c r="AR78" s="287">
        <f t="shared" ref="AR78:AR141" ca="1" si="71">1.35*$Z$17*$M$22*AM78</f>
        <v>-0.77655866400000007</v>
      </c>
      <c r="AS78" s="287">
        <f t="shared" ref="AS78:AS141" ca="1" si="72">1.35*$Z$17*$M$22*AN78</f>
        <v>-0.36978984000000026</v>
      </c>
      <c r="AT78" s="287">
        <f t="shared" ref="AT78:AT141" ca="1" si="73">1.35*$Z$17*$M$22*AO78</f>
        <v>-0.55468476000000011</v>
      </c>
      <c r="AU78" s="287">
        <f t="shared" ref="AU78:AU141" ca="1" si="74">1.35*$Z$17*$M$22*AP78</f>
        <v>-1.2942644400000005</v>
      </c>
      <c r="AV78" s="877"/>
      <c r="AW78" s="145">
        <f t="shared" si="65"/>
        <v>0.39999999999999997</v>
      </c>
      <c r="AX78" s="145">
        <f t="shared" si="66"/>
        <v>0.30000000000000004</v>
      </c>
      <c r="AY78" s="145">
        <f t="shared" si="67"/>
        <v>0.26666666666666666</v>
      </c>
      <c r="AZ78" s="287">
        <v>-0.5</v>
      </c>
      <c r="BA78" s="145">
        <f t="shared" si="68"/>
        <v>-1.166666666666667</v>
      </c>
      <c r="BB78" s="287">
        <f t="shared" ref="BB78:BB141" ca="1" si="75">1.35*$Z$17*$M$22*AW78</f>
        <v>0.44374780800000008</v>
      </c>
      <c r="BC78" s="287">
        <f t="shared" ref="BC78:BC141" ca="1" si="76">1.35*$Z$17*$M$22*AX78</f>
        <v>0.3328108560000001</v>
      </c>
      <c r="BD78" s="287">
        <f t="shared" ref="BD78:BD141" ca="1" si="77">1.35*$Z$17*$M$22*AY78</f>
        <v>0.29583187200000005</v>
      </c>
      <c r="BE78" s="287">
        <f t="shared" ref="BE78:BE141" ca="1" si="78">1.35*$Z$17*$M$22*AZ78</f>
        <v>-0.55468476000000011</v>
      </c>
      <c r="BF78" s="287">
        <f t="shared" ref="BF78:BF141" ca="1" si="79">1.35*$Z$17*$M$22*BA78</f>
        <v>-1.2942644400000005</v>
      </c>
      <c r="BG78" s="877"/>
      <c r="BH78" s="45"/>
      <c r="BI78" s="45"/>
    </row>
    <row r="79" spans="1:61" s="252" customFormat="1" ht="15" hidden="1" customHeight="1">
      <c r="A79" s="13"/>
      <c r="B79" s="13"/>
      <c r="AB79" s="13"/>
      <c r="AC79" s="13"/>
      <c r="AD79" s="43"/>
      <c r="AE79" s="43"/>
      <c r="AF79" s="43"/>
      <c r="AG79" s="43"/>
      <c r="AH79" s="45">
        <v>21</v>
      </c>
      <c r="AI79" s="45" t="b">
        <f t="shared" si="69"/>
        <v>0</v>
      </c>
      <c r="AJ79" s="45" t="b">
        <f t="shared" ref="AJ79:AJ133" si="80">AND($AH$4=1)</f>
        <v>0</v>
      </c>
      <c r="AK79" s="281" t="b">
        <f t="shared" ref="AK79:AK142" si="81">AND(AI79=TRUE,AJ79=TRUE)</f>
        <v>0</v>
      </c>
      <c r="AL79" s="145">
        <f t="shared" si="60"/>
        <v>-0.85999999999999988</v>
      </c>
      <c r="AM79" s="145">
        <f t="shared" si="61"/>
        <v>-0.67999999999999994</v>
      </c>
      <c r="AN79" s="145">
        <f t="shared" si="62"/>
        <v>-0.32000000000000017</v>
      </c>
      <c r="AO79" s="145">
        <f t="shared" si="63"/>
        <v>-0.5</v>
      </c>
      <c r="AP79" s="145">
        <f t="shared" si="64"/>
        <v>-1.1400000000000003</v>
      </c>
      <c r="AQ79" s="287">
        <f t="shared" ca="1" si="70"/>
        <v>-0.95405778720000001</v>
      </c>
      <c r="AR79" s="287">
        <f t="shared" ca="1" si="71"/>
        <v>-0.75437127360000011</v>
      </c>
      <c r="AS79" s="287">
        <f t="shared" ca="1" si="72"/>
        <v>-0.35499824640000027</v>
      </c>
      <c r="AT79" s="287">
        <f t="shared" ca="1" si="73"/>
        <v>-0.55468476000000011</v>
      </c>
      <c r="AU79" s="287">
        <f t="shared" ca="1" si="74"/>
        <v>-1.2646812528000007</v>
      </c>
      <c r="AV79" s="877"/>
      <c r="AW79" s="145">
        <f t="shared" si="65"/>
        <v>0.43999999999999995</v>
      </c>
      <c r="AX79" s="145">
        <f t="shared" si="66"/>
        <v>0.32000000000000006</v>
      </c>
      <c r="AY79" s="145">
        <f t="shared" si="67"/>
        <v>0.27999999999999997</v>
      </c>
      <c r="AZ79" s="287">
        <v>-0.5</v>
      </c>
      <c r="BA79" s="145">
        <f t="shared" si="68"/>
        <v>-1.1400000000000003</v>
      </c>
      <c r="BB79" s="287">
        <f t="shared" ca="1" si="75"/>
        <v>0.48812258880000003</v>
      </c>
      <c r="BC79" s="287">
        <f t="shared" ca="1" si="76"/>
        <v>0.35499824640000016</v>
      </c>
      <c r="BD79" s="287">
        <f t="shared" ca="1" si="77"/>
        <v>0.31062346560000004</v>
      </c>
      <c r="BE79" s="287">
        <f t="shared" ca="1" si="78"/>
        <v>-0.55468476000000011</v>
      </c>
      <c r="BF79" s="287">
        <f t="shared" ca="1" si="79"/>
        <v>-1.2646812528000007</v>
      </c>
      <c r="BG79" s="877"/>
      <c r="BH79" s="45"/>
      <c r="BI79" s="45"/>
    </row>
    <row r="80" spans="1:61" s="252" customFormat="1" ht="15" hidden="1" customHeight="1">
      <c r="A80" s="13"/>
      <c r="B80" s="13"/>
      <c r="AB80" s="13"/>
      <c r="AC80" s="13"/>
      <c r="AD80" s="43"/>
      <c r="AE80" s="43"/>
      <c r="AF80" s="43"/>
      <c r="AG80" s="43"/>
      <c r="AH80" s="45">
        <v>22</v>
      </c>
      <c r="AI80" s="45" t="b">
        <f t="shared" si="69"/>
        <v>0</v>
      </c>
      <c r="AJ80" s="45" t="b">
        <f t="shared" si="80"/>
        <v>0</v>
      </c>
      <c r="AK80" s="281" t="b">
        <f t="shared" si="81"/>
        <v>0</v>
      </c>
      <c r="AL80" s="145">
        <f t="shared" si="60"/>
        <v>-0.81999999999999984</v>
      </c>
      <c r="AM80" s="145">
        <f t="shared" si="61"/>
        <v>-0.65999999999999992</v>
      </c>
      <c r="AN80" s="145">
        <f t="shared" si="62"/>
        <v>-0.30666666666666687</v>
      </c>
      <c r="AO80" s="145">
        <f t="shared" si="63"/>
        <v>-0.5</v>
      </c>
      <c r="AP80" s="145">
        <f t="shared" si="64"/>
        <v>-1.1133333333333337</v>
      </c>
      <c r="AQ80" s="287">
        <f t="shared" ca="1" si="70"/>
        <v>-0.90968300639999999</v>
      </c>
      <c r="AR80" s="287">
        <f t="shared" ca="1" si="71"/>
        <v>-0.73218388320000005</v>
      </c>
      <c r="AS80" s="287">
        <f t="shared" ca="1" si="72"/>
        <v>-0.34020665280000029</v>
      </c>
      <c r="AT80" s="287">
        <f t="shared" ca="1" si="73"/>
        <v>-0.55468476000000011</v>
      </c>
      <c r="AU80" s="287">
        <f t="shared" ca="1" si="74"/>
        <v>-1.2350980656000008</v>
      </c>
      <c r="AV80" s="877"/>
      <c r="AW80" s="145">
        <f t="shared" si="65"/>
        <v>0.47999999999999993</v>
      </c>
      <c r="AX80" s="145">
        <f t="shared" si="66"/>
        <v>0.34000000000000008</v>
      </c>
      <c r="AY80" s="145">
        <f t="shared" si="67"/>
        <v>0.29333333333333328</v>
      </c>
      <c r="AZ80" s="287">
        <v>-0.5</v>
      </c>
      <c r="BA80" s="145">
        <f t="shared" si="68"/>
        <v>-1.1133333333333337</v>
      </c>
      <c r="BB80" s="287">
        <f t="shared" ca="1" si="75"/>
        <v>0.53249736960000005</v>
      </c>
      <c r="BC80" s="287">
        <f t="shared" ca="1" si="76"/>
        <v>0.37718563680000017</v>
      </c>
      <c r="BD80" s="287">
        <f t="shared" ca="1" si="77"/>
        <v>0.32541505920000002</v>
      </c>
      <c r="BE80" s="287">
        <f t="shared" ca="1" si="78"/>
        <v>-0.55468476000000011</v>
      </c>
      <c r="BF80" s="287">
        <f t="shared" ca="1" si="79"/>
        <v>-1.2350980656000008</v>
      </c>
      <c r="BG80" s="877"/>
      <c r="BH80" s="45"/>
      <c r="BI80" s="45"/>
    </row>
    <row r="81" spans="1:61" s="252" customFormat="1" ht="15" hidden="1" customHeight="1">
      <c r="A81" s="13"/>
      <c r="B81" s="13"/>
      <c r="AB81" s="13"/>
      <c r="AC81" s="13"/>
      <c r="AD81" s="43"/>
      <c r="AE81" s="43"/>
      <c r="AF81" s="43"/>
      <c r="AG81" s="43"/>
      <c r="AH81" s="45">
        <v>23</v>
      </c>
      <c r="AI81" s="45" t="b">
        <f t="shared" si="69"/>
        <v>0</v>
      </c>
      <c r="AJ81" s="45" t="b">
        <f t="shared" si="80"/>
        <v>0</v>
      </c>
      <c r="AK81" s="281" t="b">
        <f t="shared" si="81"/>
        <v>0</v>
      </c>
      <c r="AL81" s="145">
        <f t="shared" si="60"/>
        <v>-0.7799999999999998</v>
      </c>
      <c r="AM81" s="145">
        <f t="shared" si="61"/>
        <v>-0.6399999999999999</v>
      </c>
      <c r="AN81" s="145">
        <f t="shared" si="62"/>
        <v>-0.29333333333333356</v>
      </c>
      <c r="AO81" s="145">
        <f t="shared" si="63"/>
        <v>-0.5</v>
      </c>
      <c r="AP81" s="145">
        <f t="shared" si="64"/>
        <v>-1.0866666666666671</v>
      </c>
      <c r="AQ81" s="287">
        <f t="shared" ca="1" si="70"/>
        <v>-0.86530822559999998</v>
      </c>
      <c r="AR81" s="287">
        <f t="shared" ca="1" si="71"/>
        <v>-0.70999649279999999</v>
      </c>
      <c r="AS81" s="287">
        <f t="shared" ca="1" si="72"/>
        <v>-0.3254150592000003</v>
      </c>
      <c r="AT81" s="287">
        <f t="shared" ca="1" si="73"/>
        <v>-0.55468476000000011</v>
      </c>
      <c r="AU81" s="287">
        <f t="shared" ca="1" si="74"/>
        <v>-1.2055148784000007</v>
      </c>
      <c r="AV81" s="877"/>
      <c r="AW81" s="145">
        <f t="shared" si="65"/>
        <v>0.51999999999999991</v>
      </c>
      <c r="AX81" s="145">
        <f t="shared" si="66"/>
        <v>0.3600000000000001</v>
      </c>
      <c r="AY81" s="145">
        <f t="shared" si="67"/>
        <v>0.30666666666666659</v>
      </c>
      <c r="AZ81" s="287">
        <v>-0.5</v>
      </c>
      <c r="BA81" s="145">
        <f t="shared" si="68"/>
        <v>-1.0866666666666671</v>
      </c>
      <c r="BB81" s="287">
        <f t="shared" ca="1" si="75"/>
        <v>0.57687215040000006</v>
      </c>
      <c r="BC81" s="287">
        <f t="shared" ca="1" si="76"/>
        <v>0.39937302720000017</v>
      </c>
      <c r="BD81" s="287">
        <f t="shared" ca="1" si="77"/>
        <v>0.34020665279999995</v>
      </c>
      <c r="BE81" s="287">
        <f t="shared" ca="1" si="78"/>
        <v>-0.55468476000000011</v>
      </c>
      <c r="BF81" s="287">
        <f t="shared" ca="1" si="79"/>
        <v>-1.2055148784000007</v>
      </c>
      <c r="BG81" s="877"/>
      <c r="BH81" s="45"/>
      <c r="BI81" s="45"/>
    </row>
    <row r="82" spans="1:61" s="252" customFormat="1" ht="15" hidden="1" customHeight="1">
      <c r="A82" s="13"/>
      <c r="B82" s="13"/>
      <c r="AB82" s="13"/>
      <c r="AC82" s="13"/>
      <c r="AD82" s="43"/>
      <c r="AE82" s="43"/>
      <c r="AF82" s="43"/>
      <c r="AG82" s="43"/>
      <c r="AH82" s="45">
        <v>24</v>
      </c>
      <c r="AI82" s="45" t="b">
        <f t="shared" si="69"/>
        <v>0</v>
      </c>
      <c r="AJ82" s="45" t="b">
        <f t="shared" si="80"/>
        <v>0</v>
      </c>
      <c r="AK82" s="281" t="b">
        <f t="shared" si="81"/>
        <v>0</v>
      </c>
      <c r="AL82" s="145">
        <f t="shared" si="60"/>
        <v>-0.73999999999999977</v>
      </c>
      <c r="AM82" s="145">
        <f t="shared" si="61"/>
        <v>-0.61999999999999988</v>
      </c>
      <c r="AN82" s="145">
        <f t="shared" si="62"/>
        <v>-0.28000000000000025</v>
      </c>
      <c r="AO82" s="145">
        <f t="shared" si="63"/>
        <v>-0.5</v>
      </c>
      <c r="AP82" s="145">
        <f t="shared" si="64"/>
        <v>-1.0600000000000005</v>
      </c>
      <c r="AQ82" s="287">
        <f t="shared" ca="1" si="70"/>
        <v>-0.82093344479999986</v>
      </c>
      <c r="AR82" s="287">
        <f t="shared" ca="1" si="71"/>
        <v>-0.68780910240000004</v>
      </c>
      <c r="AS82" s="287">
        <f t="shared" ca="1" si="72"/>
        <v>-0.31062346560000031</v>
      </c>
      <c r="AT82" s="287">
        <f t="shared" ca="1" si="73"/>
        <v>-0.55468476000000011</v>
      </c>
      <c r="AU82" s="287">
        <f t="shared" ca="1" si="74"/>
        <v>-1.1759316912000009</v>
      </c>
      <c r="AV82" s="877"/>
      <c r="AW82" s="145">
        <f t="shared" si="65"/>
        <v>0.55999999999999994</v>
      </c>
      <c r="AX82" s="145">
        <f t="shared" si="66"/>
        <v>0.38000000000000012</v>
      </c>
      <c r="AY82" s="145">
        <f t="shared" si="67"/>
        <v>0.3199999999999999</v>
      </c>
      <c r="AZ82" s="287">
        <v>-0.5</v>
      </c>
      <c r="BA82" s="145">
        <f t="shared" si="68"/>
        <v>-1.0600000000000005</v>
      </c>
      <c r="BB82" s="287">
        <f t="shared" ca="1" si="75"/>
        <v>0.62124693120000007</v>
      </c>
      <c r="BC82" s="287">
        <f t="shared" ca="1" si="76"/>
        <v>0.42156041760000024</v>
      </c>
      <c r="BD82" s="287">
        <f t="shared" ca="1" si="77"/>
        <v>0.35499824639999994</v>
      </c>
      <c r="BE82" s="287">
        <f t="shared" ca="1" si="78"/>
        <v>-0.55468476000000011</v>
      </c>
      <c r="BF82" s="287">
        <f t="shared" ca="1" si="79"/>
        <v>-1.1759316912000009</v>
      </c>
      <c r="BG82" s="877"/>
      <c r="BH82" s="45"/>
      <c r="BI82" s="45"/>
    </row>
    <row r="83" spans="1:61" s="252" customFormat="1" ht="15" hidden="1"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43"/>
      <c r="AE83" s="43"/>
      <c r="AF83" s="43"/>
      <c r="AG83" s="43"/>
      <c r="AH83" s="45">
        <v>25</v>
      </c>
      <c r="AI83" s="45" t="b">
        <f t="shared" si="69"/>
        <v>0</v>
      </c>
      <c r="AJ83" s="45" t="b">
        <f t="shared" si="80"/>
        <v>0</v>
      </c>
      <c r="AK83" s="281" t="b">
        <f t="shared" si="81"/>
        <v>0</v>
      </c>
      <c r="AL83" s="145">
        <f t="shared" si="60"/>
        <v>-0.69999999999999973</v>
      </c>
      <c r="AM83" s="145">
        <f t="shared" si="61"/>
        <v>-0.59999999999999987</v>
      </c>
      <c r="AN83" s="145">
        <f t="shared" si="62"/>
        <v>-0.26666666666666694</v>
      </c>
      <c r="AO83" s="145">
        <f t="shared" si="63"/>
        <v>-0.5</v>
      </c>
      <c r="AP83" s="145">
        <f t="shared" si="64"/>
        <v>-1.0333333333333339</v>
      </c>
      <c r="AQ83" s="287">
        <f t="shared" ca="1" si="70"/>
        <v>-0.77655866399999984</v>
      </c>
      <c r="AR83" s="287">
        <f t="shared" ca="1" si="71"/>
        <v>-0.66562171199999998</v>
      </c>
      <c r="AS83" s="287">
        <f t="shared" ca="1" si="72"/>
        <v>-0.29583187200000038</v>
      </c>
      <c r="AT83" s="287">
        <f t="shared" ca="1" si="73"/>
        <v>-0.55468476000000011</v>
      </c>
      <c r="AU83" s="287">
        <f t="shared" ca="1" si="74"/>
        <v>-1.1463485040000008</v>
      </c>
      <c r="AV83" s="877"/>
      <c r="AW83" s="145">
        <f t="shared" si="65"/>
        <v>0.6</v>
      </c>
      <c r="AX83" s="145">
        <f t="shared" si="66"/>
        <v>0.40000000000000013</v>
      </c>
      <c r="AY83" s="145">
        <f t="shared" si="67"/>
        <v>0.3333333333333332</v>
      </c>
      <c r="AZ83" s="287">
        <v>-0.5</v>
      </c>
      <c r="BA83" s="145">
        <f t="shared" si="68"/>
        <v>-1.0333333333333339</v>
      </c>
      <c r="BB83" s="287">
        <f t="shared" ca="1" si="75"/>
        <v>0.66562171200000009</v>
      </c>
      <c r="BC83" s="287">
        <f t="shared" ca="1" si="76"/>
        <v>0.44374780800000024</v>
      </c>
      <c r="BD83" s="287">
        <f t="shared" ca="1" si="77"/>
        <v>0.36978983999999993</v>
      </c>
      <c r="BE83" s="287">
        <f t="shared" ca="1" si="78"/>
        <v>-0.55468476000000011</v>
      </c>
      <c r="BF83" s="287">
        <f t="shared" ca="1" si="79"/>
        <v>-1.1463485040000008</v>
      </c>
      <c r="BG83" s="877"/>
      <c r="BH83" s="45"/>
      <c r="BI83" s="45"/>
    </row>
    <row r="84" spans="1:61" s="252" customFormat="1" ht="15" hidden="1"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43"/>
      <c r="AE84" s="43"/>
      <c r="AF84" s="43"/>
      <c r="AG84" s="43"/>
      <c r="AH84" s="45">
        <v>26</v>
      </c>
      <c r="AI84" s="45" t="b">
        <f t="shared" si="69"/>
        <v>0</v>
      </c>
      <c r="AJ84" s="45" t="b">
        <f t="shared" si="80"/>
        <v>0</v>
      </c>
      <c r="AK84" s="281" t="b">
        <f t="shared" si="81"/>
        <v>0</v>
      </c>
      <c r="AL84" s="145">
        <f t="shared" si="60"/>
        <v>-0.6599999999999997</v>
      </c>
      <c r="AM84" s="145">
        <f t="shared" si="61"/>
        <v>-0.57999999999999985</v>
      </c>
      <c r="AN84" s="145">
        <f t="shared" si="62"/>
        <v>-0.25333333333333363</v>
      </c>
      <c r="AO84" s="145">
        <f t="shared" si="63"/>
        <v>-0.5</v>
      </c>
      <c r="AP84" s="145">
        <f t="shared" si="64"/>
        <v>-1.0066666666666673</v>
      </c>
      <c r="AQ84" s="287">
        <f t="shared" ca="1" si="70"/>
        <v>-0.73218388319999983</v>
      </c>
      <c r="AR84" s="287">
        <f t="shared" ca="1" si="71"/>
        <v>-0.64343432159999991</v>
      </c>
      <c r="AS84" s="287">
        <f t="shared" ca="1" si="72"/>
        <v>-0.2810402784000004</v>
      </c>
      <c r="AT84" s="287">
        <f t="shared" ca="1" si="73"/>
        <v>-0.55468476000000011</v>
      </c>
      <c r="AU84" s="287">
        <f t="shared" ca="1" si="74"/>
        <v>-1.1167653168000009</v>
      </c>
      <c r="AV84" s="287"/>
      <c r="AW84" s="145">
        <f t="shared" si="65"/>
        <v>0.64</v>
      </c>
      <c r="AX84" s="145">
        <f t="shared" si="66"/>
        <v>0.42000000000000015</v>
      </c>
      <c r="AY84" s="145">
        <f t="shared" si="67"/>
        <v>0.34666666666666651</v>
      </c>
      <c r="AZ84" s="287">
        <v>-0.5</v>
      </c>
      <c r="BA84" s="145">
        <f t="shared" si="68"/>
        <v>-1.0066666666666673</v>
      </c>
      <c r="BB84" s="287">
        <f t="shared" ca="1" si="75"/>
        <v>0.7099964928000001</v>
      </c>
      <c r="BC84" s="287">
        <f t="shared" ca="1" si="76"/>
        <v>0.46593519840000025</v>
      </c>
      <c r="BD84" s="287">
        <f t="shared" ca="1" si="77"/>
        <v>0.38458143359999991</v>
      </c>
      <c r="BE84" s="287">
        <f t="shared" ca="1" si="78"/>
        <v>-0.55468476000000011</v>
      </c>
      <c r="BF84" s="287">
        <f t="shared" ca="1" si="79"/>
        <v>-1.1167653168000009</v>
      </c>
      <c r="BG84" s="45"/>
      <c r="BH84" s="45"/>
      <c r="BI84" s="45"/>
    </row>
    <row r="85" spans="1:61" s="252" customFormat="1" ht="15" hidden="1"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43"/>
      <c r="AE85" s="43"/>
      <c r="AF85" s="43"/>
      <c r="AG85" s="43"/>
      <c r="AH85" s="45">
        <v>27</v>
      </c>
      <c r="AI85" s="45" t="b">
        <f t="shared" si="69"/>
        <v>0</v>
      </c>
      <c r="AJ85" s="45" t="b">
        <f t="shared" si="80"/>
        <v>0</v>
      </c>
      <c r="AK85" s="281" t="b">
        <f t="shared" si="81"/>
        <v>0</v>
      </c>
      <c r="AL85" s="145">
        <f t="shared" si="60"/>
        <v>-0.61999999999999966</v>
      </c>
      <c r="AM85" s="145">
        <f t="shared" si="61"/>
        <v>-0.55999999999999983</v>
      </c>
      <c r="AN85" s="145">
        <f t="shared" si="62"/>
        <v>-0.2400000000000003</v>
      </c>
      <c r="AO85" s="145">
        <f t="shared" si="63"/>
        <v>-0.5</v>
      </c>
      <c r="AP85" s="145">
        <f t="shared" si="64"/>
        <v>-0.98000000000000065</v>
      </c>
      <c r="AQ85" s="287">
        <f t="shared" ca="1" si="70"/>
        <v>-0.68780910239999982</v>
      </c>
      <c r="AR85" s="287">
        <f t="shared" ca="1" si="71"/>
        <v>-0.62124693119999996</v>
      </c>
      <c r="AS85" s="287">
        <f t="shared" ca="1" si="72"/>
        <v>-0.26624868480000036</v>
      </c>
      <c r="AT85" s="287">
        <f t="shared" ca="1" si="73"/>
        <v>-0.55468476000000011</v>
      </c>
      <c r="AU85" s="287">
        <f t="shared" ca="1" si="74"/>
        <v>-1.0871821296000008</v>
      </c>
      <c r="AV85" s="287"/>
      <c r="AW85" s="145">
        <f t="shared" si="65"/>
        <v>0.68</v>
      </c>
      <c r="AX85" s="145">
        <f t="shared" si="66"/>
        <v>0.44000000000000017</v>
      </c>
      <c r="AY85" s="145">
        <f t="shared" si="67"/>
        <v>0.35999999999999982</v>
      </c>
      <c r="AZ85" s="287">
        <v>-0.5</v>
      </c>
      <c r="BA85" s="145">
        <f t="shared" si="68"/>
        <v>-0.98000000000000065</v>
      </c>
      <c r="BB85" s="287">
        <f t="shared" ca="1" si="75"/>
        <v>0.75437127360000023</v>
      </c>
      <c r="BC85" s="287">
        <f t="shared" ca="1" si="76"/>
        <v>0.48812258880000026</v>
      </c>
      <c r="BD85" s="287">
        <f t="shared" ca="1" si="77"/>
        <v>0.3993730271999999</v>
      </c>
      <c r="BE85" s="287">
        <f t="shared" ca="1" si="78"/>
        <v>-0.55468476000000011</v>
      </c>
      <c r="BF85" s="287">
        <f t="shared" ca="1" si="79"/>
        <v>-1.0871821296000008</v>
      </c>
      <c r="BG85" s="45"/>
      <c r="BH85" s="45"/>
      <c r="BI85" s="45"/>
    </row>
    <row r="86" spans="1:61" s="252" customFormat="1" ht="15" hidden="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43"/>
      <c r="AE86" s="43"/>
      <c r="AF86" s="43"/>
      <c r="AG86" s="43"/>
      <c r="AH86" s="45">
        <v>28</v>
      </c>
      <c r="AI86" s="45" t="b">
        <f t="shared" si="69"/>
        <v>0</v>
      </c>
      <c r="AJ86" s="45" t="b">
        <f t="shared" si="80"/>
        <v>0</v>
      </c>
      <c r="AK86" s="281" t="b">
        <f t="shared" si="81"/>
        <v>0</v>
      </c>
      <c r="AL86" s="145">
        <f t="shared" si="60"/>
        <v>-0.57999999999999963</v>
      </c>
      <c r="AM86" s="145">
        <f t="shared" si="61"/>
        <v>-0.53999999999999981</v>
      </c>
      <c r="AN86" s="145">
        <f t="shared" si="62"/>
        <v>-0.22666666666666696</v>
      </c>
      <c r="AO86" s="145">
        <f t="shared" si="63"/>
        <v>-0.5</v>
      </c>
      <c r="AP86" s="145">
        <f t="shared" si="64"/>
        <v>-0.95333333333333403</v>
      </c>
      <c r="AQ86" s="287">
        <f t="shared" ca="1" si="70"/>
        <v>-0.64343432159999969</v>
      </c>
      <c r="AR86" s="287">
        <f t="shared" ca="1" si="71"/>
        <v>-0.5990595407999999</v>
      </c>
      <c r="AS86" s="287">
        <f t="shared" ca="1" si="72"/>
        <v>-0.25145709120000037</v>
      </c>
      <c r="AT86" s="287">
        <f t="shared" ca="1" si="73"/>
        <v>-0.55468476000000011</v>
      </c>
      <c r="AU86" s="287">
        <f t="shared" ca="1" si="74"/>
        <v>-1.057598942400001</v>
      </c>
      <c r="AV86" s="287"/>
      <c r="AW86" s="145">
        <f t="shared" si="65"/>
        <v>0.72000000000000008</v>
      </c>
      <c r="AX86" s="145">
        <f t="shared" si="66"/>
        <v>0.46000000000000019</v>
      </c>
      <c r="AY86" s="145">
        <f t="shared" si="67"/>
        <v>0.37333333333333313</v>
      </c>
      <c r="AZ86" s="287">
        <v>-0.5</v>
      </c>
      <c r="BA86" s="145">
        <f t="shared" si="68"/>
        <v>-0.95333333333333403</v>
      </c>
      <c r="BB86" s="287">
        <f t="shared" ca="1" si="75"/>
        <v>0.79874605440000024</v>
      </c>
      <c r="BC86" s="287">
        <f t="shared" ca="1" si="76"/>
        <v>0.51030997920000032</v>
      </c>
      <c r="BD86" s="287">
        <f t="shared" ca="1" si="77"/>
        <v>0.41416462079999983</v>
      </c>
      <c r="BE86" s="287">
        <f t="shared" ca="1" si="78"/>
        <v>-0.55468476000000011</v>
      </c>
      <c r="BF86" s="287">
        <f t="shared" ca="1" si="79"/>
        <v>-1.057598942400001</v>
      </c>
      <c r="BG86" s="45"/>
      <c r="BH86" s="45"/>
      <c r="BI86" s="45"/>
    </row>
    <row r="87" spans="1:61" s="252" customFormat="1" ht="15" hidden="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43"/>
      <c r="AE87" s="43"/>
      <c r="AF87" s="43"/>
      <c r="AG87" s="43"/>
      <c r="AH87" s="45">
        <v>29</v>
      </c>
      <c r="AI87" s="45" t="b">
        <f t="shared" si="69"/>
        <v>0</v>
      </c>
      <c r="AJ87" s="45" t="b">
        <f t="shared" si="80"/>
        <v>0</v>
      </c>
      <c r="AK87" s="281" t="b">
        <f t="shared" si="81"/>
        <v>0</v>
      </c>
      <c r="AL87" s="145">
        <f t="shared" si="60"/>
        <v>-0.53999999999999959</v>
      </c>
      <c r="AM87" s="145">
        <f t="shared" si="61"/>
        <v>-0.5199999999999998</v>
      </c>
      <c r="AN87" s="145">
        <f t="shared" si="62"/>
        <v>-0.21333333333333362</v>
      </c>
      <c r="AO87" s="145">
        <f t="shared" si="63"/>
        <v>-0.5</v>
      </c>
      <c r="AP87" s="145">
        <f t="shared" si="64"/>
        <v>-0.92666666666666742</v>
      </c>
      <c r="AQ87" s="287">
        <f t="shared" ca="1" si="70"/>
        <v>-0.59905954079999968</v>
      </c>
      <c r="AR87" s="287">
        <f t="shared" ca="1" si="71"/>
        <v>-0.57687215039999984</v>
      </c>
      <c r="AS87" s="287">
        <f t="shared" ca="1" si="72"/>
        <v>-0.23666549760000036</v>
      </c>
      <c r="AT87" s="287">
        <f t="shared" ca="1" si="73"/>
        <v>-0.55468476000000011</v>
      </c>
      <c r="AU87" s="287">
        <f t="shared" ca="1" si="74"/>
        <v>-1.0280157552000011</v>
      </c>
      <c r="AV87" s="287"/>
      <c r="AW87" s="145">
        <f t="shared" si="65"/>
        <v>0.76000000000000012</v>
      </c>
      <c r="AX87" s="145">
        <f t="shared" si="66"/>
        <v>0.4800000000000002</v>
      </c>
      <c r="AY87" s="145">
        <f>0.2/15+AY86</f>
        <v>0.38666666666666644</v>
      </c>
      <c r="AZ87" s="287">
        <v>-0.5</v>
      </c>
      <c r="BA87" s="145">
        <f t="shared" si="68"/>
        <v>-0.92666666666666742</v>
      </c>
      <c r="BB87" s="287">
        <f t="shared" ca="1" si="75"/>
        <v>0.84312083520000025</v>
      </c>
      <c r="BC87" s="287">
        <f t="shared" ca="1" si="76"/>
        <v>0.53249736960000038</v>
      </c>
      <c r="BD87" s="287">
        <f t="shared" ca="1" si="77"/>
        <v>0.42895621439999981</v>
      </c>
      <c r="BE87" s="287">
        <f t="shared" ca="1" si="78"/>
        <v>-0.55468476000000011</v>
      </c>
      <c r="BF87" s="287">
        <f t="shared" ca="1" si="79"/>
        <v>-1.0280157552000011</v>
      </c>
      <c r="BG87" s="45"/>
      <c r="BH87" s="45"/>
      <c r="BI87" s="45"/>
    </row>
    <row r="88" spans="1:61" s="252" customFormat="1" ht="15" hidden="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43"/>
      <c r="AE88" s="43"/>
      <c r="AF88" s="43"/>
      <c r="AG88" s="43"/>
      <c r="AH88" s="276">
        <v>30</v>
      </c>
      <c r="AI88" s="45" t="b">
        <f t="shared" si="69"/>
        <v>0</v>
      </c>
      <c r="AJ88" s="45" t="b">
        <f t="shared" si="80"/>
        <v>0</v>
      </c>
      <c r="AK88" s="281" t="b">
        <f t="shared" si="81"/>
        <v>0</v>
      </c>
      <c r="AL88" s="287">
        <v>-0.5</v>
      </c>
      <c r="AM88" s="287">
        <v>-0.5</v>
      </c>
      <c r="AN88" s="287">
        <v>-0.2</v>
      </c>
      <c r="AO88" s="287">
        <v>-0.5</v>
      </c>
      <c r="AP88" s="287">
        <v>-0.9</v>
      </c>
      <c r="AQ88" s="287">
        <f t="shared" ca="1" si="70"/>
        <v>-0.55468476000000011</v>
      </c>
      <c r="AR88" s="287">
        <f t="shared" ca="1" si="71"/>
        <v>-0.55468476000000011</v>
      </c>
      <c r="AS88" s="287">
        <f t="shared" ca="1" si="72"/>
        <v>-0.22187390400000007</v>
      </c>
      <c r="AT88" s="287">
        <f t="shared" ca="1" si="73"/>
        <v>-0.55468476000000011</v>
      </c>
      <c r="AU88" s="287">
        <f t="shared" ca="1" si="74"/>
        <v>-0.99843256800000024</v>
      </c>
      <c r="AV88" s="287"/>
      <c r="AW88" s="287">
        <v>0.8</v>
      </c>
      <c r="AX88" s="287">
        <v>0.5</v>
      </c>
      <c r="AY88" s="287">
        <v>0.4</v>
      </c>
      <c r="AZ88" s="287">
        <v>-0.5</v>
      </c>
      <c r="BA88" s="287">
        <v>-0.9</v>
      </c>
      <c r="BB88" s="287">
        <f t="shared" ca="1" si="75"/>
        <v>0.88749561600000026</v>
      </c>
      <c r="BC88" s="287">
        <f t="shared" ca="1" si="76"/>
        <v>0.55468476000000011</v>
      </c>
      <c r="BD88" s="287">
        <f t="shared" ca="1" si="77"/>
        <v>0.44374780800000013</v>
      </c>
      <c r="BE88" s="287">
        <f t="shared" ca="1" si="78"/>
        <v>-0.55468476000000011</v>
      </c>
      <c r="BF88" s="287">
        <f t="shared" ca="1" si="79"/>
        <v>-0.99843256800000024</v>
      </c>
      <c r="BG88" s="45"/>
      <c r="BH88" s="45"/>
      <c r="BI88" s="45"/>
    </row>
    <row r="89" spans="1:61" s="252" customFormat="1" ht="15" hidden="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43"/>
      <c r="AE89" s="43"/>
      <c r="AF89" s="43"/>
      <c r="AG89" s="43"/>
      <c r="AH89" s="45">
        <v>31</v>
      </c>
      <c r="AI89" s="45" t="b">
        <f t="shared" si="69"/>
        <v>0</v>
      </c>
      <c r="AJ89" s="45" t="b">
        <f t="shared" si="80"/>
        <v>0</v>
      </c>
      <c r="AK89" s="281" t="b">
        <f t="shared" si="81"/>
        <v>0</v>
      </c>
      <c r="AL89" s="145">
        <f>+ABS($AL$88-$AL$103)/15+AL88</f>
        <v>-0.46666666666666667</v>
      </c>
      <c r="AM89" s="145">
        <f>+ABS($AM$88-$AM$103)/15+AM88</f>
        <v>-0.46666666666666667</v>
      </c>
      <c r="AN89" s="145">
        <f>+ABS($AN$88-$AN$103)/15+AN88</f>
        <v>-0.18666666666666668</v>
      </c>
      <c r="AO89" s="145">
        <f>+ABS($AO$88-$AO$103)/15+AO88</f>
        <v>-0.5</v>
      </c>
      <c r="AP89" s="145">
        <f>+ABS($AP$88-$AP$103)/15+AP88</f>
        <v>-0.89333333333333331</v>
      </c>
      <c r="AQ89" s="287">
        <f t="shared" ca="1" si="70"/>
        <v>-0.51770577600000012</v>
      </c>
      <c r="AR89" s="287">
        <f t="shared" ca="1" si="71"/>
        <v>-0.51770577600000012</v>
      </c>
      <c r="AS89" s="287">
        <f t="shared" ca="1" si="72"/>
        <v>-0.20708231040000005</v>
      </c>
      <c r="AT89" s="287">
        <f t="shared" ca="1" si="73"/>
        <v>-0.55468476000000011</v>
      </c>
      <c r="AU89" s="287">
        <f t="shared" ca="1" si="74"/>
        <v>-0.99103677120000022</v>
      </c>
      <c r="AV89" s="287"/>
      <c r="AW89" s="145">
        <f>0+AW88</f>
        <v>0.8</v>
      </c>
      <c r="AX89" s="145">
        <f>0.1/15+AX88</f>
        <v>0.50666666666666671</v>
      </c>
      <c r="AY89" s="145">
        <f>0.3/15+AY88</f>
        <v>0.42000000000000004</v>
      </c>
      <c r="AZ89" s="145">
        <f>0+AZ88</f>
        <v>-0.5</v>
      </c>
      <c r="BA89" s="145">
        <f>0.1/15+BA88</f>
        <v>-0.89333333333333331</v>
      </c>
      <c r="BB89" s="287">
        <f t="shared" ca="1" si="75"/>
        <v>0.88749561600000026</v>
      </c>
      <c r="BC89" s="287">
        <f t="shared" ca="1" si="76"/>
        <v>0.56208055680000013</v>
      </c>
      <c r="BD89" s="287">
        <f t="shared" ca="1" si="77"/>
        <v>0.46593519840000014</v>
      </c>
      <c r="BE89" s="287">
        <f t="shared" ca="1" si="78"/>
        <v>-0.55468476000000011</v>
      </c>
      <c r="BF89" s="287">
        <f t="shared" ca="1" si="79"/>
        <v>-0.99103677120000022</v>
      </c>
      <c r="BG89" s="45"/>
      <c r="BH89" s="45"/>
      <c r="BI89" s="45"/>
    </row>
    <row r="90" spans="1:61" s="252" customFormat="1" ht="15" hidden="1"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43"/>
      <c r="AE90" s="43"/>
      <c r="AF90" s="43"/>
      <c r="AG90" s="43"/>
      <c r="AH90" s="45">
        <v>32</v>
      </c>
      <c r="AI90" s="45" t="b">
        <f t="shared" si="69"/>
        <v>0</v>
      </c>
      <c r="AJ90" s="45" t="b">
        <f t="shared" si="80"/>
        <v>0</v>
      </c>
      <c r="AK90" s="281" t="b">
        <f t="shared" si="81"/>
        <v>0</v>
      </c>
      <c r="AL90" s="145">
        <f t="shared" ref="AL90:AL102" si="82">+ABS($AL$88-$AL$103)/15+AL89</f>
        <v>-0.43333333333333335</v>
      </c>
      <c r="AM90" s="145">
        <f t="shared" ref="AM90:AM102" si="83">+ABS($AM$88-$AM$103)/15+AM89</f>
        <v>-0.43333333333333335</v>
      </c>
      <c r="AN90" s="145">
        <f t="shared" ref="AN90:AN102" si="84">+ABS($AN$88-$AN$103)/15+AN89</f>
        <v>-0.17333333333333334</v>
      </c>
      <c r="AO90" s="145">
        <f t="shared" ref="AO90:AO102" si="85">+ABS($AO$88-$AO$103)/15+AO89</f>
        <v>-0.5</v>
      </c>
      <c r="AP90" s="145">
        <f t="shared" ref="AP90:AP102" si="86">+ABS($AP$88-$AP$103)/15+AP89</f>
        <v>-0.8866666666666666</v>
      </c>
      <c r="AQ90" s="287">
        <f t="shared" ca="1" si="70"/>
        <v>-0.48072679200000012</v>
      </c>
      <c r="AR90" s="287">
        <f t="shared" ca="1" si="71"/>
        <v>-0.48072679200000012</v>
      </c>
      <c r="AS90" s="287">
        <f t="shared" ca="1" si="72"/>
        <v>-0.19229071680000004</v>
      </c>
      <c r="AT90" s="287">
        <f t="shared" ca="1" si="73"/>
        <v>-0.55468476000000011</v>
      </c>
      <c r="AU90" s="287">
        <f t="shared" ca="1" si="74"/>
        <v>-0.98364097440000009</v>
      </c>
      <c r="AV90" s="287"/>
      <c r="AW90" s="145">
        <f t="shared" ref="AW90:AW102" si="87">0+AW89</f>
        <v>0.8</v>
      </c>
      <c r="AX90" s="145">
        <f t="shared" ref="AX90:AX102" si="88">0.1/15+AX89</f>
        <v>0.51333333333333342</v>
      </c>
      <c r="AY90" s="145">
        <f t="shared" ref="AY90:AY102" si="89">0.3/15+AY89</f>
        <v>0.44000000000000006</v>
      </c>
      <c r="AZ90" s="145">
        <f t="shared" ref="AZ90:AZ102" si="90">0+AZ89</f>
        <v>-0.5</v>
      </c>
      <c r="BA90" s="145">
        <f t="shared" ref="BA90:BA102" si="91">0.1/15+BA89</f>
        <v>-0.8866666666666666</v>
      </c>
      <c r="BB90" s="287">
        <f t="shared" ca="1" si="75"/>
        <v>0.88749561600000026</v>
      </c>
      <c r="BC90" s="287">
        <f t="shared" ca="1" si="76"/>
        <v>0.56947635360000026</v>
      </c>
      <c r="BD90" s="287">
        <f t="shared" ca="1" si="77"/>
        <v>0.48812258880000015</v>
      </c>
      <c r="BE90" s="287">
        <f t="shared" ca="1" si="78"/>
        <v>-0.55468476000000011</v>
      </c>
      <c r="BF90" s="287">
        <f t="shared" ca="1" si="79"/>
        <v>-0.98364097440000009</v>
      </c>
      <c r="BG90" s="45"/>
      <c r="BH90" s="45"/>
      <c r="BI90" s="45"/>
    </row>
    <row r="91" spans="1:61" s="252" customFormat="1" ht="15" hidden="1"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43"/>
      <c r="AE91" s="43"/>
      <c r="AF91" s="43"/>
      <c r="AG91" s="43"/>
      <c r="AH91" s="45">
        <v>33</v>
      </c>
      <c r="AI91" s="45" t="b">
        <f t="shared" si="69"/>
        <v>0</v>
      </c>
      <c r="AJ91" s="45" t="b">
        <f t="shared" si="80"/>
        <v>0</v>
      </c>
      <c r="AK91" s="281" t="b">
        <f t="shared" si="81"/>
        <v>0</v>
      </c>
      <c r="AL91" s="145">
        <f t="shared" si="82"/>
        <v>-0.4</v>
      </c>
      <c r="AM91" s="145">
        <f t="shared" si="83"/>
        <v>-0.4</v>
      </c>
      <c r="AN91" s="145">
        <f t="shared" si="84"/>
        <v>-0.16</v>
      </c>
      <c r="AO91" s="145">
        <f t="shared" si="85"/>
        <v>-0.5</v>
      </c>
      <c r="AP91" s="145">
        <f t="shared" si="86"/>
        <v>-0.87999999999999989</v>
      </c>
      <c r="AQ91" s="287">
        <f t="shared" ca="1" si="70"/>
        <v>-0.44374780800000013</v>
      </c>
      <c r="AR91" s="287">
        <f t="shared" ca="1" si="71"/>
        <v>-0.44374780800000013</v>
      </c>
      <c r="AS91" s="287">
        <f t="shared" ca="1" si="72"/>
        <v>-0.17749912320000003</v>
      </c>
      <c r="AT91" s="287">
        <f t="shared" ca="1" si="73"/>
        <v>-0.55468476000000011</v>
      </c>
      <c r="AU91" s="287">
        <f t="shared" ca="1" si="74"/>
        <v>-0.97624517760000007</v>
      </c>
      <c r="AV91" s="287"/>
      <c r="AW91" s="145">
        <f t="shared" si="87"/>
        <v>0.8</v>
      </c>
      <c r="AX91" s="145">
        <f t="shared" si="88"/>
        <v>0.52000000000000013</v>
      </c>
      <c r="AY91" s="145">
        <f t="shared" si="89"/>
        <v>0.46000000000000008</v>
      </c>
      <c r="AZ91" s="145">
        <f t="shared" si="90"/>
        <v>-0.5</v>
      </c>
      <c r="BA91" s="145">
        <f t="shared" si="91"/>
        <v>-0.87999999999999989</v>
      </c>
      <c r="BB91" s="287">
        <f t="shared" ca="1" si="75"/>
        <v>0.88749561600000026</v>
      </c>
      <c r="BC91" s="287">
        <f t="shared" ca="1" si="76"/>
        <v>0.57687215040000028</v>
      </c>
      <c r="BD91" s="287">
        <f t="shared" ca="1" si="77"/>
        <v>0.51030997920000021</v>
      </c>
      <c r="BE91" s="287">
        <f t="shared" ca="1" si="78"/>
        <v>-0.55468476000000011</v>
      </c>
      <c r="BF91" s="287">
        <f t="shared" ca="1" si="79"/>
        <v>-0.97624517760000007</v>
      </c>
      <c r="BG91" s="45"/>
      <c r="BH91" s="45"/>
      <c r="BI91" s="45"/>
    </row>
    <row r="92" spans="1:61" s="252" customFormat="1" ht="15" hidden="1"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43"/>
      <c r="AE92" s="43"/>
      <c r="AF92" s="43"/>
      <c r="AG92" s="43"/>
      <c r="AH92" s="45">
        <v>34</v>
      </c>
      <c r="AI92" s="45" t="b">
        <f t="shared" si="69"/>
        <v>0</v>
      </c>
      <c r="AJ92" s="45" t="b">
        <f t="shared" si="80"/>
        <v>0</v>
      </c>
      <c r="AK92" s="281" t="b">
        <f t="shared" si="81"/>
        <v>0</v>
      </c>
      <c r="AL92" s="145">
        <f t="shared" si="82"/>
        <v>-0.3666666666666667</v>
      </c>
      <c r="AM92" s="145">
        <f t="shared" si="83"/>
        <v>-0.3666666666666667</v>
      </c>
      <c r="AN92" s="145">
        <f t="shared" si="84"/>
        <v>-0.14666666666666667</v>
      </c>
      <c r="AO92" s="145">
        <f t="shared" si="85"/>
        <v>-0.5</v>
      </c>
      <c r="AP92" s="145">
        <f t="shared" si="86"/>
        <v>-0.87333333333333318</v>
      </c>
      <c r="AQ92" s="287">
        <f t="shared" ca="1" si="70"/>
        <v>-0.40676882400000014</v>
      </c>
      <c r="AR92" s="287">
        <f t="shared" ca="1" si="71"/>
        <v>-0.40676882400000014</v>
      </c>
      <c r="AS92" s="287">
        <f t="shared" ca="1" si="72"/>
        <v>-0.16270752960000004</v>
      </c>
      <c r="AT92" s="287">
        <f t="shared" ca="1" si="73"/>
        <v>-0.55468476000000011</v>
      </c>
      <c r="AU92" s="287">
        <f t="shared" ca="1" si="74"/>
        <v>-0.96884938080000005</v>
      </c>
      <c r="AV92" s="287"/>
      <c r="AW92" s="145">
        <f t="shared" si="87"/>
        <v>0.8</v>
      </c>
      <c r="AX92" s="145">
        <f t="shared" si="88"/>
        <v>0.52666666666666684</v>
      </c>
      <c r="AY92" s="145">
        <f t="shared" si="89"/>
        <v>0.48000000000000009</v>
      </c>
      <c r="AZ92" s="145">
        <f t="shared" si="90"/>
        <v>-0.5</v>
      </c>
      <c r="BA92" s="145">
        <f t="shared" si="91"/>
        <v>-0.87333333333333318</v>
      </c>
      <c r="BB92" s="287">
        <f t="shared" ca="1" si="75"/>
        <v>0.88749561600000026</v>
      </c>
      <c r="BC92" s="287">
        <f t="shared" ca="1" si="76"/>
        <v>0.5842679472000003</v>
      </c>
      <c r="BD92" s="287">
        <f t="shared" ca="1" si="77"/>
        <v>0.53249736960000016</v>
      </c>
      <c r="BE92" s="287">
        <f t="shared" ca="1" si="78"/>
        <v>-0.55468476000000011</v>
      </c>
      <c r="BF92" s="287">
        <f t="shared" ca="1" si="79"/>
        <v>-0.96884938080000005</v>
      </c>
      <c r="BG92" s="45"/>
      <c r="BH92" s="45"/>
      <c r="BI92" s="45"/>
    </row>
    <row r="93" spans="1:61" s="252" customFormat="1" ht="15" hidden="1"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43"/>
      <c r="AE93" s="43"/>
      <c r="AF93" s="43"/>
      <c r="AG93" s="43"/>
      <c r="AH93" s="45">
        <v>35</v>
      </c>
      <c r="AI93" s="45" t="b">
        <f t="shared" si="69"/>
        <v>0</v>
      </c>
      <c r="AJ93" s="45" t="b">
        <f t="shared" si="80"/>
        <v>0</v>
      </c>
      <c r="AK93" s="281" t="b">
        <f t="shared" si="81"/>
        <v>0</v>
      </c>
      <c r="AL93" s="145">
        <f t="shared" si="82"/>
        <v>-0.33333333333333337</v>
      </c>
      <c r="AM93" s="145">
        <f t="shared" si="83"/>
        <v>-0.33333333333333337</v>
      </c>
      <c r="AN93" s="145">
        <f t="shared" si="84"/>
        <v>-0.13333333333333333</v>
      </c>
      <c r="AO93" s="145">
        <f t="shared" si="85"/>
        <v>-0.5</v>
      </c>
      <c r="AP93" s="145">
        <f t="shared" si="86"/>
        <v>-0.86666666666666647</v>
      </c>
      <c r="AQ93" s="287">
        <f t="shared" ca="1" si="70"/>
        <v>-0.36978984000000009</v>
      </c>
      <c r="AR93" s="287">
        <f t="shared" ca="1" si="71"/>
        <v>-0.36978984000000009</v>
      </c>
      <c r="AS93" s="287">
        <f t="shared" ca="1" si="72"/>
        <v>-0.14791593600000003</v>
      </c>
      <c r="AT93" s="287">
        <f t="shared" ca="1" si="73"/>
        <v>-0.55468476000000011</v>
      </c>
      <c r="AU93" s="287">
        <f t="shared" ca="1" si="74"/>
        <v>-0.96145358400000003</v>
      </c>
      <c r="AV93" s="287"/>
      <c r="AW93" s="145">
        <f t="shared" si="87"/>
        <v>0.8</v>
      </c>
      <c r="AX93" s="145">
        <f t="shared" si="88"/>
        <v>0.53333333333333355</v>
      </c>
      <c r="AY93" s="145">
        <f t="shared" si="89"/>
        <v>0.50000000000000011</v>
      </c>
      <c r="AZ93" s="145">
        <f t="shared" si="90"/>
        <v>-0.5</v>
      </c>
      <c r="BA93" s="145">
        <f t="shared" si="91"/>
        <v>-0.86666666666666647</v>
      </c>
      <c r="BB93" s="287">
        <f t="shared" ca="1" si="75"/>
        <v>0.88749561600000026</v>
      </c>
      <c r="BC93" s="287">
        <f t="shared" ca="1" si="76"/>
        <v>0.59166374400000032</v>
      </c>
      <c r="BD93" s="287">
        <f t="shared" ca="1" si="77"/>
        <v>0.55468476000000022</v>
      </c>
      <c r="BE93" s="287">
        <f t="shared" ca="1" si="78"/>
        <v>-0.55468476000000011</v>
      </c>
      <c r="BF93" s="287">
        <f t="shared" ca="1" si="79"/>
        <v>-0.96145358400000003</v>
      </c>
      <c r="BG93" s="45"/>
      <c r="BH93" s="45"/>
      <c r="BI93" s="45"/>
    </row>
    <row r="94" spans="1:61" s="252" customFormat="1" ht="15" hidden="1"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43"/>
      <c r="AE94" s="43"/>
      <c r="AF94" s="43"/>
      <c r="AG94" s="43"/>
      <c r="AH94" s="45">
        <v>36</v>
      </c>
      <c r="AI94" s="45" t="b">
        <f t="shared" si="69"/>
        <v>0</v>
      </c>
      <c r="AJ94" s="45" t="b">
        <f t="shared" si="80"/>
        <v>0</v>
      </c>
      <c r="AK94" s="281" t="b">
        <f t="shared" si="81"/>
        <v>0</v>
      </c>
      <c r="AL94" s="145">
        <f t="shared" si="82"/>
        <v>-0.30000000000000004</v>
      </c>
      <c r="AM94" s="145">
        <f t="shared" si="83"/>
        <v>-0.30000000000000004</v>
      </c>
      <c r="AN94" s="145">
        <f t="shared" si="84"/>
        <v>-0.12</v>
      </c>
      <c r="AO94" s="145">
        <f t="shared" si="85"/>
        <v>-0.5</v>
      </c>
      <c r="AP94" s="145">
        <f t="shared" si="86"/>
        <v>-0.85999999999999976</v>
      </c>
      <c r="AQ94" s="287">
        <f t="shared" ca="1" si="70"/>
        <v>-0.3328108560000001</v>
      </c>
      <c r="AR94" s="287">
        <f t="shared" ca="1" si="71"/>
        <v>-0.3328108560000001</v>
      </c>
      <c r="AS94" s="287">
        <f t="shared" ca="1" si="72"/>
        <v>-0.13312434240000001</v>
      </c>
      <c r="AT94" s="287">
        <f t="shared" ca="1" si="73"/>
        <v>-0.55468476000000011</v>
      </c>
      <c r="AU94" s="287">
        <f t="shared" ca="1" si="74"/>
        <v>-0.9540577871999999</v>
      </c>
      <c r="AV94" s="287"/>
      <c r="AW94" s="145">
        <f t="shared" si="87"/>
        <v>0.8</v>
      </c>
      <c r="AX94" s="145">
        <f t="shared" si="88"/>
        <v>0.54000000000000026</v>
      </c>
      <c r="AY94" s="145">
        <f t="shared" si="89"/>
        <v>0.52000000000000013</v>
      </c>
      <c r="AZ94" s="145">
        <f t="shared" si="90"/>
        <v>-0.5</v>
      </c>
      <c r="BA94" s="145">
        <f t="shared" si="91"/>
        <v>-0.85999999999999976</v>
      </c>
      <c r="BB94" s="287">
        <f t="shared" ca="1" si="75"/>
        <v>0.88749561600000026</v>
      </c>
      <c r="BC94" s="287">
        <f t="shared" ca="1" si="76"/>
        <v>0.59905954080000046</v>
      </c>
      <c r="BD94" s="287">
        <f t="shared" ca="1" si="77"/>
        <v>0.57687215040000028</v>
      </c>
      <c r="BE94" s="287">
        <f t="shared" ca="1" si="78"/>
        <v>-0.55468476000000011</v>
      </c>
      <c r="BF94" s="287">
        <f t="shared" ca="1" si="79"/>
        <v>-0.9540577871999999</v>
      </c>
      <c r="BG94" s="45"/>
      <c r="BH94" s="45"/>
      <c r="BI94" s="45"/>
    </row>
    <row r="95" spans="1:61" s="252" customFormat="1" ht="15" hidden="1"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43"/>
      <c r="AE95" s="43"/>
      <c r="AF95" s="43"/>
      <c r="AG95" s="43"/>
      <c r="AH95" s="45">
        <v>37</v>
      </c>
      <c r="AI95" s="45" t="b">
        <f t="shared" si="69"/>
        <v>0</v>
      </c>
      <c r="AJ95" s="45" t="b">
        <f t="shared" si="80"/>
        <v>0</v>
      </c>
      <c r="AK95" s="281" t="b">
        <f t="shared" si="81"/>
        <v>0</v>
      </c>
      <c r="AL95" s="145">
        <f t="shared" si="82"/>
        <v>-0.26666666666666672</v>
      </c>
      <c r="AM95" s="145">
        <f t="shared" si="83"/>
        <v>-0.26666666666666672</v>
      </c>
      <c r="AN95" s="145">
        <f t="shared" si="84"/>
        <v>-0.10666666666666666</v>
      </c>
      <c r="AO95" s="145">
        <f t="shared" si="85"/>
        <v>-0.5</v>
      </c>
      <c r="AP95" s="145">
        <f t="shared" si="86"/>
        <v>-0.85333333333333306</v>
      </c>
      <c r="AQ95" s="287">
        <f t="shared" ca="1" si="70"/>
        <v>-0.29583187200000011</v>
      </c>
      <c r="AR95" s="287">
        <f t="shared" ca="1" si="71"/>
        <v>-0.29583187200000011</v>
      </c>
      <c r="AS95" s="287">
        <f t="shared" ca="1" si="72"/>
        <v>-0.11833274880000001</v>
      </c>
      <c r="AT95" s="287">
        <f t="shared" ca="1" si="73"/>
        <v>-0.55468476000000011</v>
      </c>
      <c r="AU95" s="287">
        <f t="shared" ca="1" si="74"/>
        <v>-0.94666199039999988</v>
      </c>
      <c r="AV95" s="287"/>
      <c r="AW95" s="145">
        <f t="shared" si="87"/>
        <v>0.8</v>
      </c>
      <c r="AX95" s="145">
        <f t="shared" si="88"/>
        <v>0.54666666666666697</v>
      </c>
      <c r="AY95" s="145">
        <f t="shared" si="89"/>
        <v>0.54000000000000015</v>
      </c>
      <c r="AZ95" s="145">
        <f t="shared" si="90"/>
        <v>-0.5</v>
      </c>
      <c r="BA95" s="145">
        <f t="shared" si="91"/>
        <v>-0.85333333333333306</v>
      </c>
      <c r="BB95" s="287">
        <f t="shared" ca="1" si="75"/>
        <v>0.88749561600000026</v>
      </c>
      <c r="BC95" s="287">
        <f t="shared" ca="1" si="76"/>
        <v>0.60645533760000048</v>
      </c>
      <c r="BD95" s="287">
        <f t="shared" ca="1" si="77"/>
        <v>0.59905954080000023</v>
      </c>
      <c r="BE95" s="287">
        <f t="shared" ca="1" si="78"/>
        <v>-0.55468476000000011</v>
      </c>
      <c r="BF95" s="287">
        <f t="shared" ca="1" si="79"/>
        <v>-0.94666199039999988</v>
      </c>
      <c r="BG95" s="45"/>
      <c r="BH95" s="45"/>
      <c r="BI95" s="45"/>
    </row>
    <row r="96" spans="1:61" s="252" customFormat="1" ht="15" hidden="1"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43"/>
      <c r="AE96" s="43"/>
      <c r="AF96" s="43"/>
      <c r="AG96" s="43"/>
      <c r="AH96" s="45">
        <v>38</v>
      </c>
      <c r="AI96" s="45" t="b">
        <f t="shared" si="69"/>
        <v>0</v>
      </c>
      <c r="AJ96" s="45" t="b">
        <f t="shared" si="80"/>
        <v>0</v>
      </c>
      <c r="AK96" s="281" t="b">
        <f t="shared" si="81"/>
        <v>0</v>
      </c>
      <c r="AL96" s="145">
        <f t="shared" si="82"/>
        <v>-0.23333333333333339</v>
      </c>
      <c r="AM96" s="145">
        <f t="shared" si="83"/>
        <v>-0.23333333333333339</v>
      </c>
      <c r="AN96" s="145">
        <f t="shared" si="84"/>
        <v>-9.3333333333333324E-2</v>
      </c>
      <c r="AO96" s="145">
        <f t="shared" si="85"/>
        <v>-0.5</v>
      </c>
      <c r="AP96" s="145">
        <f t="shared" si="86"/>
        <v>-0.84666666666666635</v>
      </c>
      <c r="AQ96" s="287">
        <f t="shared" ca="1" si="70"/>
        <v>-0.25885288800000011</v>
      </c>
      <c r="AR96" s="287">
        <f t="shared" ca="1" si="71"/>
        <v>-0.25885288800000011</v>
      </c>
      <c r="AS96" s="287">
        <f t="shared" ca="1" si="72"/>
        <v>-0.10354115520000001</v>
      </c>
      <c r="AT96" s="287">
        <f t="shared" ca="1" si="73"/>
        <v>-0.55468476000000011</v>
      </c>
      <c r="AU96" s="287">
        <f t="shared" ca="1" si="74"/>
        <v>-0.93926619359999985</v>
      </c>
      <c r="AV96" s="287"/>
      <c r="AW96" s="145">
        <f t="shared" si="87"/>
        <v>0.8</v>
      </c>
      <c r="AX96" s="145">
        <f t="shared" si="88"/>
        <v>0.55333333333333368</v>
      </c>
      <c r="AY96" s="145">
        <f t="shared" si="89"/>
        <v>0.56000000000000016</v>
      </c>
      <c r="AZ96" s="145">
        <f t="shared" si="90"/>
        <v>-0.5</v>
      </c>
      <c r="BA96" s="145">
        <f t="shared" si="91"/>
        <v>-0.84666666666666635</v>
      </c>
      <c r="BB96" s="287">
        <f t="shared" ca="1" si="75"/>
        <v>0.88749561600000026</v>
      </c>
      <c r="BC96" s="287">
        <f t="shared" ca="1" si="76"/>
        <v>0.6138511344000005</v>
      </c>
      <c r="BD96" s="287">
        <f t="shared" ca="1" si="77"/>
        <v>0.6212469312000003</v>
      </c>
      <c r="BE96" s="287">
        <f t="shared" ca="1" si="78"/>
        <v>-0.55468476000000011</v>
      </c>
      <c r="BF96" s="287">
        <f t="shared" ca="1" si="79"/>
        <v>-0.93926619359999985</v>
      </c>
      <c r="BG96" s="45"/>
      <c r="BH96" s="45"/>
      <c r="BI96" s="45"/>
    </row>
    <row r="97" spans="1:61" s="252" customFormat="1" ht="15" hidden="1"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43"/>
      <c r="AE97" s="43"/>
      <c r="AF97" s="43"/>
      <c r="AG97" s="43"/>
      <c r="AH97" s="45">
        <v>39</v>
      </c>
      <c r="AI97" s="45" t="b">
        <f t="shared" si="69"/>
        <v>0</v>
      </c>
      <c r="AJ97" s="45" t="b">
        <f t="shared" si="80"/>
        <v>0</v>
      </c>
      <c r="AK97" s="281" t="b">
        <f t="shared" si="81"/>
        <v>0</v>
      </c>
      <c r="AL97" s="145">
        <f t="shared" si="82"/>
        <v>-0.20000000000000007</v>
      </c>
      <c r="AM97" s="145">
        <f t="shared" si="83"/>
        <v>-0.20000000000000007</v>
      </c>
      <c r="AN97" s="145">
        <f t="shared" si="84"/>
        <v>-7.9999999999999988E-2</v>
      </c>
      <c r="AO97" s="145">
        <f t="shared" si="85"/>
        <v>-0.5</v>
      </c>
      <c r="AP97" s="145">
        <f t="shared" si="86"/>
        <v>-0.83999999999999964</v>
      </c>
      <c r="AQ97" s="287">
        <f t="shared" ca="1" si="70"/>
        <v>-0.22187390400000012</v>
      </c>
      <c r="AR97" s="287">
        <f t="shared" ca="1" si="71"/>
        <v>-0.22187390400000012</v>
      </c>
      <c r="AS97" s="287">
        <f t="shared" ca="1" si="72"/>
        <v>-8.8749561599999999E-2</v>
      </c>
      <c r="AT97" s="287">
        <f t="shared" ca="1" si="73"/>
        <v>-0.55468476000000011</v>
      </c>
      <c r="AU97" s="287">
        <f t="shared" ca="1" si="74"/>
        <v>-0.93187039679999983</v>
      </c>
      <c r="AV97" s="287"/>
      <c r="AW97" s="145">
        <f t="shared" si="87"/>
        <v>0.8</v>
      </c>
      <c r="AX97" s="145">
        <f t="shared" si="88"/>
        <v>0.56000000000000039</v>
      </c>
      <c r="AY97" s="145">
        <f t="shared" si="89"/>
        <v>0.58000000000000018</v>
      </c>
      <c r="AZ97" s="145">
        <f t="shared" si="90"/>
        <v>-0.5</v>
      </c>
      <c r="BA97" s="145">
        <f t="shared" si="91"/>
        <v>-0.83999999999999964</v>
      </c>
      <c r="BB97" s="287">
        <f t="shared" ca="1" si="75"/>
        <v>0.88749561600000026</v>
      </c>
      <c r="BC97" s="287">
        <f t="shared" ca="1" si="76"/>
        <v>0.62124693120000052</v>
      </c>
      <c r="BD97" s="287">
        <f t="shared" ca="1" si="77"/>
        <v>0.64343432160000036</v>
      </c>
      <c r="BE97" s="287">
        <f t="shared" ca="1" si="78"/>
        <v>-0.55468476000000011</v>
      </c>
      <c r="BF97" s="287">
        <f t="shared" ca="1" si="79"/>
        <v>-0.93187039679999983</v>
      </c>
      <c r="BG97" s="45"/>
      <c r="BH97" s="45"/>
      <c r="BI97" s="45"/>
    </row>
    <row r="98" spans="1:61" s="252" customFormat="1" ht="15" hidden="1"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43"/>
      <c r="AE98" s="43"/>
      <c r="AF98" s="43"/>
      <c r="AG98" s="43"/>
      <c r="AH98" s="45">
        <v>40</v>
      </c>
      <c r="AI98" s="45" t="b">
        <f t="shared" si="69"/>
        <v>0</v>
      </c>
      <c r="AJ98" s="45" t="b">
        <f t="shared" si="80"/>
        <v>0</v>
      </c>
      <c r="AK98" s="281" t="b">
        <f t="shared" si="81"/>
        <v>0</v>
      </c>
      <c r="AL98" s="145">
        <f t="shared" si="82"/>
        <v>-0.16666666666666674</v>
      </c>
      <c r="AM98" s="145">
        <f t="shared" si="83"/>
        <v>-0.16666666666666674</v>
      </c>
      <c r="AN98" s="145">
        <f t="shared" si="84"/>
        <v>-6.6666666666666652E-2</v>
      </c>
      <c r="AO98" s="145">
        <f t="shared" si="85"/>
        <v>-0.5</v>
      </c>
      <c r="AP98" s="145">
        <f t="shared" si="86"/>
        <v>-0.83333333333333293</v>
      </c>
      <c r="AQ98" s="287">
        <f t="shared" ca="1" si="70"/>
        <v>-0.18489492000000013</v>
      </c>
      <c r="AR98" s="287">
        <f t="shared" ca="1" si="71"/>
        <v>-0.18489492000000013</v>
      </c>
      <c r="AS98" s="287">
        <f t="shared" ca="1" si="72"/>
        <v>-7.3957967999999999E-2</v>
      </c>
      <c r="AT98" s="287">
        <f t="shared" ca="1" si="73"/>
        <v>-0.55468476000000011</v>
      </c>
      <c r="AU98" s="287">
        <f t="shared" ca="1" si="74"/>
        <v>-0.9244745999999997</v>
      </c>
      <c r="AV98" s="287"/>
      <c r="AW98" s="145">
        <f t="shared" si="87"/>
        <v>0.8</v>
      </c>
      <c r="AX98" s="145">
        <f t="shared" si="88"/>
        <v>0.5666666666666671</v>
      </c>
      <c r="AY98" s="145">
        <f t="shared" si="89"/>
        <v>0.6000000000000002</v>
      </c>
      <c r="AZ98" s="145">
        <f t="shared" si="90"/>
        <v>-0.5</v>
      </c>
      <c r="BA98" s="145">
        <f t="shared" si="91"/>
        <v>-0.83333333333333293</v>
      </c>
      <c r="BB98" s="287">
        <f t="shared" ca="1" si="75"/>
        <v>0.88749561600000026</v>
      </c>
      <c r="BC98" s="287">
        <f t="shared" ca="1" si="76"/>
        <v>0.62864272800000065</v>
      </c>
      <c r="BD98" s="287">
        <f t="shared" ca="1" si="77"/>
        <v>0.66562171200000031</v>
      </c>
      <c r="BE98" s="287">
        <f t="shared" ca="1" si="78"/>
        <v>-0.55468476000000011</v>
      </c>
      <c r="BF98" s="287">
        <f t="shared" ca="1" si="79"/>
        <v>-0.9244745999999997</v>
      </c>
      <c r="BG98" s="45"/>
      <c r="BH98" s="45"/>
      <c r="BI98" s="45"/>
    </row>
    <row r="99" spans="1:61" s="252" customFormat="1" ht="15" hidden="1"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43"/>
      <c r="AE99" s="43"/>
      <c r="AF99" s="43"/>
      <c r="AG99" s="43"/>
      <c r="AH99" s="45">
        <v>41</v>
      </c>
      <c r="AI99" s="45" t="b">
        <f t="shared" si="69"/>
        <v>0</v>
      </c>
      <c r="AJ99" s="45" t="b">
        <f t="shared" si="80"/>
        <v>0</v>
      </c>
      <c r="AK99" s="281" t="b">
        <f t="shared" si="81"/>
        <v>0</v>
      </c>
      <c r="AL99" s="145">
        <f t="shared" si="82"/>
        <v>-0.13333333333333341</v>
      </c>
      <c r="AM99" s="145">
        <f t="shared" si="83"/>
        <v>-0.13333333333333341</v>
      </c>
      <c r="AN99" s="145">
        <f t="shared" si="84"/>
        <v>-5.3333333333333316E-2</v>
      </c>
      <c r="AO99" s="145">
        <f t="shared" si="85"/>
        <v>-0.5</v>
      </c>
      <c r="AP99" s="145">
        <f t="shared" si="86"/>
        <v>-0.82666666666666622</v>
      </c>
      <c r="AQ99" s="287">
        <f t="shared" ca="1" si="70"/>
        <v>-0.14791593600000011</v>
      </c>
      <c r="AR99" s="287">
        <f t="shared" ca="1" si="71"/>
        <v>-0.14791593600000011</v>
      </c>
      <c r="AS99" s="287">
        <f t="shared" ca="1" si="72"/>
        <v>-5.9166374399999992E-2</v>
      </c>
      <c r="AT99" s="287">
        <f t="shared" ca="1" si="73"/>
        <v>-0.55468476000000011</v>
      </c>
      <c r="AU99" s="287">
        <f t="shared" ca="1" si="74"/>
        <v>-0.91707880319999968</v>
      </c>
      <c r="AV99" s="287"/>
      <c r="AW99" s="145">
        <f t="shared" si="87"/>
        <v>0.8</v>
      </c>
      <c r="AX99" s="145">
        <f t="shared" si="88"/>
        <v>0.57333333333333381</v>
      </c>
      <c r="AY99" s="145">
        <f t="shared" si="89"/>
        <v>0.62000000000000022</v>
      </c>
      <c r="AZ99" s="145">
        <f t="shared" si="90"/>
        <v>-0.5</v>
      </c>
      <c r="BA99" s="145">
        <f t="shared" si="91"/>
        <v>-0.82666666666666622</v>
      </c>
      <c r="BB99" s="287">
        <f t="shared" ca="1" si="75"/>
        <v>0.88749561600000026</v>
      </c>
      <c r="BC99" s="287">
        <f t="shared" ca="1" si="76"/>
        <v>0.63603852480000067</v>
      </c>
      <c r="BD99" s="287">
        <f t="shared" ca="1" si="77"/>
        <v>0.68780910240000037</v>
      </c>
      <c r="BE99" s="287">
        <f t="shared" ca="1" si="78"/>
        <v>-0.55468476000000011</v>
      </c>
      <c r="BF99" s="287">
        <f t="shared" ca="1" si="79"/>
        <v>-0.91707880319999968</v>
      </c>
      <c r="BG99" s="45"/>
      <c r="BH99" s="45"/>
      <c r="BI99" s="45"/>
    </row>
    <row r="100" spans="1:61" s="252" customFormat="1" ht="15" hidden="1"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43"/>
      <c r="AE100" s="43"/>
      <c r="AF100" s="43"/>
      <c r="AG100" s="43"/>
      <c r="AH100" s="45">
        <v>42</v>
      </c>
      <c r="AI100" s="45" t="b">
        <f t="shared" si="69"/>
        <v>0</v>
      </c>
      <c r="AJ100" s="45" t="b">
        <f t="shared" si="80"/>
        <v>0</v>
      </c>
      <c r="AK100" s="281" t="b">
        <f t="shared" si="81"/>
        <v>0</v>
      </c>
      <c r="AL100" s="145">
        <f t="shared" si="82"/>
        <v>-0.10000000000000009</v>
      </c>
      <c r="AM100" s="145">
        <f t="shared" si="83"/>
        <v>-0.10000000000000009</v>
      </c>
      <c r="AN100" s="145">
        <f t="shared" si="84"/>
        <v>-3.999999999999998E-2</v>
      </c>
      <c r="AO100" s="145">
        <f t="shared" si="85"/>
        <v>-0.5</v>
      </c>
      <c r="AP100" s="145">
        <f t="shared" si="86"/>
        <v>-0.81999999999999951</v>
      </c>
      <c r="AQ100" s="287">
        <f t="shared" ca="1" si="70"/>
        <v>-0.11093695200000012</v>
      </c>
      <c r="AR100" s="287">
        <f t="shared" ca="1" si="71"/>
        <v>-0.11093695200000012</v>
      </c>
      <c r="AS100" s="287">
        <f t="shared" ca="1" si="72"/>
        <v>-4.4374780799999985E-2</v>
      </c>
      <c r="AT100" s="287">
        <f t="shared" ca="1" si="73"/>
        <v>-0.55468476000000011</v>
      </c>
      <c r="AU100" s="287">
        <f t="shared" ca="1" si="74"/>
        <v>-0.90968300639999966</v>
      </c>
      <c r="AV100" s="287"/>
      <c r="AW100" s="145">
        <f t="shared" si="87"/>
        <v>0.8</v>
      </c>
      <c r="AX100" s="145">
        <f t="shared" si="88"/>
        <v>0.58000000000000052</v>
      </c>
      <c r="AY100" s="145">
        <f t="shared" si="89"/>
        <v>0.64000000000000024</v>
      </c>
      <c r="AZ100" s="145">
        <f t="shared" si="90"/>
        <v>-0.5</v>
      </c>
      <c r="BA100" s="145">
        <f t="shared" si="91"/>
        <v>-0.81999999999999951</v>
      </c>
      <c r="BB100" s="287">
        <f t="shared" ca="1" si="75"/>
        <v>0.88749561600000026</v>
      </c>
      <c r="BC100" s="287">
        <f t="shared" ca="1" si="76"/>
        <v>0.64343432160000069</v>
      </c>
      <c r="BD100" s="287">
        <f t="shared" ca="1" si="77"/>
        <v>0.70999649280000043</v>
      </c>
      <c r="BE100" s="287">
        <f t="shared" ca="1" si="78"/>
        <v>-0.55468476000000011</v>
      </c>
      <c r="BF100" s="287">
        <f t="shared" ca="1" si="79"/>
        <v>-0.90968300639999966</v>
      </c>
      <c r="BG100" s="45"/>
      <c r="BH100" s="45"/>
      <c r="BI100" s="45"/>
    </row>
    <row r="101" spans="1:61" s="252" customFormat="1" ht="15" hidden="1"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43"/>
      <c r="AE101" s="43"/>
      <c r="AF101" s="43"/>
      <c r="AG101" s="43"/>
      <c r="AH101" s="45">
        <v>43</v>
      </c>
      <c r="AI101" s="45" t="b">
        <f t="shared" si="69"/>
        <v>0</v>
      </c>
      <c r="AJ101" s="45" t="b">
        <f t="shared" si="80"/>
        <v>0</v>
      </c>
      <c r="AK101" s="281" t="b">
        <f t="shared" si="81"/>
        <v>0</v>
      </c>
      <c r="AL101" s="145">
        <f t="shared" si="82"/>
        <v>-6.6666666666666763E-2</v>
      </c>
      <c r="AM101" s="145">
        <f t="shared" si="83"/>
        <v>-6.6666666666666763E-2</v>
      </c>
      <c r="AN101" s="145">
        <f t="shared" si="84"/>
        <v>-2.6666666666666644E-2</v>
      </c>
      <c r="AO101" s="145">
        <f t="shared" si="85"/>
        <v>-0.5</v>
      </c>
      <c r="AP101" s="145">
        <f t="shared" si="86"/>
        <v>-0.8133333333333328</v>
      </c>
      <c r="AQ101" s="287">
        <f t="shared" ca="1" si="70"/>
        <v>-7.3957968000000124E-2</v>
      </c>
      <c r="AR101" s="287">
        <f t="shared" ca="1" si="71"/>
        <v>-7.3957968000000124E-2</v>
      </c>
      <c r="AS101" s="287">
        <f t="shared" ca="1" si="72"/>
        <v>-2.9583187199999982E-2</v>
      </c>
      <c r="AT101" s="287">
        <f t="shared" ca="1" si="73"/>
        <v>-0.55468476000000011</v>
      </c>
      <c r="AU101" s="287">
        <f t="shared" ca="1" si="74"/>
        <v>-0.90228720959999953</v>
      </c>
      <c r="AV101" s="287"/>
      <c r="AW101" s="145">
        <f t="shared" si="87"/>
        <v>0.8</v>
      </c>
      <c r="AX101" s="145">
        <f t="shared" si="88"/>
        <v>0.58666666666666722</v>
      </c>
      <c r="AY101" s="145">
        <f t="shared" si="89"/>
        <v>0.66000000000000025</v>
      </c>
      <c r="AZ101" s="145">
        <f t="shared" si="90"/>
        <v>-0.5</v>
      </c>
      <c r="BA101" s="145">
        <f t="shared" si="91"/>
        <v>-0.8133333333333328</v>
      </c>
      <c r="BB101" s="287">
        <f t="shared" ca="1" si="75"/>
        <v>0.88749561600000026</v>
      </c>
      <c r="BC101" s="287">
        <f t="shared" ca="1" si="76"/>
        <v>0.65083011840000071</v>
      </c>
      <c r="BD101" s="287">
        <f t="shared" ca="1" si="77"/>
        <v>0.73218388320000038</v>
      </c>
      <c r="BE101" s="287">
        <f t="shared" ca="1" si="78"/>
        <v>-0.55468476000000011</v>
      </c>
      <c r="BF101" s="287">
        <f t="shared" ca="1" si="79"/>
        <v>-0.90228720959999953</v>
      </c>
      <c r="BG101" s="45"/>
      <c r="BH101" s="45"/>
      <c r="BI101" s="45"/>
    </row>
    <row r="102" spans="1:61" s="252" customFormat="1" ht="15" hidden="1"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43"/>
      <c r="AE102" s="43"/>
      <c r="AF102" s="43"/>
      <c r="AG102" s="43"/>
      <c r="AH102" s="45">
        <v>44</v>
      </c>
      <c r="AI102" s="45" t="b">
        <f t="shared" si="69"/>
        <v>0</v>
      </c>
      <c r="AJ102" s="45" t="b">
        <f t="shared" si="80"/>
        <v>0</v>
      </c>
      <c r="AK102" s="281" t="b">
        <f t="shared" si="81"/>
        <v>0</v>
      </c>
      <c r="AL102" s="145">
        <f t="shared" si="82"/>
        <v>-3.333333333333343E-2</v>
      </c>
      <c r="AM102" s="145">
        <f t="shared" si="83"/>
        <v>-3.333333333333343E-2</v>
      </c>
      <c r="AN102" s="145">
        <f t="shared" si="84"/>
        <v>-1.333333333333331E-2</v>
      </c>
      <c r="AO102" s="145">
        <f t="shared" si="85"/>
        <v>-0.5</v>
      </c>
      <c r="AP102" s="145">
        <f t="shared" si="86"/>
        <v>-0.80666666666666609</v>
      </c>
      <c r="AQ102" s="287">
        <f t="shared" ca="1" si="70"/>
        <v>-3.6978984000000117E-2</v>
      </c>
      <c r="AR102" s="287">
        <f t="shared" ca="1" si="71"/>
        <v>-3.6978984000000117E-2</v>
      </c>
      <c r="AS102" s="287">
        <f t="shared" ca="1" si="72"/>
        <v>-1.4791593599999977E-2</v>
      </c>
      <c r="AT102" s="287">
        <f t="shared" ca="1" si="73"/>
        <v>-0.55468476000000011</v>
      </c>
      <c r="AU102" s="287">
        <f t="shared" ca="1" si="74"/>
        <v>-0.89489141279999951</v>
      </c>
      <c r="AV102" s="287"/>
      <c r="AW102" s="145">
        <f t="shared" si="87"/>
        <v>0.8</v>
      </c>
      <c r="AX102" s="145">
        <f t="shared" si="88"/>
        <v>0.59333333333333393</v>
      </c>
      <c r="AY102" s="145">
        <f t="shared" si="89"/>
        <v>0.68000000000000027</v>
      </c>
      <c r="AZ102" s="145">
        <f t="shared" si="90"/>
        <v>-0.5</v>
      </c>
      <c r="BA102" s="145">
        <f t="shared" si="91"/>
        <v>-0.80666666666666609</v>
      </c>
      <c r="BB102" s="287">
        <f t="shared" ca="1" si="75"/>
        <v>0.88749561600000026</v>
      </c>
      <c r="BC102" s="287">
        <f t="shared" ca="1" si="76"/>
        <v>0.65822591520000084</v>
      </c>
      <c r="BD102" s="287">
        <f t="shared" ca="1" si="77"/>
        <v>0.75437127360000045</v>
      </c>
      <c r="BE102" s="287">
        <f t="shared" ca="1" si="78"/>
        <v>-0.55468476000000011</v>
      </c>
      <c r="BF102" s="287">
        <f t="shared" ca="1" si="79"/>
        <v>-0.89489141279999951</v>
      </c>
      <c r="BG102" s="45"/>
      <c r="BH102" s="45"/>
      <c r="BI102" s="45"/>
    </row>
    <row r="103" spans="1:61" s="252" customFormat="1" ht="15" hidden="1"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43"/>
      <c r="AE103" s="43"/>
      <c r="AF103" s="43"/>
      <c r="AG103" s="43"/>
      <c r="AH103" s="276">
        <v>45</v>
      </c>
      <c r="AI103" s="45" t="b">
        <f t="shared" si="69"/>
        <v>0</v>
      </c>
      <c r="AJ103" s="45" t="b">
        <f t="shared" si="80"/>
        <v>0</v>
      </c>
      <c r="AK103" s="281" t="b">
        <f t="shared" si="81"/>
        <v>0</v>
      </c>
      <c r="AL103" s="287">
        <v>0</v>
      </c>
      <c r="AM103" s="287">
        <v>0</v>
      </c>
      <c r="AN103" s="287">
        <v>0</v>
      </c>
      <c r="AO103" s="287">
        <v>-0.5</v>
      </c>
      <c r="AP103" s="287">
        <v>-0.8</v>
      </c>
      <c r="AQ103" s="287">
        <f t="shared" ca="1" si="70"/>
        <v>0</v>
      </c>
      <c r="AR103" s="287">
        <f t="shared" ca="1" si="71"/>
        <v>0</v>
      </c>
      <c r="AS103" s="287">
        <f t="shared" ca="1" si="72"/>
        <v>0</v>
      </c>
      <c r="AT103" s="287">
        <f t="shared" ca="1" si="73"/>
        <v>-0.55468476000000011</v>
      </c>
      <c r="AU103" s="287">
        <f t="shared" ca="1" si="74"/>
        <v>-0.88749561600000026</v>
      </c>
      <c r="AV103" s="287"/>
      <c r="AW103" s="287">
        <v>0.8</v>
      </c>
      <c r="AX103" s="287">
        <v>0.6</v>
      </c>
      <c r="AY103" s="287">
        <v>0.7</v>
      </c>
      <c r="AZ103" s="287">
        <v>-0.5</v>
      </c>
      <c r="BA103" s="287">
        <v>-0.8</v>
      </c>
      <c r="BB103" s="287">
        <f t="shared" ca="1" si="75"/>
        <v>0.88749561600000026</v>
      </c>
      <c r="BC103" s="287">
        <f t="shared" ca="1" si="76"/>
        <v>0.66562171200000009</v>
      </c>
      <c r="BD103" s="287">
        <f t="shared" ca="1" si="77"/>
        <v>0.77655866400000007</v>
      </c>
      <c r="BE103" s="287">
        <f t="shared" ca="1" si="78"/>
        <v>-0.55468476000000011</v>
      </c>
      <c r="BF103" s="287">
        <f t="shared" ca="1" si="79"/>
        <v>-0.88749561600000026</v>
      </c>
      <c r="BG103" s="45"/>
      <c r="BH103" s="45"/>
      <c r="BI103" s="45"/>
    </row>
    <row r="104" spans="1:61" s="252" customFormat="1" ht="15" hidden="1"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43"/>
      <c r="AE104" s="43"/>
      <c r="AF104" s="43"/>
      <c r="AG104" s="43"/>
      <c r="AH104" s="45">
        <v>46</v>
      </c>
      <c r="AI104" s="45" t="b">
        <f t="shared" si="69"/>
        <v>0</v>
      </c>
      <c r="AJ104" s="45" t="b">
        <f t="shared" si="80"/>
        <v>0</v>
      </c>
      <c r="AK104" s="281" t="b">
        <f t="shared" si="81"/>
        <v>0</v>
      </c>
      <c r="AL104" s="145">
        <f>+ABS($AL$103-$AL$118)/15+AL103</f>
        <v>5.3333333333333337E-2</v>
      </c>
      <c r="AM104" s="145">
        <f>+ABS($AM$103-$AM$118)/15+AM103</f>
        <v>5.3333333333333337E-2</v>
      </c>
      <c r="AN104" s="145">
        <f>+ABS($AN$103-$AN$118)/15+AN103</f>
        <v>5.3333333333333337E-2</v>
      </c>
      <c r="AO104" s="145">
        <f>0-(ABS($AO$103-$AO$118)/15-AO103)</f>
        <v>-0.50666666666666671</v>
      </c>
      <c r="AP104" s="145">
        <f>+ABS($AP$103-$AP$118)/15+AP103</f>
        <v>-0.8</v>
      </c>
      <c r="AQ104" s="287">
        <f t="shared" ca="1" si="70"/>
        <v>5.9166374400000013E-2</v>
      </c>
      <c r="AR104" s="287">
        <f t="shared" ca="1" si="71"/>
        <v>5.9166374400000013E-2</v>
      </c>
      <c r="AS104" s="287">
        <f t="shared" ca="1" si="72"/>
        <v>5.9166374400000013E-2</v>
      </c>
      <c r="AT104" s="287">
        <f t="shared" ca="1" si="73"/>
        <v>-0.56208055680000013</v>
      </c>
      <c r="AU104" s="287">
        <f t="shared" ca="1" si="74"/>
        <v>-0.88749561600000026</v>
      </c>
      <c r="AV104" s="287"/>
      <c r="AW104" s="145">
        <f>+ABS($AW$103-$AW$118)/15+AW103</f>
        <v>0.8</v>
      </c>
      <c r="AX104" s="145">
        <f>+ABS($AX$103-$AX$118)/15+AX103</f>
        <v>0.61333333333333329</v>
      </c>
      <c r="AY104" s="145">
        <f>+ABS($AY$103-$AY$118)/15+AY103</f>
        <v>0.70666666666666667</v>
      </c>
      <c r="AZ104" s="145">
        <f>+ABS($AZ$103-$AZ$118)/15+AZ103</f>
        <v>-0.49333333333333335</v>
      </c>
      <c r="BA104" s="145">
        <f>+ABS($BA$103-$BA$118)/15+BA103</f>
        <v>-0.8</v>
      </c>
      <c r="BB104" s="287">
        <f t="shared" ca="1" si="75"/>
        <v>0.88749561600000026</v>
      </c>
      <c r="BC104" s="287">
        <f t="shared" ca="1" si="76"/>
        <v>0.68041330560000013</v>
      </c>
      <c r="BD104" s="287">
        <f t="shared" ca="1" si="77"/>
        <v>0.7839544608000002</v>
      </c>
      <c r="BE104" s="287">
        <f t="shared" ca="1" si="78"/>
        <v>-0.54728896320000009</v>
      </c>
      <c r="BF104" s="287">
        <f t="shared" ca="1" si="79"/>
        <v>-0.88749561600000026</v>
      </c>
      <c r="BG104" s="45"/>
      <c r="BH104" s="45"/>
      <c r="BI104" s="45"/>
    </row>
    <row r="105" spans="1:61" s="252" customFormat="1" ht="15" hidden="1"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43"/>
      <c r="AE105" s="43"/>
      <c r="AF105" s="43"/>
      <c r="AG105" s="43"/>
      <c r="AH105" s="45">
        <v>47</v>
      </c>
      <c r="AI105" s="45" t="b">
        <f t="shared" si="69"/>
        <v>0</v>
      </c>
      <c r="AJ105" s="45" t="b">
        <f t="shared" si="80"/>
        <v>0</v>
      </c>
      <c r="AK105" s="281" t="b">
        <f t="shared" si="81"/>
        <v>0</v>
      </c>
      <c r="AL105" s="145">
        <f t="shared" ref="AL105:AL117" si="92">+ABS($AL$103-$AL$118)/15+AL104</f>
        <v>0.10666666666666667</v>
      </c>
      <c r="AM105" s="145">
        <f t="shared" ref="AM105:AM117" si="93">+ABS($AM$103-$AM$118)/15+AM104</f>
        <v>0.10666666666666667</v>
      </c>
      <c r="AN105" s="145">
        <f t="shared" ref="AN105:AN117" si="94">+ABS($AN$103-$AN$118)/15+AN104</f>
        <v>0.10666666666666667</v>
      </c>
      <c r="AO105" s="145">
        <f t="shared" ref="AO105:AO117" si="95">0-(ABS($AO$103-$AO$118)/15-AO104)</f>
        <v>-0.51333333333333342</v>
      </c>
      <c r="AP105" s="145">
        <f t="shared" ref="AP105:AP117" si="96">+ABS($AP$103-$AP$118)/15+AP104</f>
        <v>-0.8</v>
      </c>
      <c r="AQ105" s="287">
        <f t="shared" ca="1" si="70"/>
        <v>0.11833274880000003</v>
      </c>
      <c r="AR105" s="287">
        <f t="shared" ca="1" si="71"/>
        <v>0.11833274880000003</v>
      </c>
      <c r="AS105" s="287">
        <f t="shared" ca="1" si="72"/>
        <v>0.11833274880000003</v>
      </c>
      <c r="AT105" s="287">
        <f t="shared" ca="1" si="73"/>
        <v>-0.56947635360000026</v>
      </c>
      <c r="AU105" s="287">
        <f t="shared" ca="1" si="74"/>
        <v>-0.88749561600000026</v>
      </c>
      <c r="AV105" s="287"/>
      <c r="AW105" s="145">
        <f t="shared" ref="AW105:AW117" si="97">+ABS($AW$103-$AW$118)/15+AW104</f>
        <v>0.8</v>
      </c>
      <c r="AX105" s="145">
        <f t="shared" ref="AX105:AX117" si="98">+ABS($AX$103-$AX$118)/15+AX104</f>
        <v>0.62666666666666659</v>
      </c>
      <c r="AY105" s="145">
        <f t="shared" ref="AY105:AY117" si="99">+ABS($AY$103-$AY$118)/15+AY104</f>
        <v>0.71333333333333337</v>
      </c>
      <c r="AZ105" s="145">
        <f t="shared" ref="AZ105:AZ117" si="100">+ABS($AZ$103-$AZ$118)/15+AZ104</f>
        <v>-0.48666666666666669</v>
      </c>
      <c r="BA105" s="145">
        <f t="shared" ref="BA105:BA117" si="101">+ABS($BA$103-$BA$118)/15+BA104</f>
        <v>-0.8</v>
      </c>
      <c r="BB105" s="287">
        <f t="shared" ca="1" si="75"/>
        <v>0.88749561600000026</v>
      </c>
      <c r="BC105" s="287">
        <f t="shared" ca="1" si="76"/>
        <v>0.69520489920000006</v>
      </c>
      <c r="BD105" s="287">
        <f t="shared" ca="1" si="77"/>
        <v>0.79135025760000022</v>
      </c>
      <c r="BE105" s="287">
        <f t="shared" ca="1" si="78"/>
        <v>-0.53989316640000018</v>
      </c>
      <c r="BF105" s="287">
        <f t="shared" ca="1" si="79"/>
        <v>-0.88749561600000026</v>
      </c>
      <c r="BG105" s="45"/>
      <c r="BH105" s="45"/>
      <c r="BI105" s="45"/>
    </row>
    <row r="106" spans="1:61" s="252" customFormat="1" ht="15" hidden="1"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43"/>
      <c r="AE106" s="43"/>
      <c r="AF106" s="43"/>
      <c r="AG106" s="43"/>
      <c r="AH106" s="45">
        <v>48</v>
      </c>
      <c r="AI106" s="45" t="b">
        <f t="shared" si="69"/>
        <v>0</v>
      </c>
      <c r="AJ106" s="45" t="b">
        <f t="shared" si="80"/>
        <v>0</v>
      </c>
      <c r="AK106" s="281" t="b">
        <f t="shared" si="81"/>
        <v>0</v>
      </c>
      <c r="AL106" s="145">
        <f t="shared" si="92"/>
        <v>0.16</v>
      </c>
      <c r="AM106" s="145">
        <f t="shared" si="93"/>
        <v>0.16</v>
      </c>
      <c r="AN106" s="145">
        <f t="shared" si="94"/>
        <v>0.16</v>
      </c>
      <c r="AO106" s="145">
        <f t="shared" si="95"/>
        <v>-0.52000000000000013</v>
      </c>
      <c r="AP106" s="145">
        <f t="shared" si="96"/>
        <v>-0.8</v>
      </c>
      <c r="AQ106" s="287">
        <f t="shared" ca="1" si="70"/>
        <v>0.17749912320000003</v>
      </c>
      <c r="AR106" s="287">
        <f t="shared" ca="1" si="71"/>
        <v>0.17749912320000003</v>
      </c>
      <c r="AS106" s="287">
        <f t="shared" ca="1" si="72"/>
        <v>0.17749912320000003</v>
      </c>
      <c r="AT106" s="287">
        <f t="shared" ca="1" si="73"/>
        <v>-0.57687215040000028</v>
      </c>
      <c r="AU106" s="287">
        <f t="shared" ca="1" si="74"/>
        <v>-0.88749561600000026</v>
      </c>
      <c r="AV106" s="287"/>
      <c r="AW106" s="145">
        <f t="shared" si="97"/>
        <v>0.8</v>
      </c>
      <c r="AX106" s="145">
        <f t="shared" si="98"/>
        <v>0.6399999999999999</v>
      </c>
      <c r="AY106" s="145">
        <f t="shared" si="99"/>
        <v>0.72000000000000008</v>
      </c>
      <c r="AZ106" s="145">
        <f t="shared" si="100"/>
        <v>-0.48000000000000004</v>
      </c>
      <c r="BA106" s="145">
        <f t="shared" si="101"/>
        <v>-0.8</v>
      </c>
      <c r="BB106" s="287">
        <f t="shared" ca="1" si="75"/>
        <v>0.88749561600000026</v>
      </c>
      <c r="BC106" s="287">
        <f t="shared" ca="1" si="76"/>
        <v>0.70999649279999999</v>
      </c>
      <c r="BD106" s="287">
        <f t="shared" ca="1" si="77"/>
        <v>0.79874605440000024</v>
      </c>
      <c r="BE106" s="287">
        <f t="shared" ca="1" si="78"/>
        <v>-0.53249736960000016</v>
      </c>
      <c r="BF106" s="287">
        <f t="shared" ca="1" si="79"/>
        <v>-0.88749561600000026</v>
      </c>
      <c r="BG106" s="45"/>
      <c r="BH106" s="45"/>
      <c r="BI106" s="45"/>
    </row>
    <row r="107" spans="1:61" s="252" customFormat="1" ht="15" hidden="1"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43"/>
      <c r="AE107" s="43"/>
      <c r="AF107" s="43"/>
      <c r="AG107" s="43"/>
      <c r="AH107" s="45">
        <v>49</v>
      </c>
      <c r="AI107" s="45" t="b">
        <f t="shared" si="69"/>
        <v>0</v>
      </c>
      <c r="AJ107" s="45" t="b">
        <f t="shared" si="80"/>
        <v>0</v>
      </c>
      <c r="AK107" s="281" t="b">
        <f t="shared" si="81"/>
        <v>0</v>
      </c>
      <c r="AL107" s="145">
        <f t="shared" si="92"/>
        <v>0.21333333333333335</v>
      </c>
      <c r="AM107" s="145">
        <f t="shared" si="93"/>
        <v>0.21333333333333335</v>
      </c>
      <c r="AN107" s="145">
        <f t="shared" si="94"/>
        <v>0.21333333333333335</v>
      </c>
      <c r="AO107" s="145">
        <f t="shared" si="95"/>
        <v>-0.52666666666666684</v>
      </c>
      <c r="AP107" s="145">
        <f t="shared" si="96"/>
        <v>-0.8</v>
      </c>
      <c r="AQ107" s="287">
        <f t="shared" ca="1" si="70"/>
        <v>0.23666549760000005</v>
      </c>
      <c r="AR107" s="287">
        <f t="shared" ca="1" si="71"/>
        <v>0.23666549760000005</v>
      </c>
      <c r="AS107" s="287">
        <f t="shared" ca="1" si="72"/>
        <v>0.23666549760000005</v>
      </c>
      <c r="AT107" s="287">
        <f t="shared" ca="1" si="73"/>
        <v>-0.5842679472000003</v>
      </c>
      <c r="AU107" s="287">
        <f t="shared" ca="1" si="74"/>
        <v>-0.88749561600000026</v>
      </c>
      <c r="AV107" s="287"/>
      <c r="AW107" s="145">
        <f t="shared" si="97"/>
        <v>0.8</v>
      </c>
      <c r="AX107" s="145">
        <f t="shared" si="98"/>
        <v>0.65333333333333321</v>
      </c>
      <c r="AY107" s="145">
        <f t="shared" si="99"/>
        <v>0.72666666666666679</v>
      </c>
      <c r="AZ107" s="145">
        <f t="shared" si="100"/>
        <v>-0.47333333333333338</v>
      </c>
      <c r="BA107" s="145">
        <f t="shared" si="101"/>
        <v>-0.8</v>
      </c>
      <c r="BB107" s="287">
        <f t="shared" ca="1" si="75"/>
        <v>0.88749561600000026</v>
      </c>
      <c r="BC107" s="287">
        <f t="shared" ca="1" si="76"/>
        <v>0.72478808640000003</v>
      </c>
      <c r="BD107" s="287">
        <f t="shared" ca="1" si="77"/>
        <v>0.80614185120000026</v>
      </c>
      <c r="BE107" s="287">
        <f t="shared" ca="1" si="78"/>
        <v>-0.52510157280000014</v>
      </c>
      <c r="BF107" s="287">
        <f t="shared" ca="1" si="79"/>
        <v>-0.88749561600000026</v>
      </c>
      <c r="BG107" s="45"/>
      <c r="BH107" s="45"/>
      <c r="BI107" s="45"/>
    </row>
    <row r="108" spans="1:61" s="252" customFormat="1" ht="15" hidden="1"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43"/>
      <c r="AE108" s="43"/>
      <c r="AF108" s="43"/>
      <c r="AG108" s="43"/>
      <c r="AH108" s="45">
        <v>50</v>
      </c>
      <c r="AI108" s="45" t="b">
        <f t="shared" si="69"/>
        <v>0</v>
      </c>
      <c r="AJ108" s="45" t="b">
        <f t="shared" si="80"/>
        <v>0</v>
      </c>
      <c r="AK108" s="281" t="b">
        <f t="shared" si="81"/>
        <v>0</v>
      </c>
      <c r="AL108" s="145">
        <f t="shared" si="92"/>
        <v>0.26666666666666666</v>
      </c>
      <c r="AM108" s="145">
        <f t="shared" si="93"/>
        <v>0.26666666666666666</v>
      </c>
      <c r="AN108" s="145">
        <f t="shared" si="94"/>
        <v>0.26666666666666666</v>
      </c>
      <c r="AO108" s="145">
        <f t="shared" si="95"/>
        <v>-0.53333333333333355</v>
      </c>
      <c r="AP108" s="145">
        <f t="shared" si="96"/>
        <v>-0.8</v>
      </c>
      <c r="AQ108" s="287">
        <f t="shared" ca="1" si="70"/>
        <v>0.29583187200000005</v>
      </c>
      <c r="AR108" s="287">
        <f t="shared" ca="1" si="71"/>
        <v>0.29583187200000005</v>
      </c>
      <c r="AS108" s="287">
        <f t="shared" ca="1" si="72"/>
        <v>0.29583187200000005</v>
      </c>
      <c r="AT108" s="287">
        <f t="shared" ca="1" si="73"/>
        <v>-0.59166374400000032</v>
      </c>
      <c r="AU108" s="287">
        <f t="shared" ca="1" si="74"/>
        <v>-0.88749561600000026</v>
      </c>
      <c r="AV108" s="287"/>
      <c r="AW108" s="145">
        <f t="shared" si="97"/>
        <v>0.8</v>
      </c>
      <c r="AX108" s="145">
        <f t="shared" si="98"/>
        <v>0.66666666666666652</v>
      </c>
      <c r="AY108" s="145">
        <f t="shared" si="99"/>
        <v>0.7333333333333335</v>
      </c>
      <c r="AZ108" s="145">
        <f t="shared" si="100"/>
        <v>-0.46666666666666673</v>
      </c>
      <c r="BA108" s="145">
        <f t="shared" si="101"/>
        <v>-0.8</v>
      </c>
      <c r="BB108" s="287">
        <f t="shared" ca="1" si="75"/>
        <v>0.88749561600000026</v>
      </c>
      <c r="BC108" s="287">
        <f t="shared" ca="1" si="76"/>
        <v>0.73957967999999996</v>
      </c>
      <c r="BD108" s="287">
        <f t="shared" ca="1" si="77"/>
        <v>0.81353764800000039</v>
      </c>
      <c r="BE108" s="287">
        <f t="shared" ca="1" si="78"/>
        <v>-0.51770577600000012</v>
      </c>
      <c r="BF108" s="287">
        <f t="shared" ca="1" si="79"/>
        <v>-0.88749561600000026</v>
      </c>
      <c r="BG108" s="45"/>
      <c r="BH108" s="45"/>
      <c r="BI108" s="45"/>
    </row>
    <row r="109" spans="1:61" s="252" customFormat="1" ht="15" hidden="1"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43"/>
      <c r="AE109" s="43"/>
      <c r="AF109" s="43"/>
      <c r="AG109" s="43"/>
      <c r="AH109" s="45">
        <v>51</v>
      </c>
      <c r="AI109" s="45" t="b">
        <f t="shared" si="69"/>
        <v>0</v>
      </c>
      <c r="AJ109" s="45" t="b">
        <f t="shared" si="80"/>
        <v>0</v>
      </c>
      <c r="AK109" s="281" t="b">
        <f t="shared" si="81"/>
        <v>0</v>
      </c>
      <c r="AL109" s="145">
        <f t="shared" si="92"/>
        <v>0.32</v>
      </c>
      <c r="AM109" s="145">
        <f t="shared" si="93"/>
        <v>0.32</v>
      </c>
      <c r="AN109" s="145">
        <f t="shared" si="94"/>
        <v>0.32</v>
      </c>
      <c r="AO109" s="145">
        <f t="shared" si="95"/>
        <v>-0.54000000000000026</v>
      </c>
      <c r="AP109" s="145">
        <f t="shared" si="96"/>
        <v>-0.8</v>
      </c>
      <c r="AQ109" s="287">
        <f t="shared" ca="1" si="70"/>
        <v>0.35499824640000005</v>
      </c>
      <c r="AR109" s="287">
        <f t="shared" ca="1" si="71"/>
        <v>0.35499824640000005</v>
      </c>
      <c r="AS109" s="287">
        <f t="shared" ca="1" si="72"/>
        <v>0.35499824640000005</v>
      </c>
      <c r="AT109" s="287">
        <f t="shared" ca="1" si="73"/>
        <v>-0.59905954080000046</v>
      </c>
      <c r="AU109" s="287">
        <f t="shared" ca="1" si="74"/>
        <v>-0.88749561600000026</v>
      </c>
      <c r="AV109" s="287"/>
      <c r="AW109" s="145">
        <f t="shared" si="97"/>
        <v>0.8</v>
      </c>
      <c r="AX109" s="145">
        <f t="shared" si="98"/>
        <v>0.67999999999999983</v>
      </c>
      <c r="AY109" s="145">
        <f t="shared" si="99"/>
        <v>0.74000000000000021</v>
      </c>
      <c r="AZ109" s="145">
        <f t="shared" si="100"/>
        <v>-0.46000000000000008</v>
      </c>
      <c r="BA109" s="145">
        <f t="shared" si="101"/>
        <v>-0.8</v>
      </c>
      <c r="BB109" s="287">
        <f t="shared" ca="1" si="75"/>
        <v>0.88749561600000026</v>
      </c>
      <c r="BC109" s="287">
        <f t="shared" ca="1" si="76"/>
        <v>0.7543712736</v>
      </c>
      <c r="BD109" s="287">
        <f t="shared" ca="1" si="77"/>
        <v>0.82093344480000041</v>
      </c>
      <c r="BE109" s="287">
        <f t="shared" ca="1" si="78"/>
        <v>-0.51030997920000021</v>
      </c>
      <c r="BF109" s="287">
        <f t="shared" ca="1" si="79"/>
        <v>-0.88749561600000026</v>
      </c>
      <c r="BG109" s="45"/>
      <c r="BH109" s="45"/>
      <c r="BI109" s="45"/>
    </row>
    <row r="110" spans="1:61" s="252" customFormat="1" ht="15" hidden="1"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43"/>
      <c r="AE110" s="43"/>
      <c r="AF110" s="43"/>
      <c r="AG110" s="43"/>
      <c r="AH110" s="45">
        <v>52</v>
      </c>
      <c r="AI110" s="45" t="b">
        <f t="shared" si="69"/>
        <v>0</v>
      </c>
      <c r="AJ110" s="45" t="b">
        <f t="shared" si="80"/>
        <v>0</v>
      </c>
      <c r="AK110" s="281" t="b">
        <f t="shared" si="81"/>
        <v>0</v>
      </c>
      <c r="AL110" s="145">
        <f t="shared" si="92"/>
        <v>0.37333333333333335</v>
      </c>
      <c r="AM110" s="145">
        <f t="shared" si="93"/>
        <v>0.37333333333333335</v>
      </c>
      <c r="AN110" s="145">
        <f t="shared" si="94"/>
        <v>0.37333333333333335</v>
      </c>
      <c r="AO110" s="145">
        <f t="shared" si="95"/>
        <v>-0.54666666666666697</v>
      </c>
      <c r="AP110" s="145">
        <f t="shared" si="96"/>
        <v>-0.8</v>
      </c>
      <c r="AQ110" s="287">
        <f t="shared" ca="1" si="70"/>
        <v>0.41416462080000011</v>
      </c>
      <c r="AR110" s="287">
        <f t="shared" ca="1" si="71"/>
        <v>0.41416462080000011</v>
      </c>
      <c r="AS110" s="287">
        <f t="shared" ca="1" si="72"/>
        <v>0.41416462080000011</v>
      </c>
      <c r="AT110" s="287">
        <f t="shared" ca="1" si="73"/>
        <v>-0.60645533760000048</v>
      </c>
      <c r="AU110" s="287">
        <f t="shared" ca="1" si="74"/>
        <v>-0.88749561600000026</v>
      </c>
      <c r="AV110" s="287"/>
      <c r="AW110" s="145">
        <f t="shared" si="97"/>
        <v>0.8</v>
      </c>
      <c r="AX110" s="145">
        <f t="shared" si="98"/>
        <v>0.69333333333333313</v>
      </c>
      <c r="AY110" s="145">
        <f t="shared" si="99"/>
        <v>0.74666666666666692</v>
      </c>
      <c r="AZ110" s="145">
        <f t="shared" si="100"/>
        <v>-0.45333333333333342</v>
      </c>
      <c r="BA110" s="145">
        <f t="shared" si="101"/>
        <v>-0.8</v>
      </c>
      <c r="BB110" s="287">
        <f t="shared" ca="1" si="75"/>
        <v>0.88749561600000026</v>
      </c>
      <c r="BC110" s="287">
        <f t="shared" ca="1" si="76"/>
        <v>0.76916286719999993</v>
      </c>
      <c r="BD110" s="287">
        <f t="shared" ca="1" si="77"/>
        <v>0.82832924160000043</v>
      </c>
      <c r="BE110" s="287">
        <f t="shared" ca="1" si="78"/>
        <v>-0.50291418240000019</v>
      </c>
      <c r="BF110" s="287">
        <f t="shared" ca="1" si="79"/>
        <v>-0.88749561600000026</v>
      </c>
      <c r="BG110" s="45"/>
      <c r="BH110" s="45"/>
      <c r="BI110" s="45"/>
    </row>
    <row r="111" spans="1:61" s="252" customFormat="1" ht="15" hidden="1"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43"/>
      <c r="AE111" s="43"/>
      <c r="AF111" s="43"/>
      <c r="AG111" s="43"/>
      <c r="AH111" s="45">
        <v>53</v>
      </c>
      <c r="AI111" s="45" t="b">
        <f t="shared" si="69"/>
        <v>0</v>
      </c>
      <c r="AJ111" s="45" t="b">
        <f t="shared" si="80"/>
        <v>0</v>
      </c>
      <c r="AK111" s="281" t="b">
        <f t="shared" si="81"/>
        <v>0</v>
      </c>
      <c r="AL111" s="145">
        <f t="shared" si="92"/>
        <v>0.42666666666666669</v>
      </c>
      <c r="AM111" s="145">
        <f t="shared" si="93"/>
        <v>0.42666666666666669</v>
      </c>
      <c r="AN111" s="145">
        <f t="shared" si="94"/>
        <v>0.42666666666666669</v>
      </c>
      <c r="AO111" s="145">
        <f t="shared" si="95"/>
        <v>-0.55333333333333368</v>
      </c>
      <c r="AP111" s="145">
        <f t="shared" si="96"/>
        <v>-0.8</v>
      </c>
      <c r="AQ111" s="287">
        <f t="shared" ca="1" si="70"/>
        <v>0.4733309952000001</v>
      </c>
      <c r="AR111" s="287">
        <f t="shared" ca="1" si="71"/>
        <v>0.4733309952000001</v>
      </c>
      <c r="AS111" s="287">
        <f t="shared" ca="1" si="72"/>
        <v>0.4733309952000001</v>
      </c>
      <c r="AT111" s="287">
        <f t="shared" ca="1" si="73"/>
        <v>-0.6138511344000005</v>
      </c>
      <c r="AU111" s="287">
        <f t="shared" ca="1" si="74"/>
        <v>-0.88749561600000026</v>
      </c>
      <c r="AV111" s="287"/>
      <c r="AW111" s="145">
        <f t="shared" si="97"/>
        <v>0.8</v>
      </c>
      <c r="AX111" s="145">
        <f t="shared" si="98"/>
        <v>0.70666666666666644</v>
      </c>
      <c r="AY111" s="145">
        <f t="shared" si="99"/>
        <v>0.75333333333333363</v>
      </c>
      <c r="AZ111" s="145">
        <f t="shared" si="100"/>
        <v>-0.44666666666666677</v>
      </c>
      <c r="BA111" s="145">
        <f t="shared" si="101"/>
        <v>-0.8</v>
      </c>
      <c r="BB111" s="287">
        <f t="shared" ca="1" si="75"/>
        <v>0.88749561600000026</v>
      </c>
      <c r="BC111" s="287">
        <f t="shared" ca="1" si="76"/>
        <v>0.78395446079999986</v>
      </c>
      <c r="BD111" s="287">
        <f t="shared" ca="1" si="77"/>
        <v>0.83572503840000045</v>
      </c>
      <c r="BE111" s="287">
        <f t="shared" ca="1" si="78"/>
        <v>-0.49551838560000022</v>
      </c>
      <c r="BF111" s="287">
        <f t="shared" ca="1" si="79"/>
        <v>-0.88749561600000026</v>
      </c>
      <c r="BG111" s="45"/>
      <c r="BH111" s="45"/>
      <c r="BI111" s="45"/>
    </row>
    <row r="112" spans="1:61" s="252" customFormat="1" ht="15" hidden="1"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43"/>
      <c r="AE112" s="43"/>
      <c r="AF112" s="43"/>
      <c r="AG112" s="43"/>
      <c r="AH112" s="45">
        <v>54</v>
      </c>
      <c r="AI112" s="45" t="b">
        <f t="shared" si="69"/>
        <v>0</v>
      </c>
      <c r="AJ112" s="45" t="b">
        <f t="shared" si="80"/>
        <v>0</v>
      </c>
      <c r="AK112" s="281" t="b">
        <f t="shared" si="81"/>
        <v>0</v>
      </c>
      <c r="AL112" s="145">
        <f t="shared" si="92"/>
        <v>0.48000000000000004</v>
      </c>
      <c r="AM112" s="145">
        <f t="shared" si="93"/>
        <v>0.48000000000000004</v>
      </c>
      <c r="AN112" s="145">
        <f t="shared" si="94"/>
        <v>0.48000000000000004</v>
      </c>
      <c r="AO112" s="145">
        <f t="shared" si="95"/>
        <v>-0.56000000000000039</v>
      </c>
      <c r="AP112" s="145">
        <f t="shared" si="96"/>
        <v>-0.8</v>
      </c>
      <c r="AQ112" s="287">
        <f t="shared" ca="1" si="70"/>
        <v>0.53249736960000016</v>
      </c>
      <c r="AR112" s="287">
        <f t="shared" ca="1" si="71"/>
        <v>0.53249736960000016</v>
      </c>
      <c r="AS112" s="287">
        <f t="shared" ca="1" si="72"/>
        <v>0.53249736960000016</v>
      </c>
      <c r="AT112" s="287">
        <f t="shared" ca="1" si="73"/>
        <v>-0.62124693120000052</v>
      </c>
      <c r="AU112" s="287">
        <f t="shared" ca="1" si="74"/>
        <v>-0.88749561600000026</v>
      </c>
      <c r="AV112" s="287"/>
      <c r="AW112" s="145">
        <f t="shared" si="97"/>
        <v>0.8</v>
      </c>
      <c r="AX112" s="145">
        <f t="shared" si="98"/>
        <v>0.71999999999999975</v>
      </c>
      <c r="AY112" s="145">
        <f t="shared" si="99"/>
        <v>0.76000000000000034</v>
      </c>
      <c r="AZ112" s="145">
        <f t="shared" si="100"/>
        <v>-0.44000000000000011</v>
      </c>
      <c r="BA112" s="145">
        <f t="shared" si="101"/>
        <v>-0.8</v>
      </c>
      <c r="BB112" s="287">
        <f t="shared" ca="1" si="75"/>
        <v>0.88749561600000026</v>
      </c>
      <c r="BC112" s="287">
        <f t="shared" ca="1" si="76"/>
        <v>0.79874605439999991</v>
      </c>
      <c r="BD112" s="287">
        <f t="shared" ca="1" si="77"/>
        <v>0.84312083520000058</v>
      </c>
      <c r="BE112" s="287">
        <f t="shared" ca="1" si="78"/>
        <v>-0.4881225888000002</v>
      </c>
      <c r="BF112" s="287">
        <f t="shared" ca="1" si="79"/>
        <v>-0.88749561600000026</v>
      </c>
      <c r="BG112" s="45"/>
      <c r="BH112" s="45"/>
      <c r="BI112" s="45"/>
    </row>
    <row r="113" spans="1:61" s="252" customFormat="1" ht="15" hidden="1"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43"/>
      <c r="AE113" s="43"/>
      <c r="AF113" s="43"/>
      <c r="AG113" s="43"/>
      <c r="AH113" s="45">
        <v>55</v>
      </c>
      <c r="AI113" s="45" t="b">
        <f t="shared" si="69"/>
        <v>0</v>
      </c>
      <c r="AJ113" s="45" t="b">
        <f t="shared" si="80"/>
        <v>0</v>
      </c>
      <c r="AK113" s="281" t="b">
        <f t="shared" si="81"/>
        <v>0</v>
      </c>
      <c r="AL113" s="145">
        <f t="shared" si="92"/>
        <v>0.53333333333333333</v>
      </c>
      <c r="AM113" s="145">
        <f t="shared" si="93"/>
        <v>0.53333333333333333</v>
      </c>
      <c r="AN113" s="145">
        <f t="shared" si="94"/>
        <v>0.53333333333333333</v>
      </c>
      <c r="AO113" s="145">
        <f t="shared" si="95"/>
        <v>-0.5666666666666671</v>
      </c>
      <c r="AP113" s="145">
        <f t="shared" si="96"/>
        <v>-0.8</v>
      </c>
      <c r="AQ113" s="287">
        <f t="shared" ca="1" si="70"/>
        <v>0.5916637440000001</v>
      </c>
      <c r="AR113" s="287">
        <f t="shared" ca="1" si="71"/>
        <v>0.5916637440000001</v>
      </c>
      <c r="AS113" s="287">
        <f t="shared" ca="1" si="72"/>
        <v>0.5916637440000001</v>
      </c>
      <c r="AT113" s="287">
        <f t="shared" ca="1" si="73"/>
        <v>-0.62864272800000065</v>
      </c>
      <c r="AU113" s="287">
        <f t="shared" ca="1" si="74"/>
        <v>-0.88749561600000026</v>
      </c>
      <c r="AV113" s="287"/>
      <c r="AW113" s="145">
        <f t="shared" si="97"/>
        <v>0.8</v>
      </c>
      <c r="AX113" s="145">
        <f t="shared" si="98"/>
        <v>0.73333333333333306</v>
      </c>
      <c r="AY113" s="145">
        <f t="shared" si="99"/>
        <v>0.76666666666666705</v>
      </c>
      <c r="AZ113" s="145">
        <f t="shared" si="100"/>
        <v>-0.43333333333333346</v>
      </c>
      <c r="BA113" s="145">
        <f t="shared" si="101"/>
        <v>-0.8</v>
      </c>
      <c r="BB113" s="287">
        <f t="shared" ca="1" si="75"/>
        <v>0.88749561600000026</v>
      </c>
      <c r="BC113" s="287">
        <f t="shared" ca="1" si="76"/>
        <v>0.81353764799999984</v>
      </c>
      <c r="BD113" s="287">
        <f t="shared" ca="1" si="77"/>
        <v>0.85051663200000061</v>
      </c>
      <c r="BE113" s="287">
        <f t="shared" ca="1" si="78"/>
        <v>-0.48072679200000024</v>
      </c>
      <c r="BF113" s="287">
        <f t="shared" ca="1" si="79"/>
        <v>-0.88749561600000026</v>
      </c>
      <c r="BG113" s="45"/>
      <c r="BH113" s="45"/>
      <c r="BI113" s="45"/>
    </row>
    <row r="114" spans="1:61" s="252" customFormat="1" ht="15" hidden="1"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43"/>
      <c r="AE114" s="43"/>
      <c r="AF114" s="43"/>
      <c r="AG114" s="43"/>
      <c r="AH114" s="45">
        <v>56</v>
      </c>
      <c r="AI114" s="45" t="b">
        <f t="shared" si="69"/>
        <v>0</v>
      </c>
      <c r="AJ114" s="45" t="b">
        <f t="shared" si="80"/>
        <v>0</v>
      </c>
      <c r="AK114" s="281" t="b">
        <f t="shared" si="81"/>
        <v>0</v>
      </c>
      <c r="AL114" s="145">
        <f t="shared" si="92"/>
        <v>0.58666666666666667</v>
      </c>
      <c r="AM114" s="145">
        <f t="shared" si="93"/>
        <v>0.58666666666666667</v>
      </c>
      <c r="AN114" s="145">
        <f t="shared" si="94"/>
        <v>0.58666666666666667</v>
      </c>
      <c r="AO114" s="145">
        <f t="shared" si="95"/>
        <v>-0.57333333333333381</v>
      </c>
      <c r="AP114" s="145">
        <f t="shared" si="96"/>
        <v>-0.8</v>
      </c>
      <c r="AQ114" s="287">
        <f t="shared" ca="1" si="70"/>
        <v>0.65083011840000016</v>
      </c>
      <c r="AR114" s="287">
        <f t="shared" ca="1" si="71"/>
        <v>0.65083011840000016</v>
      </c>
      <c r="AS114" s="287">
        <f t="shared" ca="1" si="72"/>
        <v>0.65083011840000016</v>
      </c>
      <c r="AT114" s="287">
        <f t="shared" ca="1" si="73"/>
        <v>-0.63603852480000067</v>
      </c>
      <c r="AU114" s="287">
        <f t="shared" ca="1" si="74"/>
        <v>-0.88749561600000026</v>
      </c>
      <c r="AV114" s="287"/>
      <c r="AW114" s="145">
        <f t="shared" si="97"/>
        <v>0.8</v>
      </c>
      <c r="AX114" s="145">
        <f t="shared" si="98"/>
        <v>0.74666666666666637</v>
      </c>
      <c r="AY114" s="145">
        <f t="shared" si="99"/>
        <v>0.77333333333333376</v>
      </c>
      <c r="AZ114" s="145">
        <f t="shared" si="100"/>
        <v>-0.42666666666666681</v>
      </c>
      <c r="BA114" s="145">
        <f t="shared" si="101"/>
        <v>-0.8</v>
      </c>
      <c r="BB114" s="287">
        <f t="shared" ca="1" si="75"/>
        <v>0.88749561600000026</v>
      </c>
      <c r="BC114" s="287">
        <f t="shared" ca="1" si="76"/>
        <v>0.82832924159999988</v>
      </c>
      <c r="BD114" s="287">
        <f t="shared" ca="1" si="77"/>
        <v>0.85791242880000063</v>
      </c>
      <c r="BE114" s="287">
        <f t="shared" ca="1" si="78"/>
        <v>-0.47333099520000027</v>
      </c>
      <c r="BF114" s="287">
        <f t="shared" ca="1" si="79"/>
        <v>-0.88749561600000026</v>
      </c>
      <c r="BG114" s="45"/>
      <c r="BH114" s="45"/>
      <c r="BI114" s="45"/>
    </row>
    <row r="115" spans="1:61" s="252" customFormat="1" ht="15" hidden="1"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43"/>
      <c r="AE115" s="43"/>
      <c r="AF115" s="43"/>
      <c r="AG115" s="43"/>
      <c r="AH115" s="45">
        <v>57</v>
      </c>
      <c r="AI115" s="45" t="b">
        <f t="shared" si="69"/>
        <v>0</v>
      </c>
      <c r="AJ115" s="45" t="b">
        <f t="shared" si="80"/>
        <v>0</v>
      </c>
      <c r="AK115" s="281" t="b">
        <f t="shared" si="81"/>
        <v>0</v>
      </c>
      <c r="AL115" s="145">
        <f t="shared" si="92"/>
        <v>0.64</v>
      </c>
      <c r="AM115" s="145">
        <f t="shared" si="93"/>
        <v>0.64</v>
      </c>
      <c r="AN115" s="145">
        <f t="shared" si="94"/>
        <v>0.64</v>
      </c>
      <c r="AO115" s="145">
        <f t="shared" si="95"/>
        <v>-0.58000000000000052</v>
      </c>
      <c r="AP115" s="145">
        <f t="shared" si="96"/>
        <v>-0.8</v>
      </c>
      <c r="AQ115" s="287">
        <f t="shared" ca="1" si="70"/>
        <v>0.7099964928000001</v>
      </c>
      <c r="AR115" s="287">
        <f t="shared" ca="1" si="71"/>
        <v>0.7099964928000001</v>
      </c>
      <c r="AS115" s="287">
        <f t="shared" ca="1" si="72"/>
        <v>0.7099964928000001</v>
      </c>
      <c r="AT115" s="287">
        <f t="shared" ca="1" si="73"/>
        <v>-0.64343432160000069</v>
      </c>
      <c r="AU115" s="287">
        <f t="shared" ca="1" si="74"/>
        <v>-0.88749561600000026</v>
      </c>
      <c r="AV115" s="287"/>
      <c r="AW115" s="145">
        <f t="shared" si="97"/>
        <v>0.8</v>
      </c>
      <c r="AX115" s="145">
        <f t="shared" si="98"/>
        <v>0.75999999999999968</v>
      </c>
      <c r="AY115" s="145">
        <f t="shared" si="99"/>
        <v>0.78000000000000047</v>
      </c>
      <c r="AZ115" s="145">
        <f t="shared" si="100"/>
        <v>-0.42000000000000015</v>
      </c>
      <c r="BA115" s="145">
        <f t="shared" si="101"/>
        <v>-0.8</v>
      </c>
      <c r="BB115" s="287">
        <f t="shared" ca="1" si="75"/>
        <v>0.88749561600000026</v>
      </c>
      <c r="BC115" s="287">
        <f t="shared" ca="1" si="76"/>
        <v>0.84312083519999981</v>
      </c>
      <c r="BD115" s="287">
        <f t="shared" ca="1" si="77"/>
        <v>0.86530822560000065</v>
      </c>
      <c r="BE115" s="287">
        <f t="shared" ca="1" si="78"/>
        <v>-0.46593519840000025</v>
      </c>
      <c r="BF115" s="287">
        <f t="shared" ca="1" si="79"/>
        <v>-0.88749561600000026</v>
      </c>
      <c r="BG115" s="45"/>
      <c r="BH115" s="45"/>
      <c r="BI115" s="45"/>
    </row>
    <row r="116" spans="1:61" s="252" customFormat="1" ht="15" hidden="1"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43"/>
      <c r="AE116" s="43"/>
      <c r="AF116" s="43"/>
      <c r="AG116" s="43"/>
      <c r="AH116" s="45">
        <v>58</v>
      </c>
      <c r="AI116" s="45" t="b">
        <f t="shared" si="69"/>
        <v>0</v>
      </c>
      <c r="AJ116" s="45" t="b">
        <f t="shared" si="80"/>
        <v>0</v>
      </c>
      <c r="AK116" s="281" t="b">
        <f t="shared" si="81"/>
        <v>0</v>
      </c>
      <c r="AL116" s="145">
        <f t="shared" si="92"/>
        <v>0.69333333333333336</v>
      </c>
      <c r="AM116" s="145">
        <f t="shared" si="93"/>
        <v>0.69333333333333336</v>
      </c>
      <c r="AN116" s="145">
        <f t="shared" si="94"/>
        <v>0.69333333333333336</v>
      </c>
      <c r="AO116" s="145">
        <f t="shared" si="95"/>
        <v>-0.58666666666666722</v>
      </c>
      <c r="AP116" s="145">
        <f t="shared" si="96"/>
        <v>-0.8</v>
      </c>
      <c r="AQ116" s="287">
        <f t="shared" ca="1" si="70"/>
        <v>0.76916286720000016</v>
      </c>
      <c r="AR116" s="287">
        <f t="shared" ca="1" si="71"/>
        <v>0.76916286720000016</v>
      </c>
      <c r="AS116" s="287">
        <f t="shared" ca="1" si="72"/>
        <v>0.76916286720000016</v>
      </c>
      <c r="AT116" s="287">
        <f t="shared" ca="1" si="73"/>
        <v>-0.65083011840000071</v>
      </c>
      <c r="AU116" s="287">
        <f t="shared" ca="1" si="74"/>
        <v>-0.88749561600000026</v>
      </c>
      <c r="AV116" s="287"/>
      <c r="AW116" s="145">
        <f t="shared" si="97"/>
        <v>0.8</v>
      </c>
      <c r="AX116" s="145">
        <f t="shared" si="98"/>
        <v>0.77333333333333298</v>
      </c>
      <c r="AY116" s="145">
        <f t="shared" si="99"/>
        <v>0.78666666666666718</v>
      </c>
      <c r="AZ116" s="145">
        <f t="shared" si="100"/>
        <v>-0.4133333333333335</v>
      </c>
      <c r="BA116" s="145">
        <f t="shared" si="101"/>
        <v>-0.8</v>
      </c>
      <c r="BB116" s="287">
        <f t="shared" ca="1" si="75"/>
        <v>0.88749561600000026</v>
      </c>
      <c r="BC116" s="287">
        <f t="shared" ca="1" si="76"/>
        <v>0.85791242879999974</v>
      </c>
      <c r="BD116" s="287">
        <f t="shared" ca="1" si="77"/>
        <v>0.87270402240000078</v>
      </c>
      <c r="BE116" s="287">
        <f t="shared" ca="1" si="78"/>
        <v>-0.45853940160000028</v>
      </c>
      <c r="BF116" s="287">
        <f t="shared" ca="1" si="79"/>
        <v>-0.88749561600000026</v>
      </c>
      <c r="BG116" s="45"/>
      <c r="BH116" s="45"/>
      <c r="BI116" s="45"/>
    </row>
    <row r="117" spans="1:61" s="252" customFormat="1" ht="15" hidden="1"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43"/>
      <c r="AE117" s="43"/>
      <c r="AF117" s="43"/>
      <c r="AG117" s="43"/>
      <c r="AH117" s="45">
        <v>59</v>
      </c>
      <c r="AI117" s="45" t="b">
        <f t="shared" si="69"/>
        <v>0</v>
      </c>
      <c r="AJ117" s="45" t="b">
        <f t="shared" si="80"/>
        <v>0</v>
      </c>
      <c r="AK117" s="281" t="b">
        <f t="shared" si="81"/>
        <v>0</v>
      </c>
      <c r="AL117" s="145">
        <f t="shared" si="92"/>
        <v>0.7466666666666667</v>
      </c>
      <c r="AM117" s="145">
        <f t="shared" si="93"/>
        <v>0.7466666666666667</v>
      </c>
      <c r="AN117" s="145">
        <f t="shared" si="94"/>
        <v>0.7466666666666667</v>
      </c>
      <c r="AO117" s="145">
        <f t="shared" si="95"/>
        <v>-0.59333333333333393</v>
      </c>
      <c r="AP117" s="145">
        <f t="shared" si="96"/>
        <v>-0.8</v>
      </c>
      <c r="AQ117" s="287">
        <f t="shared" ca="1" si="70"/>
        <v>0.82832924160000021</v>
      </c>
      <c r="AR117" s="287">
        <f t="shared" ca="1" si="71"/>
        <v>0.82832924160000021</v>
      </c>
      <c r="AS117" s="287">
        <f t="shared" ca="1" si="72"/>
        <v>0.82832924160000021</v>
      </c>
      <c r="AT117" s="287">
        <f t="shared" ca="1" si="73"/>
        <v>-0.65822591520000084</v>
      </c>
      <c r="AU117" s="287">
        <f t="shared" ca="1" si="74"/>
        <v>-0.88749561600000026</v>
      </c>
      <c r="AV117" s="287"/>
      <c r="AW117" s="145">
        <f t="shared" si="97"/>
        <v>0.8</v>
      </c>
      <c r="AX117" s="145">
        <f t="shared" si="98"/>
        <v>0.78666666666666629</v>
      </c>
      <c r="AY117" s="145">
        <f t="shared" si="99"/>
        <v>0.79333333333333389</v>
      </c>
      <c r="AZ117" s="145">
        <f t="shared" si="100"/>
        <v>-0.40666666666666684</v>
      </c>
      <c r="BA117" s="145">
        <f t="shared" si="101"/>
        <v>-0.8</v>
      </c>
      <c r="BB117" s="287">
        <f t="shared" ca="1" si="75"/>
        <v>0.88749561600000026</v>
      </c>
      <c r="BC117" s="287">
        <f t="shared" ca="1" si="76"/>
        <v>0.87270402239999978</v>
      </c>
      <c r="BD117" s="287">
        <f t="shared" ca="1" si="77"/>
        <v>0.8800998192000008</v>
      </c>
      <c r="BE117" s="287">
        <f t="shared" ca="1" si="78"/>
        <v>-0.45114360480000026</v>
      </c>
      <c r="BF117" s="287">
        <f t="shared" ca="1" si="79"/>
        <v>-0.88749561600000026</v>
      </c>
      <c r="BG117" s="45"/>
      <c r="BH117" s="45"/>
      <c r="BI117" s="45"/>
    </row>
    <row r="118" spans="1:61" s="252" customFormat="1" ht="15" hidden="1"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43"/>
      <c r="AE118" s="43"/>
      <c r="AF118" s="43"/>
      <c r="AG118" s="43"/>
      <c r="AH118" s="276">
        <v>60</v>
      </c>
      <c r="AI118" s="45" t="b">
        <f t="shared" si="69"/>
        <v>0</v>
      </c>
      <c r="AJ118" s="45" t="b">
        <f t="shared" si="80"/>
        <v>0</v>
      </c>
      <c r="AK118" s="281" t="b">
        <f t="shared" si="81"/>
        <v>0</v>
      </c>
      <c r="AL118" s="287">
        <v>0.8</v>
      </c>
      <c r="AM118" s="287">
        <v>0.8</v>
      </c>
      <c r="AN118" s="287">
        <v>0.8</v>
      </c>
      <c r="AO118" s="287">
        <v>-0.6</v>
      </c>
      <c r="AP118" s="287">
        <v>-0.8</v>
      </c>
      <c r="AQ118" s="287">
        <f t="shared" ca="1" si="70"/>
        <v>0.88749561600000026</v>
      </c>
      <c r="AR118" s="287">
        <f t="shared" ca="1" si="71"/>
        <v>0.88749561600000026</v>
      </c>
      <c r="AS118" s="287">
        <f t="shared" ca="1" si="72"/>
        <v>0.88749561600000026</v>
      </c>
      <c r="AT118" s="287">
        <f t="shared" ca="1" si="73"/>
        <v>-0.66562171200000009</v>
      </c>
      <c r="AU118" s="287">
        <f t="shared" ca="1" si="74"/>
        <v>-0.88749561600000026</v>
      </c>
      <c r="AV118" s="287"/>
      <c r="AW118" s="287">
        <v>0.8</v>
      </c>
      <c r="AX118" s="287">
        <v>0.8</v>
      </c>
      <c r="AY118" s="287">
        <v>0.8</v>
      </c>
      <c r="AZ118" s="287">
        <v>-0.6</v>
      </c>
      <c r="BA118" s="287">
        <v>-0.8</v>
      </c>
      <c r="BB118" s="287">
        <f t="shared" ca="1" si="75"/>
        <v>0.88749561600000026</v>
      </c>
      <c r="BC118" s="287">
        <f t="shared" ca="1" si="76"/>
        <v>0.88749561600000026</v>
      </c>
      <c r="BD118" s="287">
        <f t="shared" ca="1" si="77"/>
        <v>0.88749561600000026</v>
      </c>
      <c r="BE118" s="287">
        <f t="shared" ca="1" si="78"/>
        <v>-0.66562171200000009</v>
      </c>
      <c r="BF118" s="287">
        <f t="shared" ca="1" si="79"/>
        <v>-0.88749561600000026</v>
      </c>
      <c r="BG118" s="45"/>
      <c r="BH118" s="45"/>
      <c r="BI118" s="45"/>
    </row>
    <row r="119" spans="1:61" s="252" customFormat="1" ht="15" hidden="1"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43"/>
      <c r="AE119" s="43"/>
      <c r="AF119" s="43"/>
      <c r="AG119" s="43"/>
      <c r="AH119" s="45">
        <v>61</v>
      </c>
      <c r="AI119" s="45" t="b">
        <f t="shared" si="69"/>
        <v>0</v>
      </c>
      <c r="AJ119" s="45" t="b">
        <f t="shared" si="80"/>
        <v>0</v>
      </c>
      <c r="AK119" s="281" t="b">
        <f t="shared" si="81"/>
        <v>0</v>
      </c>
      <c r="AL119" s="145">
        <f>+ABS($AL$118-$AL$133)/15+AL118</f>
        <v>0.8</v>
      </c>
      <c r="AM119" s="145">
        <f>+ABS($AM$118-$AM$133)/15+AM118</f>
        <v>0.8</v>
      </c>
      <c r="AN119" s="145">
        <f>+ABS($AN$118-$AN$133)/15+AN118</f>
        <v>0.8</v>
      </c>
      <c r="AO119" s="145">
        <f>0-(ABS($AO$118-$AO$133)/15-AO118)</f>
        <v>-0.61333333333333329</v>
      </c>
      <c r="AP119" s="145">
        <f>0-(ABS($AP$118-$AP$133)/15-AP118)</f>
        <v>-0.80666666666666675</v>
      </c>
      <c r="AQ119" s="287">
        <f t="shared" ca="1" si="70"/>
        <v>0.88749561600000026</v>
      </c>
      <c r="AR119" s="287">
        <f t="shared" ca="1" si="71"/>
        <v>0.88749561600000026</v>
      </c>
      <c r="AS119" s="287">
        <f t="shared" ca="1" si="72"/>
        <v>0.88749561600000026</v>
      </c>
      <c r="AT119" s="287">
        <f t="shared" ca="1" si="73"/>
        <v>-0.68041330560000013</v>
      </c>
      <c r="AU119" s="287">
        <f t="shared" ca="1" si="74"/>
        <v>-0.89489141280000029</v>
      </c>
      <c r="AV119" s="287"/>
      <c r="AW119" s="145">
        <f>+ABS($AL$118-$AL$133)/15+AW118</f>
        <v>0.8</v>
      </c>
      <c r="AX119" s="145">
        <f>+ABS($AM$118-$AM$133)/15+AX118</f>
        <v>0.8</v>
      </c>
      <c r="AY119" s="145">
        <f>+ABS($AN$118-$AN$133)/15+AY118</f>
        <v>0.8</v>
      </c>
      <c r="AZ119" s="145">
        <f>0-(ABS($AO$118-$AO$133)/15-AZ118)</f>
        <v>-0.61333333333333329</v>
      </c>
      <c r="BA119" s="145">
        <f>0-(ABS($AP$118-$AP$133)/15-BA118)</f>
        <v>-0.80666666666666675</v>
      </c>
      <c r="BB119" s="287">
        <f t="shared" ca="1" si="75"/>
        <v>0.88749561600000026</v>
      </c>
      <c r="BC119" s="287">
        <f t="shared" ca="1" si="76"/>
        <v>0.88749561600000026</v>
      </c>
      <c r="BD119" s="287">
        <f t="shared" ca="1" si="77"/>
        <v>0.88749561600000026</v>
      </c>
      <c r="BE119" s="287">
        <f t="shared" ca="1" si="78"/>
        <v>-0.68041330560000013</v>
      </c>
      <c r="BF119" s="287">
        <f t="shared" ca="1" si="79"/>
        <v>-0.89489141280000029</v>
      </c>
      <c r="BG119" s="45"/>
      <c r="BH119" s="45"/>
      <c r="BI119" s="45"/>
    </row>
    <row r="120" spans="1:61" s="252" customFormat="1" ht="15" hidden="1"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43"/>
      <c r="AE120" s="43"/>
      <c r="AF120" s="43"/>
      <c r="AG120" s="43"/>
      <c r="AH120" s="45">
        <v>62</v>
      </c>
      <c r="AI120" s="45" t="b">
        <f t="shared" si="69"/>
        <v>0</v>
      </c>
      <c r="AJ120" s="45" t="b">
        <f t="shared" si="80"/>
        <v>0</v>
      </c>
      <c r="AK120" s="281" t="b">
        <f t="shared" si="81"/>
        <v>0</v>
      </c>
      <c r="AL120" s="145">
        <f t="shared" ref="AL120:AL132" si="102">+ABS($AL$118-$AL$133)/15+AL119</f>
        <v>0.8</v>
      </c>
      <c r="AM120" s="145">
        <f t="shared" ref="AM120:AM132" si="103">+ABS($AM$118-$AM$133)/15+AM119</f>
        <v>0.8</v>
      </c>
      <c r="AN120" s="145">
        <f t="shared" ref="AN120:AN132" si="104">+ABS($AN$118-$AN$133)/15+AN119</f>
        <v>0.8</v>
      </c>
      <c r="AO120" s="145">
        <f t="shared" ref="AO120:AO132" si="105">0-(ABS($AO$118-$AO$133)/15-AO119)</f>
        <v>-0.62666666666666659</v>
      </c>
      <c r="AP120" s="145">
        <f t="shared" ref="AP120:AP132" si="106">0-(ABS($AP$118-$AP$133)/15-AP119)</f>
        <v>-0.81333333333333346</v>
      </c>
      <c r="AQ120" s="287">
        <f t="shared" ca="1" si="70"/>
        <v>0.88749561600000026</v>
      </c>
      <c r="AR120" s="287">
        <f t="shared" ca="1" si="71"/>
        <v>0.88749561600000026</v>
      </c>
      <c r="AS120" s="287">
        <f t="shared" ca="1" si="72"/>
        <v>0.88749561600000026</v>
      </c>
      <c r="AT120" s="287">
        <f t="shared" ca="1" si="73"/>
        <v>-0.69520489920000006</v>
      </c>
      <c r="AU120" s="287">
        <f t="shared" ca="1" si="74"/>
        <v>-0.90228720960000031</v>
      </c>
      <c r="AV120" s="287"/>
      <c r="AW120" s="145">
        <f t="shared" ref="AW120:AW132" si="107">+ABS($AL$118-$AL$133)/15+AW119</f>
        <v>0.8</v>
      </c>
      <c r="AX120" s="145">
        <f t="shared" ref="AX120:AX132" si="108">+ABS($AM$118-$AM$133)/15+AX119</f>
        <v>0.8</v>
      </c>
      <c r="AY120" s="145">
        <f t="shared" ref="AY120:AY132" si="109">+ABS($AN$118-$AN$133)/15+AY119</f>
        <v>0.8</v>
      </c>
      <c r="AZ120" s="145">
        <f t="shared" ref="AZ120:AZ132" si="110">0-(ABS($AO$118-$AO$133)/15-AZ119)</f>
        <v>-0.62666666666666659</v>
      </c>
      <c r="BA120" s="145">
        <f t="shared" ref="BA120:BA132" si="111">0-(ABS($AP$118-$AP$133)/15-BA119)</f>
        <v>-0.81333333333333346</v>
      </c>
      <c r="BB120" s="287">
        <f t="shared" ca="1" si="75"/>
        <v>0.88749561600000026</v>
      </c>
      <c r="BC120" s="287">
        <f t="shared" ca="1" si="76"/>
        <v>0.88749561600000026</v>
      </c>
      <c r="BD120" s="287">
        <f t="shared" ca="1" si="77"/>
        <v>0.88749561600000026</v>
      </c>
      <c r="BE120" s="287">
        <f t="shared" ca="1" si="78"/>
        <v>-0.69520489920000006</v>
      </c>
      <c r="BF120" s="287">
        <f t="shared" ca="1" si="79"/>
        <v>-0.90228720960000031</v>
      </c>
      <c r="BG120" s="45"/>
      <c r="BH120" s="45"/>
      <c r="BI120" s="45"/>
    </row>
    <row r="121" spans="1:61" s="252" customFormat="1" ht="15" hidden="1"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43"/>
      <c r="AE121" s="43"/>
      <c r="AF121" s="43"/>
      <c r="AG121" s="43"/>
      <c r="AH121" s="45">
        <v>63</v>
      </c>
      <c r="AI121" s="45" t="b">
        <f t="shared" si="69"/>
        <v>0</v>
      </c>
      <c r="AJ121" s="45" t="b">
        <f t="shared" si="80"/>
        <v>0</v>
      </c>
      <c r="AK121" s="281" t="b">
        <f t="shared" si="81"/>
        <v>0</v>
      </c>
      <c r="AL121" s="145">
        <f t="shared" si="102"/>
        <v>0.8</v>
      </c>
      <c r="AM121" s="145">
        <f t="shared" si="103"/>
        <v>0.8</v>
      </c>
      <c r="AN121" s="145">
        <f t="shared" si="104"/>
        <v>0.8</v>
      </c>
      <c r="AO121" s="145">
        <f t="shared" si="105"/>
        <v>-0.6399999999999999</v>
      </c>
      <c r="AP121" s="145">
        <f t="shared" si="106"/>
        <v>-0.82000000000000017</v>
      </c>
      <c r="AQ121" s="287">
        <f t="shared" ca="1" si="70"/>
        <v>0.88749561600000026</v>
      </c>
      <c r="AR121" s="287">
        <f t="shared" ca="1" si="71"/>
        <v>0.88749561600000026</v>
      </c>
      <c r="AS121" s="287">
        <f t="shared" ca="1" si="72"/>
        <v>0.88749561600000026</v>
      </c>
      <c r="AT121" s="287">
        <f t="shared" ca="1" si="73"/>
        <v>-0.70999649279999999</v>
      </c>
      <c r="AU121" s="287">
        <f t="shared" ca="1" si="74"/>
        <v>-0.90968300640000033</v>
      </c>
      <c r="AV121" s="287"/>
      <c r="AW121" s="145">
        <f t="shared" si="107"/>
        <v>0.8</v>
      </c>
      <c r="AX121" s="145">
        <f t="shared" si="108"/>
        <v>0.8</v>
      </c>
      <c r="AY121" s="145">
        <f t="shared" si="109"/>
        <v>0.8</v>
      </c>
      <c r="AZ121" s="145">
        <f t="shared" si="110"/>
        <v>-0.6399999999999999</v>
      </c>
      <c r="BA121" s="145">
        <f t="shared" si="111"/>
        <v>-0.82000000000000017</v>
      </c>
      <c r="BB121" s="287">
        <f t="shared" ca="1" si="75"/>
        <v>0.88749561600000026</v>
      </c>
      <c r="BC121" s="287">
        <f t="shared" ca="1" si="76"/>
        <v>0.88749561600000026</v>
      </c>
      <c r="BD121" s="287">
        <f t="shared" ca="1" si="77"/>
        <v>0.88749561600000026</v>
      </c>
      <c r="BE121" s="287">
        <f t="shared" ca="1" si="78"/>
        <v>-0.70999649279999999</v>
      </c>
      <c r="BF121" s="287">
        <f t="shared" ca="1" si="79"/>
        <v>-0.90968300640000033</v>
      </c>
      <c r="BG121" s="45"/>
      <c r="BH121" s="45"/>
      <c r="BI121" s="45"/>
    </row>
    <row r="122" spans="1:61" s="252" customFormat="1" ht="15" hidden="1"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43"/>
      <c r="AE122" s="43"/>
      <c r="AF122" s="43"/>
      <c r="AG122" s="43"/>
      <c r="AH122" s="45">
        <v>64</v>
      </c>
      <c r="AI122" s="45" t="b">
        <f t="shared" si="69"/>
        <v>0</v>
      </c>
      <c r="AJ122" s="45" t="b">
        <f t="shared" si="80"/>
        <v>0</v>
      </c>
      <c r="AK122" s="281" t="b">
        <f t="shared" si="81"/>
        <v>0</v>
      </c>
      <c r="AL122" s="145">
        <f t="shared" si="102"/>
        <v>0.8</v>
      </c>
      <c r="AM122" s="145">
        <f t="shared" si="103"/>
        <v>0.8</v>
      </c>
      <c r="AN122" s="145">
        <f t="shared" si="104"/>
        <v>0.8</v>
      </c>
      <c r="AO122" s="145">
        <f t="shared" si="105"/>
        <v>-0.65333333333333321</v>
      </c>
      <c r="AP122" s="145">
        <f t="shared" si="106"/>
        <v>-0.82666666666666688</v>
      </c>
      <c r="AQ122" s="287">
        <f t="shared" ca="1" si="70"/>
        <v>0.88749561600000026</v>
      </c>
      <c r="AR122" s="287">
        <f t="shared" ca="1" si="71"/>
        <v>0.88749561600000026</v>
      </c>
      <c r="AS122" s="287">
        <f t="shared" ca="1" si="72"/>
        <v>0.88749561600000026</v>
      </c>
      <c r="AT122" s="287">
        <f t="shared" ca="1" si="73"/>
        <v>-0.72478808640000003</v>
      </c>
      <c r="AU122" s="287">
        <f t="shared" ca="1" si="74"/>
        <v>-0.91707880320000046</v>
      </c>
      <c r="AV122" s="287"/>
      <c r="AW122" s="145">
        <f t="shared" si="107"/>
        <v>0.8</v>
      </c>
      <c r="AX122" s="145">
        <f t="shared" si="108"/>
        <v>0.8</v>
      </c>
      <c r="AY122" s="145">
        <f t="shared" si="109"/>
        <v>0.8</v>
      </c>
      <c r="AZ122" s="145">
        <f t="shared" si="110"/>
        <v>-0.65333333333333321</v>
      </c>
      <c r="BA122" s="145">
        <f t="shared" si="111"/>
        <v>-0.82666666666666688</v>
      </c>
      <c r="BB122" s="287">
        <f t="shared" ca="1" si="75"/>
        <v>0.88749561600000026</v>
      </c>
      <c r="BC122" s="287">
        <f t="shared" ca="1" si="76"/>
        <v>0.88749561600000026</v>
      </c>
      <c r="BD122" s="287">
        <f t="shared" ca="1" si="77"/>
        <v>0.88749561600000026</v>
      </c>
      <c r="BE122" s="287">
        <f t="shared" ca="1" si="78"/>
        <v>-0.72478808640000003</v>
      </c>
      <c r="BF122" s="287">
        <f t="shared" ca="1" si="79"/>
        <v>-0.91707880320000046</v>
      </c>
      <c r="BG122" s="45"/>
      <c r="BH122" s="45"/>
      <c r="BI122" s="45"/>
    </row>
    <row r="123" spans="1:61" s="252" customFormat="1" ht="15" hidden="1"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43"/>
      <c r="AE123" s="43"/>
      <c r="AF123" s="43"/>
      <c r="AG123" s="43"/>
      <c r="AH123" s="45">
        <v>65</v>
      </c>
      <c r="AI123" s="45" t="b">
        <f t="shared" si="69"/>
        <v>0</v>
      </c>
      <c r="AJ123" s="45" t="b">
        <f t="shared" si="80"/>
        <v>0</v>
      </c>
      <c r="AK123" s="281" t="b">
        <f t="shared" si="81"/>
        <v>0</v>
      </c>
      <c r="AL123" s="145">
        <f t="shared" si="102"/>
        <v>0.8</v>
      </c>
      <c r="AM123" s="145">
        <f t="shared" si="103"/>
        <v>0.8</v>
      </c>
      <c r="AN123" s="145">
        <f t="shared" si="104"/>
        <v>0.8</v>
      </c>
      <c r="AO123" s="145">
        <f t="shared" si="105"/>
        <v>-0.66666666666666652</v>
      </c>
      <c r="AP123" s="145">
        <f t="shared" si="106"/>
        <v>-0.83333333333333359</v>
      </c>
      <c r="AQ123" s="287">
        <f t="shared" ca="1" si="70"/>
        <v>0.88749561600000026</v>
      </c>
      <c r="AR123" s="287">
        <f t="shared" ca="1" si="71"/>
        <v>0.88749561600000026</v>
      </c>
      <c r="AS123" s="287">
        <f t="shared" ca="1" si="72"/>
        <v>0.88749561600000026</v>
      </c>
      <c r="AT123" s="287">
        <f t="shared" ca="1" si="73"/>
        <v>-0.73957967999999996</v>
      </c>
      <c r="AU123" s="287">
        <f t="shared" ca="1" si="74"/>
        <v>-0.92447460000000048</v>
      </c>
      <c r="AV123" s="287"/>
      <c r="AW123" s="145">
        <f t="shared" si="107"/>
        <v>0.8</v>
      </c>
      <c r="AX123" s="145">
        <f t="shared" si="108"/>
        <v>0.8</v>
      </c>
      <c r="AY123" s="145">
        <f t="shared" si="109"/>
        <v>0.8</v>
      </c>
      <c r="AZ123" s="145">
        <f t="shared" si="110"/>
        <v>-0.66666666666666652</v>
      </c>
      <c r="BA123" s="145">
        <f t="shared" si="111"/>
        <v>-0.83333333333333359</v>
      </c>
      <c r="BB123" s="287">
        <f t="shared" ca="1" si="75"/>
        <v>0.88749561600000026</v>
      </c>
      <c r="BC123" s="287">
        <f t="shared" ca="1" si="76"/>
        <v>0.88749561600000026</v>
      </c>
      <c r="BD123" s="287">
        <f t="shared" ca="1" si="77"/>
        <v>0.88749561600000026</v>
      </c>
      <c r="BE123" s="287">
        <f t="shared" ca="1" si="78"/>
        <v>-0.73957967999999996</v>
      </c>
      <c r="BF123" s="287">
        <f t="shared" ca="1" si="79"/>
        <v>-0.92447460000000048</v>
      </c>
      <c r="BG123" s="45"/>
      <c r="BH123" s="45"/>
      <c r="BI123" s="45"/>
    </row>
    <row r="124" spans="1:61" s="252" customFormat="1" ht="15" hidden="1"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43"/>
      <c r="AE124" s="43"/>
      <c r="AF124" s="43"/>
      <c r="AG124" s="43"/>
      <c r="AH124" s="45">
        <v>66</v>
      </c>
      <c r="AI124" s="45" t="b">
        <f t="shared" si="69"/>
        <v>0</v>
      </c>
      <c r="AJ124" s="45" t="b">
        <f t="shared" si="80"/>
        <v>0</v>
      </c>
      <c r="AK124" s="281" t="b">
        <f t="shared" si="81"/>
        <v>0</v>
      </c>
      <c r="AL124" s="145">
        <f t="shared" si="102"/>
        <v>0.8</v>
      </c>
      <c r="AM124" s="145">
        <f t="shared" si="103"/>
        <v>0.8</v>
      </c>
      <c r="AN124" s="145">
        <f t="shared" si="104"/>
        <v>0.8</v>
      </c>
      <c r="AO124" s="145">
        <f t="shared" si="105"/>
        <v>-0.67999999999999983</v>
      </c>
      <c r="AP124" s="145">
        <f t="shared" si="106"/>
        <v>-0.8400000000000003</v>
      </c>
      <c r="AQ124" s="287">
        <f t="shared" ca="1" si="70"/>
        <v>0.88749561600000026</v>
      </c>
      <c r="AR124" s="287">
        <f t="shared" ca="1" si="71"/>
        <v>0.88749561600000026</v>
      </c>
      <c r="AS124" s="287">
        <f t="shared" ca="1" si="72"/>
        <v>0.88749561600000026</v>
      </c>
      <c r="AT124" s="287">
        <f t="shared" ca="1" si="73"/>
        <v>-0.7543712736</v>
      </c>
      <c r="AU124" s="287">
        <f t="shared" ca="1" si="74"/>
        <v>-0.9318703968000005</v>
      </c>
      <c r="AV124" s="287"/>
      <c r="AW124" s="145">
        <f t="shared" si="107"/>
        <v>0.8</v>
      </c>
      <c r="AX124" s="145">
        <f t="shared" si="108"/>
        <v>0.8</v>
      </c>
      <c r="AY124" s="145">
        <f t="shared" si="109"/>
        <v>0.8</v>
      </c>
      <c r="AZ124" s="145">
        <f t="shared" si="110"/>
        <v>-0.67999999999999983</v>
      </c>
      <c r="BA124" s="145">
        <f t="shared" si="111"/>
        <v>-0.8400000000000003</v>
      </c>
      <c r="BB124" s="287">
        <f t="shared" ca="1" si="75"/>
        <v>0.88749561600000026</v>
      </c>
      <c r="BC124" s="287">
        <f t="shared" ca="1" si="76"/>
        <v>0.88749561600000026</v>
      </c>
      <c r="BD124" s="287">
        <f t="shared" ca="1" si="77"/>
        <v>0.88749561600000026</v>
      </c>
      <c r="BE124" s="287">
        <f t="shared" ca="1" si="78"/>
        <v>-0.7543712736</v>
      </c>
      <c r="BF124" s="287">
        <f t="shared" ca="1" si="79"/>
        <v>-0.9318703968000005</v>
      </c>
      <c r="BG124" s="45"/>
      <c r="BH124" s="45"/>
      <c r="BI124" s="45"/>
    </row>
    <row r="125" spans="1:61" s="252" customFormat="1" ht="15" hidden="1"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43"/>
      <c r="AE125" s="43"/>
      <c r="AF125" s="43"/>
      <c r="AG125" s="43"/>
      <c r="AH125" s="45">
        <v>67</v>
      </c>
      <c r="AI125" s="45" t="b">
        <f t="shared" si="69"/>
        <v>0</v>
      </c>
      <c r="AJ125" s="45" t="b">
        <f t="shared" si="80"/>
        <v>0</v>
      </c>
      <c r="AK125" s="281" t="b">
        <f t="shared" si="81"/>
        <v>0</v>
      </c>
      <c r="AL125" s="145">
        <f t="shared" si="102"/>
        <v>0.8</v>
      </c>
      <c r="AM125" s="145">
        <f t="shared" si="103"/>
        <v>0.8</v>
      </c>
      <c r="AN125" s="145">
        <f t="shared" si="104"/>
        <v>0.8</v>
      </c>
      <c r="AO125" s="145">
        <f t="shared" si="105"/>
        <v>-0.69333333333333313</v>
      </c>
      <c r="AP125" s="145">
        <f t="shared" si="106"/>
        <v>-0.84666666666666701</v>
      </c>
      <c r="AQ125" s="287">
        <f t="shared" ca="1" si="70"/>
        <v>0.88749561600000026</v>
      </c>
      <c r="AR125" s="287">
        <f t="shared" ca="1" si="71"/>
        <v>0.88749561600000026</v>
      </c>
      <c r="AS125" s="287">
        <f t="shared" ca="1" si="72"/>
        <v>0.88749561600000026</v>
      </c>
      <c r="AT125" s="287">
        <f t="shared" ca="1" si="73"/>
        <v>-0.76916286719999993</v>
      </c>
      <c r="AU125" s="287">
        <f t="shared" ca="1" si="74"/>
        <v>-0.93926619360000052</v>
      </c>
      <c r="AV125" s="287"/>
      <c r="AW125" s="145">
        <f t="shared" si="107"/>
        <v>0.8</v>
      </c>
      <c r="AX125" s="145">
        <f t="shared" si="108"/>
        <v>0.8</v>
      </c>
      <c r="AY125" s="145">
        <f t="shared" si="109"/>
        <v>0.8</v>
      </c>
      <c r="AZ125" s="145">
        <f t="shared" si="110"/>
        <v>-0.69333333333333313</v>
      </c>
      <c r="BA125" s="145">
        <f t="shared" si="111"/>
        <v>-0.84666666666666701</v>
      </c>
      <c r="BB125" s="287">
        <f t="shared" ca="1" si="75"/>
        <v>0.88749561600000026</v>
      </c>
      <c r="BC125" s="287">
        <f t="shared" ca="1" si="76"/>
        <v>0.88749561600000026</v>
      </c>
      <c r="BD125" s="287">
        <f t="shared" ca="1" si="77"/>
        <v>0.88749561600000026</v>
      </c>
      <c r="BE125" s="287">
        <f t="shared" ca="1" si="78"/>
        <v>-0.76916286719999993</v>
      </c>
      <c r="BF125" s="287">
        <f t="shared" ca="1" si="79"/>
        <v>-0.93926619360000052</v>
      </c>
      <c r="BG125" s="45"/>
      <c r="BH125" s="45"/>
      <c r="BI125" s="45"/>
    </row>
    <row r="126" spans="1:61" s="252" customFormat="1" ht="15" hidden="1"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43"/>
      <c r="AE126" s="43"/>
      <c r="AF126" s="43"/>
      <c r="AG126" s="43"/>
      <c r="AH126" s="45">
        <v>68</v>
      </c>
      <c r="AI126" s="45" t="b">
        <f t="shared" si="69"/>
        <v>0</v>
      </c>
      <c r="AJ126" s="45" t="b">
        <f t="shared" si="80"/>
        <v>0</v>
      </c>
      <c r="AK126" s="281" t="b">
        <f t="shared" si="81"/>
        <v>0</v>
      </c>
      <c r="AL126" s="145">
        <f t="shared" si="102"/>
        <v>0.8</v>
      </c>
      <c r="AM126" s="145">
        <f t="shared" si="103"/>
        <v>0.8</v>
      </c>
      <c r="AN126" s="145">
        <f t="shared" si="104"/>
        <v>0.8</v>
      </c>
      <c r="AO126" s="145">
        <f t="shared" si="105"/>
        <v>-0.70666666666666644</v>
      </c>
      <c r="AP126" s="145">
        <f t="shared" si="106"/>
        <v>-0.85333333333333372</v>
      </c>
      <c r="AQ126" s="287">
        <f t="shared" ca="1" si="70"/>
        <v>0.88749561600000026</v>
      </c>
      <c r="AR126" s="287">
        <f t="shared" ca="1" si="71"/>
        <v>0.88749561600000026</v>
      </c>
      <c r="AS126" s="287">
        <f t="shared" ca="1" si="72"/>
        <v>0.88749561600000026</v>
      </c>
      <c r="AT126" s="287">
        <f t="shared" ca="1" si="73"/>
        <v>-0.78395446079999986</v>
      </c>
      <c r="AU126" s="287">
        <f t="shared" ca="1" si="74"/>
        <v>-0.94666199040000065</v>
      </c>
      <c r="AV126" s="287"/>
      <c r="AW126" s="145">
        <f t="shared" si="107"/>
        <v>0.8</v>
      </c>
      <c r="AX126" s="145">
        <f t="shared" si="108"/>
        <v>0.8</v>
      </c>
      <c r="AY126" s="145">
        <f t="shared" si="109"/>
        <v>0.8</v>
      </c>
      <c r="AZ126" s="145">
        <f t="shared" si="110"/>
        <v>-0.70666666666666644</v>
      </c>
      <c r="BA126" s="145">
        <f t="shared" si="111"/>
        <v>-0.85333333333333372</v>
      </c>
      <c r="BB126" s="287">
        <f t="shared" ca="1" si="75"/>
        <v>0.88749561600000026</v>
      </c>
      <c r="BC126" s="287">
        <f t="shared" ca="1" si="76"/>
        <v>0.88749561600000026</v>
      </c>
      <c r="BD126" s="287">
        <f t="shared" ca="1" si="77"/>
        <v>0.88749561600000026</v>
      </c>
      <c r="BE126" s="287">
        <f t="shared" ca="1" si="78"/>
        <v>-0.78395446079999986</v>
      </c>
      <c r="BF126" s="287">
        <f t="shared" ca="1" si="79"/>
        <v>-0.94666199040000065</v>
      </c>
      <c r="BG126" s="45"/>
      <c r="BH126" s="45"/>
      <c r="BI126" s="45"/>
    </row>
    <row r="127" spans="1:61" s="252" customFormat="1" ht="15" hidden="1"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43"/>
      <c r="AE127" s="43"/>
      <c r="AF127" s="43"/>
      <c r="AG127" s="43"/>
      <c r="AH127" s="45">
        <v>69</v>
      </c>
      <c r="AI127" s="45" t="b">
        <f t="shared" si="69"/>
        <v>0</v>
      </c>
      <c r="AJ127" s="45" t="b">
        <f t="shared" si="80"/>
        <v>0</v>
      </c>
      <c r="AK127" s="281" t="b">
        <f t="shared" si="81"/>
        <v>0</v>
      </c>
      <c r="AL127" s="145">
        <f t="shared" si="102"/>
        <v>0.8</v>
      </c>
      <c r="AM127" s="145">
        <f t="shared" si="103"/>
        <v>0.8</v>
      </c>
      <c r="AN127" s="145">
        <f t="shared" si="104"/>
        <v>0.8</v>
      </c>
      <c r="AO127" s="145">
        <f t="shared" si="105"/>
        <v>-0.71999999999999975</v>
      </c>
      <c r="AP127" s="145">
        <f t="shared" si="106"/>
        <v>-0.86000000000000043</v>
      </c>
      <c r="AQ127" s="287">
        <f t="shared" ca="1" si="70"/>
        <v>0.88749561600000026</v>
      </c>
      <c r="AR127" s="287">
        <f t="shared" ca="1" si="71"/>
        <v>0.88749561600000026</v>
      </c>
      <c r="AS127" s="287">
        <f t="shared" ca="1" si="72"/>
        <v>0.88749561600000026</v>
      </c>
      <c r="AT127" s="287">
        <f t="shared" ca="1" si="73"/>
        <v>-0.79874605439999991</v>
      </c>
      <c r="AU127" s="287">
        <f t="shared" ca="1" si="74"/>
        <v>-0.95405778720000067</v>
      </c>
      <c r="AV127" s="287"/>
      <c r="AW127" s="145">
        <f t="shared" si="107"/>
        <v>0.8</v>
      </c>
      <c r="AX127" s="145">
        <f t="shared" si="108"/>
        <v>0.8</v>
      </c>
      <c r="AY127" s="145">
        <f t="shared" si="109"/>
        <v>0.8</v>
      </c>
      <c r="AZ127" s="145">
        <f t="shared" si="110"/>
        <v>-0.71999999999999975</v>
      </c>
      <c r="BA127" s="145">
        <f t="shared" si="111"/>
        <v>-0.86000000000000043</v>
      </c>
      <c r="BB127" s="287">
        <f t="shared" ca="1" si="75"/>
        <v>0.88749561600000026</v>
      </c>
      <c r="BC127" s="287">
        <f t="shared" ca="1" si="76"/>
        <v>0.88749561600000026</v>
      </c>
      <c r="BD127" s="287">
        <f t="shared" ca="1" si="77"/>
        <v>0.88749561600000026</v>
      </c>
      <c r="BE127" s="287">
        <f t="shared" ca="1" si="78"/>
        <v>-0.79874605439999991</v>
      </c>
      <c r="BF127" s="287">
        <f t="shared" ca="1" si="79"/>
        <v>-0.95405778720000067</v>
      </c>
      <c r="BG127" s="45"/>
      <c r="BH127" s="45"/>
      <c r="BI127" s="45"/>
    </row>
    <row r="128" spans="1:61" s="252" customFormat="1" ht="15" hidden="1"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43"/>
      <c r="AE128" s="43"/>
      <c r="AF128" s="43"/>
      <c r="AG128" s="43"/>
      <c r="AH128" s="45">
        <v>70</v>
      </c>
      <c r="AI128" s="45" t="b">
        <f t="shared" si="69"/>
        <v>0</v>
      </c>
      <c r="AJ128" s="45" t="b">
        <f t="shared" si="80"/>
        <v>0</v>
      </c>
      <c r="AK128" s="281" t="b">
        <f t="shared" si="81"/>
        <v>0</v>
      </c>
      <c r="AL128" s="145">
        <f t="shared" si="102"/>
        <v>0.8</v>
      </c>
      <c r="AM128" s="145">
        <f t="shared" si="103"/>
        <v>0.8</v>
      </c>
      <c r="AN128" s="145">
        <f t="shared" si="104"/>
        <v>0.8</v>
      </c>
      <c r="AO128" s="145">
        <f t="shared" si="105"/>
        <v>-0.73333333333333306</v>
      </c>
      <c r="AP128" s="145">
        <f t="shared" si="106"/>
        <v>-0.86666666666666714</v>
      </c>
      <c r="AQ128" s="287">
        <f t="shared" ca="1" si="70"/>
        <v>0.88749561600000026</v>
      </c>
      <c r="AR128" s="287">
        <f t="shared" ca="1" si="71"/>
        <v>0.88749561600000026</v>
      </c>
      <c r="AS128" s="287">
        <f t="shared" ca="1" si="72"/>
        <v>0.88749561600000026</v>
      </c>
      <c r="AT128" s="287">
        <f t="shared" ca="1" si="73"/>
        <v>-0.81353764799999984</v>
      </c>
      <c r="AU128" s="287">
        <f t="shared" ca="1" si="74"/>
        <v>-0.96145358400000069</v>
      </c>
      <c r="AV128" s="287"/>
      <c r="AW128" s="145">
        <f t="shared" si="107"/>
        <v>0.8</v>
      </c>
      <c r="AX128" s="145">
        <f t="shared" si="108"/>
        <v>0.8</v>
      </c>
      <c r="AY128" s="145">
        <f t="shared" si="109"/>
        <v>0.8</v>
      </c>
      <c r="AZ128" s="145">
        <f t="shared" si="110"/>
        <v>-0.73333333333333306</v>
      </c>
      <c r="BA128" s="145">
        <f t="shared" si="111"/>
        <v>-0.86666666666666714</v>
      </c>
      <c r="BB128" s="287">
        <f t="shared" ca="1" si="75"/>
        <v>0.88749561600000026</v>
      </c>
      <c r="BC128" s="287">
        <f t="shared" ca="1" si="76"/>
        <v>0.88749561600000026</v>
      </c>
      <c r="BD128" s="287">
        <f t="shared" ca="1" si="77"/>
        <v>0.88749561600000026</v>
      </c>
      <c r="BE128" s="287">
        <f t="shared" ca="1" si="78"/>
        <v>-0.81353764799999984</v>
      </c>
      <c r="BF128" s="287">
        <f t="shared" ca="1" si="79"/>
        <v>-0.96145358400000069</v>
      </c>
      <c r="BG128" s="45"/>
      <c r="BH128" s="45"/>
      <c r="BI128" s="45"/>
    </row>
    <row r="129" spans="1:61" s="252" customFormat="1" ht="15" hidden="1"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43"/>
      <c r="AE129" s="43"/>
      <c r="AF129" s="43"/>
      <c r="AG129" s="43"/>
      <c r="AH129" s="45">
        <v>71</v>
      </c>
      <c r="AI129" s="45" t="b">
        <f t="shared" si="69"/>
        <v>0</v>
      </c>
      <c r="AJ129" s="45" t="b">
        <f t="shared" si="80"/>
        <v>0</v>
      </c>
      <c r="AK129" s="281" t="b">
        <f t="shared" si="81"/>
        <v>0</v>
      </c>
      <c r="AL129" s="145">
        <f t="shared" si="102"/>
        <v>0.8</v>
      </c>
      <c r="AM129" s="145">
        <f t="shared" si="103"/>
        <v>0.8</v>
      </c>
      <c r="AN129" s="145">
        <f t="shared" si="104"/>
        <v>0.8</v>
      </c>
      <c r="AO129" s="145">
        <f t="shared" si="105"/>
        <v>-0.74666666666666637</v>
      </c>
      <c r="AP129" s="145">
        <f t="shared" si="106"/>
        <v>-0.87333333333333385</v>
      </c>
      <c r="AQ129" s="287">
        <f t="shared" ca="1" si="70"/>
        <v>0.88749561600000026</v>
      </c>
      <c r="AR129" s="287">
        <f t="shared" ca="1" si="71"/>
        <v>0.88749561600000026</v>
      </c>
      <c r="AS129" s="287">
        <f t="shared" ca="1" si="72"/>
        <v>0.88749561600000026</v>
      </c>
      <c r="AT129" s="287">
        <f t="shared" ca="1" si="73"/>
        <v>-0.82832924159999988</v>
      </c>
      <c r="AU129" s="287">
        <f t="shared" ca="1" si="74"/>
        <v>-0.96884938080000071</v>
      </c>
      <c r="AV129" s="287"/>
      <c r="AW129" s="145">
        <f t="shared" si="107"/>
        <v>0.8</v>
      </c>
      <c r="AX129" s="145">
        <f t="shared" si="108"/>
        <v>0.8</v>
      </c>
      <c r="AY129" s="145">
        <f t="shared" si="109"/>
        <v>0.8</v>
      </c>
      <c r="AZ129" s="145">
        <f t="shared" si="110"/>
        <v>-0.74666666666666637</v>
      </c>
      <c r="BA129" s="145">
        <f t="shared" si="111"/>
        <v>-0.87333333333333385</v>
      </c>
      <c r="BB129" s="287">
        <f t="shared" ca="1" si="75"/>
        <v>0.88749561600000026</v>
      </c>
      <c r="BC129" s="287">
        <f t="shared" ca="1" si="76"/>
        <v>0.88749561600000026</v>
      </c>
      <c r="BD129" s="287">
        <f t="shared" ca="1" si="77"/>
        <v>0.88749561600000026</v>
      </c>
      <c r="BE129" s="287">
        <f t="shared" ca="1" si="78"/>
        <v>-0.82832924159999988</v>
      </c>
      <c r="BF129" s="287">
        <f t="shared" ca="1" si="79"/>
        <v>-0.96884938080000071</v>
      </c>
      <c r="BG129" s="45"/>
      <c r="BH129" s="45"/>
      <c r="BI129" s="45"/>
    </row>
    <row r="130" spans="1:61" s="252" customFormat="1" ht="15" hidden="1"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43"/>
      <c r="AE130" s="43"/>
      <c r="AF130" s="43"/>
      <c r="AG130" s="43"/>
      <c r="AH130" s="45">
        <v>72</v>
      </c>
      <c r="AI130" s="45" t="b">
        <f t="shared" si="69"/>
        <v>0</v>
      </c>
      <c r="AJ130" s="45" t="b">
        <f t="shared" si="80"/>
        <v>0</v>
      </c>
      <c r="AK130" s="281" t="b">
        <f t="shared" si="81"/>
        <v>0</v>
      </c>
      <c r="AL130" s="145">
        <f t="shared" si="102"/>
        <v>0.8</v>
      </c>
      <c r="AM130" s="145">
        <f t="shared" si="103"/>
        <v>0.8</v>
      </c>
      <c r="AN130" s="145">
        <f t="shared" si="104"/>
        <v>0.8</v>
      </c>
      <c r="AO130" s="145">
        <f t="shared" si="105"/>
        <v>-0.75999999999999968</v>
      </c>
      <c r="AP130" s="145">
        <f t="shared" si="106"/>
        <v>-0.88000000000000056</v>
      </c>
      <c r="AQ130" s="287">
        <f t="shared" ca="1" si="70"/>
        <v>0.88749561600000026</v>
      </c>
      <c r="AR130" s="287">
        <f t="shared" ca="1" si="71"/>
        <v>0.88749561600000026</v>
      </c>
      <c r="AS130" s="287">
        <f t="shared" ca="1" si="72"/>
        <v>0.88749561600000026</v>
      </c>
      <c r="AT130" s="287">
        <f t="shared" ca="1" si="73"/>
        <v>-0.84312083519999981</v>
      </c>
      <c r="AU130" s="287">
        <f t="shared" ca="1" si="74"/>
        <v>-0.97624517760000085</v>
      </c>
      <c r="AV130" s="287"/>
      <c r="AW130" s="145">
        <f t="shared" si="107"/>
        <v>0.8</v>
      </c>
      <c r="AX130" s="145">
        <f t="shared" si="108"/>
        <v>0.8</v>
      </c>
      <c r="AY130" s="145">
        <f t="shared" si="109"/>
        <v>0.8</v>
      </c>
      <c r="AZ130" s="145">
        <f t="shared" si="110"/>
        <v>-0.75999999999999968</v>
      </c>
      <c r="BA130" s="145">
        <f t="shared" si="111"/>
        <v>-0.88000000000000056</v>
      </c>
      <c r="BB130" s="287">
        <f t="shared" ca="1" si="75"/>
        <v>0.88749561600000026</v>
      </c>
      <c r="BC130" s="287">
        <f t="shared" ca="1" si="76"/>
        <v>0.88749561600000026</v>
      </c>
      <c r="BD130" s="287">
        <f t="shared" ca="1" si="77"/>
        <v>0.88749561600000026</v>
      </c>
      <c r="BE130" s="287">
        <f t="shared" ca="1" si="78"/>
        <v>-0.84312083519999981</v>
      </c>
      <c r="BF130" s="287">
        <f t="shared" ca="1" si="79"/>
        <v>-0.97624517760000085</v>
      </c>
      <c r="BG130" s="45"/>
      <c r="BH130" s="45"/>
      <c r="BI130" s="45"/>
    </row>
    <row r="131" spans="1:61" s="252" customFormat="1" ht="15" hidden="1"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43"/>
      <c r="AE131" s="43"/>
      <c r="AF131" s="43"/>
      <c r="AG131" s="43"/>
      <c r="AH131" s="45">
        <v>73</v>
      </c>
      <c r="AI131" s="45" t="b">
        <f t="shared" si="69"/>
        <v>0</v>
      </c>
      <c r="AJ131" s="45" t="b">
        <f t="shared" si="80"/>
        <v>0</v>
      </c>
      <c r="AK131" s="281" t="b">
        <f t="shared" si="81"/>
        <v>0</v>
      </c>
      <c r="AL131" s="145">
        <f t="shared" si="102"/>
        <v>0.8</v>
      </c>
      <c r="AM131" s="145">
        <f t="shared" si="103"/>
        <v>0.8</v>
      </c>
      <c r="AN131" s="145">
        <f t="shared" si="104"/>
        <v>0.8</v>
      </c>
      <c r="AO131" s="145">
        <f t="shared" si="105"/>
        <v>-0.77333333333333298</v>
      </c>
      <c r="AP131" s="145">
        <f t="shared" si="106"/>
        <v>-0.88666666666666727</v>
      </c>
      <c r="AQ131" s="287">
        <f t="shared" ca="1" si="70"/>
        <v>0.88749561600000026</v>
      </c>
      <c r="AR131" s="287">
        <f t="shared" ca="1" si="71"/>
        <v>0.88749561600000026</v>
      </c>
      <c r="AS131" s="287">
        <f t="shared" ca="1" si="72"/>
        <v>0.88749561600000026</v>
      </c>
      <c r="AT131" s="287">
        <f t="shared" ca="1" si="73"/>
        <v>-0.85791242879999974</v>
      </c>
      <c r="AU131" s="287">
        <f t="shared" ca="1" si="74"/>
        <v>-0.98364097440000087</v>
      </c>
      <c r="AV131" s="287"/>
      <c r="AW131" s="145">
        <f t="shared" si="107"/>
        <v>0.8</v>
      </c>
      <c r="AX131" s="145">
        <f t="shared" si="108"/>
        <v>0.8</v>
      </c>
      <c r="AY131" s="145">
        <f t="shared" si="109"/>
        <v>0.8</v>
      </c>
      <c r="AZ131" s="145">
        <f t="shared" si="110"/>
        <v>-0.77333333333333298</v>
      </c>
      <c r="BA131" s="145">
        <f t="shared" si="111"/>
        <v>-0.88666666666666727</v>
      </c>
      <c r="BB131" s="287">
        <f t="shared" ca="1" si="75"/>
        <v>0.88749561600000026</v>
      </c>
      <c r="BC131" s="287">
        <f t="shared" ca="1" si="76"/>
        <v>0.88749561600000026</v>
      </c>
      <c r="BD131" s="287">
        <f t="shared" ca="1" si="77"/>
        <v>0.88749561600000026</v>
      </c>
      <c r="BE131" s="287">
        <f t="shared" ca="1" si="78"/>
        <v>-0.85791242879999974</v>
      </c>
      <c r="BF131" s="287">
        <f t="shared" ca="1" si="79"/>
        <v>-0.98364097440000087</v>
      </c>
      <c r="BG131" s="45"/>
      <c r="BH131" s="45"/>
      <c r="BI131" s="45"/>
    </row>
    <row r="132" spans="1:61" s="252" customFormat="1" ht="15" hidden="1"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43"/>
      <c r="AE132" s="43"/>
      <c r="AF132" s="43"/>
      <c r="AG132" s="43"/>
      <c r="AH132" s="45">
        <v>74</v>
      </c>
      <c r="AI132" s="45" t="b">
        <f t="shared" si="69"/>
        <v>0</v>
      </c>
      <c r="AJ132" s="45" t="b">
        <f t="shared" si="80"/>
        <v>0</v>
      </c>
      <c r="AK132" s="281" t="b">
        <f t="shared" si="81"/>
        <v>0</v>
      </c>
      <c r="AL132" s="145">
        <f t="shared" si="102"/>
        <v>0.8</v>
      </c>
      <c r="AM132" s="145">
        <f t="shared" si="103"/>
        <v>0.8</v>
      </c>
      <c r="AN132" s="145">
        <f t="shared" si="104"/>
        <v>0.8</v>
      </c>
      <c r="AO132" s="145">
        <f t="shared" si="105"/>
        <v>-0.78666666666666629</v>
      </c>
      <c r="AP132" s="145">
        <f t="shared" si="106"/>
        <v>-0.89333333333333398</v>
      </c>
      <c r="AQ132" s="287">
        <f t="shared" ca="1" si="70"/>
        <v>0.88749561600000026</v>
      </c>
      <c r="AR132" s="287">
        <f t="shared" ca="1" si="71"/>
        <v>0.88749561600000026</v>
      </c>
      <c r="AS132" s="287">
        <f t="shared" ca="1" si="72"/>
        <v>0.88749561600000026</v>
      </c>
      <c r="AT132" s="287">
        <f t="shared" ca="1" si="73"/>
        <v>-0.87270402239999978</v>
      </c>
      <c r="AU132" s="287">
        <f t="shared" ca="1" si="74"/>
        <v>-0.99103677120000089</v>
      </c>
      <c r="AV132" s="287"/>
      <c r="AW132" s="145">
        <f t="shared" si="107"/>
        <v>0.8</v>
      </c>
      <c r="AX132" s="145">
        <f t="shared" si="108"/>
        <v>0.8</v>
      </c>
      <c r="AY132" s="145">
        <f t="shared" si="109"/>
        <v>0.8</v>
      </c>
      <c r="AZ132" s="145">
        <f t="shared" si="110"/>
        <v>-0.78666666666666629</v>
      </c>
      <c r="BA132" s="145">
        <f t="shared" si="111"/>
        <v>-0.89333333333333398</v>
      </c>
      <c r="BB132" s="287">
        <f t="shared" ca="1" si="75"/>
        <v>0.88749561600000026</v>
      </c>
      <c r="BC132" s="287">
        <f t="shared" ca="1" si="76"/>
        <v>0.88749561600000026</v>
      </c>
      <c r="BD132" s="287">
        <f t="shared" ca="1" si="77"/>
        <v>0.88749561600000026</v>
      </c>
      <c r="BE132" s="287">
        <f t="shared" ca="1" si="78"/>
        <v>-0.87270402239999978</v>
      </c>
      <c r="BF132" s="287">
        <f t="shared" ca="1" si="79"/>
        <v>-0.99103677120000089</v>
      </c>
      <c r="BG132" s="45"/>
      <c r="BH132" s="45"/>
      <c r="BI132" s="45"/>
    </row>
    <row r="133" spans="1:61" s="252" customFormat="1" ht="15" hidden="1"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43"/>
      <c r="AE133" s="43"/>
      <c r="AF133" s="43"/>
      <c r="AG133" s="43"/>
      <c r="AH133" s="276">
        <v>75</v>
      </c>
      <c r="AI133" s="45" t="b">
        <f t="shared" si="69"/>
        <v>0</v>
      </c>
      <c r="AJ133" s="45" t="b">
        <f t="shared" si="80"/>
        <v>0</v>
      </c>
      <c r="AK133" s="281" t="b">
        <f t="shared" si="81"/>
        <v>0</v>
      </c>
      <c r="AL133" s="287">
        <v>0.8</v>
      </c>
      <c r="AM133" s="287">
        <v>0.8</v>
      </c>
      <c r="AN133" s="287">
        <v>0.8</v>
      </c>
      <c r="AO133" s="287">
        <v>-0.8</v>
      </c>
      <c r="AP133" s="287">
        <v>-0.9</v>
      </c>
      <c r="AQ133" s="287">
        <f t="shared" ca="1" si="70"/>
        <v>0.88749561600000026</v>
      </c>
      <c r="AR133" s="287">
        <f t="shared" ca="1" si="71"/>
        <v>0.88749561600000026</v>
      </c>
      <c r="AS133" s="287">
        <f t="shared" ca="1" si="72"/>
        <v>0.88749561600000026</v>
      </c>
      <c r="AT133" s="287">
        <f t="shared" ca="1" si="73"/>
        <v>-0.88749561600000026</v>
      </c>
      <c r="AU133" s="287">
        <f t="shared" ca="1" si="74"/>
        <v>-0.99843256800000024</v>
      </c>
      <c r="AV133" s="287"/>
      <c r="AW133" s="287">
        <v>0.8</v>
      </c>
      <c r="AX133" s="287">
        <v>0.8</v>
      </c>
      <c r="AY133" s="287">
        <v>0.8</v>
      </c>
      <c r="AZ133" s="287">
        <v>-0.8</v>
      </c>
      <c r="BA133" s="287">
        <v>-0.9</v>
      </c>
      <c r="BB133" s="287">
        <f t="shared" ca="1" si="75"/>
        <v>0.88749561600000026</v>
      </c>
      <c r="BC133" s="287">
        <f t="shared" ca="1" si="76"/>
        <v>0.88749561600000026</v>
      </c>
      <c r="BD133" s="287">
        <f t="shared" ca="1" si="77"/>
        <v>0.88749561600000026</v>
      </c>
      <c r="BE133" s="287">
        <f t="shared" ca="1" si="78"/>
        <v>-0.88749561600000026</v>
      </c>
      <c r="BF133" s="287">
        <f t="shared" ca="1" si="79"/>
        <v>-0.99843256800000024</v>
      </c>
      <c r="BG133" s="45"/>
      <c r="BH133" s="45"/>
      <c r="BI133" s="45"/>
    </row>
    <row r="134" spans="1:61" s="252" customFormat="1" ht="15" hidden="1"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43"/>
      <c r="AE134" s="43"/>
      <c r="AF134" s="43"/>
      <c r="AG134" s="43"/>
      <c r="AH134" s="276">
        <v>-45</v>
      </c>
      <c r="AI134" s="45" t="b">
        <f t="shared" si="69"/>
        <v>0</v>
      </c>
      <c r="AJ134" s="45" t="b">
        <f>AND($AH$4=2)</f>
        <v>1</v>
      </c>
      <c r="AK134" s="281" t="b">
        <f t="shared" si="81"/>
        <v>0</v>
      </c>
      <c r="AL134" s="287">
        <v>-1.5</v>
      </c>
      <c r="AM134" s="287">
        <v>-1.3</v>
      </c>
      <c r="AN134" s="287">
        <v>-1</v>
      </c>
      <c r="AO134" s="287">
        <v>-0.9</v>
      </c>
      <c r="AP134" s="287">
        <v>0</v>
      </c>
      <c r="AQ134" s="287">
        <f t="shared" ca="1" si="70"/>
        <v>-1.6640542800000002</v>
      </c>
      <c r="AR134" s="287">
        <f t="shared" ca="1" si="71"/>
        <v>-1.4421803760000003</v>
      </c>
      <c r="AS134" s="287">
        <f t="shared" ca="1" si="72"/>
        <v>-1.1093695200000002</v>
      </c>
      <c r="AT134" s="287">
        <f t="shared" ca="1" si="73"/>
        <v>-0.99843256800000024</v>
      </c>
      <c r="AU134" s="287">
        <f t="shared" ca="1" si="74"/>
        <v>0</v>
      </c>
      <c r="AV134" s="877" t="s">
        <v>137</v>
      </c>
      <c r="AW134" s="287">
        <v>-1.5</v>
      </c>
      <c r="AX134" s="287">
        <v>-1.3</v>
      </c>
      <c r="AY134" s="287">
        <v>-1</v>
      </c>
      <c r="AZ134" s="287">
        <v>-0.9</v>
      </c>
      <c r="BA134" s="287">
        <v>0</v>
      </c>
      <c r="BB134" s="287">
        <f t="shared" ca="1" si="75"/>
        <v>-1.6640542800000002</v>
      </c>
      <c r="BC134" s="287">
        <f t="shared" ca="1" si="76"/>
        <v>-1.4421803760000003</v>
      </c>
      <c r="BD134" s="287">
        <f t="shared" ca="1" si="77"/>
        <v>-1.1093695200000002</v>
      </c>
      <c r="BE134" s="287">
        <f t="shared" ca="1" si="78"/>
        <v>-0.99843256800000024</v>
      </c>
      <c r="BF134" s="287">
        <f t="shared" ca="1" si="79"/>
        <v>0</v>
      </c>
      <c r="BG134" s="877" t="s">
        <v>452</v>
      </c>
      <c r="BH134" s="45"/>
      <c r="BI134" s="45"/>
    </row>
    <row r="135" spans="1:61" s="252" customFormat="1" ht="15" hidden="1"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43"/>
      <c r="AE135" s="43"/>
      <c r="AF135" s="43"/>
      <c r="AG135" s="43"/>
      <c r="AH135" s="45">
        <v>-44</v>
      </c>
      <c r="AI135" s="45" t="b">
        <f t="shared" si="69"/>
        <v>0</v>
      </c>
      <c r="AJ135" s="45" t="b">
        <f t="shared" ref="AJ135:AJ198" si="112">AND($AH$4=2)</f>
        <v>1</v>
      </c>
      <c r="AK135" s="281" t="b">
        <f t="shared" si="81"/>
        <v>0</v>
      </c>
      <c r="AL135" s="145">
        <f>0-(ABS($AL$134-$AL$149)/15-AL134)</f>
        <v>-1.5133333333333334</v>
      </c>
      <c r="AM135" s="145">
        <f>+ABS($AM$134-$AM$149)/15+AM134</f>
        <v>-1.3</v>
      </c>
      <c r="AN135" s="145">
        <f>+ABS($AN$134-$AN$149)/15+AN134</f>
        <v>-1</v>
      </c>
      <c r="AO135" s="145">
        <f>+ABS($AO$134-$AO$149)/15+AO134</f>
        <v>-0.89333333333333331</v>
      </c>
      <c r="AP135" s="145">
        <f>+ABS($AP$134-$AP$149)/15+AP134</f>
        <v>0</v>
      </c>
      <c r="AQ135" s="287">
        <f t="shared" ca="1" si="70"/>
        <v>-1.6788458736000005</v>
      </c>
      <c r="AR135" s="287">
        <f t="shared" ca="1" si="71"/>
        <v>-1.4421803760000003</v>
      </c>
      <c r="AS135" s="287">
        <f t="shared" ca="1" si="72"/>
        <v>-1.1093695200000002</v>
      </c>
      <c r="AT135" s="287">
        <f t="shared" ca="1" si="73"/>
        <v>-0.99103677120000022</v>
      </c>
      <c r="AU135" s="287">
        <f t="shared" ca="1" si="74"/>
        <v>0</v>
      </c>
      <c r="AV135" s="877"/>
      <c r="AW135" s="145">
        <f>0-(ABS($AL$134-$AL$149)/15-AW134)</f>
        <v>-1.5133333333333334</v>
      </c>
      <c r="AX135" s="145">
        <f>+ABS($AM$134-$AM$149)/15+AX134</f>
        <v>-1.3</v>
      </c>
      <c r="AY135" s="145">
        <f>+ABS($AN$134-$AN$149)/15+AY134</f>
        <v>-1</v>
      </c>
      <c r="AZ135" s="145">
        <f>+ABS($AO$134-$AO$149)/15+AZ134</f>
        <v>-0.89333333333333331</v>
      </c>
      <c r="BA135" s="145">
        <f>+ABS($AP$134-$AP$149)/15+BA134</f>
        <v>0</v>
      </c>
      <c r="BB135" s="287">
        <f t="shared" ca="1" si="75"/>
        <v>-1.6788458736000005</v>
      </c>
      <c r="BC135" s="287">
        <f t="shared" ca="1" si="76"/>
        <v>-1.4421803760000003</v>
      </c>
      <c r="BD135" s="287">
        <f t="shared" ca="1" si="77"/>
        <v>-1.1093695200000002</v>
      </c>
      <c r="BE135" s="287">
        <f t="shared" ca="1" si="78"/>
        <v>-0.99103677120000022</v>
      </c>
      <c r="BF135" s="287">
        <f t="shared" ca="1" si="79"/>
        <v>0</v>
      </c>
      <c r="BG135" s="877"/>
      <c r="BH135" s="45"/>
      <c r="BI135" s="45"/>
    </row>
    <row r="136" spans="1:61" s="252" customFormat="1" ht="15" hidden="1"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43"/>
      <c r="AE136" s="43"/>
      <c r="AF136" s="43"/>
      <c r="AG136" s="43"/>
      <c r="AH136" s="45">
        <v>-43</v>
      </c>
      <c r="AI136" s="45" t="b">
        <f t="shared" si="69"/>
        <v>0</v>
      </c>
      <c r="AJ136" s="45" t="b">
        <f t="shared" si="112"/>
        <v>1</v>
      </c>
      <c r="AK136" s="281" t="b">
        <f t="shared" si="81"/>
        <v>0</v>
      </c>
      <c r="AL136" s="145">
        <f t="shared" ref="AL136:AL148" si="113">0-(ABS($AL$134-$AL$149)/15-AL135)</f>
        <v>-1.5266666666666668</v>
      </c>
      <c r="AM136" s="145">
        <f t="shared" ref="AM136:AM148" si="114">+ABS($AM$134-$AM$149)/15+AM135</f>
        <v>-1.3</v>
      </c>
      <c r="AN136" s="145">
        <f t="shared" ref="AN136:AN148" si="115">+ABS($AN$134-$AN$149)/15+AN135</f>
        <v>-1</v>
      </c>
      <c r="AO136" s="145">
        <f t="shared" ref="AO136:AO148" si="116">+ABS($AO$134-$AO$149)/15+AO135</f>
        <v>-0.8866666666666666</v>
      </c>
      <c r="AP136" s="145">
        <f t="shared" ref="AP136:AP148" si="117">+ABS($AP$134-$AP$149)/15+AP135</f>
        <v>0</v>
      </c>
      <c r="AQ136" s="287">
        <f t="shared" ca="1" si="70"/>
        <v>-1.6936374672000005</v>
      </c>
      <c r="AR136" s="287">
        <f t="shared" ca="1" si="71"/>
        <v>-1.4421803760000003</v>
      </c>
      <c r="AS136" s="287">
        <f t="shared" ca="1" si="72"/>
        <v>-1.1093695200000002</v>
      </c>
      <c r="AT136" s="287">
        <f t="shared" ca="1" si="73"/>
        <v>-0.98364097440000009</v>
      </c>
      <c r="AU136" s="287">
        <f t="shared" ca="1" si="74"/>
        <v>0</v>
      </c>
      <c r="AV136" s="877"/>
      <c r="AW136" s="145">
        <f t="shared" ref="AW136:AW148" si="118">0-(ABS($AL$134-$AL$149)/15-AW135)</f>
        <v>-1.5266666666666668</v>
      </c>
      <c r="AX136" s="145">
        <f t="shared" ref="AX136:AX148" si="119">+ABS($AM$134-$AM$149)/15+AX135</f>
        <v>-1.3</v>
      </c>
      <c r="AY136" s="145">
        <f t="shared" ref="AY136:AY148" si="120">+ABS($AN$134-$AN$149)/15+AY135</f>
        <v>-1</v>
      </c>
      <c r="AZ136" s="145">
        <f t="shared" ref="AZ136:AZ148" si="121">+ABS($AO$134-$AO$149)/15+AZ135</f>
        <v>-0.8866666666666666</v>
      </c>
      <c r="BA136" s="145">
        <f t="shared" ref="BA136:BA148" si="122">+ABS($AP$134-$AP$149)/15+BA135</f>
        <v>0</v>
      </c>
      <c r="BB136" s="287">
        <f t="shared" ca="1" si="75"/>
        <v>-1.6936374672000005</v>
      </c>
      <c r="BC136" s="287">
        <f t="shared" ca="1" si="76"/>
        <v>-1.4421803760000003</v>
      </c>
      <c r="BD136" s="287">
        <f t="shared" ca="1" si="77"/>
        <v>-1.1093695200000002</v>
      </c>
      <c r="BE136" s="287">
        <f t="shared" ca="1" si="78"/>
        <v>-0.98364097440000009</v>
      </c>
      <c r="BF136" s="287">
        <f t="shared" ca="1" si="79"/>
        <v>0</v>
      </c>
      <c r="BG136" s="877"/>
      <c r="BH136" s="45"/>
      <c r="BI136" s="45"/>
    </row>
    <row r="137" spans="1:61" s="252" customFormat="1" ht="15" hidden="1"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43"/>
      <c r="AE137" s="43"/>
      <c r="AF137" s="43"/>
      <c r="AG137" s="43"/>
      <c r="AH137" s="45">
        <v>-42</v>
      </c>
      <c r="AI137" s="45" t="b">
        <f t="shared" si="69"/>
        <v>0</v>
      </c>
      <c r="AJ137" s="45" t="b">
        <f t="shared" si="112"/>
        <v>1</v>
      </c>
      <c r="AK137" s="281" t="b">
        <f t="shared" si="81"/>
        <v>0</v>
      </c>
      <c r="AL137" s="145">
        <f t="shared" si="113"/>
        <v>-1.5400000000000003</v>
      </c>
      <c r="AM137" s="145">
        <f t="shared" si="114"/>
        <v>-1.3</v>
      </c>
      <c r="AN137" s="145">
        <f t="shared" si="115"/>
        <v>-1</v>
      </c>
      <c r="AO137" s="145">
        <f t="shared" si="116"/>
        <v>-0.87999999999999989</v>
      </c>
      <c r="AP137" s="145">
        <f t="shared" si="117"/>
        <v>0</v>
      </c>
      <c r="AQ137" s="287">
        <f t="shared" ca="1" si="70"/>
        <v>-1.7084290608000006</v>
      </c>
      <c r="AR137" s="287">
        <f t="shared" ca="1" si="71"/>
        <v>-1.4421803760000003</v>
      </c>
      <c r="AS137" s="287">
        <f t="shared" ca="1" si="72"/>
        <v>-1.1093695200000002</v>
      </c>
      <c r="AT137" s="287">
        <f t="shared" ca="1" si="73"/>
        <v>-0.97624517760000007</v>
      </c>
      <c r="AU137" s="287">
        <f t="shared" ca="1" si="74"/>
        <v>0</v>
      </c>
      <c r="AV137" s="877"/>
      <c r="AW137" s="145">
        <f t="shared" si="118"/>
        <v>-1.5400000000000003</v>
      </c>
      <c r="AX137" s="145">
        <f t="shared" si="119"/>
        <v>-1.3</v>
      </c>
      <c r="AY137" s="145">
        <f t="shared" si="120"/>
        <v>-1</v>
      </c>
      <c r="AZ137" s="145">
        <f t="shared" si="121"/>
        <v>-0.87999999999999989</v>
      </c>
      <c r="BA137" s="145">
        <f t="shared" si="122"/>
        <v>0</v>
      </c>
      <c r="BB137" s="287">
        <f t="shared" ca="1" si="75"/>
        <v>-1.7084290608000006</v>
      </c>
      <c r="BC137" s="287">
        <f t="shared" ca="1" si="76"/>
        <v>-1.4421803760000003</v>
      </c>
      <c r="BD137" s="287">
        <f t="shared" ca="1" si="77"/>
        <v>-1.1093695200000002</v>
      </c>
      <c r="BE137" s="287">
        <f t="shared" ca="1" si="78"/>
        <v>-0.97624517760000007</v>
      </c>
      <c r="BF137" s="287">
        <f t="shared" ca="1" si="79"/>
        <v>0</v>
      </c>
      <c r="BG137" s="877"/>
      <c r="BH137" s="45"/>
      <c r="BI137" s="45"/>
    </row>
    <row r="138" spans="1:61" s="252" customFormat="1" ht="15" hidden="1"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43"/>
      <c r="AE138" s="43"/>
      <c r="AF138" s="43"/>
      <c r="AG138" s="43"/>
      <c r="AH138" s="45">
        <v>-41</v>
      </c>
      <c r="AI138" s="45" t="b">
        <f t="shared" si="69"/>
        <v>0</v>
      </c>
      <c r="AJ138" s="45" t="b">
        <f t="shared" si="112"/>
        <v>1</v>
      </c>
      <c r="AK138" s="281" t="b">
        <f t="shared" si="81"/>
        <v>0</v>
      </c>
      <c r="AL138" s="145">
        <f t="shared" si="113"/>
        <v>-1.5533333333333337</v>
      </c>
      <c r="AM138" s="145">
        <f t="shared" si="114"/>
        <v>-1.3</v>
      </c>
      <c r="AN138" s="145">
        <f t="shared" si="115"/>
        <v>-1</v>
      </c>
      <c r="AO138" s="145">
        <f t="shared" si="116"/>
        <v>-0.87333333333333318</v>
      </c>
      <c r="AP138" s="145">
        <f t="shared" si="117"/>
        <v>0</v>
      </c>
      <c r="AQ138" s="287">
        <f t="shared" ca="1" si="70"/>
        <v>-1.7232206544000008</v>
      </c>
      <c r="AR138" s="287">
        <f t="shared" ca="1" si="71"/>
        <v>-1.4421803760000003</v>
      </c>
      <c r="AS138" s="287">
        <f t="shared" ca="1" si="72"/>
        <v>-1.1093695200000002</v>
      </c>
      <c r="AT138" s="287">
        <f t="shared" ca="1" si="73"/>
        <v>-0.96884938080000005</v>
      </c>
      <c r="AU138" s="287">
        <f t="shared" ca="1" si="74"/>
        <v>0</v>
      </c>
      <c r="AV138" s="877"/>
      <c r="AW138" s="145">
        <f t="shared" si="118"/>
        <v>-1.5533333333333337</v>
      </c>
      <c r="AX138" s="145">
        <f t="shared" si="119"/>
        <v>-1.3</v>
      </c>
      <c r="AY138" s="145">
        <f t="shared" si="120"/>
        <v>-1</v>
      </c>
      <c r="AZ138" s="145">
        <f t="shared" si="121"/>
        <v>-0.87333333333333318</v>
      </c>
      <c r="BA138" s="145">
        <f t="shared" si="122"/>
        <v>0</v>
      </c>
      <c r="BB138" s="287">
        <f t="shared" ca="1" si="75"/>
        <v>-1.7232206544000008</v>
      </c>
      <c r="BC138" s="287">
        <f t="shared" ca="1" si="76"/>
        <v>-1.4421803760000003</v>
      </c>
      <c r="BD138" s="287">
        <f t="shared" ca="1" si="77"/>
        <v>-1.1093695200000002</v>
      </c>
      <c r="BE138" s="287">
        <f t="shared" ca="1" si="78"/>
        <v>-0.96884938080000005</v>
      </c>
      <c r="BF138" s="287">
        <f t="shared" ca="1" si="79"/>
        <v>0</v>
      </c>
      <c r="BG138" s="877"/>
      <c r="BH138" s="45"/>
      <c r="BI138" s="45"/>
    </row>
    <row r="139" spans="1:61" s="252" customFormat="1" ht="15" hidden="1"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43"/>
      <c r="AE139" s="43"/>
      <c r="AF139" s="43"/>
      <c r="AG139" s="43"/>
      <c r="AH139" s="45">
        <v>-40</v>
      </c>
      <c r="AI139" s="45" t="b">
        <f t="shared" si="69"/>
        <v>0</v>
      </c>
      <c r="AJ139" s="45" t="b">
        <f t="shared" si="112"/>
        <v>1</v>
      </c>
      <c r="AK139" s="281" t="b">
        <f t="shared" si="81"/>
        <v>0</v>
      </c>
      <c r="AL139" s="145">
        <f t="shared" si="113"/>
        <v>-1.5666666666666671</v>
      </c>
      <c r="AM139" s="145">
        <f t="shared" si="114"/>
        <v>-1.3</v>
      </c>
      <c r="AN139" s="145">
        <f t="shared" si="115"/>
        <v>-1</v>
      </c>
      <c r="AO139" s="145">
        <f t="shared" si="116"/>
        <v>-0.86666666666666647</v>
      </c>
      <c r="AP139" s="145">
        <f t="shared" si="117"/>
        <v>0</v>
      </c>
      <c r="AQ139" s="287">
        <f t="shared" ca="1" si="70"/>
        <v>-1.7380122480000009</v>
      </c>
      <c r="AR139" s="287">
        <f t="shared" ca="1" si="71"/>
        <v>-1.4421803760000003</v>
      </c>
      <c r="AS139" s="287">
        <f t="shared" ca="1" si="72"/>
        <v>-1.1093695200000002</v>
      </c>
      <c r="AT139" s="287">
        <f t="shared" ca="1" si="73"/>
        <v>-0.96145358400000003</v>
      </c>
      <c r="AU139" s="287">
        <f t="shared" ca="1" si="74"/>
        <v>0</v>
      </c>
      <c r="AV139" s="877"/>
      <c r="AW139" s="145">
        <f t="shared" si="118"/>
        <v>-1.5666666666666671</v>
      </c>
      <c r="AX139" s="145">
        <f t="shared" si="119"/>
        <v>-1.3</v>
      </c>
      <c r="AY139" s="145">
        <f t="shared" si="120"/>
        <v>-1</v>
      </c>
      <c r="AZ139" s="145">
        <f t="shared" si="121"/>
        <v>-0.86666666666666647</v>
      </c>
      <c r="BA139" s="145">
        <f t="shared" si="122"/>
        <v>0</v>
      </c>
      <c r="BB139" s="287">
        <f t="shared" ca="1" si="75"/>
        <v>-1.7380122480000009</v>
      </c>
      <c r="BC139" s="287">
        <f t="shared" ca="1" si="76"/>
        <v>-1.4421803760000003</v>
      </c>
      <c r="BD139" s="287">
        <f t="shared" ca="1" si="77"/>
        <v>-1.1093695200000002</v>
      </c>
      <c r="BE139" s="287">
        <f t="shared" ca="1" si="78"/>
        <v>-0.96145358400000003</v>
      </c>
      <c r="BF139" s="287">
        <f t="shared" ca="1" si="79"/>
        <v>0</v>
      </c>
      <c r="BG139" s="877"/>
      <c r="BH139" s="45"/>
      <c r="BI139" s="45"/>
    </row>
    <row r="140" spans="1:61" s="252" customFormat="1" ht="15" hidden="1"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43"/>
      <c r="AE140" s="43"/>
      <c r="AF140" s="43"/>
      <c r="AG140" s="43"/>
      <c r="AH140" s="45">
        <v>-39</v>
      </c>
      <c r="AI140" s="45" t="b">
        <f t="shared" si="69"/>
        <v>0</v>
      </c>
      <c r="AJ140" s="45" t="b">
        <f t="shared" si="112"/>
        <v>1</v>
      </c>
      <c r="AK140" s="281" t="b">
        <f t="shared" si="81"/>
        <v>0</v>
      </c>
      <c r="AL140" s="145">
        <f t="shared" si="113"/>
        <v>-1.5800000000000005</v>
      </c>
      <c r="AM140" s="145">
        <f t="shared" si="114"/>
        <v>-1.3</v>
      </c>
      <c r="AN140" s="145">
        <f t="shared" si="115"/>
        <v>-1</v>
      </c>
      <c r="AO140" s="145">
        <f t="shared" si="116"/>
        <v>-0.85999999999999976</v>
      </c>
      <c r="AP140" s="145">
        <f t="shared" si="117"/>
        <v>0</v>
      </c>
      <c r="AQ140" s="287">
        <f t="shared" ca="1" si="70"/>
        <v>-1.7528038416000009</v>
      </c>
      <c r="AR140" s="287">
        <f t="shared" ca="1" si="71"/>
        <v>-1.4421803760000003</v>
      </c>
      <c r="AS140" s="287">
        <f t="shared" ca="1" si="72"/>
        <v>-1.1093695200000002</v>
      </c>
      <c r="AT140" s="287">
        <f t="shared" ca="1" si="73"/>
        <v>-0.9540577871999999</v>
      </c>
      <c r="AU140" s="287">
        <f t="shared" ca="1" si="74"/>
        <v>0</v>
      </c>
      <c r="AV140" s="877"/>
      <c r="AW140" s="145">
        <f t="shared" si="118"/>
        <v>-1.5800000000000005</v>
      </c>
      <c r="AX140" s="145">
        <f t="shared" si="119"/>
        <v>-1.3</v>
      </c>
      <c r="AY140" s="145">
        <f t="shared" si="120"/>
        <v>-1</v>
      </c>
      <c r="AZ140" s="145">
        <f t="shared" si="121"/>
        <v>-0.85999999999999976</v>
      </c>
      <c r="BA140" s="145">
        <f t="shared" si="122"/>
        <v>0</v>
      </c>
      <c r="BB140" s="287">
        <f t="shared" ca="1" si="75"/>
        <v>-1.7528038416000009</v>
      </c>
      <c r="BC140" s="287">
        <f t="shared" ca="1" si="76"/>
        <v>-1.4421803760000003</v>
      </c>
      <c r="BD140" s="287">
        <f t="shared" ca="1" si="77"/>
        <v>-1.1093695200000002</v>
      </c>
      <c r="BE140" s="287">
        <f t="shared" ca="1" si="78"/>
        <v>-0.9540577871999999</v>
      </c>
      <c r="BF140" s="287">
        <f t="shared" ca="1" si="79"/>
        <v>0</v>
      </c>
      <c r="BG140" s="877"/>
      <c r="BH140" s="45"/>
      <c r="BI140" s="45"/>
    </row>
    <row r="141" spans="1:61" s="252" customFormat="1" ht="15" hidden="1"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43"/>
      <c r="AE141" s="43"/>
      <c r="AF141" s="43"/>
      <c r="AG141" s="43"/>
      <c r="AH141" s="45">
        <v>-38</v>
      </c>
      <c r="AI141" s="45" t="b">
        <f t="shared" si="69"/>
        <v>0</v>
      </c>
      <c r="AJ141" s="45" t="b">
        <f t="shared" si="112"/>
        <v>1</v>
      </c>
      <c r="AK141" s="281" t="b">
        <f t="shared" si="81"/>
        <v>0</v>
      </c>
      <c r="AL141" s="145">
        <f t="shared" si="113"/>
        <v>-1.5933333333333339</v>
      </c>
      <c r="AM141" s="145">
        <f t="shared" si="114"/>
        <v>-1.3</v>
      </c>
      <c r="AN141" s="145">
        <f t="shared" si="115"/>
        <v>-1</v>
      </c>
      <c r="AO141" s="145">
        <f t="shared" si="116"/>
        <v>-0.85333333333333306</v>
      </c>
      <c r="AP141" s="145">
        <f t="shared" si="117"/>
        <v>0</v>
      </c>
      <c r="AQ141" s="287">
        <f t="shared" ca="1" si="70"/>
        <v>-1.767595435200001</v>
      </c>
      <c r="AR141" s="287">
        <f t="shared" ca="1" si="71"/>
        <v>-1.4421803760000003</v>
      </c>
      <c r="AS141" s="287">
        <f t="shared" ca="1" si="72"/>
        <v>-1.1093695200000002</v>
      </c>
      <c r="AT141" s="287">
        <f t="shared" ca="1" si="73"/>
        <v>-0.94666199039999988</v>
      </c>
      <c r="AU141" s="287">
        <f t="shared" ca="1" si="74"/>
        <v>0</v>
      </c>
      <c r="AV141" s="877"/>
      <c r="AW141" s="145">
        <f t="shared" si="118"/>
        <v>-1.5933333333333339</v>
      </c>
      <c r="AX141" s="145">
        <f t="shared" si="119"/>
        <v>-1.3</v>
      </c>
      <c r="AY141" s="145">
        <f t="shared" si="120"/>
        <v>-1</v>
      </c>
      <c r="AZ141" s="145">
        <f t="shared" si="121"/>
        <v>-0.85333333333333306</v>
      </c>
      <c r="BA141" s="145">
        <f t="shared" si="122"/>
        <v>0</v>
      </c>
      <c r="BB141" s="287">
        <f t="shared" ca="1" si="75"/>
        <v>-1.767595435200001</v>
      </c>
      <c r="BC141" s="287">
        <f t="shared" ca="1" si="76"/>
        <v>-1.4421803760000003</v>
      </c>
      <c r="BD141" s="287">
        <f t="shared" ca="1" si="77"/>
        <v>-1.1093695200000002</v>
      </c>
      <c r="BE141" s="287">
        <f t="shared" ca="1" si="78"/>
        <v>-0.94666199039999988</v>
      </c>
      <c r="BF141" s="287">
        <f t="shared" ca="1" si="79"/>
        <v>0</v>
      </c>
      <c r="BG141" s="877"/>
      <c r="BH141" s="45"/>
      <c r="BI141" s="45"/>
    </row>
    <row r="142" spans="1:61" s="252" customFormat="1" ht="15" hidden="1"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43"/>
      <c r="AE142" s="43"/>
      <c r="AF142" s="43"/>
      <c r="AG142" s="43"/>
      <c r="AH142" s="45">
        <v>-37</v>
      </c>
      <c r="AI142" s="45" t="b">
        <f t="shared" ref="AI142:AI205" si="123">AND($AI$9=AH142)</f>
        <v>0</v>
      </c>
      <c r="AJ142" s="45" t="b">
        <f t="shared" si="112"/>
        <v>1</v>
      </c>
      <c r="AK142" s="281" t="b">
        <f t="shared" si="81"/>
        <v>0</v>
      </c>
      <c r="AL142" s="145">
        <f t="shared" si="113"/>
        <v>-1.6066666666666674</v>
      </c>
      <c r="AM142" s="145">
        <f t="shared" si="114"/>
        <v>-1.3</v>
      </c>
      <c r="AN142" s="145">
        <f t="shared" si="115"/>
        <v>-1</v>
      </c>
      <c r="AO142" s="145">
        <f t="shared" si="116"/>
        <v>-0.84666666666666635</v>
      </c>
      <c r="AP142" s="145">
        <f t="shared" si="117"/>
        <v>0</v>
      </c>
      <c r="AQ142" s="287">
        <f t="shared" ref="AQ142:AQ205" ca="1" si="124">1.35*$Z$17*$M$22*AL142</f>
        <v>-1.7823870288000012</v>
      </c>
      <c r="AR142" s="287">
        <f t="shared" ref="AR142:AR205" ca="1" si="125">1.35*$Z$17*$M$22*AM142</f>
        <v>-1.4421803760000003</v>
      </c>
      <c r="AS142" s="287">
        <f t="shared" ref="AS142:AS205" ca="1" si="126">1.35*$Z$17*$M$22*AN142</f>
        <v>-1.1093695200000002</v>
      </c>
      <c r="AT142" s="287">
        <f t="shared" ref="AT142:AT205" ca="1" si="127">1.35*$Z$17*$M$22*AO142</f>
        <v>-0.93926619359999985</v>
      </c>
      <c r="AU142" s="287">
        <f t="shared" ref="AU142:AU205" ca="1" si="128">1.35*$Z$17*$M$22*AP142</f>
        <v>0</v>
      </c>
      <c r="AV142" s="877"/>
      <c r="AW142" s="145">
        <f t="shared" si="118"/>
        <v>-1.6066666666666674</v>
      </c>
      <c r="AX142" s="145">
        <f t="shared" si="119"/>
        <v>-1.3</v>
      </c>
      <c r="AY142" s="145">
        <f t="shared" si="120"/>
        <v>-1</v>
      </c>
      <c r="AZ142" s="145">
        <f t="shared" si="121"/>
        <v>-0.84666666666666635</v>
      </c>
      <c r="BA142" s="145">
        <f t="shared" si="122"/>
        <v>0</v>
      </c>
      <c r="BB142" s="287">
        <f t="shared" ref="BB142:BB205" ca="1" si="129">1.35*$Z$17*$M$22*AW142</f>
        <v>-1.7823870288000012</v>
      </c>
      <c r="BC142" s="287">
        <f t="shared" ref="BC142:BC205" ca="1" si="130">1.35*$Z$17*$M$22*AX142</f>
        <v>-1.4421803760000003</v>
      </c>
      <c r="BD142" s="287">
        <f t="shared" ref="BD142:BD205" ca="1" si="131">1.35*$Z$17*$M$22*AY142</f>
        <v>-1.1093695200000002</v>
      </c>
      <c r="BE142" s="287">
        <f t="shared" ref="BE142:BE205" ca="1" si="132">1.35*$Z$17*$M$22*AZ142</f>
        <v>-0.93926619359999985</v>
      </c>
      <c r="BF142" s="287">
        <f t="shared" ref="BF142:BF205" ca="1" si="133">1.35*$Z$17*$M$22*BA142</f>
        <v>0</v>
      </c>
      <c r="BG142" s="877"/>
      <c r="BH142" s="45"/>
      <c r="BI142" s="45"/>
    </row>
    <row r="143" spans="1:61" s="252" customFormat="1" ht="15" hidden="1"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43"/>
      <c r="AE143" s="43"/>
      <c r="AF143" s="43"/>
      <c r="AG143" s="43"/>
      <c r="AH143" s="45">
        <v>-36</v>
      </c>
      <c r="AI143" s="45" t="b">
        <f t="shared" si="123"/>
        <v>0</v>
      </c>
      <c r="AJ143" s="45" t="b">
        <f t="shared" si="112"/>
        <v>1</v>
      </c>
      <c r="AK143" s="281" t="b">
        <f t="shared" ref="AK143:AK206" si="134">AND(AI143=TRUE,AJ143=TRUE)</f>
        <v>0</v>
      </c>
      <c r="AL143" s="145">
        <f t="shared" si="113"/>
        <v>-1.6200000000000008</v>
      </c>
      <c r="AM143" s="145">
        <f t="shared" si="114"/>
        <v>-1.3</v>
      </c>
      <c r="AN143" s="145">
        <f t="shared" si="115"/>
        <v>-1</v>
      </c>
      <c r="AO143" s="145">
        <f t="shared" si="116"/>
        <v>-0.83999999999999964</v>
      </c>
      <c r="AP143" s="145">
        <f t="shared" si="117"/>
        <v>0</v>
      </c>
      <c r="AQ143" s="287">
        <f t="shared" ca="1" si="124"/>
        <v>-1.7971786224000013</v>
      </c>
      <c r="AR143" s="287">
        <f t="shared" ca="1" si="125"/>
        <v>-1.4421803760000003</v>
      </c>
      <c r="AS143" s="287">
        <f t="shared" ca="1" si="126"/>
        <v>-1.1093695200000002</v>
      </c>
      <c r="AT143" s="287">
        <f t="shared" ca="1" si="127"/>
        <v>-0.93187039679999983</v>
      </c>
      <c r="AU143" s="287">
        <f t="shared" ca="1" si="128"/>
        <v>0</v>
      </c>
      <c r="AV143" s="877"/>
      <c r="AW143" s="145">
        <f t="shared" si="118"/>
        <v>-1.6200000000000008</v>
      </c>
      <c r="AX143" s="145">
        <f t="shared" si="119"/>
        <v>-1.3</v>
      </c>
      <c r="AY143" s="145">
        <f t="shared" si="120"/>
        <v>-1</v>
      </c>
      <c r="AZ143" s="145">
        <f t="shared" si="121"/>
        <v>-0.83999999999999964</v>
      </c>
      <c r="BA143" s="145">
        <f t="shared" si="122"/>
        <v>0</v>
      </c>
      <c r="BB143" s="287">
        <f t="shared" ca="1" si="129"/>
        <v>-1.7971786224000013</v>
      </c>
      <c r="BC143" s="287">
        <f t="shared" ca="1" si="130"/>
        <v>-1.4421803760000003</v>
      </c>
      <c r="BD143" s="287">
        <f t="shared" ca="1" si="131"/>
        <v>-1.1093695200000002</v>
      </c>
      <c r="BE143" s="287">
        <f t="shared" ca="1" si="132"/>
        <v>-0.93187039679999983</v>
      </c>
      <c r="BF143" s="287">
        <f t="shared" ca="1" si="133"/>
        <v>0</v>
      </c>
      <c r="BG143" s="877"/>
      <c r="BH143" s="45"/>
      <c r="BI143" s="45"/>
    </row>
    <row r="144" spans="1:61" s="252" customFormat="1" ht="15" hidden="1"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43"/>
      <c r="AE144" s="43"/>
      <c r="AF144" s="43"/>
      <c r="AG144" s="43"/>
      <c r="AH144" s="45">
        <v>-35</v>
      </c>
      <c r="AI144" s="45" t="b">
        <f t="shared" si="123"/>
        <v>0</v>
      </c>
      <c r="AJ144" s="45" t="b">
        <f t="shared" si="112"/>
        <v>1</v>
      </c>
      <c r="AK144" s="281" t="b">
        <f t="shared" si="134"/>
        <v>0</v>
      </c>
      <c r="AL144" s="145">
        <f t="shared" si="113"/>
        <v>-1.6333333333333342</v>
      </c>
      <c r="AM144" s="145">
        <f t="shared" si="114"/>
        <v>-1.3</v>
      </c>
      <c r="AN144" s="145">
        <f t="shared" si="115"/>
        <v>-1</v>
      </c>
      <c r="AO144" s="145">
        <f t="shared" si="116"/>
        <v>-0.83333333333333293</v>
      </c>
      <c r="AP144" s="145">
        <f t="shared" si="117"/>
        <v>0</v>
      </c>
      <c r="AQ144" s="287">
        <f t="shared" ca="1" si="124"/>
        <v>-1.8119702160000013</v>
      </c>
      <c r="AR144" s="287">
        <f t="shared" ca="1" si="125"/>
        <v>-1.4421803760000003</v>
      </c>
      <c r="AS144" s="287">
        <f t="shared" ca="1" si="126"/>
        <v>-1.1093695200000002</v>
      </c>
      <c r="AT144" s="287">
        <f t="shared" ca="1" si="127"/>
        <v>-0.9244745999999997</v>
      </c>
      <c r="AU144" s="287">
        <f t="shared" ca="1" si="128"/>
        <v>0</v>
      </c>
      <c r="AV144" s="877"/>
      <c r="AW144" s="145">
        <f t="shared" si="118"/>
        <v>-1.6333333333333342</v>
      </c>
      <c r="AX144" s="145">
        <f t="shared" si="119"/>
        <v>-1.3</v>
      </c>
      <c r="AY144" s="145">
        <f t="shared" si="120"/>
        <v>-1</v>
      </c>
      <c r="AZ144" s="145">
        <f t="shared" si="121"/>
        <v>-0.83333333333333293</v>
      </c>
      <c r="BA144" s="145">
        <f t="shared" si="122"/>
        <v>0</v>
      </c>
      <c r="BB144" s="287">
        <f t="shared" ca="1" si="129"/>
        <v>-1.8119702160000013</v>
      </c>
      <c r="BC144" s="287">
        <f t="shared" ca="1" si="130"/>
        <v>-1.4421803760000003</v>
      </c>
      <c r="BD144" s="287">
        <f t="shared" ca="1" si="131"/>
        <v>-1.1093695200000002</v>
      </c>
      <c r="BE144" s="287">
        <f t="shared" ca="1" si="132"/>
        <v>-0.9244745999999997</v>
      </c>
      <c r="BF144" s="287">
        <f t="shared" ca="1" si="133"/>
        <v>0</v>
      </c>
      <c r="BG144" s="877"/>
      <c r="BH144" s="45"/>
      <c r="BI144" s="45"/>
    </row>
    <row r="145" spans="1:61" s="252" customFormat="1" ht="15" hidden="1"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43"/>
      <c r="AE145" s="43"/>
      <c r="AF145" s="43"/>
      <c r="AG145" s="43"/>
      <c r="AH145" s="45">
        <v>-34</v>
      </c>
      <c r="AI145" s="45" t="b">
        <f t="shared" si="123"/>
        <v>0</v>
      </c>
      <c r="AJ145" s="45" t="b">
        <f t="shared" si="112"/>
        <v>1</v>
      </c>
      <c r="AK145" s="281" t="b">
        <f t="shared" si="134"/>
        <v>0</v>
      </c>
      <c r="AL145" s="145">
        <f t="shared" si="113"/>
        <v>-1.6466666666666676</v>
      </c>
      <c r="AM145" s="145">
        <f t="shared" si="114"/>
        <v>-1.3</v>
      </c>
      <c r="AN145" s="145">
        <f t="shared" si="115"/>
        <v>-1</v>
      </c>
      <c r="AO145" s="145">
        <f t="shared" si="116"/>
        <v>-0.82666666666666622</v>
      </c>
      <c r="AP145" s="145">
        <f t="shared" si="117"/>
        <v>0</v>
      </c>
      <c r="AQ145" s="287">
        <f t="shared" ca="1" si="124"/>
        <v>-1.8267618096000013</v>
      </c>
      <c r="AR145" s="287">
        <f t="shared" ca="1" si="125"/>
        <v>-1.4421803760000003</v>
      </c>
      <c r="AS145" s="287">
        <f t="shared" ca="1" si="126"/>
        <v>-1.1093695200000002</v>
      </c>
      <c r="AT145" s="287">
        <f t="shared" ca="1" si="127"/>
        <v>-0.91707880319999968</v>
      </c>
      <c r="AU145" s="287">
        <f t="shared" ca="1" si="128"/>
        <v>0</v>
      </c>
      <c r="AV145" s="877"/>
      <c r="AW145" s="145">
        <f t="shared" si="118"/>
        <v>-1.6466666666666676</v>
      </c>
      <c r="AX145" s="145">
        <f t="shared" si="119"/>
        <v>-1.3</v>
      </c>
      <c r="AY145" s="145">
        <f t="shared" si="120"/>
        <v>-1</v>
      </c>
      <c r="AZ145" s="145">
        <f t="shared" si="121"/>
        <v>-0.82666666666666622</v>
      </c>
      <c r="BA145" s="145">
        <f t="shared" si="122"/>
        <v>0</v>
      </c>
      <c r="BB145" s="287">
        <f t="shared" ca="1" si="129"/>
        <v>-1.8267618096000013</v>
      </c>
      <c r="BC145" s="287">
        <f t="shared" ca="1" si="130"/>
        <v>-1.4421803760000003</v>
      </c>
      <c r="BD145" s="287">
        <f t="shared" ca="1" si="131"/>
        <v>-1.1093695200000002</v>
      </c>
      <c r="BE145" s="287">
        <f t="shared" ca="1" si="132"/>
        <v>-0.91707880319999968</v>
      </c>
      <c r="BF145" s="287">
        <f t="shared" ca="1" si="133"/>
        <v>0</v>
      </c>
      <c r="BG145" s="877"/>
      <c r="BH145" s="45"/>
      <c r="BI145" s="45"/>
    </row>
    <row r="146" spans="1:61" s="252" customFormat="1" ht="15" hidden="1"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43"/>
      <c r="AE146" s="43"/>
      <c r="AF146" s="43"/>
      <c r="AG146" s="43"/>
      <c r="AH146" s="45">
        <v>-33</v>
      </c>
      <c r="AI146" s="45" t="b">
        <f t="shared" si="123"/>
        <v>0</v>
      </c>
      <c r="AJ146" s="45" t="b">
        <f t="shared" si="112"/>
        <v>1</v>
      </c>
      <c r="AK146" s="281" t="b">
        <f t="shared" si="134"/>
        <v>0</v>
      </c>
      <c r="AL146" s="145">
        <f t="shared" si="113"/>
        <v>-1.660000000000001</v>
      </c>
      <c r="AM146" s="145">
        <f t="shared" si="114"/>
        <v>-1.3</v>
      </c>
      <c r="AN146" s="145">
        <f t="shared" si="115"/>
        <v>-1</v>
      </c>
      <c r="AO146" s="145">
        <f t="shared" si="116"/>
        <v>-0.81999999999999951</v>
      </c>
      <c r="AP146" s="145">
        <f t="shared" si="117"/>
        <v>0</v>
      </c>
      <c r="AQ146" s="287">
        <f t="shared" ca="1" si="124"/>
        <v>-1.8415534032000016</v>
      </c>
      <c r="AR146" s="287">
        <f t="shared" ca="1" si="125"/>
        <v>-1.4421803760000003</v>
      </c>
      <c r="AS146" s="287">
        <f t="shared" ca="1" si="126"/>
        <v>-1.1093695200000002</v>
      </c>
      <c r="AT146" s="287">
        <f t="shared" ca="1" si="127"/>
        <v>-0.90968300639999966</v>
      </c>
      <c r="AU146" s="287">
        <f t="shared" ca="1" si="128"/>
        <v>0</v>
      </c>
      <c r="AV146" s="877"/>
      <c r="AW146" s="145">
        <f t="shared" si="118"/>
        <v>-1.660000000000001</v>
      </c>
      <c r="AX146" s="145">
        <f t="shared" si="119"/>
        <v>-1.3</v>
      </c>
      <c r="AY146" s="145">
        <f t="shared" si="120"/>
        <v>-1</v>
      </c>
      <c r="AZ146" s="145">
        <f t="shared" si="121"/>
        <v>-0.81999999999999951</v>
      </c>
      <c r="BA146" s="145">
        <f t="shared" si="122"/>
        <v>0</v>
      </c>
      <c r="BB146" s="287">
        <f t="shared" ca="1" si="129"/>
        <v>-1.8415534032000016</v>
      </c>
      <c r="BC146" s="287">
        <f t="shared" ca="1" si="130"/>
        <v>-1.4421803760000003</v>
      </c>
      <c r="BD146" s="287">
        <f t="shared" ca="1" si="131"/>
        <v>-1.1093695200000002</v>
      </c>
      <c r="BE146" s="287">
        <f t="shared" ca="1" si="132"/>
        <v>-0.90968300639999966</v>
      </c>
      <c r="BF146" s="287">
        <f t="shared" ca="1" si="133"/>
        <v>0</v>
      </c>
      <c r="BG146" s="877"/>
      <c r="BH146" s="45"/>
      <c r="BI146" s="45"/>
    </row>
    <row r="147" spans="1:61" s="252" customFormat="1" ht="15" hidden="1"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43"/>
      <c r="AE147" s="43"/>
      <c r="AF147" s="43"/>
      <c r="AG147" s="43"/>
      <c r="AH147" s="45">
        <v>-32</v>
      </c>
      <c r="AI147" s="45" t="b">
        <f t="shared" si="123"/>
        <v>0</v>
      </c>
      <c r="AJ147" s="45" t="b">
        <f t="shared" si="112"/>
        <v>1</v>
      </c>
      <c r="AK147" s="281" t="b">
        <f t="shared" si="134"/>
        <v>0</v>
      </c>
      <c r="AL147" s="145">
        <f t="shared" si="113"/>
        <v>-1.6733333333333344</v>
      </c>
      <c r="AM147" s="145">
        <f t="shared" si="114"/>
        <v>-1.3</v>
      </c>
      <c r="AN147" s="145">
        <f t="shared" si="115"/>
        <v>-1</v>
      </c>
      <c r="AO147" s="145">
        <f t="shared" si="116"/>
        <v>-0.8133333333333328</v>
      </c>
      <c r="AP147" s="145">
        <f t="shared" si="117"/>
        <v>0</v>
      </c>
      <c r="AQ147" s="287">
        <f t="shared" ca="1" si="124"/>
        <v>-1.8563449968000016</v>
      </c>
      <c r="AR147" s="287">
        <f t="shared" ca="1" si="125"/>
        <v>-1.4421803760000003</v>
      </c>
      <c r="AS147" s="287">
        <f t="shared" ca="1" si="126"/>
        <v>-1.1093695200000002</v>
      </c>
      <c r="AT147" s="287">
        <f t="shared" ca="1" si="127"/>
        <v>-0.90228720959999953</v>
      </c>
      <c r="AU147" s="287">
        <f t="shared" ca="1" si="128"/>
        <v>0</v>
      </c>
      <c r="AV147" s="877"/>
      <c r="AW147" s="145">
        <f t="shared" si="118"/>
        <v>-1.6733333333333344</v>
      </c>
      <c r="AX147" s="145">
        <f t="shared" si="119"/>
        <v>-1.3</v>
      </c>
      <c r="AY147" s="145">
        <f t="shared" si="120"/>
        <v>-1</v>
      </c>
      <c r="AZ147" s="145">
        <f t="shared" si="121"/>
        <v>-0.8133333333333328</v>
      </c>
      <c r="BA147" s="145">
        <f t="shared" si="122"/>
        <v>0</v>
      </c>
      <c r="BB147" s="287">
        <f t="shared" ca="1" si="129"/>
        <v>-1.8563449968000016</v>
      </c>
      <c r="BC147" s="287">
        <f t="shared" ca="1" si="130"/>
        <v>-1.4421803760000003</v>
      </c>
      <c r="BD147" s="287">
        <f t="shared" ca="1" si="131"/>
        <v>-1.1093695200000002</v>
      </c>
      <c r="BE147" s="287">
        <f t="shared" ca="1" si="132"/>
        <v>-0.90228720959999953</v>
      </c>
      <c r="BF147" s="287">
        <f t="shared" ca="1" si="133"/>
        <v>0</v>
      </c>
      <c r="BG147" s="877"/>
      <c r="BH147" s="45"/>
      <c r="BI147" s="45"/>
    </row>
    <row r="148" spans="1:61" s="252" customFormat="1" ht="15" hidden="1"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43"/>
      <c r="AE148" s="43"/>
      <c r="AF148" s="43"/>
      <c r="AG148" s="43"/>
      <c r="AH148" s="45">
        <v>-31</v>
      </c>
      <c r="AI148" s="45" t="b">
        <f t="shared" si="123"/>
        <v>0</v>
      </c>
      <c r="AJ148" s="45" t="b">
        <f t="shared" si="112"/>
        <v>1</v>
      </c>
      <c r="AK148" s="281" t="b">
        <f t="shared" si="134"/>
        <v>0</v>
      </c>
      <c r="AL148" s="145">
        <f t="shared" si="113"/>
        <v>-1.6866666666666679</v>
      </c>
      <c r="AM148" s="145">
        <f t="shared" si="114"/>
        <v>-1.3</v>
      </c>
      <c r="AN148" s="145">
        <f t="shared" si="115"/>
        <v>-1</v>
      </c>
      <c r="AO148" s="145">
        <f t="shared" si="116"/>
        <v>-0.80666666666666609</v>
      </c>
      <c r="AP148" s="145">
        <f t="shared" si="117"/>
        <v>0</v>
      </c>
      <c r="AQ148" s="287">
        <f t="shared" ca="1" si="124"/>
        <v>-1.8711365904000017</v>
      </c>
      <c r="AR148" s="287">
        <f t="shared" ca="1" si="125"/>
        <v>-1.4421803760000003</v>
      </c>
      <c r="AS148" s="287">
        <f t="shared" ca="1" si="126"/>
        <v>-1.1093695200000002</v>
      </c>
      <c r="AT148" s="287">
        <f t="shared" ca="1" si="127"/>
        <v>-0.89489141279999951</v>
      </c>
      <c r="AU148" s="287">
        <f t="shared" ca="1" si="128"/>
        <v>0</v>
      </c>
      <c r="AV148" s="877"/>
      <c r="AW148" s="145">
        <f t="shared" si="118"/>
        <v>-1.6866666666666679</v>
      </c>
      <c r="AX148" s="145">
        <f t="shared" si="119"/>
        <v>-1.3</v>
      </c>
      <c r="AY148" s="145">
        <f t="shared" si="120"/>
        <v>-1</v>
      </c>
      <c r="AZ148" s="145">
        <f t="shared" si="121"/>
        <v>-0.80666666666666609</v>
      </c>
      <c r="BA148" s="145">
        <f t="shared" si="122"/>
        <v>0</v>
      </c>
      <c r="BB148" s="287">
        <f t="shared" ca="1" si="129"/>
        <v>-1.8711365904000017</v>
      </c>
      <c r="BC148" s="287">
        <f t="shared" ca="1" si="130"/>
        <v>-1.4421803760000003</v>
      </c>
      <c r="BD148" s="287">
        <f t="shared" ca="1" si="131"/>
        <v>-1.1093695200000002</v>
      </c>
      <c r="BE148" s="287">
        <f t="shared" ca="1" si="132"/>
        <v>-0.89489141279999951</v>
      </c>
      <c r="BF148" s="287">
        <f t="shared" ca="1" si="133"/>
        <v>0</v>
      </c>
      <c r="BG148" s="877"/>
      <c r="BH148" s="45"/>
      <c r="BI148" s="45"/>
    </row>
    <row r="149" spans="1:61" s="252" customFormat="1" ht="15" hidden="1"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43"/>
      <c r="AE149" s="43"/>
      <c r="AF149" s="43"/>
      <c r="AG149" s="43"/>
      <c r="AH149" s="276">
        <v>-30</v>
      </c>
      <c r="AI149" s="45" t="b">
        <f t="shared" si="123"/>
        <v>0</v>
      </c>
      <c r="AJ149" s="45" t="b">
        <f t="shared" si="112"/>
        <v>1</v>
      </c>
      <c r="AK149" s="281" t="b">
        <f t="shared" si="134"/>
        <v>0</v>
      </c>
      <c r="AL149" s="287">
        <v>-1.7</v>
      </c>
      <c r="AM149" s="287">
        <v>-1.3</v>
      </c>
      <c r="AN149" s="287">
        <v>-1</v>
      </c>
      <c r="AO149" s="287">
        <v>-0.8</v>
      </c>
      <c r="AP149" s="287">
        <v>0</v>
      </c>
      <c r="AQ149" s="287">
        <f t="shared" ca="1" si="124"/>
        <v>-1.8859281840000004</v>
      </c>
      <c r="AR149" s="287">
        <f t="shared" ca="1" si="125"/>
        <v>-1.4421803760000003</v>
      </c>
      <c r="AS149" s="287">
        <f t="shared" ca="1" si="126"/>
        <v>-1.1093695200000002</v>
      </c>
      <c r="AT149" s="287">
        <f t="shared" ca="1" si="127"/>
        <v>-0.88749561600000026</v>
      </c>
      <c r="AU149" s="287">
        <f t="shared" ca="1" si="128"/>
        <v>0</v>
      </c>
      <c r="AV149" s="877"/>
      <c r="AW149" s="287">
        <v>-1.7</v>
      </c>
      <c r="AX149" s="287">
        <v>-1.3</v>
      </c>
      <c r="AY149" s="287">
        <v>-1</v>
      </c>
      <c r="AZ149" s="287">
        <v>-0.8</v>
      </c>
      <c r="BA149" s="287">
        <v>0</v>
      </c>
      <c r="BB149" s="287">
        <f t="shared" ca="1" si="129"/>
        <v>-1.8859281840000004</v>
      </c>
      <c r="BC149" s="287">
        <f t="shared" ca="1" si="130"/>
        <v>-1.4421803760000003</v>
      </c>
      <c r="BD149" s="287">
        <f t="shared" ca="1" si="131"/>
        <v>-1.1093695200000002</v>
      </c>
      <c r="BE149" s="287">
        <f t="shared" ca="1" si="132"/>
        <v>-0.88749561600000026</v>
      </c>
      <c r="BF149" s="287">
        <f t="shared" ca="1" si="133"/>
        <v>0</v>
      </c>
      <c r="BG149" s="877"/>
      <c r="BH149" s="45"/>
      <c r="BI149" s="45"/>
    </row>
    <row r="150" spans="1:61" s="252" customFormat="1" ht="15" hidden="1"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43"/>
      <c r="AE150" s="43"/>
      <c r="AF150" s="43"/>
      <c r="AG150" s="43"/>
      <c r="AH150" s="45">
        <v>-29</v>
      </c>
      <c r="AI150" s="45" t="b">
        <f t="shared" si="123"/>
        <v>0</v>
      </c>
      <c r="AJ150" s="45" t="b">
        <f t="shared" si="112"/>
        <v>1</v>
      </c>
      <c r="AK150" s="281" t="b">
        <f t="shared" si="134"/>
        <v>0</v>
      </c>
      <c r="AL150" s="145">
        <f>0-(ABS($AL$149-$AL$164)/15-AL149)</f>
        <v>-1.76</v>
      </c>
      <c r="AM150" s="145">
        <f>0-(ABS($AM$149-$AM$164)/15-AM149)</f>
        <v>-1.3066666666666666</v>
      </c>
      <c r="AN150" s="145">
        <f>ABS($AN$149-$AN$164)/15+AN149</f>
        <v>-0.98666666666666669</v>
      </c>
      <c r="AO150" s="145">
        <f>ABS($AO$149-$AO$164)/15+AO149</f>
        <v>-0.8</v>
      </c>
      <c r="AP150" s="145">
        <v>0</v>
      </c>
      <c r="AQ150" s="287">
        <f t="shared" ca="1" si="124"/>
        <v>-1.9524903552000004</v>
      </c>
      <c r="AR150" s="287">
        <f t="shared" ca="1" si="125"/>
        <v>-1.4495761728000003</v>
      </c>
      <c r="AS150" s="287">
        <f t="shared" ca="1" si="126"/>
        <v>-1.0945779264000002</v>
      </c>
      <c r="AT150" s="287">
        <f t="shared" ca="1" si="127"/>
        <v>-0.88749561600000026</v>
      </c>
      <c r="AU150" s="287">
        <f t="shared" ca="1" si="128"/>
        <v>0</v>
      </c>
      <c r="AV150" s="877"/>
      <c r="AW150" s="145">
        <f>0-(ABS($AL$149-$AL$164)/15-AW149)</f>
        <v>-1.76</v>
      </c>
      <c r="AX150" s="145">
        <f>0-(ABS($AM$149-$AM$164)/15-AX149)</f>
        <v>-1.3066666666666666</v>
      </c>
      <c r="AY150" s="145">
        <f>ABS($AN$149-$AN$164)/15+AY149</f>
        <v>-0.98666666666666669</v>
      </c>
      <c r="AZ150" s="145">
        <f>ABS($AO$149-$AO$164)/15+AZ149</f>
        <v>-0.8</v>
      </c>
      <c r="BA150" s="145">
        <v>0</v>
      </c>
      <c r="BB150" s="287">
        <f t="shared" ca="1" si="129"/>
        <v>-1.9524903552000004</v>
      </c>
      <c r="BC150" s="287">
        <f t="shared" ca="1" si="130"/>
        <v>-1.4495761728000003</v>
      </c>
      <c r="BD150" s="287">
        <f t="shared" ca="1" si="131"/>
        <v>-1.0945779264000002</v>
      </c>
      <c r="BE150" s="287">
        <f t="shared" ca="1" si="132"/>
        <v>-0.88749561600000026</v>
      </c>
      <c r="BF150" s="287">
        <f t="shared" ca="1" si="133"/>
        <v>0</v>
      </c>
      <c r="BG150" s="877"/>
      <c r="BH150" s="45"/>
      <c r="BI150" s="45"/>
    </row>
    <row r="151" spans="1:61" s="252" customFormat="1" ht="15" hidden="1"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43"/>
      <c r="AE151" s="43"/>
      <c r="AF151" s="43"/>
      <c r="AG151" s="43"/>
      <c r="AH151" s="45">
        <v>-28</v>
      </c>
      <c r="AI151" s="45" t="b">
        <f t="shared" si="123"/>
        <v>0</v>
      </c>
      <c r="AJ151" s="45" t="b">
        <f t="shared" si="112"/>
        <v>1</v>
      </c>
      <c r="AK151" s="281" t="b">
        <f t="shared" si="134"/>
        <v>0</v>
      </c>
      <c r="AL151" s="145">
        <f t="shared" ref="AL151:AL163" si="135">0-(ABS($AL$149-$AL$164)/15-AL150)</f>
        <v>-1.82</v>
      </c>
      <c r="AM151" s="145">
        <f t="shared" ref="AM151:AM163" si="136">0-(ABS($AM$149-$AM$164)/15-AM150)</f>
        <v>-1.3133333333333332</v>
      </c>
      <c r="AN151" s="145">
        <f t="shared" ref="AN151:AN163" si="137">ABS($AN$149-$AN$164)/15+AN150</f>
        <v>-0.97333333333333338</v>
      </c>
      <c r="AO151" s="145">
        <f t="shared" ref="AO151:AO163" si="138">ABS($AO$149-$AO$164)/15+AO150</f>
        <v>-0.8</v>
      </c>
      <c r="AP151" s="145">
        <v>0</v>
      </c>
      <c r="AQ151" s="287">
        <f t="shared" ca="1" si="124"/>
        <v>-2.0190525264000003</v>
      </c>
      <c r="AR151" s="287">
        <f t="shared" ca="1" si="125"/>
        <v>-1.4569719696000001</v>
      </c>
      <c r="AS151" s="287">
        <f t="shared" ca="1" si="126"/>
        <v>-1.0797863328000004</v>
      </c>
      <c r="AT151" s="287">
        <f t="shared" ca="1" si="127"/>
        <v>-0.88749561600000026</v>
      </c>
      <c r="AU151" s="287">
        <f t="shared" ca="1" si="128"/>
        <v>0</v>
      </c>
      <c r="AV151" s="877"/>
      <c r="AW151" s="145">
        <f t="shared" ref="AW151:AW163" si="139">0-(ABS($AL$149-$AL$164)/15-AW150)</f>
        <v>-1.82</v>
      </c>
      <c r="AX151" s="145">
        <f t="shared" ref="AX151:AX163" si="140">0-(ABS($AM$149-$AM$164)/15-AX150)</f>
        <v>-1.3133333333333332</v>
      </c>
      <c r="AY151" s="145">
        <f t="shared" ref="AY151:AY163" si="141">ABS($AN$149-$AN$164)/15+AY150</f>
        <v>-0.97333333333333338</v>
      </c>
      <c r="AZ151" s="145">
        <f t="shared" ref="AZ151:AZ163" si="142">ABS($AO$149-$AO$164)/15+AZ150</f>
        <v>-0.8</v>
      </c>
      <c r="BA151" s="145">
        <v>0</v>
      </c>
      <c r="BB151" s="287">
        <f t="shared" ca="1" si="129"/>
        <v>-2.0190525264000003</v>
      </c>
      <c r="BC151" s="287">
        <f t="shared" ca="1" si="130"/>
        <v>-1.4569719696000001</v>
      </c>
      <c r="BD151" s="287">
        <f t="shared" ca="1" si="131"/>
        <v>-1.0797863328000004</v>
      </c>
      <c r="BE151" s="287">
        <f t="shared" ca="1" si="132"/>
        <v>-0.88749561600000026</v>
      </c>
      <c r="BF151" s="287">
        <f t="shared" ca="1" si="133"/>
        <v>0</v>
      </c>
      <c r="BG151" s="877"/>
      <c r="BH151" s="45"/>
      <c r="BI151" s="45"/>
    </row>
    <row r="152" spans="1:61" s="252" customFormat="1" ht="15" hidden="1"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43"/>
      <c r="AE152" s="43"/>
      <c r="AF152" s="43"/>
      <c r="AG152" s="43"/>
      <c r="AH152" s="45">
        <v>-27</v>
      </c>
      <c r="AI152" s="45" t="b">
        <f t="shared" si="123"/>
        <v>0</v>
      </c>
      <c r="AJ152" s="45" t="b">
        <f t="shared" si="112"/>
        <v>1</v>
      </c>
      <c r="AK152" s="281" t="b">
        <f t="shared" si="134"/>
        <v>0</v>
      </c>
      <c r="AL152" s="145">
        <f t="shared" si="135"/>
        <v>-1.8800000000000001</v>
      </c>
      <c r="AM152" s="145">
        <f t="shared" si="136"/>
        <v>-1.3199999999999998</v>
      </c>
      <c r="AN152" s="145">
        <f t="shared" si="137"/>
        <v>-0.96000000000000008</v>
      </c>
      <c r="AO152" s="145">
        <f t="shared" si="138"/>
        <v>-0.8</v>
      </c>
      <c r="AP152" s="145">
        <v>0</v>
      </c>
      <c r="AQ152" s="287">
        <f t="shared" ca="1" si="124"/>
        <v>-2.0856146976000005</v>
      </c>
      <c r="AR152" s="287">
        <f t="shared" ca="1" si="125"/>
        <v>-1.4643677664000001</v>
      </c>
      <c r="AS152" s="287">
        <f t="shared" ca="1" si="126"/>
        <v>-1.0649947392000003</v>
      </c>
      <c r="AT152" s="287">
        <f t="shared" ca="1" si="127"/>
        <v>-0.88749561600000026</v>
      </c>
      <c r="AU152" s="287">
        <f t="shared" ca="1" si="128"/>
        <v>0</v>
      </c>
      <c r="AV152" s="877"/>
      <c r="AW152" s="145">
        <f t="shared" si="139"/>
        <v>-1.8800000000000001</v>
      </c>
      <c r="AX152" s="145">
        <f t="shared" si="140"/>
        <v>-1.3199999999999998</v>
      </c>
      <c r="AY152" s="145">
        <f t="shared" si="141"/>
        <v>-0.96000000000000008</v>
      </c>
      <c r="AZ152" s="145">
        <f t="shared" si="142"/>
        <v>-0.8</v>
      </c>
      <c r="BA152" s="145">
        <v>0</v>
      </c>
      <c r="BB152" s="287">
        <f t="shared" ca="1" si="129"/>
        <v>-2.0856146976000005</v>
      </c>
      <c r="BC152" s="287">
        <f t="shared" ca="1" si="130"/>
        <v>-1.4643677664000001</v>
      </c>
      <c r="BD152" s="287">
        <f t="shared" ca="1" si="131"/>
        <v>-1.0649947392000003</v>
      </c>
      <c r="BE152" s="287">
        <f t="shared" ca="1" si="132"/>
        <v>-0.88749561600000026</v>
      </c>
      <c r="BF152" s="287">
        <f t="shared" ca="1" si="133"/>
        <v>0</v>
      </c>
      <c r="BG152" s="877"/>
      <c r="BH152" s="45"/>
      <c r="BI152" s="45"/>
    </row>
    <row r="153" spans="1:61" s="252" customFormat="1" ht="15" hidden="1"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43"/>
      <c r="AE153" s="43"/>
      <c r="AF153" s="43"/>
      <c r="AG153" s="43"/>
      <c r="AH153" s="45">
        <v>-26</v>
      </c>
      <c r="AI153" s="45" t="b">
        <f t="shared" si="123"/>
        <v>0</v>
      </c>
      <c r="AJ153" s="45" t="b">
        <f t="shared" si="112"/>
        <v>1</v>
      </c>
      <c r="AK153" s="281" t="b">
        <f t="shared" si="134"/>
        <v>0</v>
      </c>
      <c r="AL153" s="145">
        <f t="shared" si="135"/>
        <v>-1.9400000000000002</v>
      </c>
      <c r="AM153" s="145">
        <f t="shared" si="136"/>
        <v>-1.3266666666666664</v>
      </c>
      <c r="AN153" s="145">
        <f t="shared" si="137"/>
        <v>-0.94666666666666677</v>
      </c>
      <c r="AO153" s="145">
        <f t="shared" si="138"/>
        <v>-0.8</v>
      </c>
      <c r="AP153" s="145">
        <v>0</v>
      </c>
      <c r="AQ153" s="287">
        <f t="shared" ca="1" si="124"/>
        <v>-2.1521768688000007</v>
      </c>
      <c r="AR153" s="287">
        <f t="shared" ca="1" si="125"/>
        <v>-1.4717635632000001</v>
      </c>
      <c r="AS153" s="287">
        <f t="shared" ca="1" si="126"/>
        <v>-1.0502031456000003</v>
      </c>
      <c r="AT153" s="287">
        <f t="shared" ca="1" si="127"/>
        <v>-0.88749561600000026</v>
      </c>
      <c r="AU153" s="287">
        <f t="shared" ca="1" si="128"/>
        <v>0</v>
      </c>
      <c r="AV153" s="877"/>
      <c r="AW153" s="145">
        <f t="shared" si="139"/>
        <v>-1.9400000000000002</v>
      </c>
      <c r="AX153" s="145">
        <f t="shared" si="140"/>
        <v>-1.3266666666666664</v>
      </c>
      <c r="AY153" s="145">
        <f t="shared" si="141"/>
        <v>-0.94666666666666677</v>
      </c>
      <c r="AZ153" s="145">
        <f t="shared" si="142"/>
        <v>-0.8</v>
      </c>
      <c r="BA153" s="145">
        <v>0</v>
      </c>
      <c r="BB153" s="287">
        <f t="shared" ca="1" si="129"/>
        <v>-2.1521768688000007</v>
      </c>
      <c r="BC153" s="287">
        <f t="shared" ca="1" si="130"/>
        <v>-1.4717635632000001</v>
      </c>
      <c r="BD153" s="287">
        <f t="shared" ca="1" si="131"/>
        <v>-1.0502031456000003</v>
      </c>
      <c r="BE153" s="287">
        <f t="shared" ca="1" si="132"/>
        <v>-0.88749561600000026</v>
      </c>
      <c r="BF153" s="287">
        <f t="shared" ca="1" si="133"/>
        <v>0</v>
      </c>
      <c r="BG153" s="877"/>
      <c r="BH153" s="45"/>
      <c r="BI153" s="45"/>
    </row>
    <row r="154" spans="1:61" s="252" customFormat="1" ht="15" hidden="1"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43"/>
      <c r="AE154" s="43"/>
      <c r="AF154" s="43"/>
      <c r="AG154" s="43"/>
      <c r="AH154" s="45">
        <v>-25</v>
      </c>
      <c r="AI154" s="45" t="b">
        <f t="shared" si="123"/>
        <v>0</v>
      </c>
      <c r="AJ154" s="45" t="b">
        <f t="shared" si="112"/>
        <v>1</v>
      </c>
      <c r="AK154" s="281" t="b">
        <f t="shared" si="134"/>
        <v>0</v>
      </c>
      <c r="AL154" s="145">
        <f t="shared" si="135"/>
        <v>-2</v>
      </c>
      <c r="AM154" s="145">
        <f t="shared" si="136"/>
        <v>-1.333333333333333</v>
      </c>
      <c r="AN154" s="145">
        <f t="shared" si="137"/>
        <v>-0.93333333333333346</v>
      </c>
      <c r="AO154" s="145">
        <f t="shared" si="138"/>
        <v>-0.8</v>
      </c>
      <c r="AP154" s="145">
        <v>0</v>
      </c>
      <c r="AQ154" s="287">
        <f t="shared" ca="1" si="124"/>
        <v>-2.2187390400000004</v>
      </c>
      <c r="AR154" s="287">
        <f t="shared" ca="1" si="125"/>
        <v>-1.4791593599999999</v>
      </c>
      <c r="AS154" s="287">
        <f t="shared" ca="1" si="126"/>
        <v>-1.0354115520000002</v>
      </c>
      <c r="AT154" s="287">
        <f t="shared" ca="1" si="127"/>
        <v>-0.88749561600000026</v>
      </c>
      <c r="AU154" s="287">
        <f t="shared" ca="1" si="128"/>
        <v>0</v>
      </c>
      <c r="AV154" s="877"/>
      <c r="AW154" s="145">
        <f t="shared" si="139"/>
        <v>-2</v>
      </c>
      <c r="AX154" s="145">
        <f t="shared" si="140"/>
        <v>-1.333333333333333</v>
      </c>
      <c r="AY154" s="145">
        <f t="shared" si="141"/>
        <v>-0.93333333333333346</v>
      </c>
      <c r="AZ154" s="145">
        <f t="shared" si="142"/>
        <v>-0.8</v>
      </c>
      <c r="BA154" s="145">
        <v>0</v>
      </c>
      <c r="BB154" s="287">
        <f t="shared" ca="1" si="129"/>
        <v>-2.2187390400000004</v>
      </c>
      <c r="BC154" s="287">
        <f t="shared" ca="1" si="130"/>
        <v>-1.4791593599999999</v>
      </c>
      <c r="BD154" s="287">
        <f t="shared" ca="1" si="131"/>
        <v>-1.0354115520000002</v>
      </c>
      <c r="BE154" s="287">
        <f t="shared" ca="1" si="132"/>
        <v>-0.88749561600000026</v>
      </c>
      <c r="BF154" s="287">
        <f t="shared" ca="1" si="133"/>
        <v>0</v>
      </c>
      <c r="BG154" s="877"/>
      <c r="BH154" s="45"/>
      <c r="BI154" s="45"/>
    </row>
    <row r="155" spans="1:61" s="252" customFormat="1" ht="15" hidden="1"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43"/>
      <c r="AE155" s="43"/>
      <c r="AF155" s="43"/>
      <c r="AG155" s="43"/>
      <c r="AH155" s="45">
        <v>-24</v>
      </c>
      <c r="AI155" s="45" t="b">
        <f t="shared" si="123"/>
        <v>0</v>
      </c>
      <c r="AJ155" s="45" t="b">
        <f t="shared" si="112"/>
        <v>1</v>
      </c>
      <c r="AK155" s="281" t="b">
        <f t="shared" si="134"/>
        <v>0</v>
      </c>
      <c r="AL155" s="145">
        <f t="shared" si="135"/>
        <v>-2.06</v>
      </c>
      <c r="AM155" s="145">
        <f t="shared" si="136"/>
        <v>-1.3399999999999996</v>
      </c>
      <c r="AN155" s="145">
        <f t="shared" si="137"/>
        <v>-0.92000000000000015</v>
      </c>
      <c r="AO155" s="145">
        <f t="shared" si="138"/>
        <v>-0.8</v>
      </c>
      <c r="AP155" s="145">
        <v>0</v>
      </c>
      <c r="AQ155" s="287">
        <f t="shared" ca="1" si="124"/>
        <v>-2.2853012112000006</v>
      </c>
      <c r="AR155" s="287">
        <f t="shared" ca="1" si="125"/>
        <v>-1.4865551567999999</v>
      </c>
      <c r="AS155" s="287">
        <f t="shared" ca="1" si="126"/>
        <v>-1.0206199584000004</v>
      </c>
      <c r="AT155" s="287">
        <f t="shared" ca="1" si="127"/>
        <v>-0.88749561600000026</v>
      </c>
      <c r="AU155" s="287">
        <f t="shared" ca="1" si="128"/>
        <v>0</v>
      </c>
      <c r="AV155" s="877"/>
      <c r="AW155" s="145">
        <f t="shared" si="139"/>
        <v>-2.06</v>
      </c>
      <c r="AX155" s="145">
        <f t="shared" si="140"/>
        <v>-1.3399999999999996</v>
      </c>
      <c r="AY155" s="145">
        <f t="shared" si="141"/>
        <v>-0.92000000000000015</v>
      </c>
      <c r="AZ155" s="145">
        <f t="shared" si="142"/>
        <v>-0.8</v>
      </c>
      <c r="BA155" s="145">
        <v>0</v>
      </c>
      <c r="BB155" s="287">
        <f t="shared" ca="1" si="129"/>
        <v>-2.2853012112000006</v>
      </c>
      <c r="BC155" s="287">
        <f t="shared" ca="1" si="130"/>
        <v>-1.4865551567999999</v>
      </c>
      <c r="BD155" s="287">
        <f t="shared" ca="1" si="131"/>
        <v>-1.0206199584000004</v>
      </c>
      <c r="BE155" s="287">
        <f t="shared" ca="1" si="132"/>
        <v>-0.88749561600000026</v>
      </c>
      <c r="BF155" s="287">
        <f t="shared" ca="1" si="133"/>
        <v>0</v>
      </c>
      <c r="BG155" s="877"/>
      <c r="BH155" s="45"/>
      <c r="BI155" s="45"/>
    </row>
    <row r="156" spans="1:61" s="252" customFormat="1" ht="15" hidden="1"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43"/>
      <c r="AE156" s="43"/>
      <c r="AF156" s="43"/>
      <c r="AG156" s="43"/>
      <c r="AH156" s="45">
        <v>-23</v>
      </c>
      <c r="AI156" s="45" t="b">
        <f t="shared" si="123"/>
        <v>0</v>
      </c>
      <c r="AJ156" s="45" t="b">
        <f t="shared" si="112"/>
        <v>1</v>
      </c>
      <c r="AK156" s="281" t="b">
        <f t="shared" si="134"/>
        <v>0</v>
      </c>
      <c r="AL156" s="145">
        <f t="shared" si="135"/>
        <v>-2.12</v>
      </c>
      <c r="AM156" s="145">
        <f t="shared" si="136"/>
        <v>-1.3466666666666662</v>
      </c>
      <c r="AN156" s="145">
        <f t="shared" si="137"/>
        <v>-0.90666666666666684</v>
      </c>
      <c r="AO156" s="145">
        <f t="shared" si="138"/>
        <v>-0.8</v>
      </c>
      <c r="AP156" s="145">
        <v>0</v>
      </c>
      <c r="AQ156" s="287">
        <f t="shared" ca="1" si="124"/>
        <v>-2.3518633824000004</v>
      </c>
      <c r="AR156" s="287">
        <f t="shared" ca="1" si="125"/>
        <v>-1.4939509535999997</v>
      </c>
      <c r="AS156" s="287">
        <f t="shared" ca="1" si="126"/>
        <v>-1.0058283648000004</v>
      </c>
      <c r="AT156" s="287">
        <f t="shared" ca="1" si="127"/>
        <v>-0.88749561600000026</v>
      </c>
      <c r="AU156" s="287">
        <f t="shared" ca="1" si="128"/>
        <v>0</v>
      </c>
      <c r="AV156" s="877"/>
      <c r="AW156" s="145">
        <f t="shared" si="139"/>
        <v>-2.12</v>
      </c>
      <c r="AX156" s="145">
        <f t="shared" si="140"/>
        <v>-1.3466666666666662</v>
      </c>
      <c r="AY156" s="145">
        <f t="shared" si="141"/>
        <v>-0.90666666666666684</v>
      </c>
      <c r="AZ156" s="145">
        <f t="shared" si="142"/>
        <v>-0.8</v>
      </c>
      <c r="BA156" s="145">
        <v>0</v>
      </c>
      <c r="BB156" s="287">
        <f t="shared" ca="1" si="129"/>
        <v>-2.3518633824000004</v>
      </c>
      <c r="BC156" s="287">
        <f t="shared" ca="1" si="130"/>
        <v>-1.4939509535999997</v>
      </c>
      <c r="BD156" s="287">
        <f t="shared" ca="1" si="131"/>
        <v>-1.0058283648000004</v>
      </c>
      <c r="BE156" s="287">
        <f t="shared" ca="1" si="132"/>
        <v>-0.88749561600000026</v>
      </c>
      <c r="BF156" s="287">
        <f t="shared" ca="1" si="133"/>
        <v>0</v>
      </c>
      <c r="BG156" s="877"/>
      <c r="BH156" s="45"/>
      <c r="BI156" s="45"/>
    </row>
    <row r="157" spans="1:61" s="252" customFormat="1" ht="15" hidden="1"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43"/>
      <c r="AE157" s="43"/>
      <c r="AF157" s="43"/>
      <c r="AG157" s="43"/>
      <c r="AH157" s="45">
        <v>-22</v>
      </c>
      <c r="AI157" s="45" t="b">
        <f t="shared" si="123"/>
        <v>0</v>
      </c>
      <c r="AJ157" s="45" t="b">
        <f t="shared" si="112"/>
        <v>1</v>
      </c>
      <c r="AK157" s="281" t="b">
        <f t="shared" si="134"/>
        <v>0</v>
      </c>
      <c r="AL157" s="145">
        <f t="shared" si="135"/>
        <v>-2.1800000000000002</v>
      </c>
      <c r="AM157" s="145">
        <f t="shared" si="136"/>
        <v>-1.3533333333333328</v>
      </c>
      <c r="AN157" s="145">
        <f t="shared" si="137"/>
        <v>-0.89333333333333353</v>
      </c>
      <c r="AO157" s="145">
        <f t="shared" si="138"/>
        <v>-0.8</v>
      </c>
      <c r="AP157" s="145">
        <v>0</v>
      </c>
      <c r="AQ157" s="287">
        <f t="shared" ca="1" si="124"/>
        <v>-2.4184255536000006</v>
      </c>
      <c r="AR157" s="287">
        <f t="shared" ca="1" si="125"/>
        <v>-1.5013467503999998</v>
      </c>
      <c r="AS157" s="287">
        <f t="shared" ca="1" si="126"/>
        <v>-0.99103677120000044</v>
      </c>
      <c r="AT157" s="287">
        <f t="shared" ca="1" si="127"/>
        <v>-0.88749561600000026</v>
      </c>
      <c r="AU157" s="287">
        <f t="shared" ca="1" si="128"/>
        <v>0</v>
      </c>
      <c r="AV157" s="877"/>
      <c r="AW157" s="145">
        <f t="shared" si="139"/>
        <v>-2.1800000000000002</v>
      </c>
      <c r="AX157" s="145">
        <f t="shared" si="140"/>
        <v>-1.3533333333333328</v>
      </c>
      <c r="AY157" s="145">
        <f t="shared" si="141"/>
        <v>-0.89333333333333353</v>
      </c>
      <c r="AZ157" s="145">
        <f t="shared" si="142"/>
        <v>-0.8</v>
      </c>
      <c r="BA157" s="145">
        <v>0</v>
      </c>
      <c r="BB157" s="287">
        <f t="shared" ca="1" si="129"/>
        <v>-2.4184255536000006</v>
      </c>
      <c r="BC157" s="287">
        <f t="shared" ca="1" si="130"/>
        <v>-1.5013467503999998</v>
      </c>
      <c r="BD157" s="287">
        <f t="shared" ca="1" si="131"/>
        <v>-0.99103677120000044</v>
      </c>
      <c r="BE157" s="287">
        <f t="shared" ca="1" si="132"/>
        <v>-0.88749561600000026</v>
      </c>
      <c r="BF157" s="287">
        <f t="shared" ca="1" si="133"/>
        <v>0</v>
      </c>
      <c r="BG157" s="877"/>
      <c r="BH157" s="45"/>
      <c r="BI157" s="45"/>
    </row>
    <row r="158" spans="1:61" s="252" customFormat="1" ht="15" hidden="1"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43"/>
      <c r="AE158" s="43"/>
      <c r="AF158" s="43"/>
      <c r="AG158" s="43"/>
      <c r="AH158" s="45">
        <v>-21</v>
      </c>
      <c r="AI158" s="45" t="b">
        <f t="shared" si="123"/>
        <v>0</v>
      </c>
      <c r="AJ158" s="45" t="b">
        <f t="shared" si="112"/>
        <v>1</v>
      </c>
      <c r="AK158" s="281" t="b">
        <f t="shared" si="134"/>
        <v>0</v>
      </c>
      <c r="AL158" s="145">
        <f t="shared" si="135"/>
        <v>-2.2400000000000002</v>
      </c>
      <c r="AM158" s="145">
        <f t="shared" si="136"/>
        <v>-1.3599999999999994</v>
      </c>
      <c r="AN158" s="145">
        <f t="shared" si="137"/>
        <v>-0.88000000000000023</v>
      </c>
      <c r="AO158" s="145">
        <f t="shared" si="138"/>
        <v>-0.8</v>
      </c>
      <c r="AP158" s="145">
        <v>0</v>
      </c>
      <c r="AQ158" s="287">
        <f t="shared" ca="1" si="124"/>
        <v>-2.4849877248000007</v>
      </c>
      <c r="AR158" s="287">
        <f t="shared" ca="1" si="125"/>
        <v>-1.5087425471999996</v>
      </c>
      <c r="AS158" s="287">
        <f t="shared" ca="1" si="126"/>
        <v>-0.9762451776000004</v>
      </c>
      <c r="AT158" s="287">
        <f t="shared" ca="1" si="127"/>
        <v>-0.88749561600000026</v>
      </c>
      <c r="AU158" s="287">
        <f t="shared" ca="1" si="128"/>
        <v>0</v>
      </c>
      <c r="AV158" s="877"/>
      <c r="AW158" s="145">
        <f t="shared" si="139"/>
        <v>-2.2400000000000002</v>
      </c>
      <c r="AX158" s="145">
        <f t="shared" si="140"/>
        <v>-1.3599999999999994</v>
      </c>
      <c r="AY158" s="145">
        <f t="shared" si="141"/>
        <v>-0.88000000000000023</v>
      </c>
      <c r="AZ158" s="145">
        <f t="shared" si="142"/>
        <v>-0.8</v>
      </c>
      <c r="BA158" s="145">
        <v>0</v>
      </c>
      <c r="BB158" s="287">
        <f t="shared" ca="1" si="129"/>
        <v>-2.4849877248000007</v>
      </c>
      <c r="BC158" s="287">
        <f t="shared" ca="1" si="130"/>
        <v>-1.5087425471999996</v>
      </c>
      <c r="BD158" s="287">
        <f t="shared" ca="1" si="131"/>
        <v>-0.9762451776000004</v>
      </c>
      <c r="BE158" s="287">
        <f t="shared" ca="1" si="132"/>
        <v>-0.88749561600000026</v>
      </c>
      <c r="BF158" s="287">
        <f t="shared" ca="1" si="133"/>
        <v>0</v>
      </c>
      <c r="BG158" s="877"/>
      <c r="BH158" s="45"/>
      <c r="BI158" s="45"/>
    </row>
    <row r="159" spans="1:61" s="252" customFormat="1" ht="15" hidden="1"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43"/>
      <c r="AE159" s="43"/>
      <c r="AF159" s="43"/>
      <c r="AG159" s="43"/>
      <c r="AH159" s="45">
        <v>-20</v>
      </c>
      <c r="AI159" s="45" t="b">
        <f t="shared" si="123"/>
        <v>0</v>
      </c>
      <c r="AJ159" s="45" t="b">
        <f t="shared" si="112"/>
        <v>1</v>
      </c>
      <c r="AK159" s="281" t="b">
        <f t="shared" si="134"/>
        <v>0</v>
      </c>
      <c r="AL159" s="145">
        <f t="shared" si="135"/>
        <v>-2.3000000000000003</v>
      </c>
      <c r="AM159" s="145">
        <f t="shared" si="136"/>
        <v>-1.366666666666666</v>
      </c>
      <c r="AN159" s="145">
        <f t="shared" si="137"/>
        <v>-0.86666666666666692</v>
      </c>
      <c r="AO159" s="145">
        <f t="shared" si="138"/>
        <v>-0.8</v>
      </c>
      <c r="AP159" s="145">
        <v>0</v>
      </c>
      <c r="AQ159" s="287">
        <f t="shared" ca="1" si="124"/>
        <v>-2.5515498960000009</v>
      </c>
      <c r="AR159" s="287">
        <f t="shared" ca="1" si="125"/>
        <v>-1.5161383439999996</v>
      </c>
      <c r="AS159" s="287">
        <f t="shared" ca="1" si="126"/>
        <v>-0.96145358400000047</v>
      </c>
      <c r="AT159" s="287">
        <f t="shared" ca="1" si="127"/>
        <v>-0.88749561600000026</v>
      </c>
      <c r="AU159" s="287">
        <f t="shared" ca="1" si="128"/>
        <v>0</v>
      </c>
      <c r="AV159" s="877"/>
      <c r="AW159" s="145">
        <f t="shared" si="139"/>
        <v>-2.3000000000000003</v>
      </c>
      <c r="AX159" s="145">
        <f t="shared" si="140"/>
        <v>-1.366666666666666</v>
      </c>
      <c r="AY159" s="145">
        <f t="shared" si="141"/>
        <v>-0.86666666666666692</v>
      </c>
      <c r="AZ159" s="145">
        <f t="shared" si="142"/>
        <v>-0.8</v>
      </c>
      <c r="BA159" s="145">
        <v>0</v>
      </c>
      <c r="BB159" s="287">
        <f t="shared" ca="1" si="129"/>
        <v>-2.5515498960000009</v>
      </c>
      <c r="BC159" s="287">
        <f t="shared" ca="1" si="130"/>
        <v>-1.5161383439999996</v>
      </c>
      <c r="BD159" s="287">
        <f t="shared" ca="1" si="131"/>
        <v>-0.96145358400000047</v>
      </c>
      <c r="BE159" s="287">
        <f t="shared" ca="1" si="132"/>
        <v>-0.88749561600000026</v>
      </c>
      <c r="BF159" s="287">
        <f t="shared" ca="1" si="133"/>
        <v>0</v>
      </c>
      <c r="BG159" s="877"/>
      <c r="BH159" s="45"/>
      <c r="BI159" s="45"/>
    </row>
    <row r="160" spans="1:61" s="252" customFormat="1" ht="15" hidden="1"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43"/>
      <c r="AE160" s="43"/>
      <c r="AF160" s="43"/>
      <c r="AG160" s="43"/>
      <c r="AH160" s="45">
        <v>-19</v>
      </c>
      <c r="AI160" s="45" t="b">
        <f t="shared" si="123"/>
        <v>0</v>
      </c>
      <c r="AJ160" s="45" t="b">
        <f t="shared" si="112"/>
        <v>1</v>
      </c>
      <c r="AK160" s="281" t="b">
        <f t="shared" si="134"/>
        <v>0</v>
      </c>
      <c r="AL160" s="145">
        <f t="shared" si="135"/>
        <v>-2.3600000000000003</v>
      </c>
      <c r="AM160" s="145">
        <f t="shared" si="136"/>
        <v>-1.3733333333333326</v>
      </c>
      <c r="AN160" s="145">
        <f t="shared" si="137"/>
        <v>-0.85333333333333361</v>
      </c>
      <c r="AO160" s="145">
        <f t="shared" si="138"/>
        <v>-0.8</v>
      </c>
      <c r="AP160" s="145">
        <v>0</v>
      </c>
      <c r="AQ160" s="287">
        <f t="shared" ca="1" si="124"/>
        <v>-2.6181120672000007</v>
      </c>
      <c r="AR160" s="287">
        <f t="shared" ca="1" si="125"/>
        <v>-1.5235341407999996</v>
      </c>
      <c r="AS160" s="287">
        <f t="shared" ca="1" si="126"/>
        <v>-0.94666199040000054</v>
      </c>
      <c r="AT160" s="287">
        <f t="shared" ca="1" si="127"/>
        <v>-0.88749561600000026</v>
      </c>
      <c r="AU160" s="287">
        <f t="shared" ca="1" si="128"/>
        <v>0</v>
      </c>
      <c r="AV160" s="877"/>
      <c r="AW160" s="145">
        <f t="shared" si="139"/>
        <v>-2.3600000000000003</v>
      </c>
      <c r="AX160" s="145">
        <f t="shared" si="140"/>
        <v>-1.3733333333333326</v>
      </c>
      <c r="AY160" s="145">
        <f t="shared" si="141"/>
        <v>-0.85333333333333361</v>
      </c>
      <c r="AZ160" s="145">
        <f t="shared" si="142"/>
        <v>-0.8</v>
      </c>
      <c r="BA160" s="145">
        <v>0</v>
      </c>
      <c r="BB160" s="287">
        <f t="shared" ca="1" si="129"/>
        <v>-2.6181120672000007</v>
      </c>
      <c r="BC160" s="287">
        <f t="shared" ca="1" si="130"/>
        <v>-1.5235341407999996</v>
      </c>
      <c r="BD160" s="287">
        <f t="shared" ca="1" si="131"/>
        <v>-0.94666199040000054</v>
      </c>
      <c r="BE160" s="287">
        <f t="shared" ca="1" si="132"/>
        <v>-0.88749561600000026</v>
      </c>
      <c r="BF160" s="287">
        <f t="shared" ca="1" si="133"/>
        <v>0</v>
      </c>
      <c r="BG160" s="877"/>
      <c r="BH160" s="45"/>
      <c r="BI160" s="45"/>
    </row>
    <row r="161" spans="1:61" s="252" customFormat="1" ht="15" hidden="1"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43"/>
      <c r="AE161" s="43"/>
      <c r="AF161" s="43"/>
      <c r="AG161" s="43"/>
      <c r="AH161" s="45">
        <v>-18</v>
      </c>
      <c r="AI161" s="45" t="b">
        <f t="shared" si="123"/>
        <v>0</v>
      </c>
      <c r="AJ161" s="45" t="b">
        <f t="shared" si="112"/>
        <v>1</v>
      </c>
      <c r="AK161" s="281" t="b">
        <f t="shared" si="134"/>
        <v>0</v>
      </c>
      <c r="AL161" s="145">
        <f t="shared" si="135"/>
        <v>-2.4200000000000004</v>
      </c>
      <c r="AM161" s="145">
        <f t="shared" si="136"/>
        <v>-1.3799999999999992</v>
      </c>
      <c r="AN161" s="145">
        <f t="shared" si="137"/>
        <v>-0.8400000000000003</v>
      </c>
      <c r="AO161" s="145">
        <f t="shared" si="138"/>
        <v>-0.8</v>
      </c>
      <c r="AP161" s="145">
        <v>0</v>
      </c>
      <c r="AQ161" s="287">
        <f t="shared" ca="1" si="124"/>
        <v>-2.6846742384000009</v>
      </c>
      <c r="AR161" s="287">
        <f t="shared" ca="1" si="125"/>
        <v>-1.5309299375999994</v>
      </c>
      <c r="AS161" s="287">
        <f t="shared" ca="1" si="126"/>
        <v>-0.9318703968000005</v>
      </c>
      <c r="AT161" s="287">
        <f t="shared" ca="1" si="127"/>
        <v>-0.88749561600000026</v>
      </c>
      <c r="AU161" s="287">
        <f t="shared" ca="1" si="128"/>
        <v>0</v>
      </c>
      <c r="AV161" s="877"/>
      <c r="AW161" s="145">
        <f t="shared" si="139"/>
        <v>-2.4200000000000004</v>
      </c>
      <c r="AX161" s="145">
        <f t="shared" si="140"/>
        <v>-1.3799999999999992</v>
      </c>
      <c r="AY161" s="145">
        <f t="shared" si="141"/>
        <v>-0.8400000000000003</v>
      </c>
      <c r="AZ161" s="145">
        <f t="shared" si="142"/>
        <v>-0.8</v>
      </c>
      <c r="BA161" s="145">
        <v>0</v>
      </c>
      <c r="BB161" s="287">
        <f t="shared" ca="1" si="129"/>
        <v>-2.6846742384000009</v>
      </c>
      <c r="BC161" s="287">
        <f t="shared" ca="1" si="130"/>
        <v>-1.5309299375999994</v>
      </c>
      <c r="BD161" s="287">
        <f t="shared" ca="1" si="131"/>
        <v>-0.9318703968000005</v>
      </c>
      <c r="BE161" s="287">
        <f t="shared" ca="1" si="132"/>
        <v>-0.88749561600000026</v>
      </c>
      <c r="BF161" s="287">
        <f t="shared" ca="1" si="133"/>
        <v>0</v>
      </c>
      <c r="BG161" s="877"/>
      <c r="BH161" s="45"/>
      <c r="BI161" s="45"/>
    </row>
    <row r="162" spans="1:61" s="252" customFormat="1" ht="15" hidden="1"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43"/>
      <c r="AE162" s="43"/>
      <c r="AF162" s="43"/>
      <c r="AG162" s="43"/>
      <c r="AH162" s="45">
        <v>-17</v>
      </c>
      <c r="AI162" s="45" t="b">
        <f t="shared" si="123"/>
        <v>0</v>
      </c>
      <c r="AJ162" s="45" t="b">
        <f t="shared" si="112"/>
        <v>1</v>
      </c>
      <c r="AK162" s="281" t="b">
        <f t="shared" si="134"/>
        <v>0</v>
      </c>
      <c r="AL162" s="145">
        <f t="shared" si="135"/>
        <v>-2.4800000000000004</v>
      </c>
      <c r="AM162" s="145">
        <f t="shared" si="136"/>
        <v>-1.3866666666666658</v>
      </c>
      <c r="AN162" s="145">
        <f t="shared" si="137"/>
        <v>-0.82666666666666699</v>
      </c>
      <c r="AO162" s="145">
        <f t="shared" si="138"/>
        <v>-0.8</v>
      </c>
      <c r="AP162" s="145">
        <v>0</v>
      </c>
      <c r="AQ162" s="287">
        <f t="shared" ca="1" si="124"/>
        <v>-2.751236409600001</v>
      </c>
      <c r="AR162" s="287">
        <f t="shared" ca="1" si="125"/>
        <v>-1.5383257343999994</v>
      </c>
      <c r="AS162" s="287">
        <f t="shared" ca="1" si="126"/>
        <v>-0.91707880320000057</v>
      </c>
      <c r="AT162" s="287">
        <f t="shared" ca="1" si="127"/>
        <v>-0.88749561600000026</v>
      </c>
      <c r="AU162" s="287">
        <f t="shared" ca="1" si="128"/>
        <v>0</v>
      </c>
      <c r="AV162" s="877"/>
      <c r="AW162" s="145">
        <f t="shared" si="139"/>
        <v>-2.4800000000000004</v>
      </c>
      <c r="AX162" s="145">
        <f t="shared" si="140"/>
        <v>-1.3866666666666658</v>
      </c>
      <c r="AY162" s="145">
        <f t="shared" si="141"/>
        <v>-0.82666666666666699</v>
      </c>
      <c r="AZ162" s="145">
        <f t="shared" si="142"/>
        <v>-0.8</v>
      </c>
      <c r="BA162" s="145">
        <v>0</v>
      </c>
      <c r="BB162" s="287">
        <f t="shared" ca="1" si="129"/>
        <v>-2.751236409600001</v>
      </c>
      <c r="BC162" s="287">
        <f t="shared" ca="1" si="130"/>
        <v>-1.5383257343999994</v>
      </c>
      <c r="BD162" s="287">
        <f t="shared" ca="1" si="131"/>
        <v>-0.91707880320000057</v>
      </c>
      <c r="BE162" s="287">
        <f t="shared" ca="1" si="132"/>
        <v>-0.88749561600000026</v>
      </c>
      <c r="BF162" s="287">
        <f t="shared" ca="1" si="133"/>
        <v>0</v>
      </c>
      <c r="BG162" s="877"/>
      <c r="BH162" s="45"/>
      <c r="BI162" s="45"/>
    </row>
    <row r="163" spans="1:61" s="252" customFormat="1" ht="15" hidden="1"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43"/>
      <c r="AE163" s="43"/>
      <c r="AF163" s="43"/>
      <c r="AG163" s="43"/>
      <c r="AH163" s="45">
        <v>-16</v>
      </c>
      <c r="AI163" s="45" t="b">
        <f t="shared" si="123"/>
        <v>0</v>
      </c>
      <c r="AJ163" s="45" t="b">
        <f t="shared" si="112"/>
        <v>1</v>
      </c>
      <c r="AK163" s="281" t="b">
        <f t="shared" si="134"/>
        <v>0</v>
      </c>
      <c r="AL163" s="145">
        <f t="shared" si="135"/>
        <v>-2.5400000000000005</v>
      </c>
      <c r="AM163" s="145">
        <f t="shared" si="136"/>
        <v>-1.3933333333333324</v>
      </c>
      <c r="AN163" s="145">
        <f t="shared" si="137"/>
        <v>-0.81333333333333369</v>
      </c>
      <c r="AO163" s="145">
        <f t="shared" si="138"/>
        <v>-0.8</v>
      </c>
      <c r="AP163" s="145">
        <v>0</v>
      </c>
      <c r="AQ163" s="287">
        <f t="shared" ca="1" si="124"/>
        <v>-2.8177985808000012</v>
      </c>
      <c r="AR163" s="287">
        <f t="shared" ca="1" si="125"/>
        <v>-1.5457215311999992</v>
      </c>
      <c r="AS163" s="287">
        <f t="shared" ca="1" si="126"/>
        <v>-0.90228720960000053</v>
      </c>
      <c r="AT163" s="287">
        <f t="shared" ca="1" si="127"/>
        <v>-0.88749561600000026</v>
      </c>
      <c r="AU163" s="287">
        <f t="shared" ca="1" si="128"/>
        <v>0</v>
      </c>
      <c r="AV163" s="877"/>
      <c r="AW163" s="145">
        <f t="shared" si="139"/>
        <v>-2.5400000000000005</v>
      </c>
      <c r="AX163" s="145">
        <f t="shared" si="140"/>
        <v>-1.3933333333333324</v>
      </c>
      <c r="AY163" s="145">
        <f t="shared" si="141"/>
        <v>-0.81333333333333369</v>
      </c>
      <c r="AZ163" s="145">
        <f t="shared" si="142"/>
        <v>-0.8</v>
      </c>
      <c r="BA163" s="145">
        <v>0</v>
      </c>
      <c r="BB163" s="287">
        <f t="shared" ca="1" si="129"/>
        <v>-2.8177985808000012</v>
      </c>
      <c r="BC163" s="287">
        <f t="shared" ca="1" si="130"/>
        <v>-1.5457215311999992</v>
      </c>
      <c r="BD163" s="287">
        <f t="shared" ca="1" si="131"/>
        <v>-0.90228720960000053</v>
      </c>
      <c r="BE163" s="287">
        <f t="shared" ca="1" si="132"/>
        <v>-0.88749561600000026</v>
      </c>
      <c r="BF163" s="287">
        <f t="shared" ca="1" si="133"/>
        <v>0</v>
      </c>
      <c r="BG163" s="877"/>
      <c r="BH163" s="45"/>
      <c r="BI163" s="45"/>
    </row>
    <row r="164" spans="1:61" s="252" customFormat="1" ht="15" hidden="1"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43"/>
      <c r="AE164" s="43"/>
      <c r="AF164" s="43"/>
      <c r="AG164" s="43"/>
      <c r="AH164" s="276">
        <v>-15</v>
      </c>
      <c r="AI164" s="45" t="b">
        <f t="shared" si="123"/>
        <v>0</v>
      </c>
      <c r="AJ164" s="45" t="b">
        <f t="shared" si="112"/>
        <v>1</v>
      </c>
      <c r="AK164" s="281" t="b">
        <f t="shared" si="134"/>
        <v>0</v>
      </c>
      <c r="AL164" s="287">
        <v>-2.6</v>
      </c>
      <c r="AM164" s="287">
        <v>-1.4</v>
      </c>
      <c r="AN164" s="287">
        <v>-0.8</v>
      </c>
      <c r="AO164" s="287">
        <v>-0.8</v>
      </c>
      <c r="AP164" s="287">
        <v>0</v>
      </c>
      <c r="AQ164" s="287">
        <f t="shared" ca="1" si="124"/>
        <v>-2.8843607520000005</v>
      </c>
      <c r="AR164" s="287">
        <f t="shared" ca="1" si="125"/>
        <v>-1.5531173280000001</v>
      </c>
      <c r="AS164" s="287">
        <f t="shared" ca="1" si="126"/>
        <v>-0.88749561600000026</v>
      </c>
      <c r="AT164" s="287">
        <f t="shared" ca="1" si="127"/>
        <v>-0.88749561600000026</v>
      </c>
      <c r="AU164" s="287">
        <f t="shared" ca="1" si="128"/>
        <v>0</v>
      </c>
      <c r="AV164" s="877"/>
      <c r="AW164" s="287">
        <v>-2.6</v>
      </c>
      <c r="AX164" s="287">
        <v>-1.4</v>
      </c>
      <c r="AY164" s="287">
        <v>-0.8</v>
      </c>
      <c r="AZ164" s="287">
        <v>-0.8</v>
      </c>
      <c r="BA164" s="287">
        <v>0</v>
      </c>
      <c r="BB164" s="287">
        <f t="shared" ca="1" si="129"/>
        <v>-2.8843607520000005</v>
      </c>
      <c r="BC164" s="287">
        <f t="shared" ca="1" si="130"/>
        <v>-1.5531173280000001</v>
      </c>
      <c r="BD164" s="287">
        <f t="shared" ca="1" si="131"/>
        <v>-0.88749561600000026</v>
      </c>
      <c r="BE164" s="287">
        <f t="shared" ca="1" si="132"/>
        <v>-0.88749561600000026</v>
      </c>
      <c r="BF164" s="287">
        <f t="shared" ca="1" si="133"/>
        <v>0</v>
      </c>
      <c r="BG164" s="877"/>
      <c r="BH164" s="45"/>
      <c r="BI164" s="45"/>
    </row>
    <row r="165" spans="1:61" s="252" customFormat="1" ht="15" hidden="1"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43"/>
      <c r="AE165" s="43"/>
      <c r="AF165" s="43"/>
      <c r="AG165" s="43"/>
      <c r="AH165" s="45">
        <v>-14</v>
      </c>
      <c r="AI165" s="45" t="b">
        <f t="shared" si="123"/>
        <v>0</v>
      </c>
      <c r="AJ165" s="45" t="b">
        <f t="shared" si="112"/>
        <v>1</v>
      </c>
      <c r="AK165" s="281" t="b">
        <f t="shared" si="134"/>
        <v>0</v>
      </c>
      <c r="AL165" s="145">
        <f>+ABS($AL$164-$AL$174)/10+AL164</f>
        <v>-2.56</v>
      </c>
      <c r="AM165" s="145">
        <f>0-(ABS($AM$164-$AM$174)/10-AM164)</f>
        <v>-1.41</v>
      </c>
      <c r="AN165" s="145">
        <f>+ABS($AN$164-$AN$174)/10+AN164</f>
        <v>-0.79</v>
      </c>
      <c r="AO165" s="145">
        <f>+ABS($AO$164-$AO$174)/10+AO164</f>
        <v>-0.79</v>
      </c>
      <c r="AP165" s="145">
        <v>0</v>
      </c>
      <c r="AQ165" s="287">
        <f t="shared" ca="1" si="124"/>
        <v>-2.8399859712000004</v>
      </c>
      <c r="AR165" s="287">
        <f t="shared" ca="1" si="125"/>
        <v>-1.5642110232000002</v>
      </c>
      <c r="AS165" s="287">
        <f t="shared" ca="1" si="126"/>
        <v>-0.87640192080000023</v>
      </c>
      <c r="AT165" s="287">
        <f t="shared" ca="1" si="127"/>
        <v>-0.87640192080000023</v>
      </c>
      <c r="AU165" s="287">
        <f t="shared" ca="1" si="128"/>
        <v>0</v>
      </c>
      <c r="AV165" s="877"/>
      <c r="AW165" s="145">
        <f>+ABS($AL$164-$AL$174)/10+AW164</f>
        <v>-2.56</v>
      </c>
      <c r="AX165" s="145">
        <f>0-(ABS($AM$164-$AM$174)/10-AX164)</f>
        <v>-1.41</v>
      </c>
      <c r="AY165" s="145">
        <f>+ABS($AN$164-$AN$174)/10+AY164</f>
        <v>-0.79</v>
      </c>
      <c r="AZ165" s="145">
        <f>+ABS($AO$164-$AO$174)/10+AZ164</f>
        <v>-0.79</v>
      </c>
      <c r="BA165" s="145">
        <v>0</v>
      </c>
      <c r="BB165" s="287">
        <f t="shared" ca="1" si="129"/>
        <v>-2.8399859712000004</v>
      </c>
      <c r="BC165" s="287">
        <f t="shared" ca="1" si="130"/>
        <v>-1.5642110232000002</v>
      </c>
      <c r="BD165" s="287">
        <f t="shared" ca="1" si="131"/>
        <v>-0.87640192080000023</v>
      </c>
      <c r="BE165" s="287">
        <f t="shared" ca="1" si="132"/>
        <v>-0.87640192080000023</v>
      </c>
      <c r="BF165" s="287">
        <f t="shared" ca="1" si="133"/>
        <v>0</v>
      </c>
      <c r="BG165" s="877"/>
      <c r="BH165" s="45"/>
      <c r="BI165" s="45"/>
    </row>
    <row r="166" spans="1:61" s="252" customFormat="1" ht="15" hidden="1"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43"/>
      <c r="AE166" s="43"/>
      <c r="AF166" s="43"/>
      <c r="AG166" s="43"/>
      <c r="AH166" s="45">
        <v>-13</v>
      </c>
      <c r="AI166" s="45" t="b">
        <f t="shared" si="123"/>
        <v>0</v>
      </c>
      <c r="AJ166" s="45" t="b">
        <f t="shared" si="112"/>
        <v>1</v>
      </c>
      <c r="AK166" s="281" t="b">
        <f t="shared" si="134"/>
        <v>0</v>
      </c>
      <c r="AL166" s="145">
        <f t="shared" ref="AL166:AL173" si="143">+ABS($AL$164-$AL$174)/10+AL165</f>
        <v>-2.52</v>
      </c>
      <c r="AM166" s="145">
        <f t="shared" ref="AM166:AM173" si="144">0-(ABS($AM$164-$AM$174)/10-AM165)</f>
        <v>-1.42</v>
      </c>
      <c r="AN166" s="145">
        <f t="shared" ref="AN166:AN173" si="145">+ABS($AN$164-$AN$174)/10+AN165</f>
        <v>-0.78</v>
      </c>
      <c r="AO166" s="145">
        <f t="shared" ref="AO166:AO173" si="146">+ABS($AO$164-$AO$174)/10+AO165</f>
        <v>-0.78</v>
      </c>
      <c r="AP166" s="145">
        <v>0</v>
      </c>
      <c r="AQ166" s="287">
        <f t="shared" ca="1" si="124"/>
        <v>-2.7956111904000007</v>
      </c>
      <c r="AR166" s="287">
        <f t="shared" ca="1" si="125"/>
        <v>-1.5753047184000002</v>
      </c>
      <c r="AS166" s="287">
        <f t="shared" ca="1" si="126"/>
        <v>-0.8653082256000002</v>
      </c>
      <c r="AT166" s="287">
        <f t="shared" ca="1" si="127"/>
        <v>-0.8653082256000002</v>
      </c>
      <c r="AU166" s="287">
        <f t="shared" ca="1" si="128"/>
        <v>0</v>
      </c>
      <c r="AV166" s="877"/>
      <c r="AW166" s="145">
        <f t="shared" ref="AW166:AW173" si="147">+ABS($AL$164-$AL$174)/10+AW165</f>
        <v>-2.52</v>
      </c>
      <c r="AX166" s="145">
        <f t="shared" ref="AX166:AX173" si="148">0-(ABS($AM$164-$AM$174)/10-AX165)</f>
        <v>-1.42</v>
      </c>
      <c r="AY166" s="145">
        <f t="shared" ref="AY166:AY173" si="149">+ABS($AN$164-$AN$174)/10+AY165</f>
        <v>-0.78</v>
      </c>
      <c r="AZ166" s="145">
        <f t="shared" ref="AZ166:AZ173" si="150">+ABS($AO$164-$AO$174)/10+AZ165</f>
        <v>-0.78</v>
      </c>
      <c r="BA166" s="145">
        <v>0</v>
      </c>
      <c r="BB166" s="287">
        <f t="shared" ca="1" si="129"/>
        <v>-2.7956111904000007</v>
      </c>
      <c r="BC166" s="287">
        <f t="shared" ca="1" si="130"/>
        <v>-1.5753047184000002</v>
      </c>
      <c r="BD166" s="287">
        <f t="shared" ca="1" si="131"/>
        <v>-0.8653082256000002</v>
      </c>
      <c r="BE166" s="287">
        <f t="shared" ca="1" si="132"/>
        <v>-0.8653082256000002</v>
      </c>
      <c r="BF166" s="287">
        <f t="shared" ca="1" si="133"/>
        <v>0</v>
      </c>
      <c r="BG166" s="877"/>
      <c r="BH166" s="45"/>
      <c r="BI166" s="45"/>
    </row>
    <row r="167" spans="1:61" s="252" customFormat="1" ht="15" hidden="1"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43"/>
      <c r="AE167" s="43"/>
      <c r="AF167" s="43"/>
      <c r="AG167" s="43"/>
      <c r="AH167" s="45">
        <v>-12</v>
      </c>
      <c r="AI167" s="45" t="b">
        <f t="shared" si="123"/>
        <v>0</v>
      </c>
      <c r="AJ167" s="45" t="b">
        <f t="shared" si="112"/>
        <v>1</v>
      </c>
      <c r="AK167" s="281" t="b">
        <f t="shared" si="134"/>
        <v>0</v>
      </c>
      <c r="AL167" s="145">
        <f t="shared" si="143"/>
        <v>-2.48</v>
      </c>
      <c r="AM167" s="145">
        <f t="shared" si="144"/>
        <v>-1.43</v>
      </c>
      <c r="AN167" s="145">
        <f t="shared" si="145"/>
        <v>-0.77</v>
      </c>
      <c r="AO167" s="145">
        <f t="shared" si="146"/>
        <v>-0.77</v>
      </c>
      <c r="AP167" s="145">
        <v>0</v>
      </c>
      <c r="AQ167" s="287">
        <f t="shared" ca="1" si="124"/>
        <v>-2.7512364096000006</v>
      </c>
      <c r="AR167" s="287">
        <f t="shared" ca="1" si="125"/>
        <v>-1.5863984136000002</v>
      </c>
      <c r="AS167" s="287">
        <f t="shared" ca="1" si="126"/>
        <v>-0.85421453040000017</v>
      </c>
      <c r="AT167" s="287">
        <f t="shared" ca="1" si="127"/>
        <v>-0.85421453040000017</v>
      </c>
      <c r="AU167" s="287">
        <f t="shared" ca="1" si="128"/>
        <v>0</v>
      </c>
      <c r="AV167" s="877"/>
      <c r="AW167" s="145">
        <f t="shared" si="147"/>
        <v>-2.48</v>
      </c>
      <c r="AX167" s="145">
        <f t="shared" si="148"/>
        <v>-1.43</v>
      </c>
      <c r="AY167" s="145">
        <f t="shared" si="149"/>
        <v>-0.77</v>
      </c>
      <c r="AZ167" s="145">
        <f t="shared" si="150"/>
        <v>-0.77</v>
      </c>
      <c r="BA167" s="145">
        <v>0</v>
      </c>
      <c r="BB167" s="287">
        <f t="shared" ca="1" si="129"/>
        <v>-2.7512364096000006</v>
      </c>
      <c r="BC167" s="287">
        <f t="shared" ca="1" si="130"/>
        <v>-1.5863984136000002</v>
      </c>
      <c r="BD167" s="287">
        <f t="shared" ca="1" si="131"/>
        <v>-0.85421453040000017</v>
      </c>
      <c r="BE167" s="287">
        <f t="shared" ca="1" si="132"/>
        <v>-0.85421453040000017</v>
      </c>
      <c r="BF167" s="287">
        <f t="shared" ca="1" si="133"/>
        <v>0</v>
      </c>
      <c r="BG167" s="877"/>
      <c r="BH167" s="45"/>
      <c r="BI167" s="45"/>
    </row>
    <row r="168" spans="1:61" s="252" customFormat="1" ht="15" hidden="1"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43"/>
      <c r="AE168" s="43"/>
      <c r="AF168" s="43"/>
      <c r="AG168" s="43"/>
      <c r="AH168" s="45">
        <v>-11</v>
      </c>
      <c r="AI168" s="45" t="b">
        <f t="shared" si="123"/>
        <v>0</v>
      </c>
      <c r="AJ168" s="45" t="b">
        <f t="shared" si="112"/>
        <v>1</v>
      </c>
      <c r="AK168" s="281" t="b">
        <f t="shared" si="134"/>
        <v>0</v>
      </c>
      <c r="AL168" s="145">
        <f t="shared" si="143"/>
        <v>-2.44</v>
      </c>
      <c r="AM168" s="145">
        <f t="shared" si="144"/>
        <v>-1.44</v>
      </c>
      <c r="AN168" s="145">
        <f t="shared" si="145"/>
        <v>-0.76</v>
      </c>
      <c r="AO168" s="145">
        <f t="shared" si="146"/>
        <v>-0.76</v>
      </c>
      <c r="AP168" s="145">
        <v>0</v>
      </c>
      <c r="AQ168" s="287">
        <f t="shared" ca="1" si="124"/>
        <v>-2.7068616288000005</v>
      </c>
      <c r="AR168" s="287">
        <f t="shared" ca="1" si="125"/>
        <v>-1.5974921088000003</v>
      </c>
      <c r="AS168" s="287">
        <f t="shared" ca="1" si="126"/>
        <v>-0.84312083520000014</v>
      </c>
      <c r="AT168" s="287">
        <f t="shared" ca="1" si="127"/>
        <v>-0.84312083520000014</v>
      </c>
      <c r="AU168" s="287">
        <f t="shared" ca="1" si="128"/>
        <v>0</v>
      </c>
      <c r="AV168" s="877"/>
      <c r="AW168" s="145">
        <f t="shared" si="147"/>
        <v>-2.44</v>
      </c>
      <c r="AX168" s="145">
        <f t="shared" si="148"/>
        <v>-1.44</v>
      </c>
      <c r="AY168" s="145">
        <f t="shared" si="149"/>
        <v>-0.76</v>
      </c>
      <c r="AZ168" s="145">
        <f t="shared" si="150"/>
        <v>-0.76</v>
      </c>
      <c r="BA168" s="145">
        <v>0</v>
      </c>
      <c r="BB168" s="287">
        <f t="shared" ca="1" si="129"/>
        <v>-2.7068616288000005</v>
      </c>
      <c r="BC168" s="287">
        <f t="shared" ca="1" si="130"/>
        <v>-1.5974921088000003</v>
      </c>
      <c r="BD168" s="287">
        <f t="shared" ca="1" si="131"/>
        <v>-0.84312083520000014</v>
      </c>
      <c r="BE168" s="287">
        <f t="shared" ca="1" si="132"/>
        <v>-0.84312083520000014</v>
      </c>
      <c r="BF168" s="287">
        <f t="shared" ca="1" si="133"/>
        <v>0</v>
      </c>
      <c r="BG168" s="877"/>
      <c r="BH168" s="45"/>
      <c r="BI168" s="45"/>
    </row>
    <row r="169" spans="1:61" s="252" customFormat="1" ht="15" hidden="1"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43"/>
      <c r="AE169" s="43"/>
      <c r="AF169" s="43"/>
      <c r="AG169" s="43"/>
      <c r="AH169" s="45">
        <v>-10</v>
      </c>
      <c r="AI169" s="45" t="b">
        <f t="shared" si="123"/>
        <v>0</v>
      </c>
      <c r="AJ169" s="45" t="b">
        <f t="shared" si="112"/>
        <v>1</v>
      </c>
      <c r="AK169" s="281" t="b">
        <f t="shared" si="134"/>
        <v>0</v>
      </c>
      <c r="AL169" s="145">
        <f t="shared" si="143"/>
        <v>-2.4</v>
      </c>
      <c r="AM169" s="145">
        <f t="shared" si="144"/>
        <v>-1.45</v>
      </c>
      <c r="AN169" s="145">
        <f t="shared" si="145"/>
        <v>-0.75</v>
      </c>
      <c r="AO169" s="145">
        <f t="shared" si="146"/>
        <v>-0.75</v>
      </c>
      <c r="AP169" s="145">
        <v>0</v>
      </c>
      <c r="AQ169" s="287">
        <f t="shared" ca="1" si="124"/>
        <v>-2.6624868480000004</v>
      </c>
      <c r="AR169" s="287">
        <f t="shared" ca="1" si="125"/>
        <v>-1.6085858040000003</v>
      </c>
      <c r="AS169" s="287">
        <f t="shared" ca="1" si="126"/>
        <v>-0.83202714000000011</v>
      </c>
      <c r="AT169" s="287">
        <f t="shared" ca="1" si="127"/>
        <v>-0.83202714000000011</v>
      </c>
      <c r="AU169" s="287">
        <f t="shared" ca="1" si="128"/>
        <v>0</v>
      </c>
      <c r="AV169" s="877"/>
      <c r="AW169" s="145">
        <f t="shared" si="147"/>
        <v>-2.4</v>
      </c>
      <c r="AX169" s="145">
        <f t="shared" si="148"/>
        <v>-1.45</v>
      </c>
      <c r="AY169" s="145">
        <f t="shared" si="149"/>
        <v>-0.75</v>
      </c>
      <c r="AZ169" s="145">
        <f t="shared" si="150"/>
        <v>-0.75</v>
      </c>
      <c r="BA169" s="145">
        <v>0</v>
      </c>
      <c r="BB169" s="287">
        <f t="shared" ca="1" si="129"/>
        <v>-2.6624868480000004</v>
      </c>
      <c r="BC169" s="287">
        <f t="shared" ca="1" si="130"/>
        <v>-1.6085858040000003</v>
      </c>
      <c r="BD169" s="287">
        <f t="shared" ca="1" si="131"/>
        <v>-0.83202714000000011</v>
      </c>
      <c r="BE169" s="287">
        <f t="shared" ca="1" si="132"/>
        <v>-0.83202714000000011</v>
      </c>
      <c r="BF169" s="287">
        <f t="shared" ca="1" si="133"/>
        <v>0</v>
      </c>
      <c r="BG169" s="877"/>
      <c r="BH169" s="45"/>
      <c r="BI169" s="45"/>
    </row>
    <row r="170" spans="1:61" s="252" customFormat="1" ht="15" hidden="1"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43"/>
      <c r="AE170" s="43"/>
      <c r="AF170" s="43"/>
      <c r="AG170" s="43"/>
      <c r="AH170" s="45">
        <v>-9</v>
      </c>
      <c r="AI170" s="45" t="b">
        <f t="shared" si="123"/>
        <v>0</v>
      </c>
      <c r="AJ170" s="45" t="b">
        <f t="shared" si="112"/>
        <v>1</v>
      </c>
      <c r="AK170" s="281" t="b">
        <f t="shared" si="134"/>
        <v>0</v>
      </c>
      <c r="AL170" s="145">
        <f t="shared" si="143"/>
        <v>-2.36</v>
      </c>
      <c r="AM170" s="145">
        <f t="shared" si="144"/>
        <v>-1.46</v>
      </c>
      <c r="AN170" s="145">
        <f t="shared" si="145"/>
        <v>-0.74</v>
      </c>
      <c r="AO170" s="145">
        <f t="shared" si="146"/>
        <v>-0.74</v>
      </c>
      <c r="AP170" s="145">
        <v>0</v>
      </c>
      <c r="AQ170" s="287">
        <f t="shared" ca="1" si="124"/>
        <v>-2.6181120672000002</v>
      </c>
      <c r="AR170" s="287">
        <f t="shared" ca="1" si="125"/>
        <v>-1.6196794992000003</v>
      </c>
      <c r="AS170" s="287">
        <f t="shared" ca="1" si="126"/>
        <v>-0.82093344480000019</v>
      </c>
      <c r="AT170" s="287">
        <f t="shared" ca="1" si="127"/>
        <v>-0.82093344480000019</v>
      </c>
      <c r="AU170" s="287">
        <f t="shared" ca="1" si="128"/>
        <v>0</v>
      </c>
      <c r="AV170" s="877"/>
      <c r="AW170" s="145">
        <f t="shared" si="147"/>
        <v>-2.36</v>
      </c>
      <c r="AX170" s="145">
        <f t="shared" si="148"/>
        <v>-1.46</v>
      </c>
      <c r="AY170" s="145">
        <f t="shared" si="149"/>
        <v>-0.74</v>
      </c>
      <c r="AZ170" s="145">
        <f t="shared" si="150"/>
        <v>-0.74</v>
      </c>
      <c r="BA170" s="145">
        <v>0</v>
      </c>
      <c r="BB170" s="287">
        <f t="shared" ca="1" si="129"/>
        <v>-2.6181120672000002</v>
      </c>
      <c r="BC170" s="287">
        <f t="shared" ca="1" si="130"/>
        <v>-1.6196794992000003</v>
      </c>
      <c r="BD170" s="287">
        <f t="shared" ca="1" si="131"/>
        <v>-0.82093344480000019</v>
      </c>
      <c r="BE170" s="287">
        <f t="shared" ca="1" si="132"/>
        <v>-0.82093344480000019</v>
      </c>
      <c r="BF170" s="287">
        <f t="shared" ca="1" si="133"/>
        <v>0</v>
      </c>
      <c r="BG170" s="877"/>
      <c r="BH170" s="45"/>
      <c r="BI170" s="45"/>
    </row>
    <row r="171" spans="1:61" s="252" customFormat="1" ht="15" hidden="1"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43"/>
      <c r="AE171" s="43"/>
      <c r="AF171" s="43"/>
      <c r="AG171" s="43"/>
      <c r="AH171" s="45">
        <v>-8</v>
      </c>
      <c r="AI171" s="45" t="b">
        <f t="shared" si="123"/>
        <v>0</v>
      </c>
      <c r="AJ171" s="45" t="b">
        <f t="shared" si="112"/>
        <v>1</v>
      </c>
      <c r="AK171" s="281" t="b">
        <f t="shared" si="134"/>
        <v>0</v>
      </c>
      <c r="AL171" s="145">
        <f t="shared" si="143"/>
        <v>-2.3199999999999998</v>
      </c>
      <c r="AM171" s="145">
        <f t="shared" si="144"/>
        <v>-1.47</v>
      </c>
      <c r="AN171" s="145">
        <f t="shared" si="145"/>
        <v>-0.73</v>
      </c>
      <c r="AO171" s="145">
        <f t="shared" si="146"/>
        <v>-0.73</v>
      </c>
      <c r="AP171" s="145">
        <v>0</v>
      </c>
      <c r="AQ171" s="287">
        <f t="shared" ca="1" si="124"/>
        <v>-2.5737372864000005</v>
      </c>
      <c r="AR171" s="287">
        <f t="shared" ca="1" si="125"/>
        <v>-1.6307731944000003</v>
      </c>
      <c r="AS171" s="287">
        <f t="shared" ca="1" si="126"/>
        <v>-0.80983974960000016</v>
      </c>
      <c r="AT171" s="287">
        <f t="shared" ca="1" si="127"/>
        <v>-0.80983974960000016</v>
      </c>
      <c r="AU171" s="287">
        <f t="shared" ca="1" si="128"/>
        <v>0</v>
      </c>
      <c r="AV171" s="877"/>
      <c r="AW171" s="145">
        <f t="shared" si="147"/>
        <v>-2.3199999999999998</v>
      </c>
      <c r="AX171" s="145">
        <f t="shared" si="148"/>
        <v>-1.47</v>
      </c>
      <c r="AY171" s="145">
        <f t="shared" si="149"/>
        <v>-0.73</v>
      </c>
      <c r="AZ171" s="145">
        <f t="shared" si="150"/>
        <v>-0.73</v>
      </c>
      <c r="BA171" s="145">
        <v>0</v>
      </c>
      <c r="BB171" s="287">
        <f t="shared" ca="1" si="129"/>
        <v>-2.5737372864000005</v>
      </c>
      <c r="BC171" s="287">
        <f t="shared" ca="1" si="130"/>
        <v>-1.6307731944000003</v>
      </c>
      <c r="BD171" s="287">
        <f t="shared" ca="1" si="131"/>
        <v>-0.80983974960000016</v>
      </c>
      <c r="BE171" s="287">
        <f t="shared" ca="1" si="132"/>
        <v>-0.80983974960000016</v>
      </c>
      <c r="BF171" s="287">
        <f t="shared" ca="1" si="133"/>
        <v>0</v>
      </c>
      <c r="BG171" s="877"/>
      <c r="BH171" s="45"/>
      <c r="BI171" s="45"/>
    </row>
    <row r="172" spans="1:61" s="252" customFormat="1" ht="15" hidden="1"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43"/>
      <c r="AE172" s="43"/>
      <c r="AF172" s="43"/>
      <c r="AG172" s="43"/>
      <c r="AH172" s="45">
        <v>-7</v>
      </c>
      <c r="AI172" s="45" t="b">
        <f t="shared" si="123"/>
        <v>0</v>
      </c>
      <c r="AJ172" s="45" t="b">
        <f t="shared" si="112"/>
        <v>1</v>
      </c>
      <c r="AK172" s="281" t="b">
        <f t="shared" si="134"/>
        <v>0</v>
      </c>
      <c r="AL172" s="145">
        <f t="shared" si="143"/>
        <v>-2.2799999999999998</v>
      </c>
      <c r="AM172" s="145">
        <f t="shared" si="144"/>
        <v>-1.48</v>
      </c>
      <c r="AN172" s="145">
        <f t="shared" si="145"/>
        <v>-0.72</v>
      </c>
      <c r="AO172" s="145">
        <f t="shared" si="146"/>
        <v>-0.72</v>
      </c>
      <c r="AP172" s="145">
        <v>0</v>
      </c>
      <c r="AQ172" s="287">
        <f t="shared" ca="1" si="124"/>
        <v>-2.5293625056000004</v>
      </c>
      <c r="AR172" s="287">
        <f t="shared" ca="1" si="125"/>
        <v>-1.6418668896000004</v>
      </c>
      <c r="AS172" s="287">
        <f t="shared" ca="1" si="126"/>
        <v>-0.79874605440000013</v>
      </c>
      <c r="AT172" s="287">
        <f t="shared" ca="1" si="127"/>
        <v>-0.79874605440000013</v>
      </c>
      <c r="AU172" s="287">
        <f t="shared" ca="1" si="128"/>
        <v>0</v>
      </c>
      <c r="AV172" s="877"/>
      <c r="AW172" s="145">
        <f t="shared" si="147"/>
        <v>-2.2799999999999998</v>
      </c>
      <c r="AX172" s="145">
        <f t="shared" si="148"/>
        <v>-1.48</v>
      </c>
      <c r="AY172" s="145">
        <f t="shared" si="149"/>
        <v>-0.72</v>
      </c>
      <c r="AZ172" s="145">
        <f t="shared" si="150"/>
        <v>-0.72</v>
      </c>
      <c r="BA172" s="145">
        <v>0</v>
      </c>
      <c r="BB172" s="287">
        <f t="shared" ca="1" si="129"/>
        <v>-2.5293625056000004</v>
      </c>
      <c r="BC172" s="287">
        <f t="shared" ca="1" si="130"/>
        <v>-1.6418668896000004</v>
      </c>
      <c r="BD172" s="287">
        <f t="shared" ca="1" si="131"/>
        <v>-0.79874605440000013</v>
      </c>
      <c r="BE172" s="287">
        <f t="shared" ca="1" si="132"/>
        <v>-0.79874605440000013</v>
      </c>
      <c r="BF172" s="287">
        <f t="shared" ca="1" si="133"/>
        <v>0</v>
      </c>
      <c r="BG172" s="877"/>
      <c r="BH172" s="45"/>
      <c r="BI172" s="45"/>
    </row>
    <row r="173" spans="1:61" s="252" customFormat="1" ht="15" hidden="1"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43"/>
      <c r="AE173" s="43"/>
      <c r="AF173" s="43"/>
      <c r="AG173" s="43"/>
      <c r="AH173" s="45">
        <v>-6</v>
      </c>
      <c r="AI173" s="45" t="b">
        <f t="shared" si="123"/>
        <v>0</v>
      </c>
      <c r="AJ173" s="45" t="b">
        <f t="shared" si="112"/>
        <v>1</v>
      </c>
      <c r="AK173" s="281" t="b">
        <f t="shared" si="134"/>
        <v>0</v>
      </c>
      <c r="AL173" s="145">
        <f t="shared" si="143"/>
        <v>-2.2399999999999998</v>
      </c>
      <c r="AM173" s="145">
        <f t="shared" si="144"/>
        <v>-1.49</v>
      </c>
      <c r="AN173" s="145">
        <f t="shared" si="145"/>
        <v>-0.71</v>
      </c>
      <c r="AO173" s="145">
        <f t="shared" si="146"/>
        <v>-0.71</v>
      </c>
      <c r="AP173" s="145">
        <v>0</v>
      </c>
      <c r="AQ173" s="287">
        <f t="shared" ca="1" si="124"/>
        <v>-2.4849877248000003</v>
      </c>
      <c r="AR173" s="287">
        <f t="shared" ca="1" si="125"/>
        <v>-1.6529605848000004</v>
      </c>
      <c r="AS173" s="287">
        <f t="shared" ca="1" si="126"/>
        <v>-0.7876523592000001</v>
      </c>
      <c r="AT173" s="287">
        <f t="shared" ca="1" si="127"/>
        <v>-0.7876523592000001</v>
      </c>
      <c r="AU173" s="287">
        <f t="shared" ca="1" si="128"/>
        <v>0</v>
      </c>
      <c r="AV173" s="877"/>
      <c r="AW173" s="145">
        <f t="shared" si="147"/>
        <v>-2.2399999999999998</v>
      </c>
      <c r="AX173" s="145">
        <f t="shared" si="148"/>
        <v>-1.49</v>
      </c>
      <c r="AY173" s="145">
        <f t="shared" si="149"/>
        <v>-0.71</v>
      </c>
      <c r="AZ173" s="145">
        <f t="shared" si="150"/>
        <v>-0.71</v>
      </c>
      <c r="BA173" s="145">
        <v>0</v>
      </c>
      <c r="BB173" s="287">
        <f t="shared" ca="1" si="129"/>
        <v>-2.4849877248000003</v>
      </c>
      <c r="BC173" s="287">
        <f t="shared" ca="1" si="130"/>
        <v>-1.6529605848000004</v>
      </c>
      <c r="BD173" s="287">
        <f t="shared" ca="1" si="131"/>
        <v>-0.7876523592000001</v>
      </c>
      <c r="BE173" s="287">
        <f t="shared" ca="1" si="132"/>
        <v>-0.7876523592000001</v>
      </c>
      <c r="BF173" s="287">
        <f t="shared" ca="1" si="133"/>
        <v>0</v>
      </c>
      <c r="BG173" s="877"/>
      <c r="BH173" s="45"/>
      <c r="BI173" s="45"/>
    </row>
    <row r="174" spans="1:61" s="252" customFormat="1" ht="15" hidden="1"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43"/>
      <c r="AE174" s="43"/>
      <c r="AF174" s="43"/>
      <c r="AG174" s="43"/>
      <c r="AH174" s="276">
        <v>-5</v>
      </c>
      <c r="AI174" s="45" t="b">
        <f t="shared" si="123"/>
        <v>0</v>
      </c>
      <c r="AJ174" s="45" t="b">
        <f t="shared" si="112"/>
        <v>1</v>
      </c>
      <c r="AK174" s="281" t="b">
        <f t="shared" si="134"/>
        <v>0</v>
      </c>
      <c r="AL174" s="287">
        <v>-2.2000000000000002</v>
      </c>
      <c r="AM174" s="287">
        <v>-1.5</v>
      </c>
      <c r="AN174" s="287">
        <v>-0.7</v>
      </c>
      <c r="AO174" s="287">
        <v>-0.7</v>
      </c>
      <c r="AP174" s="145">
        <v>0</v>
      </c>
      <c r="AQ174" s="287">
        <f t="shared" ca="1" si="124"/>
        <v>-2.4406129440000006</v>
      </c>
      <c r="AR174" s="287">
        <f t="shared" ca="1" si="125"/>
        <v>-1.6640542800000002</v>
      </c>
      <c r="AS174" s="287">
        <f t="shared" ca="1" si="126"/>
        <v>-0.77655866400000007</v>
      </c>
      <c r="AT174" s="287">
        <f t="shared" ca="1" si="127"/>
        <v>-0.77655866400000007</v>
      </c>
      <c r="AU174" s="287">
        <f t="shared" ca="1" si="128"/>
        <v>0</v>
      </c>
      <c r="AV174" s="877"/>
      <c r="AW174" s="287">
        <v>-2.2000000000000002</v>
      </c>
      <c r="AX174" s="287">
        <v>-1.5</v>
      </c>
      <c r="AY174" s="287">
        <v>-0.7</v>
      </c>
      <c r="AZ174" s="287">
        <v>-0.7</v>
      </c>
      <c r="BA174" s="145">
        <v>0</v>
      </c>
      <c r="BB174" s="287">
        <f t="shared" ca="1" si="129"/>
        <v>-2.4406129440000006</v>
      </c>
      <c r="BC174" s="287">
        <f t="shared" ca="1" si="130"/>
        <v>-1.6640542800000002</v>
      </c>
      <c r="BD174" s="287">
        <f t="shared" ca="1" si="131"/>
        <v>-0.77655866400000007</v>
      </c>
      <c r="BE174" s="287">
        <f t="shared" ca="1" si="132"/>
        <v>-0.77655866400000007</v>
      </c>
      <c r="BF174" s="287">
        <f t="shared" ca="1" si="133"/>
        <v>0</v>
      </c>
      <c r="BG174" s="877"/>
      <c r="BH174" s="45"/>
      <c r="BI174" s="45"/>
    </row>
    <row r="175" spans="1:61" s="252" customFormat="1" ht="15" hidden="1"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43"/>
      <c r="AE175" s="43"/>
      <c r="AF175" s="43"/>
      <c r="AG175" s="43"/>
      <c r="AH175" s="45">
        <v>-4</v>
      </c>
      <c r="AI175" s="45" t="b">
        <f t="shared" si="123"/>
        <v>0</v>
      </c>
      <c r="AJ175" s="45" t="b">
        <f t="shared" si="112"/>
        <v>1</v>
      </c>
      <c r="AK175" s="281" t="b">
        <f t="shared" si="134"/>
        <v>0</v>
      </c>
      <c r="AL175" s="145">
        <f>+ABS($AL$174-$AL$183)/10+AL174</f>
        <v>-2.1800000000000002</v>
      </c>
      <c r="AM175" s="145">
        <f>+ABS($AM$174-$AM$183)/10+AM174</f>
        <v>-1.46</v>
      </c>
      <c r="AN175" s="145">
        <f>+ABS($AN$174-$AN$183)/10+AN174</f>
        <v>-0.69</v>
      </c>
      <c r="AO175" s="145">
        <f>+ABS($AO$174-$AO$183)/10+AO174</f>
        <v>-0.67999999999999994</v>
      </c>
      <c r="AP175" s="145">
        <v>0</v>
      </c>
      <c r="AQ175" s="287">
        <f t="shared" ca="1" si="124"/>
        <v>-2.4184255536000006</v>
      </c>
      <c r="AR175" s="287">
        <f t="shared" ca="1" si="125"/>
        <v>-1.6196794992000003</v>
      </c>
      <c r="AS175" s="287">
        <f t="shared" ca="1" si="126"/>
        <v>-0.76546496880000015</v>
      </c>
      <c r="AT175" s="287">
        <f t="shared" ca="1" si="127"/>
        <v>-0.75437127360000011</v>
      </c>
      <c r="AU175" s="287">
        <f t="shared" ca="1" si="128"/>
        <v>0</v>
      </c>
      <c r="AV175" s="877"/>
      <c r="AW175" s="145">
        <f>+ABS(AW$174-AW$183)/10+AW174</f>
        <v>-1.9800000000000002</v>
      </c>
      <c r="AX175" s="145">
        <f>+ABS(AX$174-AX$183)/10+AX174</f>
        <v>-1.35</v>
      </c>
      <c r="AY175" s="145">
        <f>+ABS(AY$174-AY$183)/10+AY174</f>
        <v>-0.63</v>
      </c>
      <c r="AZ175" s="145">
        <f>+ABS(AZ$174-AZ$183)/10+AZ174</f>
        <v>-0.63</v>
      </c>
      <c r="BA175" s="145">
        <f>+ABS(BA$174-BA$183)/10+BA174</f>
        <v>0</v>
      </c>
      <c r="BB175" s="287">
        <f t="shared" ca="1" si="129"/>
        <v>-2.1965516496000008</v>
      </c>
      <c r="BC175" s="287">
        <f t="shared" ca="1" si="130"/>
        <v>-1.4976488520000004</v>
      </c>
      <c r="BD175" s="287">
        <f t="shared" ca="1" si="131"/>
        <v>-0.69890279760000018</v>
      </c>
      <c r="BE175" s="287">
        <f t="shared" ca="1" si="132"/>
        <v>-0.69890279760000018</v>
      </c>
      <c r="BF175" s="287">
        <f t="shared" ca="1" si="133"/>
        <v>0</v>
      </c>
      <c r="BG175" s="877"/>
      <c r="BH175" s="45"/>
      <c r="BI175" s="45"/>
    </row>
    <row r="176" spans="1:61" s="252" customFormat="1" ht="15" hidden="1"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43"/>
      <c r="AE176" s="43"/>
      <c r="AF176" s="43"/>
      <c r="AG176" s="43"/>
      <c r="AH176" s="45">
        <v>-3</v>
      </c>
      <c r="AI176" s="45" t="b">
        <f t="shared" si="123"/>
        <v>0</v>
      </c>
      <c r="AJ176" s="45" t="b">
        <f t="shared" si="112"/>
        <v>1</v>
      </c>
      <c r="AK176" s="281" t="b">
        <f t="shared" si="134"/>
        <v>0</v>
      </c>
      <c r="AL176" s="145">
        <f t="shared" ref="AL176:AL182" si="151">+ABS($AL$174-$AL$183)/10+AL175</f>
        <v>-2.16</v>
      </c>
      <c r="AM176" s="145">
        <f t="shared" ref="AM176:AM182" si="152">+ABS($AM$174-$AM$183)/10+AM175</f>
        <v>-1.42</v>
      </c>
      <c r="AN176" s="145">
        <f t="shared" ref="AN176:AN182" si="153">+ABS($AN$174-$AN$183)/10+AN175</f>
        <v>-0.67999999999999994</v>
      </c>
      <c r="AO176" s="145">
        <f t="shared" ref="AO176:AO182" si="154">+ABS($AO$174-$AO$183)/10+AO175</f>
        <v>-0.65999999999999992</v>
      </c>
      <c r="AP176" s="145">
        <v>0</v>
      </c>
      <c r="AQ176" s="287">
        <f t="shared" ca="1" si="124"/>
        <v>-2.3962381632000005</v>
      </c>
      <c r="AR176" s="287">
        <f t="shared" ca="1" si="125"/>
        <v>-1.5753047184000002</v>
      </c>
      <c r="AS176" s="287">
        <f t="shared" ca="1" si="126"/>
        <v>-0.75437127360000011</v>
      </c>
      <c r="AT176" s="287">
        <f t="shared" ca="1" si="127"/>
        <v>-0.73218388320000005</v>
      </c>
      <c r="AU176" s="287">
        <f t="shared" ca="1" si="128"/>
        <v>0</v>
      </c>
      <c r="AV176" s="877"/>
      <c r="AW176" s="145">
        <f t="shared" ref="AW176:BA182" si="155">+ABS(AW$174-AW$183)/10+AW175</f>
        <v>-1.7600000000000002</v>
      </c>
      <c r="AX176" s="145">
        <f t="shared" si="155"/>
        <v>-1.2000000000000002</v>
      </c>
      <c r="AY176" s="145">
        <f t="shared" si="155"/>
        <v>-0.56000000000000005</v>
      </c>
      <c r="AZ176" s="145">
        <f t="shared" si="155"/>
        <v>-0.56000000000000005</v>
      </c>
      <c r="BA176" s="145">
        <f t="shared" si="155"/>
        <v>0</v>
      </c>
      <c r="BB176" s="287">
        <f t="shared" ca="1" si="129"/>
        <v>-1.9524903552000006</v>
      </c>
      <c r="BC176" s="287">
        <f t="shared" ca="1" si="130"/>
        <v>-1.3312434240000004</v>
      </c>
      <c r="BD176" s="287">
        <f t="shared" ca="1" si="131"/>
        <v>-0.62124693120000019</v>
      </c>
      <c r="BE176" s="287">
        <f t="shared" ca="1" si="132"/>
        <v>-0.62124693120000019</v>
      </c>
      <c r="BF176" s="287">
        <f t="shared" ca="1" si="133"/>
        <v>0</v>
      </c>
      <c r="BG176" s="877"/>
      <c r="BH176" s="45"/>
      <c r="BI176" s="45"/>
    </row>
    <row r="177" spans="1:61" s="252" customFormat="1" ht="15" hidden="1"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43"/>
      <c r="AE177" s="43"/>
      <c r="AF177" s="43"/>
      <c r="AG177" s="43"/>
      <c r="AH177" s="45">
        <v>-2</v>
      </c>
      <c r="AI177" s="45" t="b">
        <f t="shared" si="123"/>
        <v>0</v>
      </c>
      <c r="AJ177" s="45" t="b">
        <f t="shared" si="112"/>
        <v>1</v>
      </c>
      <c r="AK177" s="281" t="b">
        <f t="shared" si="134"/>
        <v>0</v>
      </c>
      <c r="AL177" s="145">
        <f t="shared" si="151"/>
        <v>-2.14</v>
      </c>
      <c r="AM177" s="145">
        <f t="shared" si="152"/>
        <v>-1.38</v>
      </c>
      <c r="AN177" s="145">
        <f t="shared" si="153"/>
        <v>-0.66999999999999993</v>
      </c>
      <c r="AO177" s="145">
        <f t="shared" si="154"/>
        <v>-0.6399999999999999</v>
      </c>
      <c r="AP177" s="145">
        <v>0</v>
      </c>
      <c r="AQ177" s="287">
        <f t="shared" ca="1" si="124"/>
        <v>-2.3740507728000004</v>
      </c>
      <c r="AR177" s="287">
        <f t="shared" ca="1" si="125"/>
        <v>-1.5309299376000003</v>
      </c>
      <c r="AS177" s="287">
        <f t="shared" ca="1" si="126"/>
        <v>-0.74327757840000008</v>
      </c>
      <c r="AT177" s="287">
        <f t="shared" ca="1" si="127"/>
        <v>-0.70999649279999999</v>
      </c>
      <c r="AU177" s="287">
        <f t="shared" ca="1" si="128"/>
        <v>0</v>
      </c>
      <c r="AV177" s="877"/>
      <c r="AW177" s="145">
        <f t="shared" si="155"/>
        <v>-1.5400000000000003</v>
      </c>
      <c r="AX177" s="145">
        <f t="shared" si="155"/>
        <v>-1.0500000000000003</v>
      </c>
      <c r="AY177" s="145">
        <f t="shared" si="155"/>
        <v>-0.49000000000000005</v>
      </c>
      <c r="AZ177" s="145">
        <f t="shared" si="155"/>
        <v>-0.49000000000000005</v>
      </c>
      <c r="BA177" s="145">
        <f t="shared" si="155"/>
        <v>0</v>
      </c>
      <c r="BB177" s="287">
        <f t="shared" ca="1" si="129"/>
        <v>-1.7084290608000006</v>
      </c>
      <c r="BC177" s="287">
        <f t="shared" ca="1" si="130"/>
        <v>-1.1648379960000006</v>
      </c>
      <c r="BD177" s="287">
        <f t="shared" ca="1" si="131"/>
        <v>-0.54359106480000019</v>
      </c>
      <c r="BE177" s="287">
        <f t="shared" ca="1" si="132"/>
        <v>-0.54359106480000019</v>
      </c>
      <c r="BF177" s="287">
        <f t="shared" ca="1" si="133"/>
        <v>0</v>
      </c>
      <c r="BG177" s="877"/>
      <c r="BH177" s="45"/>
      <c r="BI177" s="45"/>
    </row>
    <row r="178" spans="1:61" s="252" customFormat="1" ht="15" hidden="1"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43"/>
      <c r="AE178" s="43"/>
      <c r="AF178" s="43"/>
      <c r="AG178" s="43"/>
      <c r="AH178" s="45">
        <v>-1</v>
      </c>
      <c r="AI178" s="45" t="b">
        <f t="shared" si="123"/>
        <v>0</v>
      </c>
      <c r="AJ178" s="45" t="b">
        <f t="shared" si="112"/>
        <v>1</v>
      </c>
      <c r="AK178" s="281" t="b">
        <f t="shared" si="134"/>
        <v>0</v>
      </c>
      <c r="AL178" s="145">
        <f t="shared" si="151"/>
        <v>-2.12</v>
      </c>
      <c r="AM178" s="145">
        <f t="shared" si="152"/>
        <v>-1.3399999999999999</v>
      </c>
      <c r="AN178" s="145">
        <f t="shared" si="153"/>
        <v>-0.65999999999999992</v>
      </c>
      <c r="AO178" s="145">
        <f t="shared" si="154"/>
        <v>-0.61999999999999988</v>
      </c>
      <c r="AP178" s="145">
        <v>0</v>
      </c>
      <c r="AQ178" s="287">
        <f t="shared" ca="1" si="124"/>
        <v>-2.3518633824000004</v>
      </c>
      <c r="AR178" s="287">
        <f t="shared" ca="1" si="125"/>
        <v>-1.4865551568000002</v>
      </c>
      <c r="AS178" s="287">
        <f t="shared" ca="1" si="126"/>
        <v>-0.73218388320000005</v>
      </c>
      <c r="AT178" s="287">
        <f t="shared" ca="1" si="127"/>
        <v>-0.68780910240000004</v>
      </c>
      <c r="AU178" s="287">
        <f t="shared" ca="1" si="128"/>
        <v>0</v>
      </c>
      <c r="AV178" s="877"/>
      <c r="AW178" s="145">
        <f t="shared" si="155"/>
        <v>-1.3200000000000003</v>
      </c>
      <c r="AX178" s="145">
        <f t="shared" si="155"/>
        <v>-0.90000000000000024</v>
      </c>
      <c r="AY178" s="145">
        <f t="shared" si="155"/>
        <v>-0.42000000000000004</v>
      </c>
      <c r="AZ178" s="145">
        <f t="shared" si="155"/>
        <v>-0.42000000000000004</v>
      </c>
      <c r="BA178" s="145">
        <f t="shared" si="155"/>
        <v>0</v>
      </c>
      <c r="BB178" s="287">
        <f t="shared" ca="1" si="129"/>
        <v>-1.4643677664000005</v>
      </c>
      <c r="BC178" s="287">
        <f t="shared" ca="1" si="130"/>
        <v>-0.99843256800000046</v>
      </c>
      <c r="BD178" s="287">
        <f t="shared" ca="1" si="131"/>
        <v>-0.46593519840000014</v>
      </c>
      <c r="BE178" s="287">
        <f t="shared" ca="1" si="132"/>
        <v>-0.46593519840000014</v>
      </c>
      <c r="BF178" s="287">
        <f t="shared" ca="1" si="133"/>
        <v>0</v>
      </c>
      <c r="BG178" s="877"/>
      <c r="BH178" s="45"/>
      <c r="BI178" s="45"/>
    </row>
    <row r="179" spans="1:61" s="252" customFormat="1" ht="15" hidden="1"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43"/>
      <c r="AE179" s="43"/>
      <c r="AF179" s="43"/>
      <c r="AG179" s="43"/>
      <c r="AH179" s="45">
        <v>1</v>
      </c>
      <c r="AI179" s="45" t="b">
        <f t="shared" si="123"/>
        <v>0</v>
      </c>
      <c r="AJ179" s="45" t="b">
        <f t="shared" si="112"/>
        <v>1</v>
      </c>
      <c r="AK179" s="281" t="b">
        <f t="shared" si="134"/>
        <v>0</v>
      </c>
      <c r="AL179" s="145">
        <f t="shared" si="151"/>
        <v>-2.1</v>
      </c>
      <c r="AM179" s="145">
        <f t="shared" si="152"/>
        <v>-1.2999999999999998</v>
      </c>
      <c r="AN179" s="145">
        <f t="shared" si="153"/>
        <v>-0.64999999999999991</v>
      </c>
      <c r="AO179" s="145">
        <f t="shared" si="154"/>
        <v>-0.59999999999999987</v>
      </c>
      <c r="AP179" s="145">
        <v>0</v>
      </c>
      <c r="AQ179" s="287">
        <f t="shared" ca="1" si="124"/>
        <v>-2.3296759920000008</v>
      </c>
      <c r="AR179" s="287">
        <f t="shared" ca="1" si="125"/>
        <v>-1.442180376</v>
      </c>
      <c r="AS179" s="287">
        <f t="shared" ca="1" si="126"/>
        <v>-0.72109018800000002</v>
      </c>
      <c r="AT179" s="287">
        <f t="shared" ca="1" si="127"/>
        <v>-0.66562171199999998</v>
      </c>
      <c r="AU179" s="287">
        <f t="shared" ca="1" si="128"/>
        <v>0</v>
      </c>
      <c r="AV179" s="877"/>
      <c r="AW179" s="145">
        <f t="shared" si="155"/>
        <v>-1.1000000000000003</v>
      </c>
      <c r="AX179" s="145">
        <f t="shared" si="155"/>
        <v>-0.75000000000000022</v>
      </c>
      <c r="AY179" s="145">
        <f t="shared" si="155"/>
        <v>-0.35000000000000003</v>
      </c>
      <c r="AZ179" s="145">
        <f t="shared" si="155"/>
        <v>-0.35000000000000003</v>
      </c>
      <c r="BA179" s="145">
        <f t="shared" si="155"/>
        <v>0</v>
      </c>
      <c r="BB179" s="287">
        <f t="shared" ca="1" si="129"/>
        <v>-1.2203064720000005</v>
      </c>
      <c r="BC179" s="287">
        <f t="shared" ca="1" si="130"/>
        <v>-0.83202714000000044</v>
      </c>
      <c r="BD179" s="287">
        <f t="shared" ca="1" si="131"/>
        <v>-0.38827933200000009</v>
      </c>
      <c r="BE179" s="287">
        <f t="shared" ca="1" si="132"/>
        <v>-0.38827933200000009</v>
      </c>
      <c r="BF179" s="287">
        <f t="shared" ca="1" si="133"/>
        <v>0</v>
      </c>
      <c r="BG179" s="877"/>
      <c r="BH179" s="45"/>
      <c r="BI179" s="45"/>
    </row>
    <row r="180" spans="1:61" s="252" customFormat="1" ht="15" hidden="1"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43"/>
      <c r="AE180" s="43"/>
      <c r="AF180" s="43"/>
      <c r="AG180" s="43"/>
      <c r="AH180" s="45">
        <v>2</v>
      </c>
      <c r="AI180" s="45" t="b">
        <f t="shared" si="123"/>
        <v>0</v>
      </c>
      <c r="AJ180" s="45" t="b">
        <f t="shared" si="112"/>
        <v>1</v>
      </c>
      <c r="AK180" s="281" t="b">
        <f t="shared" si="134"/>
        <v>0</v>
      </c>
      <c r="AL180" s="145">
        <f t="shared" si="151"/>
        <v>-2.08</v>
      </c>
      <c r="AM180" s="145">
        <f t="shared" si="152"/>
        <v>-1.2599999999999998</v>
      </c>
      <c r="AN180" s="145">
        <f t="shared" si="153"/>
        <v>-0.6399999999999999</v>
      </c>
      <c r="AO180" s="145">
        <f t="shared" si="154"/>
        <v>-0.57999999999999985</v>
      </c>
      <c r="AP180" s="145">
        <v>0</v>
      </c>
      <c r="AQ180" s="287">
        <f t="shared" ca="1" si="124"/>
        <v>-2.3074886016000007</v>
      </c>
      <c r="AR180" s="287">
        <f t="shared" ca="1" si="125"/>
        <v>-1.3978055952000001</v>
      </c>
      <c r="AS180" s="287">
        <f t="shared" ca="1" si="126"/>
        <v>-0.70999649279999999</v>
      </c>
      <c r="AT180" s="287">
        <f t="shared" ca="1" si="127"/>
        <v>-0.64343432159999991</v>
      </c>
      <c r="AU180" s="287">
        <f t="shared" ca="1" si="128"/>
        <v>0</v>
      </c>
      <c r="AV180" s="877"/>
      <c r="AW180" s="145">
        <f t="shared" si="155"/>
        <v>-0.88000000000000034</v>
      </c>
      <c r="AX180" s="145">
        <f t="shared" si="155"/>
        <v>-0.6000000000000002</v>
      </c>
      <c r="AY180" s="145">
        <f t="shared" si="155"/>
        <v>-0.28000000000000003</v>
      </c>
      <c r="AZ180" s="145">
        <f t="shared" si="155"/>
        <v>-0.28000000000000003</v>
      </c>
      <c r="BA180" s="145">
        <f t="shared" si="155"/>
        <v>0</v>
      </c>
      <c r="BB180" s="287">
        <f t="shared" ca="1" si="129"/>
        <v>-0.97624517760000051</v>
      </c>
      <c r="BC180" s="287">
        <f t="shared" ca="1" si="130"/>
        <v>-0.66562171200000031</v>
      </c>
      <c r="BD180" s="287">
        <f t="shared" ca="1" si="131"/>
        <v>-0.31062346560000009</v>
      </c>
      <c r="BE180" s="287">
        <f t="shared" ca="1" si="132"/>
        <v>-0.31062346560000009</v>
      </c>
      <c r="BF180" s="287">
        <f t="shared" ca="1" si="133"/>
        <v>0</v>
      </c>
      <c r="BG180" s="877"/>
      <c r="BH180" s="45"/>
      <c r="BI180" s="45"/>
    </row>
    <row r="181" spans="1:61" s="252" customFormat="1" ht="15" hidden="1"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43"/>
      <c r="AE181" s="43"/>
      <c r="AF181" s="43"/>
      <c r="AG181" s="43"/>
      <c r="AH181" s="45">
        <v>3</v>
      </c>
      <c r="AI181" s="45" t="b">
        <f t="shared" si="123"/>
        <v>0</v>
      </c>
      <c r="AJ181" s="45" t="b">
        <f t="shared" si="112"/>
        <v>1</v>
      </c>
      <c r="AK181" s="281" t="b">
        <f t="shared" si="134"/>
        <v>0</v>
      </c>
      <c r="AL181" s="145">
        <f t="shared" si="151"/>
        <v>-2.06</v>
      </c>
      <c r="AM181" s="145">
        <f t="shared" si="152"/>
        <v>-1.2199999999999998</v>
      </c>
      <c r="AN181" s="145">
        <f t="shared" si="153"/>
        <v>-0.62999999999999989</v>
      </c>
      <c r="AO181" s="145">
        <f t="shared" si="154"/>
        <v>-0.55999999999999983</v>
      </c>
      <c r="AP181" s="145">
        <v>0</v>
      </c>
      <c r="AQ181" s="287">
        <f t="shared" ca="1" si="124"/>
        <v>-2.2853012112000006</v>
      </c>
      <c r="AR181" s="287">
        <f t="shared" ca="1" si="125"/>
        <v>-1.3534308144</v>
      </c>
      <c r="AS181" s="287">
        <f t="shared" ca="1" si="126"/>
        <v>-0.69890279760000007</v>
      </c>
      <c r="AT181" s="287">
        <f t="shared" ca="1" si="127"/>
        <v>-0.62124693119999996</v>
      </c>
      <c r="AU181" s="287">
        <f t="shared" ca="1" si="128"/>
        <v>0</v>
      </c>
      <c r="AV181" s="877"/>
      <c r="AW181" s="145">
        <f t="shared" si="155"/>
        <v>-0.66000000000000036</v>
      </c>
      <c r="AX181" s="145">
        <f t="shared" si="155"/>
        <v>-0.45000000000000018</v>
      </c>
      <c r="AY181" s="145">
        <f t="shared" si="155"/>
        <v>-0.21000000000000002</v>
      </c>
      <c r="AZ181" s="145">
        <f t="shared" si="155"/>
        <v>-0.21000000000000002</v>
      </c>
      <c r="BA181" s="145">
        <f t="shared" si="155"/>
        <v>0</v>
      </c>
      <c r="BB181" s="287">
        <f t="shared" ca="1" si="129"/>
        <v>-0.7321838832000005</v>
      </c>
      <c r="BC181" s="287">
        <f t="shared" ca="1" si="130"/>
        <v>-0.49921628400000029</v>
      </c>
      <c r="BD181" s="287">
        <f t="shared" ca="1" si="131"/>
        <v>-0.23296759920000007</v>
      </c>
      <c r="BE181" s="287">
        <f t="shared" ca="1" si="132"/>
        <v>-0.23296759920000007</v>
      </c>
      <c r="BF181" s="287">
        <f t="shared" ca="1" si="133"/>
        <v>0</v>
      </c>
      <c r="BG181" s="877"/>
      <c r="BH181" s="45"/>
      <c r="BI181" s="45"/>
    </row>
    <row r="182" spans="1:61" s="252" customFormat="1" ht="15" hidden="1"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43"/>
      <c r="AE182" s="43"/>
      <c r="AF182" s="43"/>
      <c r="AG182" s="43"/>
      <c r="AH182" s="45">
        <v>4</v>
      </c>
      <c r="AI182" s="45" t="b">
        <f t="shared" si="123"/>
        <v>0</v>
      </c>
      <c r="AJ182" s="45" t="b">
        <f t="shared" si="112"/>
        <v>1</v>
      </c>
      <c r="AK182" s="281" t="b">
        <f t="shared" si="134"/>
        <v>0</v>
      </c>
      <c r="AL182" s="145">
        <f t="shared" si="151"/>
        <v>-2.04</v>
      </c>
      <c r="AM182" s="145">
        <f t="shared" si="152"/>
        <v>-1.1799999999999997</v>
      </c>
      <c r="AN182" s="145">
        <f t="shared" si="153"/>
        <v>-0.61999999999999988</v>
      </c>
      <c r="AO182" s="145">
        <f t="shared" si="154"/>
        <v>-0.53999999999999981</v>
      </c>
      <c r="AP182" s="145">
        <v>0</v>
      </c>
      <c r="AQ182" s="287">
        <f t="shared" ca="1" si="124"/>
        <v>-2.2631138208000006</v>
      </c>
      <c r="AR182" s="287">
        <f t="shared" ca="1" si="125"/>
        <v>-1.3090560335999999</v>
      </c>
      <c r="AS182" s="287">
        <f t="shared" ca="1" si="126"/>
        <v>-0.68780910240000004</v>
      </c>
      <c r="AT182" s="287">
        <f t="shared" ca="1" si="127"/>
        <v>-0.5990595407999999</v>
      </c>
      <c r="AU182" s="287">
        <f t="shared" ca="1" si="128"/>
        <v>0</v>
      </c>
      <c r="AV182" s="877"/>
      <c r="AW182" s="145">
        <f t="shared" si="155"/>
        <v>-0.44000000000000034</v>
      </c>
      <c r="AX182" s="145">
        <f t="shared" si="155"/>
        <v>-0.30000000000000016</v>
      </c>
      <c r="AY182" s="145">
        <f t="shared" si="155"/>
        <v>-0.14000000000000001</v>
      </c>
      <c r="AZ182" s="145">
        <f t="shared" si="155"/>
        <v>-0.14000000000000001</v>
      </c>
      <c r="BA182" s="145">
        <f t="shared" si="155"/>
        <v>0</v>
      </c>
      <c r="BB182" s="287">
        <f t="shared" ca="1" si="129"/>
        <v>-0.48812258880000048</v>
      </c>
      <c r="BC182" s="287">
        <f t="shared" ca="1" si="130"/>
        <v>-0.33281085600000027</v>
      </c>
      <c r="BD182" s="287">
        <f t="shared" ca="1" si="131"/>
        <v>-0.15531173280000005</v>
      </c>
      <c r="BE182" s="287">
        <f t="shared" ca="1" si="132"/>
        <v>-0.15531173280000005</v>
      </c>
      <c r="BF182" s="287">
        <f t="shared" ca="1" si="133"/>
        <v>0</v>
      </c>
      <c r="BG182" s="877"/>
      <c r="BH182" s="45"/>
      <c r="BI182" s="45"/>
    </row>
    <row r="183" spans="1:61" s="252" customFormat="1" ht="15" hidden="1"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43"/>
      <c r="AE183" s="43"/>
      <c r="AF183" s="43"/>
      <c r="AG183" s="43"/>
      <c r="AH183" s="276">
        <v>5</v>
      </c>
      <c r="AI183" s="45" t="b">
        <f t="shared" si="123"/>
        <v>0</v>
      </c>
      <c r="AJ183" s="45" t="b">
        <f t="shared" si="112"/>
        <v>1</v>
      </c>
      <c r="AK183" s="281" t="b">
        <f t="shared" si="134"/>
        <v>0</v>
      </c>
      <c r="AL183" s="287">
        <v>-2</v>
      </c>
      <c r="AM183" s="287">
        <v>-1.1000000000000001</v>
      </c>
      <c r="AN183" s="287">
        <v>-0.6</v>
      </c>
      <c r="AO183" s="287">
        <v>-0.5</v>
      </c>
      <c r="AP183" s="145">
        <v>0</v>
      </c>
      <c r="AQ183" s="287">
        <f t="shared" ca="1" si="124"/>
        <v>-2.2187390400000004</v>
      </c>
      <c r="AR183" s="287">
        <f t="shared" ca="1" si="125"/>
        <v>-1.2203064720000003</v>
      </c>
      <c r="AS183" s="287">
        <f t="shared" ca="1" si="126"/>
        <v>-0.66562171200000009</v>
      </c>
      <c r="AT183" s="287">
        <f t="shared" ca="1" si="127"/>
        <v>-0.55468476000000011</v>
      </c>
      <c r="AU183" s="287">
        <f t="shared" ca="1" si="128"/>
        <v>0</v>
      </c>
      <c r="AV183" s="877"/>
      <c r="AW183" s="287">
        <v>0</v>
      </c>
      <c r="AX183" s="287">
        <v>0</v>
      </c>
      <c r="AY183" s="287">
        <v>0</v>
      </c>
      <c r="AZ183" s="287">
        <v>0</v>
      </c>
      <c r="BA183" s="145">
        <v>0</v>
      </c>
      <c r="BB183" s="287">
        <f t="shared" ca="1" si="129"/>
        <v>0</v>
      </c>
      <c r="BC183" s="287">
        <f t="shared" ca="1" si="130"/>
        <v>0</v>
      </c>
      <c r="BD183" s="287">
        <f t="shared" ca="1" si="131"/>
        <v>0</v>
      </c>
      <c r="BE183" s="287">
        <f t="shared" ca="1" si="132"/>
        <v>0</v>
      </c>
      <c r="BF183" s="287">
        <f t="shared" ca="1" si="133"/>
        <v>0</v>
      </c>
      <c r="BG183" s="877"/>
      <c r="BH183" s="45"/>
      <c r="BI183" s="45"/>
    </row>
    <row r="184" spans="1:61" s="252" customFormat="1" ht="15" hidden="1"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43"/>
      <c r="AE184" s="43"/>
      <c r="AF184" s="43"/>
      <c r="AG184" s="43"/>
      <c r="AH184" s="45">
        <v>6</v>
      </c>
      <c r="AI184" s="45" t="b">
        <f t="shared" si="123"/>
        <v>0</v>
      </c>
      <c r="AJ184" s="45" t="b">
        <f t="shared" si="112"/>
        <v>1</v>
      </c>
      <c r="AK184" s="281" t="b">
        <f t="shared" si="134"/>
        <v>0</v>
      </c>
      <c r="AL184" s="145">
        <f>+ABS($AL$183-$AL$193)/10+AL183</f>
        <v>-1.96</v>
      </c>
      <c r="AM184" s="145">
        <f>+ABS($AM$183-$AM$193)/10+AM183</f>
        <v>-1.06</v>
      </c>
      <c r="AN184" s="145">
        <f>+ABS($AN$183-$AN$193)/10+AN183</f>
        <v>-0.6</v>
      </c>
      <c r="AO184" s="145">
        <f>+ABS($AO$183-$AO$193)/10+AO183</f>
        <v>-0.49</v>
      </c>
      <c r="AP184" s="145">
        <v>0</v>
      </c>
      <c r="AQ184" s="287">
        <f t="shared" ca="1" si="124"/>
        <v>-2.1743642592000003</v>
      </c>
      <c r="AR184" s="287">
        <f t="shared" ca="1" si="125"/>
        <v>-1.1759316912000002</v>
      </c>
      <c r="AS184" s="287">
        <f t="shared" ca="1" si="126"/>
        <v>-0.66562171200000009</v>
      </c>
      <c r="AT184" s="287">
        <f t="shared" ca="1" si="127"/>
        <v>-0.54359106480000008</v>
      </c>
      <c r="AU184" s="287">
        <f t="shared" ca="1" si="128"/>
        <v>0</v>
      </c>
      <c r="AV184" s="877"/>
      <c r="AW184" s="145">
        <f>0.2/10+AW183</f>
        <v>0.02</v>
      </c>
      <c r="AX184" s="145">
        <f>0.2/10+AX183</f>
        <v>0.02</v>
      </c>
      <c r="AY184" s="145">
        <f>0.2/10+AY183</f>
        <v>0.02</v>
      </c>
      <c r="AZ184" s="145">
        <f>0.2/10+AZ183</f>
        <v>0.02</v>
      </c>
      <c r="BA184" s="145">
        <v>0</v>
      </c>
      <c r="BB184" s="287">
        <f t="shared" ca="1" si="129"/>
        <v>2.2187390400000003E-2</v>
      </c>
      <c r="BC184" s="287">
        <f t="shared" ca="1" si="130"/>
        <v>2.2187390400000003E-2</v>
      </c>
      <c r="BD184" s="287">
        <f t="shared" ca="1" si="131"/>
        <v>2.2187390400000003E-2</v>
      </c>
      <c r="BE184" s="287">
        <f t="shared" ca="1" si="132"/>
        <v>2.2187390400000003E-2</v>
      </c>
      <c r="BF184" s="287">
        <f t="shared" ca="1" si="133"/>
        <v>0</v>
      </c>
      <c r="BG184" s="877"/>
      <c r="BH184" s="45"/>
      <c r="BI184" s="45"/>
    </row>
    <row r="185" spans="1:61" s="252" customFormat="1" ht="15" hidden="1"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43"/>
      <c r="AE185" s="43"/>
      <c r="AF185" s="43"/>
      <c r="AG185" s="43"/>
      <c r="AH185" s="45">
        <v>7</v>
      </c>
      <c r="AI185" s="45" t="b">
        <f t="shared" si="123"/>
        <v>0</v>
      </c>
      <c r="AJ185" s="45" t="b">
        <f t="shared" si="112"/>
        <v>1</v>
      </c>
      <c r="AK185" s="281" t="b">
        <f t="shared" si="134"/>
        <v>0</v>
      </c>
      <c r="AL185" s="145">
        <f t="shared" ref="AL185:AL192" si="156">+ABS($AL$183-$AL$193)/10+AL184</f>
        <v>-1.92</v>
      </c>
      <c r="AM185" s="145">
        <f t="shared" ref="AM185:AM192" si="157">+ABS($AM$183-$AM$193)/10+AM184</f>
        <v>-1.02</v>
      </c>
      <c r="AN185" s="145">
        <f t="shared" ref="AN185:AN191" si="158">+ABS($AN$183-$AN$193)/10+AN184</f>
        <v>-0.6</v>
      </c>
      <c r="AO185" s="145">
        <f t="shared" ref="AO185:AO192" si="159">+ABS($AO$183-$AO$193)/10+AO184</f>
        <v>-0.48</v>
      </c>
      <c r="AP185" s="145">
        <v>0</v>
      </c>
      <c r="AQ185" s="287">
        <f t="shared" ca="1" si="124"/>
        <v>-2.1299894784000002</v>
      </c>
      <c r="AR185" s="287">
        <f t="shared" ca="1" si="125"/>
        <v>-1.1315569104000003</v>
      </c>
      <c r="AS185" s="287">
        <f t="shared" ca="1" si="126"/>
        <v>-0.66562171200000009</v>
      </c>
      <c r="AT185" s="287">
        <f t="shared" ca="1" si="127"/>
        <v>-0.53249736960000005</v>
      </c>
      <c r="AU185" s="287">
        <f t="shared" ca="1" si="128"/>
        <v>0</v>
      </c>
      <c r="AV185" s="877"/>
      <c r="AW185" s="145">
        <f t="shared" ref="AW185:AW192" si="160">0.2/10+AW184</f>
        <v>0.04</v>
      </c>
      <c r="AX185" s="145">
        <f t="shared" ref="AX185:AX192" si="161">0.2/10+AX184</f>
        <v>0.04</v>
      </c>
      <c r="AY185" s="145">
        <f t="shared" ref="AY185:AY192" si="162">0.2/10+AY184</f>
        <v>0.04</v>
      </c>
      <c r="AZ185" s="145">
        <f t="shared" ref="AZ185:AZ192" si="163">0.2/10+AZ184</f>
        <v>0.04</v>
      </c>
      <c r="BA185" s="145">
        <v>0</v>
      </c>
      <c r="BB185" s="287">
        <f t="shared" ca="1" si="129"/>
        <v>4.4374780800000006E-2</v>
      </c>
      <c r="BC185" s="287">
        <f t="shared" ca="1" si="130"/>
        <v>4.4374780800000006E-2</v>
      </c>
      <c r="BD185" s="287">
        <f t="shared" ca="1" si="131"/>
        <v>4.4374780800000006E-2</v>
      </c>
      <c r="BE185" s="287">
        <f t="shared" ca="1" si="132"/>
        <v>4.4374780800000006E-2</v>
      </c>
      <c r="BF185" s="287">
        <f t="shared" ca="1" si="133"/>
        <v>0</v>
      </c>
      <c r="BG185" s="877"/>
      <c r="BH185" s="45"/>
      <c r="BI185" s="45"/>
    </row>
    <row r="186" spans="1:61" s="252" customFormat="1" ht="15" hidden="1"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43"/>
      <c r="AE186" s="43"/>
      <c r="AF186" s="43"/>
      <c r="AG186" s="43"/>
      <c r="AH186" s="45">
        <v>8</v>
      </c>
      <c r="AI186" s="45" t="b">
        <f t="shared" si="123"/>
        <v>0</v>
      </c>
      <c r="AJ186" s="45" t="b">
        <f t="shared" si="112"/>
        <v>1</v>
      </c>
      <c r="AK186" s="281" t="b">
        <f t="shared" si="134"/>
        <v>0</v>
      </c>
      <c r="AL186" s="145">
        <f t="shared" si="156"/>
        <v>-1.88</v>
      </c>
      <c r="AM186" s="145">
        <f t="shared" si="157"/>
        <v>-0.98</v>
      </c>
      <c r="AN186" s="145">
        <f t="shared" si="158"/>
        <v>-0.6</v>
      </c>
      <c r="AO186" s="145">
        <f t="shared" si="159"/>
        <v>-0.47</v>
      </c>
      <c r="AP186" s="145">
        <v>0</v>
      </c>
      <c r="AQ186" s="287">
        <f t="shared" ca="1" si="124"/>
        <v>-2.0856146976000005</v>
      </c>
      <c r="AR186" s="287">
        <f t="shared" ca="1" si="125"/>
        <v>-1.0871821296000002</v>
      </c>
      <c r="AS186" s="287">
        <f t="shared" ca="1" si="126"/>
        <v>-0.66562171200000009</v>
      </c>
      <c r="AT186" s="287">
        <f t="shared" ca="1" si="127"/>
        <v>-0.52140367440000013</v>
      </c>
      <c r="AU186" s="287">
        <f t="shared" ca="1" si="128"/>
        <v>0</v>
      </c>
      <c r="AV186" s="877"/>
      <c r="AW186" s="145">
        <f t="shared" si="160"/>
        <v>0.06</v>
      </c>
      <c r="AX186" s="145">
        <f t="shared" si="161"/>
        <v>0.06</v>
      </c>
      <c r="AY186" s="145">
        <f t="shared" si="162"/>
        <v>0.06</v>
      </c>
      <c r="AZ186" s="145">
        <f t="shared" si="163"/>
        <v>0.06</v>
      </c>
      <c r="BA186" s="145">
        <v>0</v>
      </c>
      <c r="BB186" s="287">
        <f t="shared" ca="1" si="129"/>
        <v>6.6562171200000006E-2</v>
      </c>
      <c r="BC186" s="287">
        <f t="shared" ca="1" si="130"/>
        <v>6.6562171200000006E-2</v>
      </c>
      <c r="BD186" s="287">
        <f t="shared" ca="1" si="131"/>
        <v>6.6562171200000006E-2</v>
      </c>
      <c r="BE186" s="287">
        <f t="shared" ca="1" si="132"/>
        <v>6.6562171200000006E-2</v>
      </c>
      <c r="BF186" s="287">
        <f t="shared" ca="1" si="133"/>
        <v>0</v>
      </c>
      <c r="BG186" s="877"/>
      <c r="BH186" s="45"/>
      <c r="BI186" s="45"/>
    </row>
    <row r="187" spans="1:61" s="252" customFormat="1" ht="15" hidden="1"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43"/>
      <c r="AE187" s="43"/>
      <c r="AF187" s="43"/>
      <c r="AG187" s="43"/>
      <c r="AH187" s="45">
        <v>9</v>
      </c>
      <c r="AI187" s="45" t="b">
        <f t="shared" si="123"/>
        <v>0</v>
      </c>
      <c r="AJ187" s="45" t="b">
        <f t="shared" si="112"/>
        <v>1</v>
      </c>
      <c r="AK187" s="281" t="b">
        <f t="shared" si="134"/>
        <v>0</v>
      </c>
      <c r="AL187" s="145">
        <f t="shared" si="156"/>
        <v>-1.8399999999999999</v>
      </c>
      <c r="AM187" s="145">
        <f t="shared" si="157"/>
        <v>-0.94</v>
      </c>
      <c r="AN187" s="145">
        <f t="shared" si="158"/>
        <v>-0.6</v>
      </c>
      <c r="AO187" s="145">
        <f t="shared" si="159"/>
        <v>-0.45999999999999996</v>
      </c>
      <c r="AP187" s="145">
        <v>0</v>
      </c>
      <c r="AQ187" s="287">
        <f t="shared" ca="1" si="124"/>
        <v>-2.0412399168000004</v>
      </c>
      <c r="AR187" s="287">
        <f t="shared" ca="1" si="125"/>
        <v>-1.0428073488000003</v>
      </c>
      <c r="AS187" s="287">
        <f t="shared" ca="1" si="126"/>
        <v>-0.66562171200000009</v>
      </c>
      <c r="AT187" s="287">
        <f t="shared" ca="1" si="127"/>
        <v>-0.5103099792000001</v>
      </c>
      <c r="AU187" s="287">
        <f t="shared" ca="1" si="128"/>
        <v>0</v>
      </c>
      <c r="AV187" s="877"/>
      <c r="AW187" s="145">
        <f t="shared" si="160"/>
        <v>0.08</v>
      </c>
      <c r="AX187" s="145">
        <f t="shared" si="161"/>
        <v>0.08</v>
      </c>
      <c r="AY187" s="145">
        <f t="shared" si="162"/>
        <v>0.08</v>
      </c>
      <c r="AZ187" s="145">
        <f t="shared" si="163"/>
        <v>0.08</v>
      </c>
      <c r="BA187" s="145">
        <v>0</v>
      </c>
      <c r="BB187" s="287">
        <f t="shared" ca="1" si="129"/>
        <v>8.8749561600000013E-2</v>
      </c>
      <c r="BC187" s="287">
        <f t="shared" ca="1" si="130"/>
        <v>8.8749561600000013E-2</v>
      </c>
      <c r="BD187" s="287">
        <f t="shared" ca="1" si="131"/>
        <v>8.8749561600000013E-2</v>
      </c>
      <c r="BE187" s="287">
        <f t="shared" ca="1" si="132"/>
        <v>8.8749561600000013E-2</v>
      </c>
      <c r="BF187" s="287">
        <f t="shared" ca="1" si="133"/>
        <v>0</v>
      </c>
      <c r="BG187" s="877"/>
      <c r="BH187" s="45"/>
      <c r="BI187" s="45"/>
    </row>
    <row r="188" spans="1:61" s="252" customFormat="1" ht="15" hidden="1"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43"/>
      <c r="AE188" s="43"/>
      <c r="AF188" s="43"/>
      <c r="AG188" s="43"/>
      <c r="AH188" s="45">
        <v>10</v>
      </c>
      <c r="AI188" s="45" t="b">
        <f t="shared" si="123"/>
        <v>0</v>
      </c>
      <c r="AJ188" s="45" t="b">
        <f t="shared" si="112"/>
        <v>1</v>
      </c>
      <c r="AK188" s="281" t="b">
        <f t="shared" si="134"/>
        <v>0</v>
      </c>
      <c r="AL188" s="145">
        <f t="shared" si="156"/>
        <v>-1.7999999999999998</v>
      </c>
      <c r="AM188" s="145">
        <f t="shared" si="157"/>
        <v>-0.89999999999999991</v>
      </c>
      <c r="AN188" s="145">
        <f t="shared" si="158"/>
        <v>-0.6</v>
      </c>
      <c r="AO188" s="145">
        <f t="shared" si="159"/>
        <v>-0.44999999999999996</v>
      </c>
      <c r="AP188" s="145">
        <v>0</v>
      </c>
      <c r="AQ188" s="287">
        <f t="shared" ca="1" si="124"/>
        <v>-1.9968651360000003</v>
      </c>
      <c r="AR188" s="287">
        <f t="shared" ca="1" si="125"/>
        <v>-0.99843256800000013</v>
      </c>
      <c r="AS188" s="287">
        <f t="shared" ca="1" si="126"/>
        <v>-0.66562171200000009</v>
      </c>
      <c r="AT188" s="287">
        <f t="shared" ca="1" si="127"/>
        <v>-0.49921628400000007</v>
      </c>
      <c r="AU188" s="287">
        <f t="shared" ca="1" si="128"/>
        <v>0</v>
      </c>
      <c r="AV188" s="877"/>
      <c r="AW188" s="145">
        <f t="shared" si="160"/>
        <v>0.1</v>
      </c>
      <c r="AX188" s="145">
        <f t="shared" si="161"/>
        <v>0.1</v>
      </c>
      <c r="AY188" s="145">
        <f t="shared" si="162"/>
        <v>0.1</v>
      </c>
      <c r="AZ188" s="145">
        <f t="shared" si="163"/>
        <v>0.1</v>
      </c>
      <c r="BA188" s="145">
        <v>0</v>
      </c>
      <c r="BB188" s="287">
        <f t="shared" ca="1" si="129"/>
        <v>0.11093695200000003</v>
      </c>
      <c r="BC188" s="287">
        <f t="shared" ca="1" si="130"/>
        <v>0.11093695200000003</v>
      </c>
      <c r="BD188" s="287">
        <f t="shared" ca="1" si="131"/>
        <v>0.11093695200000003</v>
      </c>
      <c r="BE188" s="287">
        <f t="shared" ca="1" si="132"/>
        <v>0.11093695200000003</v>
      </c>
      <c r="BF188" s="287">
        <f t="shared" ca="1" si="133"/>
        <v>0</v>
      </c>
      <c r="BG188" s="877"/>
      <c r="BH188" s="45"/>
      <c r="BI188" s="45"/>
    </row>
    <row r="189" spans="1:61" s="252" customFormat="1" ht="15" hidden="1"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43"/>
      <c r="AE189" s="43"/>
      <c r="AF189" s="43"/>
      <c r="AG189" s="43"/>
      <c r="AH189" s="45">
        <v>11</v>
      </c>
      <c r="AI189" s="45" t="b">
        <f t="shared" si="123"/>
        <v>0</v>
      </c>
      <c r="AJ189" s="45" t="b">
        <f t="shared" si="112"/>
        <v>1</v>
      </c>
      <c r="AK189" s="281" t="b">
        <f t="shared" si="134"/>
        <v>0</v>
      </c>
      <c r="AL189" s="145">
        <f t="shared" si="156"/>
        <v>-1.7599999999999998</v>
      </c>
      <c r="AM189" s="145">
        <f t="shared" si="157"/>
        <v>-0.85999999999999988</v>
      </c>
      <c r="AN189" s="145">
        <f t="shared" si="158"/>
        <v>-0.6</v>
      </c>
      <c r="AO189" s="145">
        <f t="shared" si="159"/>
        <v>-0.43999999999999995</v>
      </c>
      <c r="AP189" s="145">
        <v>0</v>
      </c>
      <c r="AQ189" s="287">
        <f t="shared" ca="1" si="124"/>
        <v>-1.9524903552000001</v>
      </c>
      <c r="AR189" s="287">
        <f t="shared" ca="1" si="125"/>
        <v>-0.95405778720000001</v>
      </c>
      <c r="AS189" s="287">
        <f t="shared" ca="1" si="126"/>
        <v>-0.66562171200000009</v>
      </c>
      <c r="AT189" s="287">
        <f t="shared" ca="1" si="127"/>
        <v>-0.48812258880000003</v>
      </c>
      <c r="AU189" s="287">
        <f t="shared" ca="1" si="128"/>
        <v>0</v>
      </c>
      <c r="AV189" s="877"/>
      <c r="AW189" s="145">
        <f t="shared" si="160"/>
        <v>0.12000000000000001</v>
      </c>
      <c r="AX189" s="145">
        <f t="shared" si="161"/>
        <v>0.12000000000000001</v>
      </c>
      <c r="AY189" s="145">
        <f t="shared" si="162"/>
        <v>0.12000000000000001</v>
      </c>
      <c r="AZ189" s="145">
        <f t="shared" si="163"/>
        <v>0.12000000000000001</v>
      </c>
      <c r="BA189" s="145">
        <v>0</v>
      </c>
      <c r="BB189" s="287">
        <f t="shared" ca="1" si="129"/>
        <v>0.13312434240000004</v>
      </c>
      <c r="BC189" s="287">
        <f t="shared" ca="1" si="130"/>
        <v>0.13312434240000004</v>
      </c>
      <c r="BD189" s="287">
        <f t="shared" ca="1" si="131"/>
        <v>0.13312434240000004</v>
      </c>
      <c r="BE189" s="287">
        <f t="shared" ca="1" si="132"/>
        <v>0.13312434240000004</v>
      </c>
      <c r="BF189" s="287">
        <f t="shared" ca="1" si="133"/>
        <v>0</v>
      </c>
      <c r="BG189" s="877"/>
      <c r="BH189" s="45"/>
      <c r="BI189" s="45"/>
    </row>
    <row r="190" spans="1:61" s="252" customFormat="1" ht="15" hidden="1"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43"/>
      <c r="AE190" s="43"/>
      <c r="AF190" s="43"/>
      <c r="AG190" s="43"/>
      <c r="AH190" s="45">
        <v>12</v>
      </c>
      <c r="AI190" s="45" t="b">
        <f t="shared" si="123"/>
        <v>0</v>
      </c>
      <c r="AJ190" s="45" t="b">
        <f t="shared" si="112"/>
        <v>1</v>
      </c>
      <c r="AK190" s="281" t="b">
        <f t="shared" si="134"/>
        <v>0</v>
      </c>
      <c r="AL190" s="145">
        <f t="shared" si="156"/>
        <v>-1.7199999999999998</v>
      </c>
      <c r="AM190" s="145">
        <f t="shared" si="157"/>
        <v>-0.81999999999999984</v>
      </c>
      <c r="AN190" s="145">
        <f t="shared" si="158"/>
        <v>-0.6</v>
      </c>
      <c r="AO190" s="145">
        <f t="shared" si="159"/>
        <v>-0.42999999999999994</v>
      </c>
      <c r="AP190" s="145">
        <v>0</v>
      </c>
      <c r="AQ190" s="287">
        <f t="shared" ca="1" si="124"/>
        <v>-1.9081155744</v>
      </c>
      <c r="AR190" s="287">
        <f t="shared" ca="1" si="125"/>
        <v>-0.90968300639999999</v>
      </c>
      <c r="AS190" s="287">
        <f t="shared" ca="1" si="126"/>
        <v>-0.66562171200000009</v>
      </c>
      <c r="AT190" s="287">
        <f t="shared" ca="1" si="127"/>
        <v>-0.4770288936</v>
      </c>
      <c r="AU190" s="287">
        <f t="shared" ca="1" si="128"/>
        <v>0</v>
      </c>
      <c r="AV190" s="877"/>
      <c r="AW190" s="145">
        <f t="shared" si="160"/>
        <v>0.14000000000000001</v>
      </c>
      <c r="AX190" s="145">
        <f t="shared" si="161"/>
        <v>0.14000000000000001</v>
      </c>
      <c r="AY190" s="145">
        <f t="shared" si="162"/>
        <v>0.14000000000000001</v>
      </c>
      <c r="AZ190" s="145">
        <f t="shared" si="163"/>
        <v>0.14000000000000001</v>
      </c>
      <c r="BA190" s="145">
        <v>0</v>
      </c>
      <c r="BB190" s="287">
        <f t="shared" ca="1" si="129"/>
        <v>0.15531173280000005</v>
      </c>
      <c r="BC190" s="287">
        <f t="shared" ca="1" si="130"/>
        <v>0.15531173280000005</v>
      </c>
      <c r="BD190" s="287">
        <f t="shared" ca="1" si="131"/>
        <v>0.15531173280000005</v>
      </c>
      <c r="BE190" s="287">
        <f t="shared" ca="1" si="132"/>
        <v>0.15531173280000005</v>
      </c>
      <c r="BF190" s="287">
        <f t="shared" ca="1" si="133"/>
        <v>0</v>
      </c>
      <c r="BG190" s="877"/>
      <c r="BH190" s="45"/>
      <c r="BI190" s="45"/>
    </row>
    <row r="191" spans="1:61" s="252" customFormat="1" ht="15" hidden="1"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43"/>
      <c r="AE191" s="43"/>
      <c r="AF191" s="43"/>
      <c r="AG191" s="43"/>
      <c r="AH191" s="45">
        <v>13</v>
      </c>
      <c r="AI191" s="45" t="b">
        <f t="shared" si="123"/>
        <v>0</v>
      </c>
      <c r="AJ191" s="45" t="b">
        <f t="shared" si="112"/>
        <v>1</v>
      </c>
      <c r="AK191" s="281" t="b">
        <f t="shared" si="134"/>
        <v>0</v>
      </c>
      <c r="AL191" s="145">
        <f t="shared" si="156"/>
        <v>-1.6799999999999997</v>
      </c>
      <c r="AM191" s="145">
        <f t="shared" si="157"/>
        <v>-0.7799999999999998</v>
      </c>
      <c r="AN191" s="145">
        <f t="shared" si="158"/>
        <v>-0.6</v>
      </c>
      <c r="AO191" s="145">
        <f t="shared" si="159"/>
        <v>-0.41999999999999993</v>
      </c>
      <c r="AP191" s="145">
        <v>0</v>
      </c>
      <c r="AQ191" s="287">
        <f t="shared" ca="1" si="124"/>
        <v>-1.8637407936000001</v>
      </c>
      <c r="AR191" s="287">
        <f t="shared" ca="1" si="125"/>
        <v>-0.86530822559999998</v>
      </c>
      <c r="AS191" s="287">
        <f t="shared" ca="1" si="126"/>
        <v>-0.66562171200000009</v>
      </c>
      <c r="AT191" s="287">
        <f t="shared" ca="1" si="127"/>
        <v>-0.46593519840000003</v>
      </c>
      <c r="AU191" s="287">
        <f t="shared" ca="1" si="128"/>
        <v>0</v>
      </c>
      <c r="AV191" s="877"/>
      <c r="AW191" s="145">
        <f t="shared" si="160"/>
        <v>0.16</v>
      </c>
      <c r="AX191" s="145">
        <f t="shared" si="161"/>
        <v>0.16</v>
      </c>
      <c r="AY191" s="145">
        <f t="shared" si="162"/>
        <v>0.16</v>
      </c>
      <c r="AZ191" s="145">
        <f t="shared" si="163"/>
        <v>0.16</v>
      </c>
      <c r="BA191" s="145">
        <v>0</v>
      </c>
      <c r="BB191" s="287">
        <f t="shared" ca="1" si="129"/>
        <v>0.17749912320000003</v>
      </c>
      <c r="BC191" s="287">
        <f t="shared" ca="1" si="130"/>
        <v>0.17749912320000003</v>
      </c>
      <c r="BD191" s="287">
        <f t="shared" ca="1" si="131"/>
        <v>0.17749912320000003</v>
      </c>
      <c r="BE191" s="287">
        <f t="shared" ca="1" si="132"/>
        <v>0.17749912320000003</v>
      </c>
      <c r="BF191" s="287">
        <f t="shared" ca="1" si="133"/>
        <v>0</v>
      </c>
      <c r="BG191" s="877"/>
      <c r="BH191" s="45"/>
      <c r="BI191" s="45"/>
    </row>
    <row r="192" spans="1:61" s="252" customFormat="1" ht="15" hidden="1"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43"/>
      <c r="AE192" s="43"/>
      <c r="AF192" s="43"/>
      <c r="AG192" s="43"/>
      <c r="AH192" s="45">
        <v>14</v>
      </c>
      <c r="AI192" s="45" t="b">
        <f t="shared" si="123"/>
        <v>0</v>
      </c>
      <c r="AJ192" s="45" t="b">
        <f t="shared" si="112"/>
        <v>1</v>
      </c>
      <c r="AK192" s="281" t="b">
        <f t="shared" si="134"/>
        <v>0</v>
      </c>
      <c r="AL192" s="145">
        <f t="shared" si="156"/>
        <v>-1.6399999999999997</v>
      </c>
      <c r="AM192" s="145">
        <f t="shared" si="157"/>
        <v>-0.73999999999999977</v>
      </c>
      <c r="AN192" s="145">
        <f>+ABS($AN$183-$AN$193)/10+AN191</f>
        <v>-0.6</v>
      </c>
      <c r="AO192" s="145">
        <f t="shared" si="159"/>
        <v>-0.40999999999999992</v>
      </c>
      <c r="AP192" s="145">
        <v>0</v>
      </c>
      <c r="AQ192" s="287">
        <f t="shared" ca="1" si="124"/>
        <v>-1.8193660128</v>
      </c>
      <c r="AR192" s="287">
        <f t="shared" ca="1" si="125"/>
        <v>-0.82093344479999986</v>
      </c>
      <c r="AS192" s="287">
        <f t="shared" ca="1" si="126"/>
        <v>-0.66562171200000009</v>
      </c>
      <c r="AT192" s="287">
        <f t="shared" ca="1" si="127"/>
        <v>-0.4548415032</v>
      </c>
      <c r="AU192" s="287">
        <f t="shared" ca="1" si="128"/>
        <v>0</v>
      </c>
      <c r="AV192" s="877"/>
      <c r="AW192" s="145">
        <f t="shared" si="160"/>
        <v>0.18</v>
      </c>
      <c r="AX192" s="145">
        <f t="shared" si="161"/>
        <v>0.18</v>
      </c>
      <c r="AY192" s="145">
        <f t="shared" si="162"/>
        <v>0.18</v>
      </c>
      <c r="AZ192" s="145">
        <f t="shared" si="163"/>
        <v>0.18</v>
      </c>
      <c r="BA192" s="145">
        <v>0</v>
      </c>
      <c r="BB192" s="287">
        <f t="shared" ca="1" si="129"/>
        <v>0.19968651360000003</v>
      </c>
      <c r="BC192" s="287">
        <f t="shared" ca="1" si="130"/>
        <v>0.19968651360000003</v>
      </c>
      <c r="BD192" s="287">
        <f t="shared" ca="1" si="131"/>
        <v>0.19968651360000003</v>
      </c>
      <c r="BE192" s="287">
        <f t="shared" ca="1" si="132"/>
        <v>0.19968651360000003</v>
      </c>
      <c r="BF192" s="287">
        <f t="shared" ca="1" si="133"/>
        <v>0</v>
      </c>
      <c r="BG192" s="877"/>
      <c r="BH192" s="45"/>
      <c r="BI192" s="45"/>
    </row>
    <row r="193" spans="1:61" s="252" customFormat="1" ht="15" hidden="1"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43"/>
      <c r="AE193" s="43"/>
      <c r="AF193" s="43"/>
      <c r="AG193" s="43"/>
      <c r="AH193" s="276">
        <v>15</v>
      </c>
      <c r="AI193" s="45" t="b">
        <f t="shared" si="123"/>
        <v>0</v>
      </c>
      <c r="AJ193" s="45" t="b">
        <f t="shared" si="112"/>
        <v>1</v>
      </c>
      <c r="AK193" s="281" t="b">
        <f t="shared" si="134"/>
        <v>0</v>
      </c>
      <c r="AL193" s="287">
        <v>-1.6</v>
      </c>
      <c r="AM193" s="287">
        <v>-1.5</v>
      </c>
      <c r="AN193" s="287">
        <v>-0.6</v>
      </c>
      <c r="AO193" s="287">
        <v>-0.4</v>
      </c>
      <c r="AP193" s="145">
        <v>0</v>
      </c>
      <c r="AQ193" s="287">
        <f t="shared" ca="1" si="124"/>
        <v>-1.7749912320000005</v>
      </c>
      <c r="AR193" s="287">
        <f t="shared" ca="1" si="125"/>
        <v>-1.6640542800000002</v>
      </c>
      <c r="AS193" s="287">
        <f t="shared" ca="1" si="126"/>
        <v>-0.66562171200000009</v>
      </c>
      <c r="AT193" s="287">
        <f t="shared" ca="1" si="127"/>
        <v>-0.44374780800000013</v>
      </c>
      <c r="AU193" s="287">
        <f t="shared" ca="1" si="128"/>
        <v>0</v>
      </c>
      <c r="AV193" s="877"/>
      <c r="AW193" s="287">
        <v>0.2</v>
      </c>
      <c r="AX193" s="287">
        <v>0.2</v>
      </c>
      <c r="AY193" s="287">
        <v>0.2</v>
      </c>
      <c r="AZ193" s="287">
        <v>0.2</v>
      </c>
      <c r="BA193" s="145">
        <v>0</v>
      </c>
      <c r="BB193" s="287">
        <f t="shared" ca="1" si="129"/>
        <v>0.22187390400000007</v>
      </c>
      <c r="BC193" s="287">
        <f t="shared" ca="1" si="130"/>
        <v>0.22187390400000007</v>
      </c>
      <c r="BD193" s="287">
        <f t="shared" ca="1" si="131"/>
        <v>0.22187390400000007</v>
      </c>
      <c r="BE193" s="287">
        <f t="shared" ca="1" si="132"/>
        <v>0.22187390400000007</v>
      </c>
      <c r="BF193" s="287">
        <f t="shared" ca="1" si="133"/>
        <v>0</v>
      </c>
      <c r="BG193" s="877"/>
      <c r="BH193" s="45"/>
      <c r="BI193" s="45"/>
    </row>
    <row r="194" spans="1:61" s="252" customFormat="1" ht="15" hidden="1"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43"/>
      <c r="AE194" s="43"/>
      <c r="AF194" s="43"/>
      <c r="AG194" s="43"/>
      <c r="AH194" s="45">
        <v>16</v>
      </c>
      <c r="AI194" s="45" t="b">
        <f t="shared" si="123"/>
        <v>0</v>
      </c>
      <c r="AJ194" s="45" t="b">
        <f t="shared" si="112"/>
        <v>1</v>
      </c>
      <c r="AK194" s="281" t="b">
        <f t="shared" si="134"/>
        <v>0</v>
      </c>
      <c r="AL194" s="145">
        <f>+ABS($AL$193-$AL$208)/15+AL193</f>
        <v>-1.5733333333333335</v>
      </c>
      <c r="AM194" s="145">
        <f>+ABS($AM$193-$AM$208)/15+AM193</f>
        <v>-1.4733333333333334</v>
      </c>
      <c r="AN194" s="145">
        <f>+ABS($AN$193-$AN$208)/15+AN193</f>
        <v>-0.6</v>
      </c>
      <c r="AO194" s="145">
        <f>0-(ABS($AO$193-$AO$208)/15-AO193)</f>
        <v>-0.40666666666666668</v>
      </c>
      <c r="AP194" s="145">
        <v>0</v>
      </c>
      <c r="AQ194" s="287">
        <f t="shared" ca="1" si="124"/>
        <v>-1.7454080448000004</v>
      </c>
      <c r="AR194" s="287">
        <f t="shared" ca="1" si="125"/>
        <v>-1.6344710928000004</v>
      </c>
      <c r="AS194" s="287">
        <f t="shared" ca="1" si="126"/>
        <v>-0.66562171200000009</v>
      </c>
      <c r="AT194" s="287">
        <f t="shared" ca="1" si="127"/>
        <v>-0.4511436048000001</v>
      </c>
      <c r="AU194" s="287">
        <f t="shared" ca="1" si="128"/>
        <v>0</v>
      </c>
      <c r="AV194" s="877"/>
      <c r="AW194" s="145">
        <f>0.3/15+AW193</f>
        <v>0.22</v>
      </c>
      <c r="AX194" s="145">
        <f>0.2/15+AX193</f>
        <v>0.21333333333333335</v>
      </c>
      <c r="AY194" s="145">
        <f>0.1/15+AY193</f>
        <v>0.20666666666666667</v>
      </c>
      <c r="AZ194" s="145">
        <f>0+AZ193</f>
        <v>0.2</v>
      </c>
      <c r="BA194" s="145">
        <v>0</v>
      </c>
      <c r="BB194" s="287">
        <f t="shared" ca="1" si="129"/>
        <v>0.24406129440000005</v>
      </c>
      <c r="BC194" s="287">
        <f t="shared" ca="1" si="130"/>
        <v>0.23666549760000005</v>
      </c>
      <c r="BD194" s="287">
        <f t="shared" ca="1" si="131"/>
        <v>0.22926970080000003</v>
      </c>
      <c r="BE194" s="287">
        <f t="shared" ca="1" si="132"/>
        <v>0.22187390400000007</v>
      </c>
      <c r="BF194" s="287">
        <f t="shared" ca="1" si="133"/>
        <v>0</v>
      </c>
      <c r="BG194" s="877"/>
      <c r="BH194" s="45"/>
      <c r="BI194" s="45"/>
    </row>
    <row r="195" spans="1:61" s="252" customFormat="1" ht="15" hidden="1"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43"/>
      <c r="AE195" s="43"/>
      <c r="AF195" s="43"/>
      <c r="AG195" s="43"/>
      <c r="AH195" s="45">
        <v>17</v>
      </c>
      <c r="AI195" s="45" t="b">
        <f t="shared" si="123"/>
        <v>0</v>
      </c>
      <c r="AJ195" s="45" t="b">
        <f t="shared" si="112"/>
        <v>1</v>
      </c>
      <c r="AK195" s="281" t="b">
        <f t="shared" si="134"/>
        <v>0</v>
      </c>
      <c r="AL195" s="145">
        <f t="shared" ref="AL195:AL207" si="164">+ABS($AL$193-$AL$208)/15+AL194</f>
        <v>-1.5466666666666669</v>
      </c>
      <c r="AM195" s="145">
        <f t="shared" ref="AM195:AM207" si="165">+ABS($AM$193-$AM$208)/15+AM194</f>
        <v>-1.4466666666666668</v>
      </c>
      <c r="AN195" s="145">
        <f t="shared" ref="AN195:AN207" si="166">+ABS($AN$193-$AN$208)/15+AN194</f>
        <v>-0.6</v>
      </c>
      <c r="AO195" s="145">
        <f t="shared" ref="AO195:AO207" si="167">0-(ABS($AO$193-$AO$208)/15-AO194)</f>
        <v>-0.41333333333333333</v>
      </c>
      <c r="AP195" s="145">
        <v>0</v>
      </c>
      <c r="AQ195" s="287">
        <f t="shared" ca="1" si="124"/>
        <v>-1.7158248576000006</v>
      </c>
      <c r="AR195" s="287">
        <f t="shared" ca="1" si="125"/>
        <v>-1.6048879056000005</v>
      </c>
      <c r="AS195" s="287">
        <f t="shared" ca="1" si="126"/>
        <v>-0.66562171200000009</v>
      </c>
      <c r="AT195" s="287">
        <f t="shared" ca="1" si="127"/>
        <v>-0.45853940160000006</v>
      </c>
      <c r="AU195" s="287">
        <f t="shared" ca="1" si="128"/>
        <v>0</v>
      </c>
      <c r="AV195" s="877"/>
      <c r="AW195" s="145">
        <f t="shared" ref="AW195:AW207" si="168">0.3/15+AW194</f>
        <v>0.24</v>
      </c>
      <c r="AX195" s="145">
        <f t="shared" ref="AX195:AX207" si="169">0.2/15+AX194</f>
        <v>0.22666666666666668</v>
      </c>
      <c r="AY195" s="145">
        <f t="shared" ref="AY195:AY207" si="170">0.1/15+AY194</f>
        <v>0.21333333333333332</v>
      </c>
      <c r="AZ195" s="145">
        <f t="shared" ref="AZ195:AZ207" si="171">0+AZ194</f>
        <v>0.2</v>
      </c>
      <c r="BA195" s="145">
        <v>0</v>
      </c>
      <c r="BB195" s="287">
        <f t="shared" ca="1" si="129"/>
        <v>0.26624868480000002</v>
      </c>
      <c r="BC195" s="287">
        <f t="shared" ca="1" si="130"/>
        <v>0.25145709120000009</v>
      </c>
      <c r="BD195" s="287">
        <f t="shared" ca="1" si="131"/>
        <v>0.23666549760000002</v>
      </c>
      <c r="BE195" s="287">
        <f t="shared" ca="1" si="132"/>
        <v>0.22187390400000007</v>
      </c>
      <c r="BF195" s="287">
        <f t="shared" ca="1" si="133"/>
        <v>0</v>
      </c>
      <c r="BG195" s="877"/>
      <c r="BH195" s="45"/>
      <c r="BI195" s="45"/>
    </row>
    <row r="196" spans="1:61" s="252" customFormat="1" ht="15" hidden="1"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43"/>
      <c r="AE196" s="43"/>
      <c r="AF196" s="43"/>
      <c r="AG196" s="43"/>
      <c r="AH196" s="45">
        <v>18</v>
      </c>
      <c r="AI196" s="45" t="b">
        <f t="shared" si="123"/>
        <v>0</v>
      </c>
      <c r="AJ196" s="45" t="b">
        <f t="shared" si="112"/>
        <v>1</v>
      </c>
      <c r="AK196" s="281" t="b">
        <f t="shared" si="134"/>
        <v>0</v>
      </c>
      <c r="AL196" s="145">
        <f t="shared" si="164"/>
        <v>-1.5200000000000002</v>
      </c>
      <c r="AM196" s="145">
        <f t="shared" si="165"/>
        <v>-1.4200000000000002</v>
      </c>
      <c r="AN196" s="145">
        <f t="shared" si="166"/>
        <v>-0.6</v>
      </c>
      <c r="AO196" s="145">
        <f t="shared" si="167"/>
        <v>-0.42</v>
      </c>
      <c r="AP196" s="145">
        <v>0</v>
      </c>
      <c r="AQ196" s="287">
        <f t="shared" ca="1" si="124"/>
        <v>-1.6862416704000005</v>
      </c>
      <c r="AR196" s="287">
        <f t="shared" ca="1" si="125"/>
        <v>-1.5753047184000004</v>
      </c>
      <c r="AS196" s="287">
        <f t="shared" ca="1" si="126"/>
        <v>-0.66562171200000009</v>
      </c>
      <c r="AT196" s="287">
        <f t="shared" ca="1" si="127"/>
        <v>-0.46593519840000008</v>
      </c>
      <c r="AU196" s="287">
        <f t="shared" ca="1" si="128"/>
        <v>0</v>
      </c>
      <c r="AV196" s="877"/>
      <c r="AW196" s="145">
        <f t="shared" si="168"/>
        <v>0.26</v>
      </c>
      <c r="AX196" s="145">
        <f t="shared" si="169"/>
        <v>0.24000000000000002</v>
      </c>
      <c r="AY196" s="145">
        <f t="shared" si="170"/>
        <v>0.21999999999999997</v>
      </c>
      <c r="AZ196" s="145">
        <f t="shared" si="171"/>
        <v>0.2</v>
      </c>
      <c r="BA196" s="145">
        <v>0</v>
      </c>
      <c r="BB196" s="287">
        <f t="shared" ca="1" si="129"/>
        <v>0.28843607520000009</v>
      </c>
      <c r="BC196" s="287">
        <f t="shared" ca="1" si="130"/>
        <v>0.26624868480000008</v>
      </c>
      <c r="BD196" s="287">
        <f t="shared" ca="1" si="131"/>
        <v>0.24406129440000002</v>
      </c>
      <c r="BE196" s="287">
        <f t="shared" ca="1" si="132"/>
        <v>0.22187390400000007</v>
      </c>
      <c r="BF196" s="287">
        <f t="shared" ca="1" si="133"/>
        <v>0</v>
      </c>
      <c r="BG196" s="877"/>
      <c r="BH196" s="45"/>
      <c r="BI196" s="45"/>
    </row>
    <row r="197" spans="1:61" s="252" customFormat="1" ht="15" hidden="1"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43"/>
      <c r="AE197" s="43"/>
      <c r="AF197" s="43"/>
      <c r="AG197" s="43"/>
      <c r="AH197" s="45">
        <v>19</v>
      </c>
      <c r="AI197" s="45" t="b">
        <f t="shared" si="123"/>
        <v>0</v>
      </c>
      <c r="AJ197" s="45" t="b">
        <f t="shared" si="112"/>
        <v>1</v>
      </c>
      <c r="AK197" s="281" t="b">
        <f t="shared" si="134"/>
        <v>0</v>
      </c>
      <c r="AL197" s="145">
        <f t="shared" si="164"/>
        <v>-1.4933333333333336</v>
      </c>
      <c r="AM197" s="145">
        <f t="shared" si="165"/>
        <v>-1.3933333333333335</v>
      </c>
      <c r="AN197" s="145">
        <f t="shared" si="166"/>
        <v>-0.6</v>
      </c>
      <c r="AO197" s="145">
        <f t="shared" si="167"/>
        <v>-0.42666666666666664</v>
      </c>
      <c r="AP197" s="145">
        <v>0</v>
      </c>
      <c r="AQ197" s="287">
        <f t="shared" ca="1" si="124"/>
        <v>-1.6566584832000006</v>
      </c>
      <c r="AR197" s="287">
        <f t="shared" ca="1" si="125"/>
        <v>-1.5457215312000006</v>
      </c>
      <c r="AS197" s="287">
        <f t="shared" ca="1" si="126"/>
        <v>-0.66562171200000009</v>
      </c>
      <c r="AT197" s="287">
        <f t="shared" ca="1" si="127"/>
        <v>-0.47333099520000005</v>
      </c>
      <c r="AU197" s="287">
        <f t="shared" ca="1" si="128"/>
        <v>0</v>
      </c>
      <c r="AV197" s="877"/>
      <c r="AW197" s="145">
        <f t="shared" si="168"/>
        <v>0.28000000000000003</v>
      </c>
      <c r="AX197" s="145">
        <f t="shared" si="169"/>
        <v>0.25333333333333335</v>
      </c>
      <c r="AY197" s="145">
        <f t="shared" si="170"/>
        <v>0.22666666666666663</v>
      </c>
      <c r="AZ197" s="145">
        <f t="shared" si="171"/>
        <v>0.2</v>
      </c>
      <c r="BA197" s="145">
        <v>0</v>
      </c>
      <c r="BB197" s="287">
        <f t="shared" ca="1" si="129"/>
        <v>0.31062346560000009</v>
      </c>
      <c r="BC197" s="287">
        <f t="shared" ca="1" si="130"/>
        <v>0.28104027840000007</v>
      </c>
      <c r="BD197" s="287">
        <f t="shared" ca="1" si="131"/>
        <v>0.25145709119999998</v>
      </c>
      <c r="BE197" s="287">
        <f t="shared" ca="1" si="132"/>
        <v>0.22187390400000007</v>
      </c>
      <c r="BF197" s="287">
        <f t="shared" ca="1" si="133"/>
        <v>0</v>
      </c>
      <c r="BG197" s="877"/>
      <c r="BH197" s="45"/>
      <c r="BI197" s="45"/>
    </row>
    <row r="198" spans="1:61" s="252" customFormat="1" ht="15" hidden="1"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43"/>
      <c r="AE198" s="43"/>
      <c r="AF198" s="43"/>
      <c r="AG198" s="43"/>
      <c r="AH198" s="45">
        <v>20</v>
      </c>
      <c r="AI198" s="45" t="b">
        <f t="shared" si="123"/>
        <v>1</v>
      </c>
      <c r="AJ198" s="45" t="b">
        <f t="shared" si="112"/>
        <v>1</v>
      </c>
      <c r="AK198" s="281" t="b">
        <f t="shared" si="134"/>
        <v>1</v>
      </c>
      <c r="AL198" s="145">
        <f t="shared" si="164"/>
        <v>-1.466666666666667</v>
      </c>
      <c r="AM198" s="145">
        <f t="shared" si="165"/>
        <v>-1.3666666666666669</v>
      </c>
      <c r="AN198" s="145">
        <f t="shared" si="166"/>
        <v>-0.6</v>
      </c>
      <c r="AO198" s="145">
        <f t="shared" si="167"/>
        <v>-0.43333333333333329</v>
      </c>
      <c r="AP198" s="145">
        <v>0</v>
      </c>
      <c r="AQ198" s="287">
        <f t="shared" ca="1" si="124"/>
        <v>-1.6270752960000008</v>
      </c>
      <c r="AR198" s="287">
        <f t="shared" ca="1" si="125"/>
        <v>-1.5161383440000005</v>
      </c>
      <c r="AS198" s="287">
        <f t="shared" ca="1" si="126"/>
        <v>-0.66562171200000009</v>
      </c>
      <c r="AT198" s="287">
        <f t="shared" ca="1" si="127"/>
        <v>-0.48072679200000007</v>
      </c>
      <c r="AU198" s="287">
        <f t="shared" ca="1" si="128"/>
        <v>0</v>
      </c>
      <c r="AV198" s="877"/>
      <c r="AW198" s="145">
        <f t="shared" si="168"/>
        <v>0.30000000000000004</v>
      </c>
      <c r="AX198" s="145">
        <f t="shared" si="169"/>
        <v>0.26666666666666666</v>
      </c>
      <c r="AY198" s="145">
        <f t="shared" si="170"/>
        <v>0.23333333333333328</v>
      </c>
      <c r="AZ198" s="145">
        <f t="shared" si="171"/>
        <v>0.2</v>
      </c>
      <c r="BA198" s="145">
        <v>0</v>
      </c>
      <c r="BB198" s="287">
        <f t="shared" ca="1" si="129"/>
        <v>0.3328108560000001</v>
      </c>
      <c r="BC198" s="287">
        <f t="shared" ca="1" si="130"/>
        <v>0.29583187200000005</v>
      </c>
      <c r="BD198" s="287">
        <f t="shared" ca="1" si="131"/>
        <v>0.258852888</v>
      </c>
      <c r="BE198" s="287">
        <f t="shared" ca="1" si="132"/>
        <v>0.22187390400000007</v>
      </c>
      <c r="BF198" s="287">
        <f t="shared" ca="1" si="133"/>
        <v>0</v>
      </c>
      <c r="BG198" s="877"/>
      <c r="BH198" s="45"/>
      <c r="BI198" s="45"/>
    </row>
    <row r="199" spans="1:61" s="252" customFormat="1" ht="15" hidden="1"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43"/>
      <c r="AE199" s="43"/>
      <c r="AF199" s="43"/>
      <c r="AG199" s="43"/>
      <c r="AH199" s="45">
        <v>21</v>
      </c>
      <c r="AI199" s="45" t="b">
        <f t="shared" si="123"/>
        <v>0</v>
      </c>
      <c r="AJ199" s="45" t="b">
        <f t="shared" ref="AJ199:AJ253" si="172">AND($AH$4=2)</f>
        <v>1</v>
      </c>
      <c r="AK199" s="281" t="b">
        <f t="shared" si="134"/>
        <v>0</v>
      </c>
      <c r="AL199" s="145">
        <f t="shared" si="164"/>
        <v>-1.4400000000000004</v>
      </c>
      <c r="AM199" s="145">
        <f t="shared" si="165"/>
        <v>-1.3400000000000003</v>
      </c>
      <c r="AN199" s="145">
        <f t="shared" si="166"/>
        <v>-0.6</v>
      </c>
      <c r="AO199" s="145">
        <f t="shared" si="167"/>
        <v>-0.43999999999999995</v>
      </c>
      <c r="AP199" s="145">
        <v>0</v>
      </c>
      <c r="AQ199" s="287">
        <f t="shared" ca="1" si="124"/>
        <v>-1.5974921088000007</v>
      </c>
      <c r="AR199" s="287">
        <f t="shared" ca="1" si="125"/>
        <v>-1.4865551568000006</v>
      </c>
      <c r="AS199" s="287">
        <f t="shared" ca="1" si="126"/>
        <v>-0.66562171200000009</v>
      </c>
      <c r="AT199" s="287">
        <f t="shared" ca="1" si="127"/>
        <v>-0.48812258880000003</v>
      </c>
      <c r="AU199" s="287">
        <f t="shared" ca="1" si="128"/>
        <v>0</v>
      </c>
      <c r="AV199" s="877"/>
      <c r="AW199" s="145">
        <f t="shared" si="168"/>
        <v>0.32000000000000006</v>
      </c>
      <c r="AX199" s="145">
        <f t="shared" si="169"/>
        <v>0.27999999999999997</v>
      </c>
      <c r="AY199" s="145">
        <f t="shared" si="170"/>
        <v>0.23999999999999994</v>
      </c>
      <c r="AZ199" s="145">
        <f t="shared" si="171"/>
        <v>0.2</v>
      </c>
      <c r="BA199" s="145">
        <v>0</v>
      </c>
      <c r="BB199" s="287">
        <f t="shared" ca="1" si="129"/>
        <v>0.35499824640000016</v>
      </c>
      <c r="BC199" s="287">
        <f t="shared" ca="1" si="130"/>
        <v>0.31062346560000004</v>
      </c>
      <c r="BD199" s="287">
        <f t="shared" ca="1" si="131"/>
        <v>0.26624868479999997</v>
      </c>
      <c r="BE199" s="287">
        <f t="shared" ca="1" si="132"/>
        <v>0.22187390400000007</v>
      </c>
      <c r="BF199" s="287">
        <f t="shared" ca="1" si="133"/>
        <v>0</v>
      </c>
      <c r="BG199" s="877"/>
      <c r="BH199" s="45"/>
      <c r="BI199" s="45"/>
    </row>
    <row r="200" spans="1:61" s="252" customFormat="1" ht="15" hidden="1"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43"/>
      <c r="AE200" s="43"/>
      <c r="AF200" s="43"/>
      <c r="AG200" s="43"/>
      <c r="AH200" s="45">
        <v>22</v>
      </c>
      <c r="AI200" s="45" t="b">
        <f t="shared" si="123"/>
        <v>0</v>
      </c>
      <c r="AJ200" s="45" t="b">
        <f t="shared" si="172"/>
        <v>1</v>
      </c>
      <c r="AK200" s="281" t="b">
        <f t="shared" si="134"/>
        <v>0</v>
      </c>
      <c r="AL200" s="145">
        <f t="shared" si="164"/>
        <v>-1.4133333333333338</v>
      </c>
      <c r="AM200" s="145">
        <f t="shared" si="165"/>
        <v>-1.3133333333333337</v>
      </c>
      <c r="AN200" s="145">
        <f t="shared" si="166"/>
        <v>-0.6</v>
      </c>
      <c r="AO200" s="145">
        <f t="shared" si="167"/>
        <v>-0.4466666666666666</v>
      </c>
      <c r="AP200" s="145">
        <v>0</v>
      </c>
      <c r="AQ200" s="287">
        <f t="shared" ca="1" si="124"/>
        <v>-1.5679089216000008</v>
      </c>
      <c r="AR200" s="287">
        <f t="shared" ca="1" si="125"/>
        <v>-1.4569719696000007</v>
      </c>
      <c r="AS200" s="287">
        <f t="shared" ca="1" si="126"/>
        <v>-0.66562171200000009</v>
      </c>
      <c r="AT200" s="287">
        <f t="shared" ca="1" si="127"/>
        <v>-0.4955183856</v>
      </c>
      <c r="AU200" s="287">
        <f t="shared" ca="1" si="128"/>
        <v>0</v>
      </c>
      <c r="AV200" s="877"/>
      <c r="AW200" s="145">
        <f t="shared" si="168"/>
        <v>0.34000000000000008</v>
      </c>
      <c r="AX200" s="145">
        <f t="shared" si="169"/>
        <v>0.29333333333333328</v>
      </c>
      <c r="AY200" s="145">
        <f t="shared" si="170"/>
        <v>0.24666666666666659</v>
      </c>
      <c r="AZ200" s="145">
        <f t="shared" si="171"/>
        <v>0.2</v>
      </c>
      <c r="BA200" s="145">
        <v>0</v>
      </c>
      <c r="BB200" s="287">
        <f t="shared" ca="1" si="129"/>
        <v>0.37718563680000017</v>
      </c>
      <c r="BC200" s="287">
        <f t="shared" ca="1" si="130"/>
        <v>0.32541505920000002</v>
      </c>
      <c r="BD200" s="287">
        <f t="shared" ca="1" si="131"/>
        <v>0.27364448159999999</v>
      </c>
      <c r="BE200" s="287">
        <f t="shared" ca="1" si="132"/>
        <v>0.22187390400000007</v>
      </c>
      <c r="BF200" s="287">
        <f t="shared" ca="1" si="133"/>
        <v>0</v>
      </c>
      <c r="BG200" s="877"/>
      <c r="BH200" s="45"/>
      <c r="BI200" s="45"/>
    </row>
    <row r="201" spans="1:61" s="252" customFormat="1" ht="15" hidden="1"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43"/>
      <c r="AE201" s="43"/>
      <c r="AF201" s="43"/>
      <c r="AG201" s="43"/>
      <c r="AH201" s="45">
        <v>23</v>
      </c>
      <c r="AI201" s="45" t="b">
        <f t="shared" si="123"/>
        <v>0</v>
      </c>
      <c r="AJ201" s="45" t="b">
        <f t="shared" si="172"/>
        <v>1</v>
      </c>
      <c r="AK201" s="281" t="b">
        <f t="shared" si="134"/>
        <v>0</v>
      </c>
      <c r="AL201" s="145">
        <f t="shared" si="164"/>
        <v>-1.3866666666666672</v>
      </c>
      <c r="AM201" s="145">
        <f t="shared" si="165"/>
        <v>-1.2866666666666671</v>
      </c>
      <c r="AN201" s="145">
        <f t="shared" si="166"/>
        <v>-0.6</v>
      </c>
      <c r="AO201" s="145">
        <f t="shared" si="167"/>
        <v>-0.45333333333333325</v>
      </c>
      <c r="AP201" s="145">
        <v>0</v>
      </c>
      <c r="AQ201" s="287">
        <f t="shared" ca="1" si="124"/>
        <v>-1.5383257344000008</v>
      </c>
      <c r="AR201" s="287">
        <f t="shared" ca="1" si="125"/>
        <v>-1.4273887824000007</v>
      </c>
      <c r="AS201" s="287">
        <f t="shared" ca="1" si="126"/>
        <v>-0.66562171200000009</v>
      </c>
      <c r="AT201" s="287">
        <f t="shared" ca="1" si="127"/>
        <v>-0.50291418239999996</v>
      </c>
      <c r="AU201" s="287">
        <f t="shared" ca="1" si="128"/>
        <v>0</v>
      </c>
      <c r="AV201" s="877"/>
      <c r="AW201" s="145">
        <f t="shared" si="168"/>
        <v>0.3600000000000001</v>
      </c>
      <c r="AX201" s="145">
        <f t="shared" si="169"/>
        <v>0.30666666666666659</v>
      </c>
      <c r="AY201" s="145">
        <f t="shared" si="170"/>
        <v>0.25333333333333324</v>
      </c>
      <c r="AZ201" s="145">
        <f t="shared" si="171"/>
        <v>0.2</v>
      </c>
      <c r="BA201" s="145">
        <v>0</v>
      </c>
      <c r="BB201" s="287">
        <f t="shared" ca="1" si="129"/>
        <v>0.39937302720000017</v>
      </c>
      <c r="BC201" s="287">
        <f t="shared" ca="1" si="130"/>
        <v>0.34020665279999995</v>
      </c>
      <c r="BD201" s="287">
        <f t="shared" ca="1" si="131"/>
        <v>0.28104027839999995</v>
      </c>
      <c r="BE201" s="287">
        <f t="shared" ca="1" si="132"/>
        <v>0.22187390400000007</v>
      </c>
      <c r="BF201" s="287">
        <f t="shared" ca="1" si="133"/>
        <v>0</v>
      </c>
      <c r="BG201" s="877"/>
      <c r="BH201" s="45"/>
      <c r="BI201" s="45"/>
    </row>
    <row r="202" spans="1:61" ht="15" hidden="1"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43"/>
      <c r="AE202" s="43"/>
      <c r="AF202" s="43"/>
      <c r="AG202" s="43"/>
      <c r="AH202" s="45">
        <v>24</v>
      </c>
      <c r="AI202" s="45" t="b">
        <f t="shared" si="123"/>
        <v>0</v>
      </c>
      <c r="AJ202" s="45" t="b">
        <f t="shared" si="172"/>
        <v>1</v>
      </c>
      <c r="AK202" s="281" t="b">
        <f t="shared" si="134"/>
        <v>0</v>
      </c>
      <c r="AL202" s="145">
        <f t="shared" si="164"/>
        <v>-1.3600000000000005</v>
      </c>
      <c r="AM202" s="145">
        <f t="shared" si="165"/>
        <v>-1.2600000000000005</v>
      </c>
      <c r="AN202" s="145">
        <f t="shared" si="166"/>
        <v>-0.6</v>
      </c>
      <c r="AO202" s="145">
        <f t="shared" si="167"/>
        <v>-0.45999999999999991</v>
      </c>
      <c r="AP202" s="145">
        <v>0</v>
      </c>
      <c r="AQ202" s="287">
        <f t="shared" ca="1" si="124"/>
        <v>-1.5087425472000009</v>
      </c>
      <c r="AR202" s="287">
        <f t="shared" ca="1" si="125"/>
        <v>-1.3978055952000008</v>
      </c>
      <c r="AS202" s="287">
        <f t="shared" ca="1" si="126"/>
        <v>-0.66562171200000009</v>
      </c>
      <c r="AT202" s="287">
        <f t="shared" ca="1" si="127"/>
        <v>-0.51030997919999999</v>
      </c>
      <c r="AU202" s="287">
        <f t="shared" ca="1" si="128"/>
        <v>0</v>
      </c>
      <c r="AV202" s="877"/>
      <c r="AW202" s="145">
        <f t="shared" si="168"/>
        <v>0.38000000000000012</v>
      </c>
      <c r="AX202" s="145">
        <f t="shared" si="169"/>
        <v>0.3199999999999999</v>
      </c>
      <c r="AY202" s="145">
        <f t="shared" si="170"/>
        <v>0.2599999999999999</v>
      </c>
      <c r="AZ202" s="145">
        <f t="shared" si="171"/>
        <v>0.2</v>
      </c>
      <c r="BA202" s="145">
        <v>0</v>
      </c>
      <c r="BB202" s="287">
        <f t="shared" ca="1" si="129"/>
        <v>0.42156041760000024</v>
      </c>
      <c r="BC202" s="287">
        <f t="shared" ca="1" si="130"/>
        <v>0.35499824639999994</v>
      </c>
      <c r="BD202" s="287">
        <f t="shared" ca="1" si="131"/>
        <v>0.28843607519999992</v>
      </c>
      <c r="BE202" s="287">
        <f t="shared" ca="1" si="132"/>
        <v>0.22187390400000007</v>
      </c>
      <c r="BF202" s="287">
        <f t="shared" ca="1" si="133"/>
        <v>0</v>
      </c>
      <c r="BG202" s="877"/>
      <c r="BH202" s="45"/>
      <c r="BI202" s="45"/>
    </row>
    <row r="203" spans="1:61" ht="15" hidden="1"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43"/>
      <c r="AE203" s="43"/>
      <c r="AF203" s="43"/>
      <c r="AG203" s="43"/>
      <c r="AH203" s="45">
        <v>25</v>
      </c>
      <c r="AI203" s="45" t="b">
        <f t="shared" si="123"/>
        <v>0</v>
      </c>
      <c r="AJ203" s="45" t="b">
        <f t="shared" si="172"/>
        <v>1</v>
      </c>
      <c r="AK203" s="281" t="b">
        <f t="shared" si="134"/>
        <v>0</v>
      </c>
      <c r="AL203" s="145">
        <f t="shared" si="164"/>
        <v>-1.3333333333333339</v>
      </c>
      <c r="AM203" s="145">
        <f t="shared" si="165"/>
        <v>-1.2333333333333338</v>
      </c>
      <c r="AN203" s="145">
        <f t="shared" si="166"/>
        <v>-0.6</v>
      </c>
      <c r="AO203" s="145">
        <f t="shared" si="167"/>
        <v>-0.46666666666666656</v>
      </c>
      <c r="AP203" s="145">
        <v>0</v>
      </c>
      <c r="AQ203" s="287">
        <f t="shared" ca="1" si="124"/>
        <v>-1.479159360000001</v>
      </c>
      <c r="AR203" s="287">
        <f t="shared" ca="1" si="125"/>
        <v>-1.3682224080000007</v>
      </c>
      <c r="AS203" s="287">
        <f t="shared" ca="1" si="126"/>
        <v>-0.66562171200000009</v>
      </c>
      <c r="AT203" s="287">
        <f t="shared" ca="1" si="127"/>
        <v>-0.51770577600000001</v>
      </c>
      <c r="AU203" s="287">
        <f t="shared" ca="1" si="128"/>
        <v>0</v>
      </c>
      <c r="AV203" s="877"/>
      <c r="AW203" s="145">
        <f t="shared" si="168"/>
        <v>0.40000000000000013</v>
      </c>
      <c r="AX203" s="145">
        <f t="shared" si="169"/>
        <v>0.3333333333333332</v>
      </c>
      <c r="AY203" s="145">
        <f t="shared" si="170"/>
        <v>0.26666666666666655</v>
      </c>
      <c r="AZ203" s="145">
        <f t="shared" si="171"/>
        <v>0.2</v>
      </c>
      <c r="BA203" s="145">
        <v>0</v>
      </c>
      <c r="BB203" s="287">
        <f t="shared" ca="1" si="129"/>
        <v>0.44374780800000024</v>
      </c>
      <c r="BC203" s="287">
        <f t="shared" ca="1" si="130"/>
        <v>0.36978983999999993</v>
      </c>
      <c r="BD203" s="287">
        <f t="shared" ca="1" si="131"/>
        <v>0.29583187199999994</v>
      </c>
      <c r="BE203" s="287">
        <f t="shared" ca="1" si="132"/>
        <v>0.22187390400000007</v>
      </c>
      <c r="BF203" s="287">
        <f t="shared" ca="1" si="133"/>
        <v>0</v>
      </c>
      <c r="BG203" s="877"/>
      <c r="BH203" s="45"/>
      <c r="BI203" s="45"/>
    </row>
    <row r="204" spans="1:61" ht="15" hidden="1"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43"/>
      <c r="AE204" s="43"/>
      <c r="AF204" s="43"/>
      <c r="AG204" s="43"/>
      <c r="AH204" s="45">
        <v>26</v>
      </c>
      <c r="AI204" s="45" t="b">
        <f t="shared" si="123"/>
        <v>0</v>
      </c>
      <c r="AJ204" s="45" t="b">
        <f t="shared" si="172"/>
        <v>1</v>
      </c>
      <c r="AK204" s="281" t="b">
        <f t="shared" si="134"/>
        <v>0</v>
      </c>
      <c r="AL204" s="145">
        <f t="shared" si="164"/>
        <v>-1.3066666666666673</v>
      </c>
      <c r="AM204" s="145">
        <f t="shared" si="165"/>
        <v>-1.2066666666666672</v>
      </c>
      <c r="AN204" s="145">
        <f t="shared" si="166"/>
        <v>-0.6</v>
      </c>
      <c r="AO204" s="145">
        <f t="shared" si="167"/>
        <v>-0.47333333333333322</v>
      </c>
      <c r="AP204" s="145">
        <v>0</v>
      </c>
      <c r="AQ204" s="287">
        <f t="shared" ca="1" si="124"/>
        <v>-1.449576172800001</v>
      </c>
      <c r="AR204" s="287">
        <f t="shared" ca="1" si="125"/>
        <v>-1.3386392208000009</v>
      </c>
      <c r="AS204" s="287">
        <f t="shared" ca="1" si="126"/>
        <v>-0.66562171200000009</v>
      </c>
      <c r="AT204" s="287">
        <f t="shared" ca="1" si="127"/>
        <v>-0.52510157280000003</v>
      </c>
      <c r="AU204" s="287">
        <f t="shared" ca="1" si="128"/>
        <v>0</v>
      </c>
      <c r="AV204" s="877"/>
      <c r="AW204" s="145">
        <f t="shared" si="168"/>
        <v>0.42000000000000015</v>
      </c>
      <c r="AX204" s="145">
        <f t="shared" si="169"/>
        <v>0.34666666666666651</v>
      </c>
      <c r="AY204" s="145">
        <f t="shared" si="170"/>
        <v>0.27333333333333321</v>
      </c>
      <c r="AZ204" s="145">
        <f t="shared" si="171"/>
        <v>0.2</v>
      </c>
      <c r="BA204" s="145">
        <v>0</v>
      </c>
      <c r="BB204" s="287">
        <f t="shared" ca="1" si="129"/>
        <v>0.46593519840000025</v>
      </c>
      <c r="BC204" s="287">
        <f t="shared" ca="1" si="130"/>
        <v>0.38458143359999991</v>
      </c>
      <c r="BD204" s="287">
        <f t="shared" ca="1" si="131"/>
        <v>0.30322766879999991</v>
      </c>
      <c r="BE204" s="287">
        <f t="shared" ca="1" si="132"/>
        <v>0.22187390400000007</v>
      </c>
      <c r="BF204" s="287">
        <f t="shared" ca="1" si="133"/>
        <v>0</v>
      </c>
      <c r="BG204" s="877"/>
      <c r="BH204" s="45"/>
      <c r="BI204" s="45"/>
    </row>
    <row r="205" spans="1:61" ht="15" hidden="1"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43"/>
      <c r="AE205" s="43"/>
      <c r="AF205" s="43"/>
      <c r="AG205" s="43"/>
      <c r="AH205" s="45">
        <v>27</v>
      </c>
      <c r="AI205" s="45" t="b">
        <f t="shared" si="123"/>
        <v>0</v>
      </c>
      <c r="AJ205" s="45" t="b">
        <f t="shared" si="172"/>
        <v>1</v>
      </c>
      <c r="AK205" s="281" t="b">
        <f t="shared" si="134"/>
        <v>0</v>
      </c>
      <c r="AL205" s="145">
        <f t="shared" si="164"/>
        <v>-1.2800000000000007</v>
      </c>
      <c r="AM205" s="145">
        <f t="shared" si="165"/>
        <v>-1.1800000000000006</v>
      </c>
      <c r="AN205" s="145">
        <f t="shared" si="166"/>
        <v>-0.6</v>
      </c>
      <c r="AO205" s="145">
        <f t="shared" si="167"/>
        <v>-0.47999999999999987</v>
      </c>
      <c r="AP205" s="145">
        <v>0</v>
      </c>
      <c r="AQ205" s="287">
        <f t="shared" ca="1" si="124"/>
        <v>-1.4199929856000011</v>
      </c>
      <c r="AR205" s="287">
        <f t="shared" ca="1" si="125"/>
        <v>-1.309056033600001</v>
      </c>
      <c r="AS205" s="287">
        <f t="shared" ca="1" si="126"/>
        <v>-0.66562171200000009</v>
      </c>
      <c r="AT205" s="287">
        <f t="shared" ca="1" si="127"/>
        <v>-0.53249736959999994</v>
      </c>
      <c r="AU205" s="287">
        <f t="shared" ca="1" si="128"/>
        <v>0</v>
      </c>
      <c r="AV205" s="287"/>
      <c r="AW205" s="145">
        <f t="shared" si="168"/>
        <v>0.44000000000000017</v>
      </c>
      <c r="AX205" s="145">
        <f t="shared" si="169"/>
        <v>0.35999999999999982</v>
      </c>
      <c r="AY205" s="145">
        <f t="shared" si="170"/>
        <v>0.27999999999999986</v>
      </c>
      <c r="AZ205" s="145">
        <f t="shared" si="171"/>
        <v>0.2</v>
      </c>
      <c r="BA205" s="145">
        <v>0</v>
      </c>
      <c r="BB205" s="287">
        <f t="shared" ca="1" si="129"/>
        <v>0.48812258880000026</v>
      </c>
      <c r="BC205" s="287">
        <f t="shared" ca="1" si="130"/>
        <v>0.3993730271999999</v>
      </c>
      <c r="BD205" s="287">
        <f t="shared" ca="1" si="131"/>
        <v>0.31062346559999993</v>
      </c>
      <c r="BE205" s="287">
        <f t="shared" ca="1" si="132"/>
        <v>0.22187390400000007</v>
      </c>
      <c r="BF205" s="287">
        <f t="shared" ca="1" si="133"/>
        <v>0</v>
      </c>
      <c r="BG205" s="45"/>
      <c r="BH205" s="45"/>
      <c r="BI205" s="45"/>
    </row>
    <row r="206" spans="1:61" ht="15" hidden="1"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43"/>
      <c r="AE206" s="43"/>
      <c r="AF206" s="43"/>
      <c r="AG206" s="43"/>
      <c r="AH206" s="45">
        <v>28</v>
      </c>
      <c r="AI206" s="45" t="b">
        <f t="shared" ref="AI206:AI253" si="173">AND($AI$9=AH206)</f>
        <v>0</v>
      </c>
      <c r="AJ206" s="45" t="b">
        <f t="shared" si="172"/>
        <v>1</v>
      </c>
      <c r="AK206" s="281" t="b">
        <f t="shared" si="134"/>
        <v>0</v>
      </c>
      <c r="AL206" s="145">
        <f t="shared" si="164"/>
        <v>-1.2533333333333341</v>
      </c>
      <c r="AM206" s="145">
        <f t="shared" si="165"/>
        <v>-1.153333333333334</v>
      </c>
      <c r="AN206" s="145">
        <f t="shared" si="166"/>
        <v>-0.6</v>
      </c>
      <c r="AO206" s="145">
        <f t="shared" si="167"/>
        <v>-0.48666666666666653</v>
      </c>
      <c r="AP206" s="145">
        <v>0</v>
      </c>
      <c r="AQ206" s="287">
        <f t="shared" ref="AQ206:AQ253" ca="1" si="174">1.35*$Z$17*$M$22*AL206</f>
        <v>-1.390409798400001</v>
      </c>
      <c r="AR206" s="287">
        <f t="shared" ref="AR206:AR253" ca="1" si="175">1.35*$Z$17*$M$22*AM206</f>
        <v>-1.2794728464000009</v>
      </c>
      <c r="AS206" s="287">
        <f t="shared" ref="AS206:AS253" ca="1" si="176">1.35*$Z$17*$M$22*AN206</f>
        <v>-0.66562171200000009</v>
      </c>
      <c r="AT206" s="287">
        <f t="shared" ref="AT206:AT253" ca="1" si="177">1.35*$Z$17*$M$22*AO206</f>
        <v>-0.53989316639999996</v>
      </c>
      <c r="AU206" s="287">
        <f t="shared" ref="AU206:AU253" ca="1" si="178">1.35*$Z$17*$M$22*AP206</f>
        <v>0</v>
      </c>
      <c r="AV206" s="287"/>
      <c r="AW206" s="145">
        <f t="shared" si="168"/>
        <v>0.46000000000000019</v>
      </c>
      <c r="AX206" s="145">
        <f t="shared" si="169"/>
        <v>0.37333333333333313</v>
      </c>
      <c r="AY206" s="145">
        <f t="shared" si="170"/>
        <v>0.28666666666666651</v>
      </c>
      <c r="AZ206" s="145">
        <f t="shared" si="171"/>
        <v>0.2</v>
      </c>
      <c r="BA206" s="145">
        <v>0</v>
      </c>
      <c r="BB206" s="287">
        <f t="shared" ref="BB206:BB253" ca="1" si="179">1.35*$Z$17*$M$22*AW206</f>
        <v>0.51030997920000032</v>
      </c>
      <c r="BC206" s="287">
        <f t="shared" ref="BC206:BC253" ca="1" si="180">1.35*$Z$17*$M$22*AX206</f>
        <v>0.41416462079999983</v>
      </c>
      <c r="BD206" s="287">
        <f t="shared" ref="BD206:BD253" ca="1" si="181">1.35*$Z$17*$M$22*AY206</f>
        <v>0.31801926239999989</v>
      </c>
      <c r="BE206" s="287">
        <f t="shared" ref="BE206:BE253" ca="1" si="182">1.35*$Z$17*$M$22*AZ206</f>
        <v>0.22187390400000007</v>
      </c>
      <c r="BF206" s="287">
        <f t="shared" ref="BF206:BF253" ca="1" si="183">1.35*$Z$17*$M$22*BA206</f>
        <v>0</v>
      </c>
      <c r="BG206" s="45"/>
      <c r="BH206" s="45"/>
      <c r="BI206" s="45"/>
    </row>
    <row r="207" spans="1:61" ht="15" hidden="1"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43"/>
      <c r="AE207" s="43"/>
      <c r="AF207" s="43"/>
      <c r="AG207" s="43"/>
      <c r="AH207" s="45">
        <v>29</v>
      </c>
      <c r="AI207" s="45" t="b">
        <f t="shared" si="173"/>
        <v>0</v>
      </c>
      <c r="AJ207" s="45" t="b">
        <f t="shared" si="172"/>
        <v>1</v>
      </c>
      <c r="AK207" s="281" t="b">
        <f t="shared" ref="AK207:AK253" si="184">AND(AI207=TRUE,AJ207=TRUE)</f>
        <v>0</v>
      </c>
      <c r="AL207" s="145">
        <f t="shared" si="164"/>
        <v>-1.2266666666666675</v>
      </c>
      <c r="AM207" s="145">
        <f t="shared" si="165"/>
        <v>-1.1266666666666674</v>
      </c>
      <c r="AN207" s="145">
        <f t="shared" si="166"/>
        <v>-0.6</v>
      </c>
      <c r="AO207" s="145">
        <f t="shared" si="167"/>
        <v>-0.49333333333333318</v>
      </c>
      <c r="AP207" s="145">
        <v>0</v>
      </c>
      <c r="AQ207" s="287">
        <f t="shared" ca="1" si="174"/>
        <v>-1.3608266112000011</v>
      </c>
      <c r="AR207" s="287">
        <f t="shared" ca="1" si="175"/>
        <v>-1.2498896592000011</v>
      </c>
      <c r="AS207" s="287">
        <f t="shared" ca="1" si="176"/>
        <v>-0.66562171200000009</v>
      </c>
      <c r="AT207" s="287">
        <f t="shared" ca="1" si="177"/>
        <v>-0.54728896319999998</v>
      </c>
      <c r="AU207" s="287">
        <f t="shared" ca="1" si="178"/>
        <v>0</v>
      </c>
      <c r="AV207" s="287"/>
      <c r="AW207" s="145">
        <f t="shared" si="168"/>
        <v>0.4800000000000002</v>
      </c>
      <c r="AX207" s="145">
        <f t="shared" si="169"/>
        <v>0.38666666666666644</v>
      </c>
      <c r="AY207" s="145">
        <f t="shared" si="170"/>
        <v>0.29333333333333317</v>
      </c>
      <c r="AZ207" s="145">
        <f t="shared" si="171"/>
        <v>0.2</v>
      </c>
      <c r="BA207" s="145">
        <v>0</v>
      </c>
      <c r="BB207" s="287">
        <f t="shared" ca="1" si="179"/>
        <v>0.53249736960000038</v>
      </c>
      <c r="BC207" s="287">
        <f t="shared" ca="1" si="180"/>
        <v>0.42895621439999981</v>
      </c>
      <c r="BD207" s="287">
        <f t="shared" ca="1" si="181"/>
        <v>0.32541505919999986</v>
      </c>
      <c r="BE207" s="287">
        <f t="shared" ca="1" si="182"/>
        <v>0.22187390400000007</v>
      </c>
      <c r="BF207" s="287">
        <f t="shared" ca="1" si="183"/>
        <v>0</v>
      </c>
      <c r="BG207" s="45"/>
      <c r="BH207" s="45"/>
      <c r="BI207" s="45"/>
    </row>
    <row r="208" spans="1:61" ht="15" hidden="1"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43"/>
      <c r="AE208" s="43"/>
      <c r="AF208" s="43"/>
      <c r="AG208" s="43"/>
      <c r="AH208" s="276">
        <v>30</v>
      </c>
      <c r="AI208" s="45" t="b">
        <f t="shared" si="173"/>
        <v>0</v>
      </c>
      <c r="AJ208" s="45" t="b">
        <f t="shared" si="172"/>
        <v>1</v>
      </c>
      <c r="AK208" s="281" t="b">
        <f t="shared" si="184"/>
        <v>0</v>
      </c>
      <c r="AL208" s="287">
        <v>-1.2</v>
      </c>
      <c r="AM208" s="287">
        <v>-1.1000000000000001</v>
      </c>
      <c r="AN208" s="287">
        <v>-0.6</v>
      </c>
      <c r="AO208" s="287">
        <v>-0.5</v>
      </c>
      <c r="AP208" s="145">
        <v>0</v>
      </c>
      <c r="AQ208" s="287">
        <f t="shared" ca="1" si="174"/>
        <v>-1.3312434240000002</v>
      </c>
      <c r="AR208" s="287">
        <f t="shared" ca="1" si="175"/>
        <v>-1.2203064720000003</v>
      </c>
      <c r="AS208" s="287">
        <f t="shared" ca="1" si="176"/>
        <v>-0.66562171200000009</v>
      </c>
      <c r="AT208" s="287">
        <f t="shared" ca="1" si="177"/>
        <v>-0.55468476000000011</v>
      </c>
      <c r="AU208" s="287">
        <f t="shared" ca="1" si="178"/>
        <v>0</v>
      </c>
      <c r="AV208" s="287"/>
      <c r="AW208" s="287">
        <v>0.5</v>
      </c>
      <c r="AX208" s="287">
        <v>0.4</v>
      </c>
      <c r="AY208" s="287">
        <v>0.3</v>
      </c>
      <c r="AZ208" s="287">
        <v>0.2</v>
      </c>
      <c r="BA208" s="145">
        <v>0</v>
      </c>
      <c r="BB208" s="287">
        <f t="shared" ca="1" si="179"/>
        <v>0.55468476000000011</v>
      </c>
      <c r="BC208" s="287">
        <f t="shared" ca="1" si="180"/>
        <v>0.44374780800000013</v>
      </c>
      <c r="BD208" s="287">
        <f t="shared" ca="1" si="181"/>
        <v>0.33281085600000004</v>
      </c>
      <c r="BE208" s="287">
        <f t="shared" ca="1" si="182"/>
        <v>0.22187390400000007</v>
      </c>
      <c r="BF208" s="287">
        <f t="shared" ca="1" si="183"/>
        <v>0</v>
      </c>
      <c r="BG208" s="45"/>
      <c r="BH208" s="45"/>
      <c r="BI208" s="45"/>
    </row>
    <row r="209" spans="1:61" ht="15" hidden="1"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43"/>
      <c r="AE209" s="43"/>
      <c r="AF209" s="43"/>
      <c r="AG209" s="43"/>
      <c r="AH209" s="45">
        <v>31</v>
      </c>
      <c r="AI209" s="45" t="b">
        <f t="shared" si="173"/>
        <v>0</v>
      </c>
      <c r="AJ209" s="45" t="b">
        <f t="shared" si="172"/>
        <v>1</v>
      </c>
      <c r="AK209" s="281" t="b">
        <f t="shared" si="184"/>
        <v>0</v>
      </c>
      <c r="AL209" s="145">
        <f>+ABS($AL$208-$AL$223)/15+AL208</f>
        <v>-1.2</v>
      </c>
      <c r="AM209" s="145">
        <f>0-(ABS($AM$208-$AM$223)/15-AM208)</f>
        <v>-1.1066666666666667</v>
      </c>
      <c r="AN209" s="145">
        <f>+ABS($AN$208-$AN$223)/15+AN208</f>
        <v>-0.6</v>
      </c>
      <c r="AO209" s="145">
        <f>+ABS($AO$208-$AO$223)/15+AO208</f>
        <v>-0.49333333333333335</v>
      </c>
      <c r="AP209" s="145">
        <v>0</v>
      </c>
      <c r="AQ209" s="287">
        <f t="shared" ca="1" si="174"/>
        <v>-1.3312434240000002</v>
      </c>
      <c r="AR209" s="287">
        <f t="shared" ca="1" si="175"/>
        <v>-1.2277022688000003</v>
      </c>
      <c r="AS209" s="287">
        <f t="shared" ca="1" si="176"/>
        <v>-0.66562171200000009</v>
      </c>
      <c r="AT209" s="287">
        <f t="shared" ca="1" si="177"/>
        <v>-0.54728896320000009</v>
      </c>
      <c r="AU209" s="287">
        <f t="shared" ca="1" si="178"/>
        <v>0</v>
      </c>
      <c r="AV209" s="287"/>
      <c r="AW209" s="145">
        <f>0.1/15+AW208</f>
        <v>0.50666666666666671</v>
      </c>
      <c r="AX209" s="145">
        <f>0.1/15+AX208</f>
        <v>0.40666666666666668</v>
      </c>
      <c r="AY209" s="145">
        <f>0.1/15+AY208</f>
        <v>0.30666666666666664</v>
      </c>
      <c r="AZ209" s="145">
        <f>0.1/15+AZ208</f>
        <v>0.20666666666666667</v>
      </c>
      <c r="BA209" s="145">
        <v>0</v>
      </c>
      <c r="BB209" s="287">
        <f t="shared" ca="1" si="179"/>
        <v>0.56208055680000013</v>
      </c>
      <c r="BC209" s="287">
        <f t="shared" ca="1" si="180"/>
        <v>0.4511436048000001</v>
      </c>
      <c r="BD209" s="287">
        <f t="shared" ca="1" si="181"/>
        <v>0.34020665280000006</v>
      </c>
      <c r="BE209" s="287">
        <f t="shared" ca="1" si="182"/>
        <v>0.22926970080000003</v>
      </c>
      <c r="BF209" s="287">
        <f t="shared" ca="1" si="183"/>
        <v>0</v>
      </c>
      <c r="BG209" s="45"/>
      <c r="BH209" s="45"/>
      <c r="BI209" s="45"/>
    </row>
    <row r="210" spans="1:61" ht="15" hidden="1"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43"/>
      <c r="AE210" s="43"/>
      <c r="AF210" s="43"/>
      <c r="AG210" s="43"/>
      <c r="AH210" s="45">
        <v>32</v>
      </c>
      <c r="AI210" s="45" t="b">
        <f t="shared" si="173"/>
        <v>0</v>
      </c>
      <c r="AJ210" s="45" t="b">
        <f t="shared" si="172"/>
        <v>1</v>
      </c>
      <c r="AK210" s="281" t="b">
        <f t="shared" si="184"/>
        <v>0</v>
      </c>
      <c r="AL210" s="145">
        <f t="shared" ref="AL210:AL222" si="185">+ABS($AL$208-$AL$223)/15+AL209</f>
        <v>-1.2</v>
      </c>
      <c r="AM210" s="145">
        <f t="shared" ref="AM210:AM222" si="186">0-(ABS($AM$208-$AM$223)/15-AM209)</f>
        <v>-1.1133333333333333</v>
      </c>
      <c r="AN210" s="145">
        <f t="shared" ref="AN210:AN222" si="187">+ABS($AN$208-$AN$223)/15+AN209</f>
        <v>-0.6</v>
      </c>
      <c r="AO210" s="145">
        <f t="shared" ref="AO210:AO222" si="188">+ABS($AO$208-$AO$223)/15+AO209</f>
        <v>-0.48666666666666669</v>
      </c>
      <c r="AP210" s="145">
        <v>0</v>
      </c>
      <c r="AQ210" s="287">
        <f t="shared" ca="1" si="174"/>
        <v>-1.3312434240000002</v>
      </c>
      <c r="AR210" s="287">
        <f t="shared" ca="1" si="175"/>
        <v>-1.2350980656000001</v>
      </c>
      <c r="AS210" s="287">
        <f t="shared" ca="1" si="176"/>
        <v>-0.66562171200000009</v>
      </c>
      <c r="AT210" s="287">
        <f t="shared" ca="1" si="177"/>
        <v>-0.53989316640000018</v>
      </c>
      <c r="AU210" s="287">
        <f t="shared" ca="1" si="178"/>
        <v>0</v>
      </c>
      <c r="AV210" s="287"/>
      <c r="AW210" s="145">
        <f t="shared" ref="AW210:AW222" si="189">0.1/15+AW209</f>
        <v>0.51333333333333342</v>
      </c>
      <c r="AX210" s="145">
        <f t="shared" ref="AX210:AX222" si="190">0.1/15+AX209</f>
        <v>0.41333333333333333</v>
      </c>
      <c r="AY210" s="145">
        <f t="shared" ref="AY210:AY222" si="191">0.1/15+AY209</f>
        <v>0.3133333333333333</v>
      </c>
      <c r="AZ210" s="145">
        <f t="shared" ref="AZ210:AZ222" si="192">0.1/15+AZ209</f>
        <v>0.21333333333333332</v>
      </c>
      <c r="BA210" s="145">
        <v>0</v>
      </c>
      <c r="BB210" s="287">
        <f t="shared" ca="1" si="179"/>
        <v>0.56947635360000026</v>
      </c>
      <c r="BC210" s="287">
        <f t="shared" ca="1" si="180"/>
        <v>0.45853940160000006</v>
      </c>
      <c r="BD210" s="287">
        <f t="shared" ca="1" si="181"/>
        <v>0.34760244960000003</v>
      </c>
      <c r="BE210" s="287">
        <f t="shared" ca="1" si="182"/>
        <v>0.23666549760000002</v>
      </c>
      <c r="BF210" s="287">
        <f t="shared" ca="1" si="183"/>
        <v>0</v>
      </c>
      <c r="BG210" s="45"/>
      <c r="BH210" s="45"/>
      <c r="BI210" s="45"/>
    </row>
    <row r="211" spans="1:61" ht="15" hidden="1"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43"/>
      <c r="AE211" s="43"/>
      <c r="AF211" s="43"/>
      <c r="AG211" s="43"/>
      <c r="AH211" s="45">
        <v>33</v>
      </c>
      <c r="AI211" s="45" t="b">
        <f t="shared" si="173"/>
        <v>0</v>
      </c>
      <c r="AJ211" s="45" t="b">
        <f t="shared" si="172"/>
        <v>1</v>
      </c>
      <c r="AK211" s="281" t="b">
        <f t="shared" si="184"/>
        <v>0</v>
      </c>
      <c r="AL211" s="145">
        <f t="shared" si="185"/>
        <v>-1.2</v>
      </c>
      <c r="AM211" s="145">
        <f t="shared" si="186"/>
        <v>-1.1199999999999999</v>
      </c>
      <c r="AN211" s="145">
        <f t="shared" si="187"/>
        <v>-0.6</v>
      </c>
      <c r="AO211" s="145">
        <f t="shared" si="188"/>
        <v>-0.48000000000000004</v>
      </c>
      <c r="AP211" s="145">
        <v>0</v>
      </c>
      <c r="AQ211" s="287">
        <f t="shared" ca="1" si="174"/>
        <v>-1.3312434240000002</v>
      </c>
      <c r="AR211" s="287">
        <f t="shared" ca="1" si="175"/>
        <v>-1.2424938624000001</v>
      </c>
      <c r="AS211" s="287">
        <f t="shared" ca="1" si="176"/>
        <v>-0.66562171200000009</v>
      </c>
      <c r="AT211" s="287">
        <f t="shared" ca="1" si="177"/>
        <v>-0.53249736960000016</v>
      </c>
      <c r="AU211" s="287">
        <f t="shared" ca="1" si="178"/>
        <v>0</v>
      </c>
      <c r="AV211" s="287"/>
      <c r="AW211" s="145">
        <f t="shared" si="189"/>
        <v>0.52000000000000013</v>
      </c>
      <c r="AX211" s="145">
        <f t="shared" si="190"/>
        <v>0.42</v>
      </c>
      <c r="AY211" s="145">
        <f t="shared" si="191"/>
        <v>0.31999999999999995</v>
      </c>
      <c r="AZ211" s="145">
        <f t="shared" si="192"/>
        <v>0.21999999999999997</v>
      </c>
      <c r="BA211" s="145">
        <v>0</v>
      </c>
      <c r="BB211" s="287">
        <f t="shared" ca="1" si="179"/>
        <v>0.57687215040000028</v>
      </c>
      <c r="BC211" s="287">
        <f t="shared" ca="1" si="180"/>
        <v>0.46593519840000008</v>
      </c>
      <c r="BD211" s="287">
        <f t="shared" ca="1" si="181"/>
        <v>0.35499824639999999</v>
      </c>
      <c r="BE211" s="287">
        <f t="shared" ca="1" si="182"/>
        <v>0.24406129440000002</v>
      </c>
      <c r="BF211" s="287">
        <f t="shared" ca="1" si="183"/>
        <v>0</v>
      </c>
      <c r="BG211" s="45"/>
      <c r="BH211" s="45"/>
      <c r="BI211" s="45"/>
    </row>
    <row r="212" spans="1:61" ht="15" hidden="1"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43"/>
      <c r="AE212" s="43"/>
      <c r="AF212" s="43"/>
      <c r="AG212" s="43"/>
      <c r="AH212" s="45">
        <v>34</v>
      </c>
      <c r="AI212" s="45" t="b">
        <f t="shared" si="173"/>
        <v>0</v>
      </c>
      <c r="AJ212" s="45" t="b">
        <f t="shared" si="172"/>
        <v>1</v>
      </c>
      <c r="AK212" s="281" t="b">
        <f t="shared" si="184"/>
        <v>0</v>
      </c>
      <c r="AL212" s="145">
        <f t="shared" si="185"/>
        <v>-1.2</v>
      </c>
      <c r="AM212" s="145">
        <f t="shared" si="186"/>
        <v>-1.1266666666666665</v>
      </c>
      <c r="AN212" s="145">
        <f t="shared" si="187"/>
        <v>-0.6</v>
      </c>
      <c r="AO212" s="145">
        <f t="shared" si="188"/>
        <v>-0.47333333333333338</v>
      </c>
      <c r="AP212" s="145">
        <v>0</v>
      </c>
      <c r="AQ212" s="287">
        <f t="shared" ca="1" si="174"/>
        <v>-1.3312434240000002</v>
      </c>
      <c r="AR212" s="287">
        <f t="shared" ca="1" si="175"/>
        <v>-1.2498896591999999</v>
      </c>
      <c r="AS212" s="287">
        <f t="shared" ca="1" si="176"/>
        <v>-0.66562171200000009</v>
      </c>
      <c r="AT212" s="287">
        <f t="shared" ca="1" si="177"/>
        <v>-0.52510157280000014</v>
      </c>
      <c r="AU212" s="287">
        <f t="shared" ca="1" si="178"/>
        <v>0</v>
      </c>
      <c r="AV212" s="287"/>
      <c r="AW212" s="145">
        <f t="shared" si="189"/>
        <v>0.52666666666666684</v>
      </c>
      <c r="AX212" s="145">
        <f t="shared" si="190"/>
        <v>0.42666666666666664</v>
      </c>
      <c r="AY212" s="145">
        <f t="shared" si="191"/>
        <v>0.32666666666666661</v>
      </c>
      <c r="AZ212" s="145">
        <f t="shared" si="192"/>
        <v>0.22666666666666663</v>
      </c>
      <c r="BA212" s="145">
        <v>0</v>
      </c>
      <c r="BB212" s="287">
        <f t="shared" ca="1" si="179"/>
        <v>0.5842679472000003</v>
      </c>
      <c r="BC212" s="287">
        <f t="shared" ca="1" si="180"/>
        <v>0.47333099520000005</v>
      </c>
      <c r="BD212" s="287">
        <f t="shared" ca="1" si="181"/>
        <v>0.36239404320000002</v>
      </c>
      <c r="BE212" s="287">
        <f t="shared" ca="1" si="182"/>
        <v>0.25145709119999998</v>
      </c>
      <c r="BF212" s="287">
        <f t="shared" ca="1" si="183"/>
        <v>0</v>
      </c>
      <c r="BG212" s="45"/>
      <c r="BH212" s="45"/>
      <c r="BI212" s="45"/>
    </row>
    <row r="213" spans="1:61" ht="15" hidden="1"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43"/>
      <c r="AE213" s="43"/>
      <c r="AF213" s="43"/>
      <c r="AG213" s="43"/>
      <c r="AH213" s="45">
        <v>35</v>
      </c>
      <c r="AI213" s="45" t="b">
        <f t="shared" si="173"/>
        <v>0</v>
      </c>
      <c r="AJ213" s="45" t="b">
        <f t="shared" si="172"/>
        <v>1</v>
      </c>
      <c r="AK213" s="281" t="b">
        <f t="shared" si="184"/>
        <v>0</v>
      </c>
      <c r="AL213" s="145">
        <f t="shared" si="185"/>
        <v>-1.2</v>
      </c>
      <c r="AM213" s="145">
        <f t="shared" si="186"/>
        <v>-1.1333333333333331</v>
      </c>
      <c r="AN213" s="145">
        <f t="shared" si="187"/>
        <v>-0.6</v>
      </c>
      <c r="AO213" s="145">
        <f t="shared" si="188"/>
        <v>-0.46666666666666673</v>
      </c>
      <c r="AP213" s="145">
        <v>0</v>
      </c>
      <c r="AQ213" s="287">
        <f t="shared" ca="1" si="174"/>
        <v>-1.3312434240000002</v>
      </c>
      <c r="AR213" s="287">
        <f t="shared" ca="1" si="175"/>
        <v>-1.257285456</v>
      </c>
      <c r="AS213" s="287">
        <f t="shared" ca="1" si="176"/>
        <v>-0.66562171200000009</v>
      </c>
      <c r="AT213" s="287">
        <f t="shared" ca="1" si="177"/>
        <v>-0.51770577600000012</v>
      </c>
      <c r="AU213" s="287">
        <f t="shared" ca="1" si="178"/>
        <v>0</v>
      </c>
      <c r="AV213" s="287"/>
      <c r="AW213" s="145">
        <f t="shared" si="189"/>
        <v>0.53333333333333355</v>
      </c>
      <c r="AX213" s="145">
        <f t="shared" si="190"/>
        <v>0.43333333333333329</v>
      </c>
      <c r="AY213" s="145">
        <f t="shared" si="191"/>
        <v>0.33333333333333326</v>
      </c>
      <c r="AZ213" s="145">
        <f t="shared" si="192"/>
        <v>0.23333333333333328</v>
      </c>
      <c r="BA213" s="145">
        <v>0</v>
      </c>
      <c r="BB213" s="287">
        <f t="shared" ca="1" si="179"/>
        <v>0.59166374400000032</v>
      </c>
      <c r="BC213" s="287">
        <f t="shared" ca="1" si="180"/>
        <v>0.48072679200000007</v>
      </c>
      <c r="BD213" s="287">
        <f t="shared" ca="1" si="181"/>
        <v>0.36978983999999998</v>
      </c>
      <c r="BE213" s="287">
        <f t="shared" ca="1" si="182"/>
        <v>0.258852888</v>
      </c>
      <c r="BF213" s="287">
        <f t="shared" ca="1" si="183"/>
        <v>0</v>
      </c>
      <c r="BG213" s="45"/>
      <c r="BH213" s="45"/>
      <c r="BI213" s="45"/>
    </row>
    <row r="214" spans="1:61" ht="15" hidden="1"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43"/>
      <c r="AE214" s="43"/>
      <c r="AF214" s="43"/>
      <c r="AG214" s="43"/>
      <c r="AH214" s="45">
        <v>36</v>
      </c>
      <c r="AI214" s="45" t="b">
        <f t="shared" si="173"/>
        <v>0</v>
      </c>
      <c r="AJ214" s="45" t="b">
        <f t="shared" si="172"/>
        <v>1</v>
      </c>
      <c r="AK214" s="281" t="b">
        <f t="shared" si="184"/>
        <v>0</v>
      </c>
      <c r="AL214" s="145">
        <f t="shared" si="185"/>
        <v>-1.2</v>
      </c>
      <c r="AM214" s="145">
        <f t="shared" si="186"/>
        <v>-1.1399999999999997</v>
      </c>
      <c r="AN214" s="145">
        <f t="shared" si="187"/>
        <v>-0.6</v>
      </c>
      <c r="AO214" s="145">
        <f t="shared" si="188"/>
        <v>-0.46000000000000008</v>
      </c>
      <c r="AP214" s="145">
        <v>0</v>
      </c>
      <c r="AQ214" s="287">
        <f t="shared" ca="1" si="174"/>
        <v>-1.3312434240000002</v>
      </c>
      <c r="AR214" s="287">
        <f t="shared" ca="1" si="175"/>
        <v>-1.2646812528</v>
      </c>
      <c r="AS214" s="287">
        <f t="shared" ca="1" si="176"/>
        <v>-0.66562171200000009</v>
      </c>
      <c r="AT214" s="287">
        <f t="shared" ca="1" si="177"/>
        <v>-0.51030997920000021</v>
      </c>
      <c r="AU214" s="287">
        <f t="shared" ca="1" si="178"/>
        <v>0</v>
      </c>
      <c r="AV214" s="287"/>
      <c r="AW214" s="145">
        <f t="shared" si="189"/>
        <v>0.54000000000000026</v>
      </c>
      <c r="AX214" s="145">
        <f t="shared" si="190"/>
        <v>0.43999999999999995</v>
      </c>
      <c r="AY214" s="145">
        <f t="shared" si="191"/>
        <v>0.33999999999999991</v>
      </c>
      <c r="AZ214" s="145">
        <f t="shared" si="192"/>
        <v>0.23999999999999994</v>
      </c>
      <c r="BA214" s="145">
        <v>0</v>
      </c>
      <c r="BB214" s="287">
        <f t="shared" ca="1" si="179"/>
        <v>0.59905954080000046</v>
      </c>
      <c r="BC214" s="287">
        <f t="shared" ca="1" si="180"/>
        <v>0.48812258880000003</v>
      </c>
      <c r="BD214" s="287">
        <f t="shared" ca="1" si="181"/>
        <v>0.3771856368</v>
      </c>
      <c r="BE214" s="287">
        <f t="shared" ca="1" si="182"/>
        <v>0.26624868479999997</v>
      </c>
      <c r="BF214" s="287">
        <f t="shared" ca="1" si="183"/>
        <v>0</v>
      </c>
      <c r="BG214" s="45"/>
      <c r="BH214" s="45"/>
      <c r="BI214" s="45"/>
    </row>
    <row r="215" spans="1:61" ht="15" hidden="1"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43"/>
      <c r="AE215" s="43"/>
      <c r="AF215" s="43"/>
      <c r="AG215" s="43"/>
      <c r="AH215" s="45">
        <v>37</v>
      </c>
      <c r="AI215" s="45" t="b">
        <f t="shared" si="173"/>
        <v>0</v>
      </c>
      <c r="AJ215" s="45" t="b">
        <f t="shared" si="172"/>
        <v>1</v>
      </c>
      <c r="AK215" s="281" t="b">
        <f t="shared" si="184"/>
        <v>0</v>
      </c>
      <c r="AL215" s="145">
        <f t="shared" si="185"/>
        <v>-1.2</v>
      </c>
      <c r="AM215" s="145">
        <f t="shared" si="186"/>
        <v>-1.1466666666666663</v>
      </c>
      <c r="AN215" s="145">
        <f t="shared" si="187"/>
        <v>-0.6</v>
      </c>
      <c r="AO215" s="145">
        <f t="shared" si="188"/>
        <v>-0.45333333333333342</v>
      </c>
      <c r="AP215" s="145">
        <v>0</v>
      </c>
      <c r="AQ215" s="287">
        <f t="shared" ca="1" si="174"/>
        <v>-1.3312434240000002</v>
      </c>
      <c r="AR215" s="287">
        <f t="shared" ca="1" si="175"/>
        <v>-1.2720770495999998</v>
      </c>
      <c r="AS215" s="287">
        <f t="shared" ca="1" si="176"/>
        <v>-0.66562171200000009</v>
      </c>
      <c r="AT215" s="287">
        <f t="shared" ca="1" si="177"/>
        <v>-0.50291418240000019</v>
      </c>
      <c r="AU215" s="287">
        <f t="shared" ca="1" si="178"/>
        <v>0</v>
      </c>
      <c r="AV215" s="287"/>
      <c r="AW215" s="145">
        <f t="shared" si="189"/>
        <v>0.54666666666666697</v>
      </c>
      <c r="AX215" s="145">
        <f t="shared" si="190"/>
        <v>0.4466666666666666</v>
      </c>
      <c r="AY215" s="145">
        <f t="shared" si="191"/>
        <v>0.34666666666666657</v>
      </c>
      <c r="AZ215" s="145">
        <f t="shared" si="192"/>
        <v>0.24666666666666659</v>
      </c>
      <c r="BA215" s="145">
        <v>0</v>
      </c>
      <c r="BB215" s="287">
        <f t="shared" ca="1" si="179"/>
        <v>0.60645533760000048</v>
      </c>
      <c r="BC215" s="287">
        <f t="shared" ca="1" si="180"/>
        <v>0.4955183856</v>
      </c>
      <c r="BD215" s="287">
        <f t="shared" ca="1" si="181"/>
        <v>0.38458143359999997</v>
      </c>
      <c r="BE215" s="287">
        <f t="shared" ca="1" si="182"/>
        <v>0.27364448159999999</v>
      </c>
      <c r="BF215" s="287">
        <f t="shared" ca="1" si="183"/>
        <v>0</v>
      </c>
      <c r="BG215" s="45"/>
      <c r="BH215" s="45"/>
      <c r="BI215" s="45"/>
    </row>
    <row r="216" spans="1:61" ht="15" hidden="1"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43"/>
      <c r="AE216" s="43"/>
      <c r="AF216" s="43"/>
      <c r="AG216" s="43"/>
      <c r="AH216" s="45">
        <v>38</v>
      </c>
      <c r="AI216" s="45" t="b">
        <f t="shared" si="173"/>
        <v>0</v>
      </c>
      <c r="AJ216" s="45" t="b">
        <f t="shared" si="172"/>
        <v>1</v>
      </c>
      <c r="AK216" s="281" t="b">
        <f t="shared" si="184"/>
        <v>0</v>
      </c>
      <c r="AL216" s="145">
        <f t="shared" si="185"/>
        <v>-1.2</v>
      </c>
      <c r="AM216" s="145">
        <f t="shared" si="186"/>
        <v>-1.1533333333333329</v>
      </c>
      <c r="AN216" s="145">
        <f t="shared" si="187"/>
        <v>-0.6</v>
      </c>
      <c r="AO216" s="145">
        <f t="shared" si="188"/>
        <v>-0.44666666666666677</v>
      </c>
      <c r="AP216" s="145">
        <v>0</v>
      </c>
      <c r="AQ216" s="287">
        <f t="shared" ca="1" si="174"/>
        <v>-1.3312434240000002</v>
      </c>
      <c r="AR216" s="287">
        <f t="shared" ca="1" si="175"/>
        <v>-1.2794728463999998</v>
      </c>
      <c r="AS216" s="287">
        <f t="shared" ca="1" si="176"/>
        <v>-0.66562171200000009</v>
      </c>
      <c r="AT216" s="287">
        <f t="shared" ca="1" si="177"/>
        <v>-0.49551838560000022</v>
      </c>
      <c r="AU216" s="287">
        <f t="shared" ca="1" si="178"/>
        <v>0</v>
      </c>
      <c r="AV216" s="287"/>
      <c r="AW216" s="145">
        <f t="shared" si="189"/>
        <v>0.55333333333333368</v>
      </c>
      <c r="AX216" s="145">
        <f t="shared" si="190"/>
        <v>0.45333333333333325</v>
      </c>
      <c r="AY216" s="145">
        <f t="shared" si="191"/>
        <v>0.35333333333333322</v>
      </c>
      <c r="AZ216" s="145">
        <f t="shared" si="192"/>
        <v>0.25333333333333324</v>
      </c>
      <c r="BA216" s="145">
        <v>0</v>
      </c>
      <c r="BB216" s="287">
        <f t="shared" ca="1" si="179"/>
        <v>0.6138511344000005</v>
      </c>
      <c r="BC216" s="287">
        <f t="shared" ca="1" si="180"/>
        <v>0.50291418239999996</v>
      </c>
      <c r="BD216" s="287">
        <f t="shared" ca="1" si="181"/>
        <v>0.39197723039999993</v>
      </c>
      <c r="BE216" s="287">
        <f t="shared" ca="1" si="182"/>
        <v>0.28104027839999995</v>
      </c>
      <c r="BF216" s="287">
        <f t="shared" ca="1" si="183"/>
        <v>0</v>
      </c>
      <c r="BG216" s="45"/>
      <c r="BH216" s="45"/>
      <c r="BI216" s="45"/>
    </row>
    <row r="217" spans="1:61" ht="15" hidden="1"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43"/>
      <c r="AE217" s="43"/>
      <c r="AF217" s="43"/>
      <c r="AG217" s="43"/>
      <c r="AH217" s="45">
        <v>39</v>
      </c>
      <c r="AI217" s="45" t="b">
        <f t="shared" si="173"/>
        <v>0</v>
      </c>
      <c r="AJ217" s="45" t="b">
        <f t="shared" si="172"/>
        <v>1</v>
      </c>
      <c r="AK217" s="281" t="b">
        <f t="shared" si="184"/>
        <v>0</v>
      </c>
      <c r="AL217" s="145">
        <f t="shared" si="185"/>
        <v>-1.2</v>
      </c>
      <c r="AM217" s="145">
        <f t="shared" si="186"/>
        <v>-1.1599999999999995</v>
      </c>
      <c r="AN217" s="145">
        <f t="shared" si="187"/>
        <v>-0.6</v>
      </c>
      <c r="AO217" s="145">
        <f t="shared" si="188"/>
        <v>-0.44000000000000011</v>
      </c>
      <c r="AP217" s="145">
        <v>0</v>
      </c>
      <c r="AQ217" s="287">
        <f t="shared" ca="1" si="174"/>
        <v>-1.3312434240000002</v>
      </c>
      <c r="AR217" s="287">
        <f t="shared" ca="1" si="175"/>
        <v>-1.2868686431999996</v>
      </c>
      <c r="AS217" s="287">
        <f t="shared" ca="1" si="176"/>
        <v>-0.66562171200000009</v>
      </c>
      <c r="AT217" s="287">
        <f t="shared" ca="1" si="177"/>
        <v>-0.4881225888000002</v>
      </c>
      <c r="AU217" s="287">
        <f t="shared" ca="1" si="178"/>
        <v>0</v>
      </c>
      <c r="AV217" s="287"/>
      <c r="AW217" s="145">
        <f t="shared" si="189"/>
        <v>0.56000000000000039</v>
      </c>
      <c r="AX217" s="145">
        <f t="shared" si="190"/>
        <v>0.45999999999999991</v>
      </c>
      <c r="AY217" s="145">
        <f t="shared" si="191"/>
        <v>0.35999999999999988</v>
      </c>
      <c r="AZ217" s="145">
        <f t="shared" si="192"/>
        <v>0.2599999999999999</v>
      </c>
      <c r="BA217" s="145">
        <v>0</v>
      </c>
      <c r="BB217" s="287">
        <f t="shared" ca="1" si="179"/>
        <v>0.62124693120000052</v>
      </c>
      <c r="BC217" s="287">
        <f t="shared" ca="1" si="180"/>
        <v>0.51030997919999999</v>
      </c>
      <c r="BD217" s="287">
        <f t="shared" ca="1" si="181"/>
        <v>0.39937302719999995</v>
      </c>
      <c r="BE217" s="287">
        <f t="shared" ca="1" si="182"/>
        <v>0.28843607519999992</v>
      </c>
      <c r="BF217" s="287">
        <f t="shared" ca="1" si="183"/>
        <v>0</v>
      </c>
      <c r="BG217" s="45"/>
      <c r="BH217" s="45"/>
      <c r="BI217" s="45"/>
    </row>
    <row r="218" spans="1:61" ht="15" hidden="1"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43"/>
      <c r="AE218" s="43"/>
      <c r="AF218" s="43"/>
      <c r="AG218" s="43"/>
      <c r="AH218" s="45">
        <v>40</v>
      </c>
      <c r="AI218" s="45" t="b">
        <f t="shared" si="173"/>
        <v>0</v>
      </c>
      <c r="AJ218" s="45" t="b">
        <f t="shared" si="172"/>
        <v>1</v>
      </c>
      <c r="AK218" s="281" t="b">
        <f t="shared" si="184"/>
        <v>0</v>
      </c>
      <c r="AL218" s="145">
        <f t="shared" si="185"/>
        <v>-1.2</v>
      </c>
      <c r="AM218" s="145">
        <f t="shared" si="186"/>
        <v>-1.1666666666666661</v>
      </c>
      <c r="AN218" s="145">
        <f t="shared" si="187"/>
        <v>-0.6</v>
      </c>
      <c r="AO218" s="145">
        <f t="shared" si="188"/>
        <v>-0.43333333333333346</v>
      </c>
      <c r="AP218" s="145">
        <v>0</v>
      </c>
      <c r="AQ218" s="287">
        <f t="shared" ca="1" si="174"/>
        <v>-1.3312434240000002</v>
      </c>
      <c r="AR218" s="287">
        <f t="shared" ca="1" si="175"/>
        <v>-1.2942644399999996</v>
      </c>
      <c r="AS218" s="287">
        <f t="shared" ca="1" si="176"/>
        <v>-0.66562171200000009</v>
      </c>
      <c r="AT218" s="287">
        <f t="shared" ca="1" si="177"/>
        <v>-0.48072679200000024</v>
      </c>
      <c r="AU218" s="287">
        <f t="shared" ca="1" si="178"/>
        <v>0</v>
      </c>
      <c r="AV218" s="287"/>
      <c r="AW218" s="145">
        <f t="shared" si="189"/>
        <v>0.5666666666666671</v>
      </c>
      <c r="AX218" s="145">
        <f t="shared" si="190"/>
        <v>0.46666666666666656</v>
      </c>
      <c r="AY218" s="145">
        <f t="shared" si="191"/>
        <v>0.36666666666666653</v>
      </c>
      <c r="AZ218" s="145">
        <f t="shared" si="192"/>
        <v>0.26666666666666655</v>
      </c>
      <c r="BA218" s="145">
        <v>0</v>
      </c>
      <c r="BB218" s="287">
        <f t="shared" ca="1" si="179"/>
        <v>0.62864272800000065</v>
      </c>
      <c r="BC218" s="287">
        <f t="shared" ca="1" si="180"/>
        <v>0.51770577600000001</v>
      </c>
      <c r="BD218" s="287">
        <f t="shared" ca="1" si="181"/>
        <v>0.40676882399999992</v>
      </c>
      <c r="BE218" s="287">
        <f t="shared" ca="1" si="182"/>
        <v>0.29583187199999994</v>
      </c>
      <c r="BF218" s="287">
        <f t="shared" ca="1" si="183"/>
        <v>0</v>
      </c>
      <c r="BG218" s="45"/>
      <c r="BH218" s="45"/>
      <c r="BI218" s="45"/>
    </row>
    <row r="219" spans="1:61" ht="15" hidden="1"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43"/>
      <c r="AE219" s="43"/>
      <c r="AF219" s="43"/>
      <c r="AG219" s="43"/>
      <c r="AH219" s="45">
        <v>41</v>
      </c>
      <c r="AI219" s="45" t="b">
        <f t="shared" si="173"/>
        <v>0</v>
      </c>
      <c r="AJ219" s="45" t="b">
        <f t="shared" si="172"/>
        <v>1</v>
      </c>
      <c r="AK219" s="281" t="b">
        <f t="shared" si="184"/>
        <v>0</v>
      </c>
      <c r="AL219" s="145">
        <f t="shared" si="185"/>
        <v>-1.2</v>
      </c>
      <c r="AM219" s="145">
        <f t="shared" si="186"/>
        <v>-1.1733333333333327</v>
      </c>
      <c r="AN219" s="145">
        <f t="shared" si="187"/>
        <v>-0.6</v>
      </c>
      <c r="AO219" s="145">
        <f t="shared" si="188"/>
        <v>-0.42666666666666681</v>
      </c>
      <c r="AP219" s="145">
        <v>0</v>
      </c>
      <c r="AQ219" s="287">
        <f t="shared" ca="1" si="174"/>
        <v>-1.3312434240000002</v>
      </c>
      <c r="AR219" s="287">
        <f t="shared" ca="1" si="175"/>
        <v>-1.3016602367999994</v>
      </c>
      <c r="AS219" s="287">
        <f t="shared" ca="1" si="176"/>
        <v>-0.66562171200000009</v>
      </c>
      <c r="AT219" s="287">
        <f t="shared" ca="1" si="177"/>
        <v>-0.47333099520000027</v>
      </c>
      <c r="AU219" s="287">
        <f t="shared" ca="1" si="178"/>
        <v>0</v>
      </c>
      <c r="AV219" s="287"/>
      <c r="AW219" s="145">
        <f t="shared" si="189"/>
        <v>0.57333333333333381</v>
      </c>
      <c r="AX219" s="145">
        <f t="shared" si="190"/>
        <v>0.47333333333333322</v>
      </c>
      <c r="AY219" s="145">
        <f t="shared" si="191"/>
        <v>0.37333333333333318</v>
      </c>
      <c r="AZ219" s="145">
        <f t="shared" si="192"/>
        <v>0.27333333333333321</v>
      </c>
      <c r="BA219" s="145">
        <v>0</v>
      </c>
      <c r="BB219" s="287">
        <f t="shared" ca="1" si="179"/>
        <v>0.63603852480000067</v>
      </c>
      <c r="BC219" s="287">
        <f t="shared" ca="1" si="180"/>
        <v>0.52510157280000003</v>
      </c>
      <c r="BD219" s="287">
        <f t="shared" ca="1" si="181"/>
        <v>0.41416462079999994</v>
      </c>
      <c r="BE219" s="287">
        <f t="shared" ca="1" si="182"/>
        <v>0.30322766879999991</v>
      </c>
      <c r="BF219" s="287">
        <f t="shared" ca="1" si="183"/>
        <v>0</v>
      </c>
      <c r="BG219" s="45"/>
      <c r="BH219" s="45"/>
      <c r="BI219" s="45"/>
    </row>
    <row r="220" spans="1:61" ht="15" hidden="1"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43"/>
      <c r="AE220" s="43"/>
      <c r="AF220" s="43"/>
      <c r="AG220" s="43"/>
      <c r="AH220" s="45">
        <v>42</v>
      </c>
      <c r="AI220" s="45" t="b">
        <f t="shared" si="173"/>
        <v>0</v>
      </c>
      <c r="AJ220" s="45" t="b">
        <f t="shared" si="172"/>
        <v>1</v>
      </c>
      <c r="AK220" s="281" t="b">
        <f t="shared" si="184"/>
        <v>0</v>
      </c>
      <c r="AL220" s="145">
        <f t="shared" si="185"/>
        <v>-1.2</v>
      </c>
      <c r="AM220" s="145">
        <f t="shared" si="186"/>
        <v>-1.1799999999999993</v>
      </c>
      <c r="AN220" s="145">
        <f t="shared" si="187"/>
        <v>-0.6</v>
      </c>
      <c r="AO220" s="145">
        <f t="shared" si="188"/>
        <v>-0.42000000000000015</v>
      </c>
      <c r="AP220" s="145">
        <v>0</v>
      </c>
      <c r="AQ220" s="287">
        <f t="shared" ca="1" si="174"/>
        <v>-1.3312434240000002</v>
      </c>
      <c r="AR220" s="287">
        <f t="shared" ca="1" si="175"/>
        <v>-1.3090560335999994</v>
      </c>
      <c r="AS220" s="287">
        <f t="shared" ca="1" si="176"/>
        <v>-0.66562171200000009</v>
      </c>
      <c r="AT220" s="287">
        <f t="shared" ca="1" si="177"/>
        <v>-0.46593519840000025</v>
      </c>
      <c r="AU220" s="287">
        <f t="shared" ca="1" si="178"/>
        <v>0</v>
      </c>
      <c r="AV220" s="287"/>
      <c r="AW220" s="145">
        <f t="shared" si="189"/>
        <v>0.58000000000000052</v>
      </c>
      <c r="AX220" s="145">
        <f t="shared" si="190"/>
        <v>0.47999999999999987</v>
      </c>
      <c r="AY220" s="145">
        <f t="shared" si="191"/>
        <v>0.37999999999999984</v>
      </c>
      <c r="AZ220" s="145">
        <f t="shared" si="192"/>
        <v>0.27999999999999986</v>
      </c>
      <c r="BA220" s="145">
        <v>0</v>
      </c>
      <c r="BB220" s="287">
        <f t="shared" ca="1" si="179"/>
        <v>0.64343432160000069</v>
      </c>
      <c r="BC220" s="287">
        <f t="shared" ca="1" si="180"/>
        <v>0.53249736959999994</v>
      </c>
      <c r="BD220" s="287">
        <f t="shared" ca="1" si="181"/>
        <v>0.4215604175999999</v>
      </c>
      <c r="BE220" s="287">
        <f t="shared" ca="1" si="182"/>
        <v>0.31062346559999993</v>
      </c>
      <c r="BF220" s="287">
        <f t="shared" ca="1" si="183"/>
        <v>0</v>
      </c>
      <c r="BG220" s="45"/>
      <c r="BH220" s="45"/>
      <c r="BI220" s="45"/>
    </row>
    <row r="221" spans="1:61" ht="15" hidden="1" customHeight="1">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43"/>
      <c r="AE221" s="43"/>
      <c r="AF221" s="43"/>
      <c r="AG221" s="43"/>
      <c r="AH221" s="45">
        <v>43</v>
      </c>
      <c r="AI221" s="45" t="b">
        <f t="shared" si="173"/>
        <v>0</v>
      </c>
      <c r="AJ221" s="45" t="b">
        <f t="shared" si="172"/>
        <v>1</v>
      </c>
      <c r="AK221" s="281" t="b">
        <f t="shared" si="184"/>
        <v>0</v>
      </c>
      <c r="AL221" s="145">
        <f t="shared" si="185"/>
        <v>-1.2</v>
      </c>
      <c r="AM221" s="145">
        <f t="shared" si="186"/>
        <v>-1.1866666666666659</v>
      </c>
      <c r="AN221" s="145">
        <f t="shared" si="187"/>
        <v>-0.6</v>
      </c>
      <c r="AO221" s="145">
        <f t="shared" si="188"/>
        <v>-0.4133333333333335</v>
      </c>
      <c r="AP221" s="145">
        <v>0</v>
      </c>
      <c r="AQ221" s="287">
        <f t="shared" ca="1" si="174"/>
        <v>-1.3312434240000002</v>
      </c>
      <c r="AR221" s="287">
        <f t="shared" ca="1" si="175"/>
        <v>-1.3164518303999995</v>
      </c>
      <c r="AS221" s="287">
        <f t="shared" ca="1" si="176"/>
        <v>-0.66562171200000009</v>
      </c>
      <c r="AT221" s="287">
        <f t="shared" ca="1" si="177"/>
        <v>-0.45853940160000028</v>
      </c>
      <c r="AU221" s="287">
        <f t="shared" ca="1" si="178"/>
        <v>0</v>
      </c>
      <c r="AV221" s="287"/>
      <c r="AW221" s="145">
        <f t="shared" si="189"/>
        <v>0.58666666666666722</v>
      </c>
      <c r="AX221" s="145">
        <f t="shared" si="190"/>
        <v>0.48666666666666653</v>
      </c>
      <c r="AY221" s="145">
        <f t="shared" si="191"/>
        <v>0.38666666666666649</v>
      </c>
      <c r="AZ221" s="145">
        <f t="shared" si="192"/>
        <v>0.28666666666666651</v>
      </c>
      <c r="BA221" s="145">
        <v>0</v>
      </c>
      <c r="BB221" s="287">
        <f t="shared" ca="1" si="179"/>
        <v>0.65083011840000071</v>
      </c>
      <c r="BC221" s="287">
        <f t="shared" ca="1" si="180"/>
        <v>0.53989316639999996</v>
      </c>
      <c r="BD221" s="287">
        <f t="shared" ca="1" si="181"/>
        <v>0.42895621439999987</v>
      </c>
      <c r="BE221" s="287">
        <f t="shared" ca="1" si="182"/>
        <v>0.31801926239999989</v>
      </c>
      <c r="BF221" s="287">
        <f t="shared" ca="1" si="183"/>
        <v>0</v>
      </c>
      <c r="BG221" s="45"/>
      <c r="BH221" s="45"/>
      <c r="BI221" s="45"/>
    </row>
    <row r="222" spans="1:61" ht="15" hidden="1" customHeight="1">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43"/>
      <c r="AE222" s="43"/>
      <c r="AF222" s="43"/>
      <c r="AG222" s="43"/>
      <c r="AH222" s="45">
        <v>44</v>
      </c>
      <c r="AI222" s="45" t="b">
        <f t="shared" si="173"/>
        <v>0</v>
      </c>
      <c r="AJ222" s="45" t="b">
        <f t="shared" si="172"/>
        <v>1</v>
      </c>
      <c r="AK222" s="281" t="b">
        <f t="shared" si="184"/>
        <v>0</v>
      </c>
      <c r="AL222" s="145">
        <f t="shared" si="185"/>
        <v>-1.2</v>
      </c>
      <c r="AM222" s="145">
        <f t="shared" si="186"/>
        <v>-1.1933333333333325</v>
      </c>
      <c r="AN222" s="145">
        <f t="shared" si="187"/>
        <v>-0.6</v>
      </c>
      <c r="AO222" s="145">
        <f t="shared" si="188"/>
        <v>-0.40666666666666684</v>
      </c>
      <c r="AP222" s="145">
        <v>0</v>
      </c>
      <c r="AQ222" s="287">
        <f t="shared" ca="1" si="174"/>
        <v>-1.3312434240000002</v>
      </c>
      <c r="AR222" s="287">
        <f t="shared" ca="1" si="175"/>
        <v>-1.3238476271999993</v>
      </c>
      <c r="AS222" s="287">
        <f t="shared" ca="1" si="176"/>
        <v>-0.66562171200000009</v>
      </c>
      <c r="AT222" s="287">
        <f t="shared" ca="1" si="177"/>
        <v>-0.45114360480000026</v>
      </c>
      <c r="AU222" s="287">
        <f t="shared" ca="1" si="178"/>
        <v>0</v>
      </c>
      <c r="AV222" s="287"/>
      <c r="AW222" s="145">
        <f t="shared" si="189"/>
        <v>0.59333333333333393</v>
      </c>
      <c r="AX222" s="145">
        <f t="shared" si="190"/>
        <v>0.49333333333333318</v>
      </c>
      <c r="AY222" s="145">
        <f t="shared" si="191"/>
        <v>0.39333333333333315</v>
      </c>
      <c r="AZ222" s="145">
        <f t="shared" si="192"/>
        <v>0.29333333333333317</v>
      </c>
      <c r="BA222" s="145">
        <v>0</v>
      </c>
      <c r="BB222" s="287">
        <f t="shared" ca="1" si="179"/>
        <v>0.65822591520000084</v>
      </c>
      <c r="BC222" s="287">
        <f t="shared" ca="1" si="180"/>
        <v>0.54728896319999998</v>
      </c>
      <c r="BD222" s="287">
        <f t="shared" ca="1" si="181"/>
        <v>0.43635201119999989</v>
      </c>
      <c r="BE222" s="287">
        <f t="shared" ca="1" si="182"/>
        <v>0.32541505919999986</v>
      </c>
      <c r="BF222" s="287">
        <f t="shared" ca="1" si="183"/>
        <v>0</v>
      </c>
      <c r="BG222" s="45"/>
      <c r="BH222" s="45"/>
      <c r="BI222" s="45"/>
    </row>
    <row r="223" spans="1:61" ht="15" hidden="1" customHeight="1">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43"/>
      <c r="AE223" s="43"/>
      <c r="AF223" s="43"/>
      <c r="AG223" s="43"/>
      <c r="AH223" s="276">
        <v>45</v>
      </c>
      <c r="AI223" s="45" t="b">
        <f t="shared" si="173"/>
        <v>0</v>
      </c>
      <c r="AJ223" s="45" t="b">
        <f t="shared" si="172"/>
        <v>1</v>
      </c>
      <c r="AK223" s="281" t="b">
        <f t="shared" si="184"/>
        <v>0</v>
      </c>
      <c r="AL223" s="287">
        <v>-1.2</v>
      </c>
      <c r="AM223" s="287">
        <v>-1.2</v>
      </c>
      <c r="AN223" s="287">
        <v>-0.6</v>
      </c>
      <c r="AO223" s="287">
        <v>-0.4</v>
      </c>
      <c r="AP223" s="145">
        <v>0</v>
      </c>
      <c r="AQ223" s="287">
        <f t="shared" ca="1" si="174"/>
        <v>-1.3312434240000002</v>
      </c>
      <c r="AR223" s="287">
        <f t="shared" ca="1" si="175"/>
        <v>-1.3312434240000002</v>
      </c>
      <c r="AS223" s="287">
        <f t="shared" ca="1" si="176"/>
        <v>-0.66562171200000009</v>
      </c>
      <c r="AT223" s="287">
        <f t="shared" ca="1" si="177"/>
        <v>-0.44374780800000013</v>
      </c>
      <c r="AU223" s="287">
        <f t="shared" ca="1" si="178"/>
        <v>0</v>
      </c>
      <c r="AV223" s="287"/>
      <c r="AW223" s="287">
        <v>0.6</v>
      </c>
      <c r="AX223" s="287">
        <v>0.5</v>
      </c>
      <c r="AY223" s="287">
        <v>0.4</v>
      </c>
      <c r="AZ223" s="287">
        <v>0.3</v>
      </c>
      <c r="BA223" s="145">
        <v>0</v>
      </c>
      <c r="BB223" s="287">
        <f t="shared" ca="1" si="179"/>
        <v>0.66562171200000009</v>
      </c>
      <c r="BC223" s="287">
        <f t="shared" ca="1" si="180"/>
        <v>0.55468476000000011</v>
      </c>
      <c r="BD223" s="287">
        <f t="shared" ca="1" si="181"/>
        <v>0.44374780800000013</v>
      </c>
      <c r="BE223" s="287">
        <f t="shared" ca="1" si="182"/>
        <v>0.33281085600000004</v>
      </c>
      <c r="BF223" s="287">
        <f t="shared" ca="1" si="183"/>
        <v>0</v>
      </c>
      <c r="BG223" s="45"/>
      <c r="BH223" s="45"/>
      <c r="BI223" s="45"/>
    </row>
    <row r="224" spans="1:61" ht="15" hidden="1" customHeight="1">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43"/>
      <c r="AE224" s="43"/>
      <c r="AF224" s="43"/>
      <c r="AG224" s="43"/>
      <c r="AH224" s="45">
        <v>46</v>
      </c>
      <c r="AI224" s="45" t="b">
        <f t="shared" si="173"/>
        <v>0</v>
      </c>
      <c r="AJ224" s="45" t="b">
        <f t="shared" si="172"/>
        <v>1</v>
      </c>
      <c r="AK224" s="281" t="b">
        <f t="shared" si="184"/>
        <v>0</v>
      </c>
      <c r="AL224" s="145">
        <f>+ABS($AL$223-$AL$238)/15+AL223</f>
        <v>-1.2</v>
      </c>
      <c r="AM224" s="145">
        <f>+ABS($AM$223-$AM$238)/15+AM223</f>
        <v>-1.2</v>
      </c>
      <c r="AN224" s="145">
        <f>0-(ABS($AN$223-$AN$238)/15-AN223)</f>
        <v>-0.60666666666666669</v>
      </c>
      <c r="AO224" s="145">
        <f>0-(ABS($AO$223-$AO$238)/15-AO223)</f>
        <v>-0.41333333333333333</v>
      </c>
      <c r="AP224" s="145">
        <v>0</v>
      </c>
      <c r="AQ224" s="287">
        <f t="shared" ca="1" si="174"/>
        <v>-1.3312434240000002</v>
      </c>
      <c r="AR224" s="287">
        <f t="shared" ca="1" si="175"/>
        <v>-1.3312434240000002</v>
      </c>
      <c r="AS224" s="287">
        <f t="shared" ca="1" si="176"/>
        <v>-0.67301750880000011</v>
      </c>
      <c r="AT224" s="287">
        <f t="shared" ca="1" si="177"/>
        <v>-0.45853940160000006</v>
      </c>
      <c r="AU224" s="287">
        <f t="shared" ca="1" si="178"/>
        <v>0</v>
      </c>
      <c r="AV224" s="287"/>
      <c r="AW224" s="145">
        <f>0.1/15+AW223</f>
        <v>0.60666666666666669</v>
      </c>
      <c r="AX224" s="145">
        <f>0.2/15+AX223</f>
        <v>0.51333333333333331</v>
      </c>
      <c r="AY224" s="145">
        <f>0.1/15+AY223</f>
        <v>0.40666666666666668</v>
      </c>
      <c r="AZ224" s="145">
        <f>0.2/15+AZ223</f>
        <v>0.3133333333333333</v>
      </c>
      <c r="BA224" s="145">
        <v>0</v>
      </c>
      <c r="BB224" s="287">
        <f t="shared" ca="1" si="179"/>
        <v>0.67301750880000011</v>
      </c>
      <c r="BC224" s="287">
        <f t="shared" ca="1" si="180"/>
        <v>0.56947635360000004</v>
      </c>
      <c r="BD224" s="287">
        <f t="shared" ca="1" si="181"/>
        <v>0.4511436048000001</v>
      </c>
      <c r="BE224" s="287">
        <f t="shared" ca="1" si="182"/>
        <v>0.34760244960000003</v>
      </c>
      <c r="BF224" s="287">
        <f t="shared" ca="1" si="183"/>
        <v>0</v>
      </c>
      <c r="BG224" s="45"/>
      <c r="BH224" s="45"/>
      <c r="BI224" s="45"/>
    </row>
    <row r="225" spans="1:61" ht="15" hidden="1" customHeight="1">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43"/>
      <c r="AE225" s="43"/>
      <c r="AF225" s="43"/>
      <c r="AG225" s="43"/>
      <c r="AH225" s="45">
        <v>47</v>
      </c>
      <c r="AI225" s="45" t="b">
        <f t="shared" si="173"/>
        <v>0</v>
      </c>
      <c r="AJ225" s="45" t="b">
        <f t="shared" si="172"/>
        <v>1</v>
      </c>
      <c r="AK225" s="281" t="b">
        <f t="shared" si="184"/>
        <v>0</v>
      </c>
      <c r="AL225" s="145">
        <f t="shared" ref="AL225:AL237" si="193">+ABS($AL$223-$AL$238)/15+AL224</f>
        <v>-1.2</v>
      </c>
      <c r="AM225" s="145">
        <f t="shared" ref="AM225:AM237" si="194">+ABS($AM$223-$AM$238)/15+AM224</f>
        <v>-1.2</v>
      </c>
      <c r="AN225" s="145">
        <f t="shared" ref="AN225:AN237" si="195">0-(ABS($AN$223-$AN$238)/15-AN224)</f>
        <v>-0.6133333333333334</v>
      </c>
      <c r="AO225" s="145">
        <f t="shared" ref="AO225:AO237" si="196">0-(ABS($AO$223-$AO$238)/15-AO224)</f>
        <v>-0.42666666666666664</v>
      </c>
      <c r="AP225" s="145">
        <v>0</v>
      </c>
      <c r="AQ225" s="287">
        <f t="shared" ca="1" si="174"/>
        <v>-1.3312434240000002</v>
      </c>
      <c r="AR225" s="287">
        <f t="shared" ca="1" si="175"/>
        <v>-1.3312434240000002</v>
      </c>
      <c r="AS225" s="287">
        <f t="shared" ca="1" si="176"/>
        <v>-0.68041330560000024</v>
      </c>
      <c r="AT225" s="287">
        <f t="shared" ca="1" si="177"/>
        <v>-0.47333099520000005</v>
      </c>
      <c r="AU225" s="287">
        <f t="shared" ca="1" si="178"/>
        <v>0</v>
      </c>
      <c r="AV225" s="287"/>
      <c r="AW225" s="145">
        <f t="shared" ref="AW225:AW237" si="197">0.1/15+AW224</f>
        <v>0.6133333333333334</v>
      </c>
      <c r="AX225" s="145">
        <f t="shared" ref="AX225:AX237" si="198">0.2/15+AX224</f>
        <v>0.52666666666666662</v>
      </c>
      <c r="AY225" s="145">
        <f t="shared" ref="AY225:AY237" si="199">0.1/15+AY224</f>
        <v>0.41333333333333333</v>
      </c>
      <c r="AZ225" s="145">
        <f t="shared" ref="AZ225:AZ237" si="200">0.2/15+AZ224</f>
        <v>0.32666666666666661</v>
      </c>
      <c r="BA225" s="145">
        <v>0</v>
      </c>
      <c r="BB225" s="287">
        <f t="shared" ca="1" si="179"/>
        <v>0.68041330560000024</v>
      </c>
      <c r="BC225" s="287">
        <f t="shared" ca="1" si="180"/>
        <v>0.58426794720000008</v>
      </c>
      <c r="BD225" s="287">
        <f t="shared" ca="1" si="181"/>
        <v>0.45853940160000006</v>
      </c>
      <c r="BE225" s="287">
        <f t="shared" ca="1" si="182"/>
        <v>0.36239404320000002</v>
      </c>
      <c r="BF225" s="287">
        <f t="shared" ca="1" si="183"/>
        <v>0</v>
      </c>
      <c r="BG225" s="45"/>
      <c r="BH225" s="45"/>
      <c r="BI225" s="45"/>
    </row>
    <row r="226" spans="1:61" ht="15" hidden="1" customHeight="1">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43"/>
      <c r="AE226" s="43"/>
      <c r="AF226" s="43"/>
      <c r="AG226" s="43"/>
      <c r="AH226" s="45">
        <v>48</v>
      </c>
      <c r="AI226" s="45" t="b">
        <f t="shared" si="173"/>
        <v>0</v>
      </c>
      <c r="AJ226" s="45" t="b">
        <f t="shared" si="172"/>
        <v>1</v>
      </c>
      <c r="AK226" s="281" t="b">
        <f t="shared" si="184"/>
        <v>0</v>
      </c>
      <c r="AL226" s="145">
        <f t="shared" si="193"/>
        <v>-1.2</v>
      </c>
      <c r="AM226" s="145">
        <f t="shared" si="194"/>
        <v>-1.2</v>
      </c>
      <c r="AN226" s="145">
        <f t="shared" si="195"/>
        <v>-0.62000000000000011</v>
      </c>
      <c r="AO226" s="145">
        <f t="shared" si="196"/>
        <v>-0.43999999999999995</v>
      </c>
      <c r="AP226" s="145">
        <v>0</v>
      </c>
      <c r="AQ226" s="287">
        <f t="shared" ca="1" si="174"/>
        <v>-1.3312434240000002</v>
      </c>
      <c r="AR226" s="287">
        <f t="shared" ca="1" si="175"/>
        <v>-1.3312434240000002</v>
      </c>
      <c r="AS226" s="287">
        <f t="shared" ca="1" si="176"/>
        <v>-0.68780910240000026</v>
      </c>
      <c r="AT226" s="287">
        <f t="shared" ca="1" si="177"/>
        <v>-0.48812258880000003</v>
      </c>
      <c r="AU226" s="287">
        <f t="shared" ca="1" si="178"/>
        <v>0</v>
      </c>
      <c r="AV226" s="287"/>
      <c r="AW226" s="145">
        <f t="shared" si="197"/>
        <v>0.62000000000000011</v>
      </c>
      <c r="AX226" s="145">
        <f t="shared" si="198"/>
        <v>0.53999999999999992</v>
      </c>
      <c r="AY226" s="145">
        <f t="shared" si="199"/>
        <v>0.42</v>
      </c>
      <c r="AZ226" s="145">
        <f t="shared" si="200"/>
        <v>0.33999999999999991</v>
      </c>
      <c r="BA226" s="145">
        <v>0</v>
      </c>
      <c r="BB226" s="287">
        <f t="shared" ca="1" si="179"/>
        <v>0.68780910240000026</v>
      </c>
      <c r="BC226" s="287">
        <f t="shared" ca="1" si="180"/>
        <v>0.59905954080000001</v>
      </c>
      <c r="BD226" s="287">
        <f t="shared" ca="1" si="181"/>
        <v>0.46593519840000008</v>
      </c>
      <c r="BE226" s="287">
        <f t="shared" ca="1" si="182"/>
        <v>0.3771856368</v>
      </c>
      <c r="BF226" s="287">
        <f t="shared" ca="1" si="183"/>
        <v>0</v>
      </c>
      <c r="BG226" s="45"/>
      <c r="BH226" s="45"/>
      <c r="BI226" s="45"/>
    </row>
    <row r="227" spans="1:61" ht="15" hidden="1" customHeight="1">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43"/>
      <c r="AE227" s="43"/>
      <c r="AF227" s="43"/>
      <c r="AG227" s="43"/>
      <c r="AH227" s="45">
        <v>49</v>
      </c>
      <c r="AI227" s="45" t="b">
        <f t="shared" si="173"/>
        <v>0</v>
      </c>
      <c r="AJ227" s="45" t="b">
        <f t="shared" si="172"/>
        <v>1</v>
      </c>
      <c r="AK227" s="281" t="b">
        <f t="shared" si="184"/>
        <v>0</v>
      </c>
      <c r="AL227" s="145">
        <f t="shared" si="193"/>
        <v>-1.2</v>
      </c>
      <c r="AM227" s="145">
        <f t="shared" si="194"/>
        <v>-1.2</v>
      </c>
      <c r="AN227" s="145">
        <f t="shared" si="195"/>
        <v>-0.62666666666666682</v>
      </c>
      <c r="AO227" s="145">
        <f t="shared" si="196"/>
        <v>-0.45333333333333325</v>
      </c>
      <c r="AP227" s="145">
        <v>0</v>
      </c>
      <c r="AQ227" s="287">
        <f t="shared" ca="1" si="174"/>
        <v>-1.3312434240000002</v>
      </c>
      <c r="AR227" s="287">
        <f t="shared" ca="1" si="175"/>
        <v>-1.3312434240000002</v>
      </c>
      <c r="AS227" s="287">
        <f t="shared" ca="1" si="176"/>
        <v>-0.69520489920000028</v>
      </c>
      <c r="AT227" s="287">
        <f t="shared" ca="1" si="177"/>
        <v>-0.50291418239999996</v>
      </c>
      <c r="AU227" s="287">
        <f t="shared" ca="1" si="178"/>
        <v>0</v>
      </c>
      <c r="AV227" s="287"/>
      <c r="AW227" s="145">
        <f t="shared" si="197"/>
        <v>0.62666666666666682</v>
      </c>
      <c r="AX227" s="145">
        <f t="shared" si="198"/>
        <v>0.55333333333333323</v>
      </c>
      <c r="AY227" s="145">
        <f t="shared" si="199"/>
        <v>0.42666666666666664</v>
      </c>
      <c r="AZ227" s="145">
        <f t="shared" si="200"/>
        <v>0.35333333333333322</v>
      </c>
      <c r="BA227" s="145">
        <v>0</v>
      </c>
      <c r="BB227" s="287">
        <f t="shared" ca="1" si="179"/>
        <v>0.69520489920000028</v>
      </c>
      <c r="BC227" s="287">
        <f t="shared" ca="1" si="180"/>
        <v>0.61385113440000005</v>
      </c>
      <c r="BD227" s="287">
        <f t="shared" ca="1" si="181"/>
        <v>0.47333099520000005</v>
      </c>
      <c r="BE227" s="287">
        <f t="shared" ca="1" si="182"/>
        <v>0.39197723039999993</v>
      </c>
      <c r="BF227" s="287">
        <f t="shared" ca="1" si="183"/>
        <v>0</v>
      </c>
      <c r="BG227" s="45"/>
      <c r="BH227" s="45"/>
      <c r="BI227" s="45"/>
    </row>
    <row r="228" spans="1:61" ht="15" hidden="1" customHeight="1">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43"/>
      <c r="AE228" s="43"/>
      <c r="AF228" s="43"/>
      <c r="AG228" s="43"/>
      <c r="AH228" s="45">
        <v>50</v>
      </c>
      <c r="AI228" s="45" t="b">
        <f t="shared" si="173"/>
        <v>0</v>
      </c>
      <c r="AJ228" s="45" t="b">
        <f t="shared" si="172"/>
        <v>1</v>
      </c>
      <c r="AK228" s="281" t="b">
        <f t="shared" si="184"/>
        <v>0</v>
      </c>
      <c r="AL228" s="145">
        <f t="shared" si="193"/>
        <v>-1.2</v>
      </c>
      <c r="AM228" s="145">
        <f t="shared" si="194"/>
        <v>-1.2</v>
      </c>
      <c r="AN228" s="145">
        <f t="shared" si="195"/>
        <v>-0.63333333333333353</v>
      </c>
      <c r="AO228" s="145">
        <f t="shared" si="196"/>
        <v>-0.46666666666666656</v>
      </c>
      <c r="AP228" s="145">
        <v>0</v>
      </c>
      <c r="AQ228" s="287">
        <f t="shared" ca="1" si="174"/>
        <v>-1.3312434240000002</v>
      </c>
      <c r="AR228" s="287">
        <f t="shared" ca="1" si="175"/>
        <v>-1.3312434240000002</v>
      </c>
      <c r="AS228" s="287">
        <f t="shared" ca="1" si="176"/>
        <v>-0.7026006960000003</v>
      </c>
      <c r="AT228" s="287">
        <f t="shared" ca="1" si="177"/>
        <v>-0.51770577600000001</v>
      </c>
      <c r="AU228" s="287">
        <f t="shared" ca="1" si="178"/>
        <v>0</v>
      </c>
      <c r="AV228" s="287"/>
      <c r="AW228" s="145">
        <f t="shared" si="197"/>
        <v>0.63333333333333353</v>
      </c>
      <c r="AX228" s="145">
        <f t="shared" si="198"/>
        <v>0.56666666666666654</v>
      </c>
      <c r="AY228" s="145">
        <f t="shared" si="199"/>
        <v>0.43333333333333329</v>
      </c>
      <c r="AZ228" s="145">
        <f t="shared" si="200"/>
        <v>0.36666666666666653</v>
      </c>
      <c r="BA228" s="145">
        <v>0</v>
      </c>
      <c r="BB228" s="287">
        <f t="shared" ca="1" si="179"/>
        <v>0.7026006960000003</v>
      </c>
      <c r="BC228" s="287">
        <f t="shared" ca="1" si="180"/>
        <v>0.62864272799999998</v>
      </c>
      <c r="BD228" s="287">
        <f t="shared" ca="1" si="181"/>
        <v>0.48072679200000007</v>
      </c>
      <c r="BE228" s="287">
        <f t="shared" ca="1" si="182"/>
        <v>0.40676882399999992</v>
      </c>
      <c r="BF228" s="287">
        <f t="shared" ca="1" si="183"/>
        <v>0</v>
      </c>
      <c r="BG228" s="45"/>
      <c r="BH228" s="45"/>
      <c r="BI228" s="45"/>
    </row>
    <row r="229" spans="1:61" ht="15" hidden="1" customHeight="1">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43"/>
      <c r="AE229" s="43"/>
      <c r="AF229" s="43"/>
      <c r="AG229" s="43"/>
      <c r="AH229" s="45">
        <v>51</v>
      </c>
      <c r="AI229" s="45" t="b">
        <f t="shared" si="173"/>
        <v>0</v>
      </c>
      <c r="AJ229" s="45" t="b">
        <f t="shared" si="172"/>
        <v>1</v>
      </c>
      <c r="AK229" s="281" t="b">
        <f t="shared" si="184"/>
        <v>0</v>
      </c>
      <c r="AL229" s="145">
        <f t="shared" si="193"/>
        <v>-1.2</v>
      </c>
      <c r="AM229" s="145">
        <f t="shared" si="194"/>
        <v>-1.2</v>
      </c>
      <c r="AN229" s="145">
        <f t="shared" si="195"/>
        <v>-0.64000000000000024</v>
      </c>
      <c r="AO229" s="145">
        <f t="shared" si="196"/>
        <v>-0.47999999999999987</v>
      </c>
      <c r="AP229" s="145">
        <v>0</v>
      </c>
      <c r="AQ229" s="287">
        <f t="shared" ca="1" si="174"/>
        <v>-1.3312434240000002</v>
      </c>
      <c r="AR229" s="287">
        <f t="shared" ca="1" si="175"/>
        <v>-1.3312434240000002</v>
      </c>
      <c r="AS229" s="287">
        <f t="shared" ca="1" si="176"/>
        <v>-0.70999649280000043</v>
      </c>
      <c r="AT229" s="287">
        <f t="shared" ca="1" si="177"/>
        <v>-0.53249736959999994</v>
      </c>
      <c r="AU229" s="287">
        <f t="shared" ca="1" si="178"/>
        <v>0</v>
      </c>
      <c r="AV229" s="287"/>
      <c r="AW229" s="145">
        <f t="shared" si="197"/>
        <v>0.64000000000000024</v>
      </c>
      <c r="AX229" s="145">
        <f t="shared" si="198"/>
        <v>0.57999999999999985</v>
      </c>
      <c r="AY229" s="145">
        <f t="shared" si="199"/>
        <v>0.43999999999999995</v>
      </c>
      <c r="AZ229" s="145">
        <f t="shared" si="200"/>
        <v>0.37999999999999984</v>
      </c>
      <c r="BA229" s="145">
        <v>0</v>
      </c>
      <c r="BB229" s="287">
        <f t="shared" ca="1" si="179"/>
        <v>0.70999649280000043</v>
      </c>
      <c r="BC229" s="287">
        <f t="shared" ca="1" si="180"/>
        <v>0.64343432159999991</v>
      </c>
      <c r="BD229" s="287">
        <f t="shared" ca="1" si="181"/>
        <v>0.48812258880000003</v>
      </c>
      <c r="BE229" s="287">
        <f t="shared" ca="1" si="182"/>
        <v>0.4215604175999999</v>
      </c>
      <c r="BF229" s="287">
        <f t="shared" ca="1" si="183"/>
        <v>0</v>
      </c>
      <c r="BG229" s="45"/>
      <c r="BH229" s="45"/>
      <c r="BI229" s="45"/>
    </row>
    <row r="230" spans="1:61" ht="15" hidden="1" customHeight="1">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43"/>
      <c r="AE230" s="43"/>
      <c r="AF230" s="43"/>
      <c r="AG230" s="43"/>
      <c r="AH230" s="45">
        <v>52</v>
      </c>
      <c r="AI230" s="45" t="b">
        <f t="shared" si="173"/>
        <v>0</v>
      </c>
      <c r="AJ230" s="45" t="b">
        <f t="shared" si="172"/>
        <v>1</v>
      </c>
      <c r="AK230" s="281" t="b">
        <f t="shared" si="184"/>
        <v>0</v>
      </c>
      <c r="AL230" s="145">
        <f t="shared" si="193"/>
        <v>-1.2</v>
      </c>
      <c r="AM230" s="145">
        <f t="shared" si="194"/>
        <v>-1.2</v>
      </c>
      <c r="AN230" s="145">
        <f t="shared" si="195"/>
        <v>-0.64666666666666694</v>
      </c>
      <c r="AO230" s="145">
        <f t="shared" si="196"/>
        <v>-0.49333333333333318</v>
      </c>
      <c r="AP230" s="145">
        <v>0</v>
      </c>
      <c r="AQ230" s="287">
        <f t="shared" ca="1" si="174"/>
        <v>-1.3312434240000002</v>
      </c>
      <c r="AR230" s="287">
        <f t="shared" ca="1" si="175"/>
        <v>-1.3312434240000002</v>
      </c>
      <c r="AS230" s="287">
        <f t="shared" ca="1" si="176"/>
        <v>-0.71739228960000045</v>
      </c>
      <c r="AT230" s="287">
        <f t="shared" ca="1" si="177"/>
        <v>-0.54728896319999998</v>
      </c>
      <c r="AU230" s="287">
        <f t="shared" ca="1" si="178"/>
        <v>0</v>
      </c>
      <c r="AV230" s="287"/>
      <c r="AW230" s="145">
        <f t="shared" si="197"/>
        <v>0.64666666666666694</v>
      </c>
      <c r="AX230" s="145">
        <f t="shared" si="198"/>
        <v>0.59333333333333316</v>
      </c>
      <c r="AY230" s="145">
        <f t="shared" si="199"/>
        <v>0.4466666666666666</v>
      </c>
      <c r="AZ230" s="145">
        <f t="shared" si="200"/>
        <v>0.39333333333333315</v>
      </c>
      <c r="BA230" s="145">
        <v>0</v>
      </c>
      <c r="BB230" s="287">
        <f t="shared" ca="1" si="179"/>
        <v>0.71739228960000045</v>
      </c>
      <c r="BC230" s="287">
        <f t="shared" ca="1" si="180"/>
        <v>0.65822591519999996</v>
      </c>
      <c r="BD230" s="287">
        <f t="shared" ca="1" si="181"/>
        <v>0.4955183856</v>
      </c>
      <c r="BE230" s="287">
        <f t="shared" ca="1" si="182"/>
        <v>0.43635201119999989</v>
      </c>
      <c r="BF230" s="287">
        <f t="shared" ca="1" si="183"/>
        <v>0</v>
      </c>
      <c r="BG230" s="45"/>
      <c r="BH230" s="45"/>
      <c r="BI230" s="45"/>
    </row>
    <row r="231" spans="1:61" ht="15" hidden="1" customHeight="1">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43"/>
      <c r="AE231" s="43"/>
      <c r="AF231" s="43"/>
      <c r="AG231" s="43"/>
      <c r="AH231" s="45">
        <v>53</v>
      </c>
      <c r="AI231" s="45" t="b">
        <f t="shared" si="173"/>
        <v>0</v>
      </c>
      <c r="AJ231" s="45" t="b">
        <f t="shared" si="172"/>
        <v>1</v>
      </c>
      <c r="AK231" s="281" t="b">
        <f t="shared" si="184"/>
        <v>0</v>
      </c>
      <c r="AL231" s="145">
        <f t="shared" si="193"/>
        <v>-1.2</v>
      </c>
      <c r="AM231" s="145">
        <f t="shared" si="194"/>
        <v>-1.2</v>
      </c>
      <c r="AN231" s="145">
        <f t="shared" si="195"/>
        <v>-0.65333333333333365</v>
      </c>
      <c r="AO231" s="145">
        <f t="shared" si="196"/>
        <v>-0.50666666666666649</v>
      </c>
      <c r="AP231" s="145">
        <v>0</v>
      </c>
      <c r="AQ231" s="287">
        <f t="shared" ca="1" si="174"/>
        <v>-1.3312434240000002</v>
      </c>
      <c r="AR231" s="287">
        <f t="shared" ca="1" si="175"/>
        <v>-1.3312434240000002</v>
      </c>
      <c r="AS231" s="287">
        <f t="shared" ca="1" si="176"/>
        <v>-0.72478808640000048</v>
      </c>
      <c r="AT231" s="287">
        <f t="shared" ca="1" si="177"/>
        <v>-0.56208055679999991</v>
      </c>
      <c r="AU231" s="287">
        <f t="shared" ca="1" si="178"/>
        <v>0</v>
      </c>
      <c r="AV231" s="287"/>
      <c r="AW231" s="145">
        <f t="shared" si="197"/>
        <v>0.65333333333333365</v>
      </c>
      <c r="AX231" s="145">
        <f t="shared" si="198"/>
        <v>0.60666666666666647</v>
      </c>
      <c r="AY231" s="145">
        <f t="shared" si="199"/>
        <v>0.45333333333333325</v>
      </c>
      <c r="AZ231" s="145">
        <f t="shared" si="200"/>
        <v>0.40666666666666645</v>
      </c>
      <c r="BA231" s="145">
        <v>0</v>
      </c>
      <c r="BB231" s="287">
        <f t="shared" ca="1" si="179"/>
        <v>0.72478808640000048</v>
      </c>
      <c r="BC231" s="287">
        <f t="shared" ca="1" si="180"/>
        <v>0.67301750879999989</v>
      </c>
      <c r="BD231" s="287">
        <f t="shared" ca="1" si="181"/>
        <v>0.50291418239999996</v>
      </c>
      <c r="BE231" s="287">
        <f t="shared" ca="1" si="182"/>
        <v>0.45114360479999988</v>
      </c>
      <c r="BF231" s="287">
        <f t="shared" ca="1" si="183"/>
        <v>0</v>
      </c>
      <c r="BG231" s="45"/>
      <c r="BH231" s="45"/>
      <c r="BI231" s="45"/>
    </row>
    <row r="232" spans="1:61" ht="15" hidden="1" customHeight="1">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43"/>
      <c r="AE232" s="43"/>
      <c r="AF232" s="43"/>
      <c r="AG232" s="43"/>
      <c r="AH232" s="45">
        <v>54</v>
      </c>
      <c r="AI232" s="45" t="b">
        <f t="shared" si="173"/>
        <v>0</v>
      </c>
      <c r="AJ232" s="45" t="b">
        <f t="shared" si="172"/>
        <v>1</v>
      </c>
      <c r="AK232" s="281" t="b">
        <f t="shared" si="184"/>
        <v>0</v>
      </c>
      <c r="AL232" s="145">
        <f t="shared" si="193"/>
        <v>-1.2</v>
      </c>
      <c r="AM232" s="145">
        <f t="shared" si="194"/>
        <v>-1.2</v>
      </c>
      <c r="AN232" s="145">
        <f t="shared" si="195"/>
        <v>-0.66000000000000036</v>
      </c>
      <c r="AO232" s="145">
        <f t="shared" si="196"/>
        <v>-0.5199999999999998</v>
      </c>
      <c r="AP232" s="145">
        <v>0</v>
      </c>
      <c r="AQ232" s="287">
        <f t="shared" ca="1" si="174"/>
        <v>-1.3312434240000002</v>
      </c>
      <c r="AR232" s="287">
        <f t="shared" ca="1" si="175"/>
        <v>-1.3312434240000002</v>
      </c>
      <c r="AS232" s="287">
        <f t="shared" ca="1" si="176"/>
        <v>-0.7321838832000005</v>
      </c>
      <c r="AT232" s="287">
        <f t="shared" ca="1" si="177"/>
        <v>-0.57687215039999984</v>
      </c>
      <c r="AU232" s="287">
        <f t="shared" ca="1" si="178"/>
        <v>0</v>
      </c>
      <c r="AV232" s="287"/>
      <c r="AW232" s="145">
        <f t="shared" si="197"/>
        <v>0.66000000000000036</v>
      </c>
      <c r="AX232" s="145">
        <f t="shared" si="198"/>
        <v>0.61999999999999977</v>
      </c>
      <c r="AY232" s="145">
        <f t="shared" si="199"/>
        <v>0.45999999999999991</v>
      </c>
      <c r="AZ232" s="145">
        <f t="shared" si="200"/>
        <v>0.41999999999999976</v>
      </c>
      <c r="BA232" s="145">
        <v>0</v>
      </c>
      <c r="BB232" s="287">
        <f t="shared" ca="1" si="179"/>
        <v>0.7321838832000005</v>
      </c>
      <c r="BC232" s="287">
        <f t="shared" ca="1" si="180"/>
        <v>0.68780910239999993</v>
      </c>
      <c r="BD232" s="287">
        <f t="shared" ca="1" si="181"/>
        <v>0.51030997919999999</v>
      </c>
      <c r="BE232" s="287">
        <f t="shared" ca="1" si="182"/>
        <v>0.46593519839999981</v>
      </c>
      <c r="BF232" s="287">
        <f t="shared" ca="1" si="183"/>
        <v>0</v>
      </c>
      <c r="BG232" s="45"/>
      <c r="BH232" s="45"/>
      <c r="BI232" s="45"/>
    </row>
    <row r="233" spans="1:61" ht="15" hidden="1" customHeight="1">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43"/>
      <c r="AE233" s="43"/>
      <c r="AF233" s="43"/>
      <c r="AG233" s="43"/>
      <c r="AH233" s="45">
        <v>55</v>
      </c>
      <c r="AI233" s="45" t="b">
        <f t="shared" si="173"/>
        <v>0</v>
      </c>
      <c r="AJ233" s="45" t="b">
        <f t="shared" si="172"/>
        <v>1</v>
      </c>
      <c r="AK233" s="281" t="b">
        <f t="shared" si="184"/>
        <v>0</v>
      </c>
      <c r="AL233" s="145">
        <f t="shared" si="193"/>
        <v>-1.2</v>
      </c>
      <c r="AM233" s="145">
        <f t="shared" si="194"/>
        <v>-1.2</v>
      </c>
      <c r="AN233" s="145">
        <f t="shared" si="195"/>
        <v>-0.66666666666666707</v>
      </c>
      <c r="AO233" s="145">
        <f t="shared" si="196"/>
        <v>-0.5333333333333331</v>
      </c>
      <c r="AP233" s="145">
        <v>0</v>
      </c>
      <c r="AQ233" s="287">
        <f t="shared" ca="1" si="174"/>
        <v>-1.3312434240000002</v>
      </c>
      <c r="AR233" s="287">
        <f t="shared" ca="1" si="175"/>
        <v>-1.3312434240000002</v>
      </c>
      <c r="AS233" s="287">
        <f t="shared" ca="1" si="176"/>
        <v>-0.73957968000000063</v>
      </c>
      <c r="AT233" s="287">
        <f t="shared" ca="1" si="177"/>
        <v>-0.59166374399999988</v>
      </c>
      <c r="AU233" s="287">
        <f t="shared" ca="1" si="178"/>
        <v>0</v>
      </c>
      <c r="AV233" s="287"/>
      <c r="AW233" s="145">
        <f t="shared" si="197"/>
        <v>0.66666666666666707</v>
      </c>
      <c r="AX233" s="145">
        <f t="shared" si="198"/>
        <v>0.63333333333333308</v>
      </c>
      <c r="AY233" s="145">
        <f t="shared" si="199"/>
        <v>0.46666666666666656</v>
      </c>
      <c r="AZ233" s="145">
        <f t="shared" si="200"/>
        <v>0.43333333333333307</v>
      </c>
      <c r="BA233" s="145">
        <v>0</v>
      </c>
      <c r="BB233" s="287">
        <f t="shared" ca="1" si="179"/>
        <v>0.73957968000000063</v>
      </c>
      <c r="BC233" s="287">
        <f t="shared" ca="1" si="180"/>
        <v>0.70260069599999986</v>
      </c>
      <c r="BD233" s="287">
        <f t="shared" ca="1" si="181"/>
        <v>0.51770577600000001</v>
      </c>
      <c r="BE233" s="287">
        <f t="shared" ca="1" si="182"/>
        <v>0.48072679199999979</v>
      </c>
      <c r="BF233" s="287">
        <f t="shared" ca="1" si="183"/>
        <v>0</v>
      </c>
      <c r="BG233" s="45"/>
      <c r="BH233" s="45"/>
      <c r="BI233" s="45"/>
    </row>
    <row r="234" spans="1:61" ht="15" hidden="1" customHeight="1">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43"/>
      <c r="AE234" s="43"/>
      <c r="AF234" s="43"/>
      <c r="AG234" s="43"/>
      <c r="AH234" s="45">
        <v>56</v>
      </c>
      <c r="AI234" s="45" t="b">
        <f t="shared" si="173"/>
        <v>0</v>
      </c>
      <c r="AJ234" s="45" t="b">
        <f t="shared" si="172"/>
        <v>1</v>
      </c>
      <c r="AK234" s="281" t="b">
        <f t="shared" si="184"/>
        <v>0</v>
      </c>
      <c r="AL234" s="145">
        <f t="shared" si="193"/>
        <v>-1.2</v>
      </c>
      <c r="AM234" s="145">
        <f t="shared" si="194"/>
        <v>-1.2</v>
      </c>
      <c r="AN234" s="145">
        <f t="shared" si="195"/>
        <v>-0.67333333333333378</v>
      </c>
      <c r="AO234" s="145">
        <f t="shared" si="196"/>
        <v>-0.54666666666666641</v>
      </c>
      <c r="AP234" s="145">
        <v>0</v>
      </c>
      <c r="AQ234" s="287">
        <f t="shared" ca="1" si="174"/>
        <v>-1.3312434240000002</v>
      </c>
      <c r="AR234" s="287">
        <f t="shared" ca="1" si="175"/>
        <v>-1.3312434240000002</v>
      </c>
      <c r="AS234" s="287">
        <f t="shared" ca="1" si="176"/>
        <v>-0.74697547680000065</v>
      </c>
      <c r="AT234" s="287">
        <f t="shared" ca="1" si="177"/>
        <v>-0.60645533759999981</v>
      </c>
      <c r="AU234" s="287">
        <f t="shared" ca="1" si="178"/>
        <v>0</v>
      </c>
      <c r="AV234" s="287"/>
      <c r="AW234" s="145">
        <f t="shared" si="197"/>
        <v>0.67333333333333378</v>
      </c>
      <c r="AX234" s="145">
        <f t="shared" si="198"/>
        <v>0.64666666666666639</v>
      </c>
      <c r="AY234" s="145">
        <f t="shared" si="199"/>
        <v>0.47333333333333322</v>
      </c>
      <c r="AZ234" s="145">
        <f t="shared" si="200"/>
        <v>0.44666666666666638</v>
      </c>
      <c r="BA234" s="145">
        <v>0</v>
      </c>
      <c r="BB234" s="287">
        <f t="shared" ca="1" si="179"/>
        <v>0.74697547680000065</v>
      </c>
      <c r="BC234" s="287">
        <f t="shared" ca="1" si="180"/>
        <v>0.71739228959999979</v>
      </c>
      <c r="BD234" s="287">
        <f t="shared" ca="1" si="181"/>
        <v>0.52510157280000003</v>
      </c>
      <c r="BE234" s="287">
        <f t="shared" ca="1" si="182"/>
        <v>0.49551838559999978</v>
      </c>
      <c r="BF234" s="287">
        <f t="shared" ca="1" si="183"/>
        <v>0</v>
      </c>
      <c r="BG234" s="45"/>
      <c r="BH234" s="45"/>
      <c r="BI234" s="45"/>
    </row>
    <row r="235" spans="1:61" ht="15" hidden="1" customHeight="1">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43"/>
      <c r="AE235" s="43"/>
      <c r="AF235" s="43"/>
      <c r="AG235" s="43"/>
      <c r="AH235" s="45">
        <v>57</v>
      </c>
      <c r="AI235" s="45" t="b">
        <f t="shared" si="173"/>
        <v>0</v>
      </c>
      <c r="AJ235" s="45" t="b">
        <f t="shared" si="172"/>
        <v>1</v>
      </c>
      <c r="AK235" s="281" t="b">
        <f t="shared" si="184"/>
        <v>0</v>
      </c>
      <c r="AL235" s="145">
        <f t="shared" si="193"/>
        <v>-1.2</v>
      </c>
      <c r="AM235" s="145">
        <f t="shared" si="194"/>
        <v>-1.2</v>
      </c>
      <c r="AN235" s="145">
        <f t="shared" si="195"/>
        <v>-0.68000000000000049</v>
      </c>
      <c r="AO235" s="145">
        <f t="shared" si="196"/>
        <v>-0.55999999999999972</v>
      </c>
      <c r="AP235" s="145">
        <v>0</v>
      </c>
      <c r="AQ235" s="287">
        <f t="shared" ca="1" si="174"/>
        <v>-1.3312434240000002</v>
      </c>
      <c r="AR235" s="287">
        <f t="shared" ca="1" si="175"/>
        <v>-1.3312434240000002</v>
      </c>
      <c r="AS235" s="287">
        <f t="shared" ca="1" si="176"/>
        <v>-0.75437127360000067</v>
      </c>
      <c r="AT235" s="287">
        <f t="shared" ca="1" si="177"/>
        <v>-0.62124693119999985</v>
      </c>
      <c r="AU235" s="287">
        <f t="shared" ca="1" si="178"/>
        <v>0</v>
      </c>
      <c r="AV235" s="287"/>
      <c r="AW235" s="145">
        <f t="shared" si="197"/>
        <v>0.68000000000000049</v>
      </c>
      <c r="AX235" s="145">
        <f t="shared" si="198"/>
        <v>0.6599999999999997</v>
      </c>
      <c r="AY235" s="145">
        <f t="shared" si="199"/>
        <v>0.47999999999999987</v>
      </c>
      <c r="AZ235" s="145">
        <f t="shared" si="200"/>
        <v>0.45999999999999969</v>
      </c>
      <c r="BA235" s="145">
        <v>0</v>
      </c>
      <c r="BB235" s="287">
        <f t="shared" ca="1" si="179"/>
        <v>0.75437127360000067</v>
      </c>
      <c r="BC235" s="287">
        <f t="shared" ca="1" si="180"/>
        <v>0.73218388319999983</v>
      </c>
      <c r="BD235" s="287">
        <f t="shared" ca="1" si="181"/>
        <v>0.53249736959999994</v>
      </c>
      <c r="BE235" s="287">
        <f t="shared" ca="1" si="182"/>
        <v>0.51030997919999976</v>
      </c>
      <c r="BF235" s="287">
        <f t="shared" ca="1" si="183"/>
        <v>0</v>
      </c>
      <c r="BG235" s="45"/>
      <c r="BH235" s="45"/>
      <c r="BI235" s="45"/>
    </row>
    <row r="236" spans="1:61" ht="15" hidden="1" customHeight="1">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43"/>
      <c r="AE236" s="43"/>
      <c r="AF236" s="43"/>
      <c r="AG236" s="43"/>
      <c r="AH236" s="45">
        <v>58</v>
      </c>
      <c r="AI236" s="45" t="b">
        <f t="shared" si="173"/>
        <v>0</v>
      </c>
      <c r="AJ236" s="45" t="b">
        <f t="shared" si="172"/>
        <v>1</v>
      </c>
      <c r="AK236" s="281" t="b">
        <f t="shared" si="184"/>
        <v>0</v>
      </c>
      <c r="AL236" s="145">
        <f t="shared" si="193"/>
        <v>-1.2</v>
      </c>
      <c r="AM236" s="145">
        <f t="shared" si="194"/>
        <v>-1.2</v>
      </c>
      <c r="AN236" s="145">
        <f t="shared" si="195"/>
        <v>-0.6866666666666672</v>
      </c>
      <c r="AO236" s="145">
        <f t="shared" si="196"/>
        <v>-0.57333333333333303</v>
      </c>
      <c r="AP236" s="145">
        <v>0</v>
      </c>
      <c r="AQ236" s="287">
        <f t="shared" ca="1" si="174"/>
        <v>-1.3312434240000002</v>
      </c>
      <c r="AR236" s="287">
        <f t="shared" ca="1" si="175"/>
        <v>-1.3312434240000002</v>
      </c>
      <c r="AS236" s="287">
        <f t="shared" ca="1" si="176"/>
        <v>-0.7617670704000008</v>
      </c>
      <c r="AT236" s="287">
        <f t="shared" ca="1" si="177"/>
        <v>-0.63603852479999978</v>
      </c>
      <c r="AU236" s="287">
        <f t="shared" ca="1" si="178"/>
        <v>0</v>
      </c>
      <c r="AV236" s="287"/>
      <c r="AW236" s="145">
        <f t="shared" si="197"/>
        <v>0.6866666666666672</v>
      </c>
      <c r="AX236" s="145">
        <f t="shared" si="198"/>
        <v>0.67333333333333301</v>
      </c>
      <c r="AY236" s="145">
        <f t="shared" si="199"/>
        <v>0.48666666666666653</v>
      </c>
      <c r="AZ236" s="145">
        <f t="shared" si="200"/>
        <v>0.473333333333333</v>
      </c>
      <c r="BA236" s="145">
        <v>0</v>
      </c>
      <c r="BB236" s="287">
        <f t="shared" ca="1" si="179"/>
        <v>0.7617670704000008</v>
      </c>
      <c r="BC236" s="287">
        <f t="shared" ca="1" si="180"/>
        <v>0.74697547679999976</v>
      </c>
      <c r="BD236" s="287">
        <f t="shared" ca="1" si="181"/>
        <v>0.53989316639999996</v>
      </c>
      <c r="BE236" s="287">
        <f t="shared" ca="1" si="182"/>
        <v>0.52510157279999969</v>
      </c>
      <c r="BF236" s="287">
        <f t="shared" ca="1" si="183"/>
        <v>0</v>
      </c>
      <c r="BG236" s="45"/>
      <c r="BH236" s="45"/>
      <c r="BI236" s="45"/>
    </row>
    <row r="237" spans="1:61" ht="15" hidden="1" customHeight="1">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43"/>
      <c r="AE237" s="43"/>
      <c r="AF237" s="43"/>
      <c r="AG237" s="43"/>
      <c r="AH237" s="45">
        <v>59</v>
      </c>
      <c r="AI237" s="45" t="b">
        <f t="shared" si="173"/>
        <v>0</v>
      </c>
      <c r="AJ237" s="45" t="b">
        <f t="shared" si="172"/>
        <v>1</v>
      </c>
      <c r="AK237" s="281" t="b">
        <f t="shared" si="184"/>
        <v>0</v>
      </c>
      <c r="AL237" s="145">
        <f t="shared" si="193"/>
        <v>-1.2</v>
      </c>
      <c r="AM237" s="145">
        <f t="shared" si="194"/>
        <v>-1.2</v>
      </c>
      <c r="AN237" s="145">
        <f t="shared" si="195"/>
        <v>-0.69333333333333391</v>
      </c>
      <c r="AO237" s="145">
        <f t="shared" si="196"/>
        <v>-0.58666666666666634</v>
      </c>
      <c r="AP237" s="145">
        <v>0</v>
      </c>
      <c r="AQ237" s="287">
        <f t="shared" ca="1" si="174"/>
        <v>-1.3312434240000002</v>
      </c>
      <c r="AR237" s="287">
        <f t="shared" ca="1" si="175"/>
        <v>-1.3312434240000002</v>
      </c>
      <c r="AS237" s="287">
        <f t="shared" ca="1" si="176"/>
        <v>-0.76916286720000082</v>
      </c>
      <c r="AT237" s="287">
        <f t="shared" ca="1" si="177"/>
        <v>-0.65083011839999971</v>
      </c>
      <c r="AU237" s="287">
        <f t="shared" ca="1" si="178"/>
        <v>0</v>
      </c>
      <c r="AV237" s="287"/>
      <c r="AW237" s="145">
        <f t="shared" si="197"/>
        <v>0.69333333333333391</v>
      </c>
      <c r="AX237" s="145">
        <f t="shared" si="198"/>
        <v>0.68666666666666631</v>
      </c>
      <c r="AY237" s="145">
        <f t="shared" si="199"/>
        <v>0.49333333333333318</v>
      </c>
      <c r="AZ237" s="145">
        <f t="shared" si="200"/>
        <v>0.4866666666666663</v>
      </c>
      <c r="BA237" s="145">
        <v>0</v>
      </c>
      <c r="BB237" s="287">
        <f t="shared" ca="1" si="179"/>
        <v>0.76916286720000082</v>
      </c>
      <c r="BC237" s="287">
        <f t="shared" ca="1" si="180"/>
        <v>0.7617670703999998</v>
      </c>
      <c r="BD237" s="287">
        <f t="shared" ca="1" si="181"/>
        <v>0.54728896319999998</v>
      </c>
      <c r="BE237" s="287">
        <f t="shared" ca="1" si="182"/>
        <v>0.53989316639999974</v>
      </c>
      <c r="BF237" s="287">
        <f t="shared" ca="1" si="183"/>
        <v>0</v>
      </c>
      <c r="BG237" s="45"/>
      <c r="BH237" s="45"/>
      <c r="BI237" s="45"/>
    </row>
    <row r="238" spans="1:61" ht="15" hidden="1" customHeight="1">
      <c r="AH238" s="280">
        <v>60</v>
      </c>
      <c r="AI238" s="252" t="b">
        <f t="shared" si="173"/>
        <v>0</v>
      </c>
      <c r="AJ238" s="252" t="b">
        <f t="shared" si="172"/>
        <v>1</v>
      </c>
      <c r="AK238" s="288" t="b">
        <f t="shared" si="184"/>
        <v>0</v>
      </c>
      <c r="AL238" s="289">
        <v>-1.2</v>
      </c>
      <c r="AM238" s="289">
        <v>-1.2</v>
      </c>
      <c r="AN238" s="289">
        <v>-0.7</v>
      </c>
      <c r="AO238" s="289">
        <v>-0.6</v>
      </c>
      <c r="AP238" s="215">
        <v>0</v>
      </c>
      <c r="AQ238" s="289">
        <f t="shared" ca="1" si="174"/>
        <v>-1.3312434240000002</v>
      </c>
      <c r="AR238" s="289">
        <f t="shared" ca="1" si="175"/>
        <v>-1.3312434240000002</v>
      </c>
      <c r="AS238" s="289">
        <f t="shared" ca="1" si="176"/>
        <v>-0.77655866400000007</v>
      </c>
      <c r="AT238" s="289">
        <f t="shared" ca="1" si="177"/>
        <v>-0.66562171200000009</v>
      </c>
      <c r="AU238" s="289">
        <f t="shared" ca="1" si="178"/>
        <v>0</v>
      </c>
      <c r="AV238" s="289"/>
      <c r="AW238" s="289">
        <v>0.7</v>
      </c>
      <c r="AX238" s="289">
        <v>0.7</v>
      </c>
      <c r="AY238" s="289">
        <v>0.5</v>
      </c>
      <c r="AZ238" s="289">
        <v>0.5</v>
      </c>
      <c r="BA238" s="215">
        <v>0</v>
      </c>
      <c r="BB238" s="289">
        <f t="shared" ca="1" si="179"/>
        <v>0.77655866400000007</v>
      </c>
      <c r="BC238" s="289">
        <f t="shared" ca="1" si="180"/>
        <v>0.77655866400000007</v>
      </c>
      <c r="BD238" s="289">
        <f t="shared" ca="1" si="181"/>
        <v>0.55468476000000011</v>
      </c>
      <c r="BE238" s="289">
        <f t="shared" ca="1" si="182"/>
        <v>0.55468476000000011</v>
      </c>
      <c r="BF238" s="289">
        <f t="shared" ca="1" si="183"/>
        <v>0</v>
      </c>
    </row>
    <row r="239" spans="1:61" ht="15" hidden="1" customHeight="1">
      <c r="AH239" s="252">
        <v>61</v>
      </c>
      <c r="AI239" s="252" t="b">
        <f t="shared" si="173"/>
        <v>0</v>
      </c>
      <c r="AJ239" s="252" t="b">
        <f t="shared" si="172"/>
        <v>1</v>
      </c>
      <c r="AK239" s="288" t="b">
        <f t="shared" si="184"/>
        <v>0</v>
      </c>
      <c r="AL239" s="215">
        <f>0+AL238</f>
        <v>-1.2</v>
      </c>
      <c r="AM239" s="215">
        <f>0+AM238</f>
        <v>-1.2</v>
      </c>
      <c r="AN239" s="215">
        <f>0+AN238</f>
        <v>-0.7</v>
      </c>
      <c r="AO239" s="215">
        <f>0+AO238</f>
        <v>-0.6</v>
      </c>
      <c r="AP239" s="215">
        <v>0</v>
      </c>
      <c r="AQ239" s="289">
        <f t="shared" ca="1" si="174"/>
        <v>-1.3312434240000002</v>
      </c>
      <c r="AR239" s="289">
        <f t="shared" ca="1" si="175"/>
        <v>-1.3312434240000002</v>
      </c>
      <c r="AS239" s="289">
        <f t="shared" ca="1" si="176"/>
        <v>-0.77655866400000007</v>
      </c>
      <c r="AT239" s="289">
        <f t="shared" ca="1" si="177"/>
        <v>-0.66562171200000009</v>
      </c>
      <c r="AU239" s="289">
        <f t="shared" ca="1" si="178"/>
        <v>0</v>
      </c>
      <c r="AV239" s="289"/>
      <c r="AW239" s="215">
        <f>0.1/15+AW238</f>
        <v>0.70666666666666667</v>
      </c>
      <c r="AX239" s="215">
        <f>0.1/15+AX238</f>
        <v>0.70666666666666667</v>
      </c>
      <c r="AY239" s="215">
        <f>0.2/15+AY238</f>
        <v>0.51333333333333331</v>
      </c>
      <c r="AZ239" s="215">
        <f>0.1/15+AZ238</f>
        <v>0.50666666666666671</v>
      </c>
      <c r="BA239" s="215">
        <v>0</v>
      </c>
      <c r="BB239" s="289">
        <f t="shared" ca="1" si="179"/>
        <v>0.7839544608000002</v>
      </c>
      <c r="BC239" s="289">
        <f t="shared" ca="1" si="180"/>
        <v>0.7839544608000002</v>
      </c>
      <c r="BD239" s="289">
        <f t="shared" ca="1" si="181"/>
        <v>0.56947635360000004</v>
      </c>
      <c r="BE239" s="289">
        <f t="shared" ca="1" si="182"/>
        <v>0.56208055680000013</v>
      </c>
      <c r="BF239" s="289">
        <f t="shared" ca="1" si="183"/>
        <v>0</v>
      </c>
    </row>
    <row r="240" spans="1:61" ht="15" hidden="1" customHeight="1">
      <c r="AH240" s="252">
        <v>62</v>
      </c>
      <c r="AI240" s="252" t="b">
        <f t="shared" si="173"/>
        <v>0</v>
      </c>
      <c r="AJ240" s="252" t="b">
        <f t="shared" si="172"/>
        <v>1</v>
      </c>
      <c r="AK240" s="288" t="b">
        <f t="shared" si="184"/>
        <v>0</v>
      </c>
      <c r="AL240" s="215">
        <f t="shared" ref="AL240:AL252" si="201">0+AL239</f>
        <v>-1.2</v>
      </c>
      <c r="AM240" s="215">
        <f t="shared" ref="AM240:AM252" si="202">0+AM239</f>
        <v>-1.2</v>
      </c>
      <c r="AN240" s="215">
        <f t="shared" ref="AN240:AN252" si="203">0+AN239</f>
        <v>-0.7</v>
      </c>
      <c r="AO240" s="215">
        <f t="shared" ref="AO240:AO252" si="204">0+AO239</f>
        <v>-0.6</v>
      </c>
      <c r="AP240" s="215">
        <v>0</v>
      </c>
      <c r="AQ240" s="289">
        <f t="shared" ca="1" si="174"/>
        <v>-1.3312434240000002</v>
      </c>
      <c r="AR240" s="289">
        <f t="shared" ca="1" si="175"/>
        <v>-1.3312434240000002</v>
      </c>
      <c r="AS240" s="289">
        <f t="shared" ca="1" si="176"/>
        <v>-0.77655866400000007</v>
      </c>
      <c r="AT240" s="289">
        <f t="shared" ca="1" si="177"/>
        <v>-0.66562171200000009</v>
      </c>
      <c r="AU240" s="289">
        <f t="shared" ca="1" si="178"/>
        <v>0</v>
      </c>
      <c r="AV240" s="289"/>
      <c r="AW240" s="215">
        <f t="shared" ref="AW240:AW252" si="205">0.1/15+AW239</f>
        <v>0.71333333333333337</v>
      </c>
      <c r="AX240" s="215">
        <f t="shared" ref="AX240:AX252" si="206">0.1/15+AX239</f>
        <v>0.71333333333333337</v>
      </c>
      <c r="AY240" s="215">
        <f t="shared" ref="AY240:AY252" si="207">0.2/15+AY239</f>
        <v>0.52666666666666662</v>
      </c>
      <c r="AZ240" s="215">
        <f t="shared" ref="AZ240:AZ252" si="208">0.1/15+AZ239</f>
        <v>0.51333333333333342</v>
      </c>
      <c r="BA240" s="215">
        <v>0</v>
      </c>
      <c r="BB240" s="289">
        <f t="shared" ca="1" si="179"/>
        <v>0.79135025760000022</v>
      </c>
      <c r="BC240" s="289">
        <f t="shared" ca="1" si="180"/>
        <v>0.79135025760000022</v>
      </c>
      <c r="BD240" s="289">
        <f t="shared" ca="1" si="181"/>
        <v>0.58426794720000008</v>
      </c>
      <c r="BE240" s="289">
        <f t="shared" ca="1" si="182"/>
        <v>0.56947635360000026</v>
      </c>
      <c r="BF240" s="289">
        <f t="shared" ca="1" si="183"/>
        <v>0</v>
      </c>
    </row>
    <row r="241" spans="34:58" ht="15" hidden="1" customHeight="1">
      <c r="AH241" s="252">
        <v>63</v>
      </c>
      <c r="AI241" s="252" t="b">
        <f t="shared" si="173"/>
        <v>0</v>
      </c>
      <c r="AJ241" s="252" t="b">
        <f t="shared" si="172"/>
        <v>1</v>
      </c>
      <c r="AK241" s="288" t="b">
        <f t="shared" si="184"/>
        <v>0</v>
      </c>
      <c r="AL241" s="215">
        <f t="shared" si="201"/>
        <v>-1.2</v>
      </c>
      <c r="AM241" s="215">
        <f t="shared" si="202"/>
        <v>-1.2</v>
      </c>
      <c r="AN241" s="215">
        <f t="shared" si="203"/>
        <v>-0.7</v>
      </c>
      <c r="AO241" s="215">
        <f t="shared" si="204"/>
        <v>-0.6</v>
      </c>
      <c r="AP241" s="215">
        <v>0</v>
      </c>
      <c r="AQ241" s="289">
        <f t="shared" ca="1" si="174"/>
        <v>-1.3312434240000002</v>
      </c>
      <c r="AR241" s="289">
        <f t="shared" ca="1" si="175"/>
        <v>-1.3312434240000002</v>
      </c>
      <c r="AS241" s="289">
        <f t="shared" ca="1" si="176"/>
        <v>-0.77655866400000007</v>
      </c>
      <c r="AT241" s="289">
        <f t="shared" ca="1" si="177"/>
        <v>-0.66562171200000009</v>
      </c>
      <c r="AU241" s="289">
        <f t="shared" ca="1" si="178"/>
        <v>0</v>
      </c>
      <c r="AV241" s="289"/>
      <c r="AW241" s="215">
        <f t="shared" si="205"/>
        <v>0.72000000000000008</v>
      </c>
      <c r="AX241" s="215">
        <f t="shared" si="206"/>
        <v>0.72000000000000008</v>
      </c>
      <c r="AY241" s="215">
        <f t="shared" si="207"/>
        <v>0.53999999999999992</v>
      </c>
      <c r="AZ241" s="215">
        <f t="shared" si="208"/>
        <v>0.52000000000000013</v>
      </c>
      <c r="BA241" s="215">
        <v>0</v>
      </c>
      <c r="BB241" s="289">
        <f t="shared" ca="1" si="179"/>
        <v>0.79874605440000024</v>
      </c>
      <c r="BC241" s="289">
        <f t="shared" ca="1" si="180"/>
        <v>0.79874605440000024</v>
      </c>
      <c r="BD241" s="289">
        <f t="shared" ca="1" si="181"/>
        <v>0.59905954080000001</v>
      </c>
      <c r="BE241" s="289">
        <f t="shared" ca="1" si="182"/>
        <v>0.57687215040000028</v>
      </c>
      <c r="BF241" s="289">
        <f t="shared" ca="1" si="183"/>
        <v>0</v>
      </c>
    </row>
    <row r="242" spans="34:58" ht="15" hidden="1" customHeight="1">
      <c r="AH242" s="252">
        <v>64</v>
      </c>
      <c r="AI242" s="252" t="b">
        <f t="shared" si="173"/>
        <v>0</v>
      </c>
      <c r="AJ242" s="252" t="b">
        <f t="shared" si="172"/>
        <v>1</v>
      </c>
      <c r="AK242" s="288" t="b">
        <f t="shared" si="184"/>
        <v>0</v>
      </c>
      <c r="AL242" s="215">
        <f t="shared" si="201"/>
        <v>-1.2</v>
      </c>
      <c r="AM242" s="215">
        <f t="shared" si="202"/>
        <v>-1.2</v>
      </c>
      <c r="AN242" s="215">
        <f t="shared" si="203"/>
        <v>-0.7</v>
      </c>
      <c r="AO242" s="215">
        <f t="shared" si="204"/>
        <v>-0.6</v>
      </c>
      <c r="AP242" s="215">
        <v>0</v>
      </c>
      <c r="AQ242" s="289">
        <f t="shared" ca="1" si="174"/>
        <v>-1.3312434240000002</v>
      </c>
      <c r="AR242" s="289">
        <f t="shared" ca="1" si="175"/>
        <v>-1.3312434240000002</v>
      </c>
      <c r="AS242" s="289">
        <f t="shared" ca="1" si="176"/>
        <v>-0.77655866400000007</v>
      </c>
      <c r="AT242" s="289">
        <f t="shared" ca="1" si="177"/>
        <v>-0.66562171200000009</v>
      </c>
      <c r="AU242" s="289">
        <f t="shared" ca="1" si="178"/>
        <v>0</v>
      </c>
      <c r="AV242" s="289"/>
      <c r="AW242" s="215">
        <f t="shared" si="205"/>
        <v>0.72666666666666679</v>
      </c>
      <c r="AX242" s="215">
        <f t="shared" si="206"/>
        <v>0.72666666666666679</v>
      </c>
      <c r="AY242" s="215">
        <f t="shared" si="207"/>
        <v>0.55333333333333323</v>
      </c>
      <c r="AZ242" s="215">
        <f t="shared" si="208"/>
        <v>0.52666666666666684</v>
      </c>
      <c r="BA242" s="215">
        <v>0</v>
      </c>
      <c r="BB242" s="289">
        <f t="shared" ca="1" si="179"/>
        <v>0.80614185120000026</v>
      </c>
      <c r="BC242" s="289">
        <f t="shared" ca="1" si="180"/>
        <v>0.80614185120000026</v>
      </c>
      <c r="BD242" s="289">
        <f t="shared" ca="1" si="181"/>
        <v>0.61385113440000005</v>
      </c>
      <c r="BE242" s="289">
        <f t="shared" ca="1" si="182"/>
        <v>0.5842679472000003</v>
      </c>
      <c r="BF242" s="289">
        <f t="shared" ca="1" si="183"/>
        <v>0</v>
      </c>
    </row>
    <row r="243" spans="34:58" ht="15" hidden="1" customHeight="1">
      <c r="AH243" s="252">
        <v>65</v>
      </c>
      <c r="AI243" s="252" t="b">
        <f t="shared" si="173"/>
        <v>0</v>
      </c>
      <c r="AJ243" s="252" t="b">
        <f t="shared" si="172"/>
        <v>1</v>
      </c>
      <c r="AK243" s="288" t="b">
        <f t="shared" si="184"/>
        <v>0</v>
      </c>
      <c r="AL243" s="215">
        <f t="shared" si="201"/>
        <v>-1.2</v>
      </c>
      <c r="AM243" s="215">
        <f t="shared" si="202"/>
        <v>-1.2</v>
      </c>
      <c r="AN243" s="215">
        <f t="shared" si="203"/>
        <v>-0.7</v>
      </c>
      <c r="AO243" s="215">
        <f t="shared" si="204"/>
        <v>-0.6</v>
      </c>
      <c r="AP243" s="215">
        <v>0</v>
      </c>
      <c r="AQ243" s="289">
        <f t="shared" ca="1" si="174"/>
        <v>-1.3312434240000002</v>
      </c>
      <c r="AR243" s="289">
        <f t="shared" ca="1" si="175"/>
        <v>-1.3312434240000002</v>
      </c>
      <c r="AS243" s="289">
        <f t="shared" ca="1" si="176"/>
        <v>-0.77655866400000007</v>
      </c>
      <c r="AT243" s="289">
        <f t="shared" ca="1" si="177"/>
        <v>-0.66562171200000009</v>
      </c>
      <c r="AU243" s="289">
        <f t="shared" ca="1" si="178"/>
        <v>0</v>
      </c>
      <c r="AV243" s="289"/>
      <c r="AW243" s="215">
        <f t="shared" si="205"/>
        <v>0.7333333333333335</v>
      </c>
      <c r="AX243" s="215">
        <f t="shared" si="206"/>
        <v>0.7333333333333335</v>
      </c>
      <c r="AY243" s="215">
        <f t="shared" si="207"/>
        <v>0.56666666666666654</v>
      </c>
      <c r="AZ243" s="215">
        <f t="shared" si="208"/>
        <v>0.53333333333333355</v>
      </c>
      <c r="BA243" s="215">
        <v>0</v>
      </c>
      <c r="BB243" s="289">
        <f t="shared" ca="1" si="179"/>
        <v>0.81353764800000039</v>
      </c>
      <c r="BC243" s="289">
        <f t="shared" ca="1" si="180"/>
        <v>0.81353764800000039</v>
      </c>
      <c r="BD243" s="289">
        <f t="shared" ca="1" si="181"/>
        <v>0.62864272799999998</v>
      </c>
      <c r="BE243" s="289">
        <f t="shared" ca="1" si="182"/>
        <v>0.59166374400000032</v>
      </c>
      <c r="BF243" s="289">
        <f t="shared" ca="1" si="183"/>
        <v>0</v>
      </c>
    </row>
    <row r="244" spans="34:58" ht="15" hidden="1" customHeight="1">
      <c r="AH244" s="252">
        <v>66</v>
      </c>
      <c r="AI244" s="252" t="b">
        <f t="shared" si="173"/>
        <v>0</v>
      </c>
      <c r="AJ244" s="252" t="b">
        <f t="shared" si="172"/>
        <v>1</v>
      </c>
      <c r="AK244" s="288" t="b">
        <f t="shared" si="184"/>
        <v>0</v>
      </c>
      <c r="AL244" s="215">
        <f t="shared" si="201"/>
        <v>-1.2</v>
      </c>
      <c r="AM244" s="215">
        <f t="shared" si="202"/>
        <v>-1.2</v>
      </c>
      <c r="AN244" s="215">
        <f t="shared" si="203"/>
        <v>-0.7</v>
      </c>
      <c r="AO244" s="215">
        <f t="shared" si="204"/>
        <v>-0.6</v>
      </c>
      <c r="AP244" s="215">
        <v>0</v>
      </c>
      <c r="AQ244" s="289">
        <f t="shared" ca="1" si="174"/>
        <v>-1.3312434240000002</v>
      </c>
      <c r="AR244" s="289">
        <f t="shared" ca="1" si="175"/>
        <v>-1.3312434240000002</v>
      </c>
      <c r="AS244" s="289">
        <f t="shared" ca="1" si="176"/>
        <v>-0.77655866400000007</v>
      </c>
      <c r="AT244" s="289">
        <f t="shared" ca="1" si="177"/>
        <v>-0.66562171200000009</v>
      </c>
      <c r="AU244" s="289">
        <f t="shared" ca="1" si="178"/>
        <v>0</v>
      </c>
      <c r="AV244" s="289"/>
      <c r="AW244" s="215">
        <f t="shared" si="205"/>
        <v>0.74000000000000021</v>
      </c>
      <c r="AX244" s="215">
        <f t="shared" si="206"/>
        <v>0.74000000000000021</v>
      </c>
      <c r="AY244" s="215">
        <f t="shared" si="207"/>
        <v>0.57999999999999985</v>
      </c>
      <c r="AZ244" s="215">
        <f t="shared" si="208"/>
        <v>0.54000000000000026</v>
      </c>
      <c r="BA244" s="215">
        <v>0</v>
      </c>
      <c r="BB244" s="289">
        <f t="shared" ca="1" si="179"/>
        <v>0.82093344480000041</v>
      </c>
      <c r="BC244" s="289">
        <f t="shared" ca="1" si="180"/>
        <v>0.82093344480000041</v>
      </c>
      <c r="BD244" s="289">
        <f t="shared" ca="1" si="181"/>
        <v>0.64343432159999991</v>
      </c>
      <c r="BE244" s="289">
        <f t="shared" ca="1" si="182"/>
        <v>0.59905954080000046</v>
      </c>
      <c r="BF244" s="289">
        <f t="shared" ca="1" si="183"/>
        <v>0</v>
      </c>
    </row>
    <row r="245" spans="34:58" ht="15" hidden="1" customHeight="1">
      <c r="AH245" s="252">
        <v>67</v>
      </c>
      <c r="AI245" s="252" t="b">
        <f t="shared" si="173"/>
        <v>0</v>
      </c>
      <c r="AJ245" s="252" t="b">
        <f t="shared" si="172"/>
        <v>1</v>
      </c>
      <c r="AK245" s="288" t="b">
        <f t="shared" si="184"/>
        <v>0</v>
      </c>
      <c r="AL245" s="215">
        <f t="shared" si="201"/>
        <v>-1.2</v>
      </c>
      <c r="AM245" s="215">
        <f t="shared" si="202"/>
        <v>-1.2</v>
      </c>
      <c r="AN245" s="215">
        <f t="shared" si="203"/>
        <v>-0.7</v>
      </c>
      <c r="AO245" s="215">
        <f t="shared" si="204"/>
        <v>-0.6</v>
      </c>
      <c r="AP245" s="215">
        <v>0</v>
      </c>
      <c r="AQ245" s="289">
        <f t="shared" ca="1" si="174"/>
        <v>-1.3312434240000002</v>
      </c>
      <c r="AR245" s="289">
        <f t="shared" ca="1" si="175"/>
        <v>-1.3312434240000002</v>
      </c>
      <c r="AS245" s="289">
        <f t="shared" ca="1" si="176"/>
        <v>-0.77655866400000007</v>
      </c>
      <c r="AT245" s="289">
        <f t="shared" ca="1" si="177"/>
        <v>-0.66562171200000009</v>
      </c>
      <c r="AU245" s="289">
        <f t="shared" ca="1" si="178"/>
        <v>0</v>
      </c>
      <c r="AV245" s="289"/>
      <c r="AW245" s="215">
        <f t="shared" si="205"/>
        <v>0.74666666666666692</v>
      </c>
      <c r="AX245" s="215">
        <f t="shared" si="206"/>
        <v>0.74666666666666692</v>
      </c>
      <c r="AY245" s="215">
        <f t="shared" si="207"/>
        <v>0.59333333333333316</v>
      </c>
      <c r="AZ245" s="215">
        <f t="shared" si="208"/>
        <v>0.54666666666666697</v>
      </c>
      <c r="BA245" s="215">
        <v>0</v>
      </c>
      <c r="BB245" s="289">
        <f t="shared" ca="1" si="179"/>
        <v>0.82832924160000043</v>
      </c>
      <c r="BC245" s="289">
        <f t="shared" ca="1" si="180"/>
        <v>0.82832924160000043</v>
      </c>
      <c r="BD245" s="289">
        <f t="shared" ca="1" si="181"/>
        <v>0.65822591519999996</v>
      </c>
      <c r="BE245" s="289">
        <f t="shared" ca="1" si="182"/>
        <v>0.60645533760000048</v>
      </c>
      <c r="BF245" s="289">
        <f t="shared" ca="1" si="183"/>
        <v>0</v>
      </c>
    </row>
    <row r="246" spans="34:58" ht="15" hidden="1" customHeight="1">
      <c r="AH246" s="252">
        <v>68</v>
      </c>
      <c r="AI246" s="252" t="b">
        <f t="shared" si="173"/>
        <v>0</v>
      </c>
      <c r="AJ246" s="252" t="b">
        <f t="shared" si="172"/>
        <v>1</v>
      </c>
      <c r="AK246" s="288" t="b">
        <f t="shared" si="184"/>
        <v>0</v>
      </c>
      <c r="AL246" s="215">
        <f t="shared" si="201"/>
        <v>-1.2</v>
      </c>
      <c r="AM246" s="215">
        <f t="shared" si="202"/>
        <v>-1.2</v>
      </c>
      <c r="AN246" s="215">
        <f t="shared" si="203"/>
        <v>-0.7</v>
      </c>
      <c r="AO246" s="215">
        <f t="shared" si="204"/>
        <v>-0.6</v>
      </c>
      <c r="AP246" s="215">
        <v>0</v>
      </c>
      <c r="AQ246" s="289">
        <f t="shared" ca="1" si="174"/>
        <v>-1.3312434240000002</v>
      </c>
      <c r="AR246" s="289">
        <f t="shared" ca="1" si="175"/>
        <v>-1.3312434240000002</v>
      </c>
      <c r="AS246" s="289">
        <f t="shared" ca="1" si="176"/>
        <v>-0.77655866400000007</v>
      </c>
      <c r="AT246" s="289">
        <f t="shared" ca="1" si="177"/>
        <v>-0.66562171200000009</v>
      </c>
      <c r="AU246" s="289">
        <f t="shared" ca="1" si="178"/>
        <v>0</v>
      </c>
      <c r="AV246" s="289"/>
      <c r="AW246" s="215">
        <f t="shared" si="205"/>
        <v>0.75333333333333363</v>
      </c>
      <c r="AX246" s="215">
        <f t="shared" si="206"/>
        <v>0.75333333333333363</v>
      </c>
      <c r="AY246" s="215">
        <f t="shared" si="207"/>
        <v>0.60666666666666647</v>
      </c>
      <c r="AZ246" s="215">
        <f t="shared" si="208"/>
        <v>0.55333333333333368</v>
      </c>
      <c r="BA246" s="215">
        <v>0</v>
      </c>
      <c r="BB246" s="289">
        <f t="shared" ca="1" si="179"/>
        <v>0.83572503840000045</v>
      </c>
      <c r="BC246" s="289">
        <f t="shared" ca="1" si="180"/>
        <v>0.83572503840000045</v>
      </c>
      <c r="BD246" s="289">
        <f t="shared" ca="1" si="181"/>
        <v>0.67301750879999989</v>
      </c>
      <c r="BE246" s="289">
        <f t="shared" ca="1" si="182"/>
        <v>0.6138511344000005</v>
      </c>
      <c r="BF246" s="289">
        <f t="shared" ca="1" si="183"/>
        <v>0</v>
      </c>
    </row>
    <row r="247" spans="34:58" ht="15" hidden="1" customHeight="1">
      <c r="AH247" s="252">
        <v>69</v>
      </c>
      <c r="AI247" s="252" t="b">
        <f t="shared" si="173"/>
        <v>0</v>
      </c>
      <c r="AJ247" s="252" t="b">
        <f t="shared" si="172"/>
        <v>1</v>
      </c>
      <c r="AK247" s="288" t="b">
        <f t="shared" si="184"/>
        <v>0</v>
      </c>
      <c r="AL247" s="215">
        <f t="shared" si="201"/>
        <v>-1.2</v>
      </c>
      <c r="AM247" s="215">
        <f t="shared" si="202"/>
        <v>-1.2</v>
      </c>
      <c r="AN247" s="215">
        <f t="shared" si="203"/>
        <v>-0.7</v>
      </c>
      <c r="AO247" s="215">
        <f t="shared" si="204"/>
        <v>-0.6</v>
      </c>
      <c r="AP247" s="215">
        <v>0</v>
      </c>
      <c r="AQ247" s="289">
        <f t="shared" ca="1" si="174"/>
        <v>-1.3312434240000002</v>
      </c>
      <c r="AR247" s="289">
        <f t="shared" ca="1" si="175"/>
        <v>-1.3312434240000002</v>
      </c>
      <c r="AS247" s="289">
        <f t="shared" ca="1" si="176"/>
        <v>-0.77655866400000007</v>
      </c>
      <c r="AT247" s="289">
        <f t="shared" ca="1" si="177"/>
        <v>-0.66562171200000009</v>
      </c>
      <c r="AU247" s="289">
        <f t="shared" ca="1" si="178"/>
        <v>0</v>
      </c>
      <c r="AV247" s="289"/>
      <c r="AW247" s="215">
        <f t="shared" si="205"/>
        <v>0.76000000000000034</v>
      </c>
      <c r="AX247" s="215">
        <f t="shared" si="206"/>
        <v>0.76000000000000034</v>
      </c>
      <c r="AY247" s="215">
        <f t="shared" si="207"/>
        <v>0.61999999999999977</v>
      </c>
      <c r="AZ247" s="215">
        <f t="shared" si="208"/>
        <v>0.56000000000000039</v>
      </c>
      <c r="BA247" s="215">
        <v>0</v>
      </c>
      <c r="BB247" s="289">
        <f t="shared" ca="1" si="179"/>
        <v>0.84312083520000058</v>
      </c>
      <c r="BC247" s="289">
        <f t="shared" ca="1" si="180"/>
        <v>0.84312083520000058</v>
      </c>
      <c r="BD247" s="289">
        <f t="shared" ca="1" si="181"/>
        <v>0.68780910239999993</v>
      </c>
      <c r="BE247" s="289">
        <f t="shared" ca="1" si="182"/>
        <v>0.62124693120000052</v>
      </c>
      <c r="BF247" s="289">
        <f t="shared" ca="1" si="183"/>
        <v>0</v>
      </c>
    </row>
    <row r="248" spans="34:58" ht="15" hidden="1" customHeight="1">
      <c r="AH248" s="252">
        <v>70</v>
      </c>
      <c r="AI248" s="252" t="b">
        <f t="shared" si="173"/>
        <v>0</v>
      </c>
      <c r="AJ248" s="252" t="b">
        <f t="shared" si="172"/>
        <v>1</v>
      </c>
      <c r="AK248" s="288" t="b">
        <f t="shared" si="184"/>
        <v>0</v>
      </c>
      <c r="AL248" s="215">
        <f t="shared" si="201"/>
        <v>-1.2</v>
      </c>
      <c r="AM248" s="215">
        <f t="shared" si="202"/>
        <v>-1.2</v>
      </c>
      <c r="AN248" s="215">
        <f t="shared" si="203"/>
        <v>-0.7</v>
      </c>
      <c r="AO248" s="215">
        <f t="shared" si="204"/>
        <v>-0.6</v>
      </c>
      <c r="AP248" s="215">
        <v>0</v>
      </c>
      <c r="AQ248" s="289">
        <f t="shared" ca="1" si="174"/>
        <v>-1.3312434240000002</v>
      </c>
      <c r="AR248" s="289">
        <f t="shared" ca="1" si="175"/>
        <v>-1.3312434240000002</v>
      </c>
      <c r="AS248" s="289">
        <f t="shared" ca="1" si="176"/>
        <v>-0.77655866400000007</v>
      </c>
      <c r="AT248" s="289">
        <f t="shared" ca="1" si="177"/>
        <v>-0.66562171200000009</v>
      </c>
      <c r="AU248" s="289">
        <f t="shared" ca="1" si="178"/>
        <v>0</v>
      </c>
      <c r="AV248" s="289"/>
      <c r="AW248" s="215">
        <f t="shared" si="205"/>
        <v>0.76666666666666705</v>
      </c>
      <c r="AX248" s="215">
        <f t="shared" si="206"/>
        <v>0.76666666666666705</v>
      </c>
      <c r="AY248" s="215">
        <f t="shared" si="207"/>
        <v>0.63333333333333308</v>
      </c>
      <c r="AZ248" s="215">
        <f t="shared" si="208"/>
        <v>0.5666666666666671</v>
      </c>
      <c r="BA248" s="215">
        <v>0</v>
      </c>
      <c r="BB248" s="289">
        <f t="shared" ca="1" si="179"/>
        <v>0.85051663200000061</v>
      </c>
      <c r="BC248" s="289">
        <f t="shared" ca="1" si="180"/>
        <v>0.85051663200000061</v>
      </c>
      <c r="BD248" s="289">
        <f t="shared" ca="1" si="181"/>
        <v>0.70260069599999986</v>
      </c>
      <c r="BE248" s="289">
        <f t="shared" ca="1" si="182"/>
        <v>0.62864272800000065</v>
      </c>
      <c r="BF248" s="289">
        <f t="shared" ca="1" si="183"/>
        <v>0</v>
      </c>
    </row>
    <row r="249" spans="34:58" ht="15" hidden="1" customHeight="1">
      <c r="AH249" s="252">
        <v>71</v>
      </c>
      <c r="AI249" s="252" t="b">
        <f t="shared" si="173"/>
        <v>0</v>
      </c>
      <c r="AJ249" s="252" t="b">
        <f t="shared" si="172"/>
        <v>1</v>
      </c>
      <c r="AK249" s="288" t="b">
        <f t="shared" si="184"/>
        <v>0</v>
      </c>
      <c r="AL249" s="215">
        <f t="shared" si="201"/>
        <v>-1.2</v>
      </c>
      <c r="AM249" s="215">
        <f t="shared" si="202"/>
        <v>-1.2</v>
      </c>
      <c r="AN249" s="215">
        <f t="shared" si="203"/>
        <v>-0.7</v>
      </c>
      <c r="AO249" s="215">
        <f t="shared" si="204"/>
        <v>-0.6</v>
      </c>
      <c r="AP249" s="215">
        <v>0</v>
      </c>
      <c r="AQ249" s="289">
        <f t="shared" ca="1" si="174"/>
        <v>-1.3312434240000002</v>
      </c>
      <c r="AR249" s="289">
        <f t="shared" ca="1" si="175"/>
        <v>-1.3312434240000002</v>
      </c>
      <c r="AS249" s="289">
        <f t="shared" ca="1" si="176"/>
        <v>-0.77655866400000007</v>
      </c>
      <c r="AT249" s="289">
        <f t="shared" ca="1" si="177"/>
        <v>-0.66562171200000009</v>
      </c>
      <c r="AU249" s="289">
        <f t="shared" ca="1" si="178"/>
        <v>0</v>
      </c>
      <c r="AV249" s="289"/>
      <c r="AW249" s="215">
        <f t="shared" si="205"/>
        <v>0.77333333333333376</v>
      </c>
      <c r="AX249" s="215">
        <f t="shared" si="206"/>
        <v>0.77333333333333376</v>
      </c>
      <c r="AY249" s="215">
        <f t="shared" si="207"/>
        <v>0.64666666666666639</v>
      </c>
      <c r="AZ249" s="215">
        <f t="shared" si="208"/>
        <v>0.57333333333333381</v>
      </c>
      <c r="BA249" s="215">
        <v>0</v>
      </c>
      <c r="BB249" s="289">
        <f t="shared" ca="1" si="179"/>
        <v>0.85791242880000063</v>
      </c>
      <c r="BC249" s="289">
        <f t="shared" ca="1" si="180"/>
        <v>0.85791242880000063</v>
      </c>
      <c r="BD249" s="289">
        <f t="shared" ca="1" si="181"/>
        <v>0.71739228959999979</v>
      </c>
      <c r="BE249" s="289">
        <f t="shared" ca="1" si="182"/>
        <v>0.63603852480000067</v>
      </c>
      <c r="BF249" s="289">
        <f t="shared" ca="1" si="183"/>
        <v>0</v>
      </c>
    </row>
    <row r="250" spans="34:58" ht="15" hidden="1" customHeight="1">
      <c r="AH250" s="252">
        <v>72</v>
      </c>
      <c r="AI250" s="252" t="b">
        <f t="shared" si="173"/>
        <v>0</v>
      </c>
      <c r="AJ250" s="252" t="b">
        <f t="shared" si="172"/>
        <v>1</v>
      </c>
      <c r="AK250" s="288" t="b">
        <f t="shared" si="184"/>
        <v>0</v>
      </c>
      <c r="AL250" s="215">
        <f t="shared" si="201"/>
        <v>-1.2</v>
      </c>
      <c r="AM250" s="215">
        <f t="shared" si="202"/>
        <v>-1.2</v>
      </c>
      <c r="AN250" s="215">
        <f t="shared" si="203"/>
        <v>-0.7</v>
      </c>
      <c r="AO250" s="215">
        <f t="shared" si="204"/>
        <v>-0.6</v>
      </c>
      <c r="AP250" s="215">
        <v>0</v>
      </c>
      <c r="AQ250" s="289">
        <f t="shared" ca="1" si="174"/>
        <v>-1.3312434240000002</v>
      </c>
      <c r="AR250" s="289">
        <f t="shared" ca="1" si="175"/>
        <v>-1.3312434240000002</v>
      </c>
      <c r="AS250" s="289">
        <f t="shared" ca="1" si="176"/>
        <v>-0.77655866400000007</v>
      </c>
      <c r="AT250" s="289">
        <f t="shared" ca="1" si="177"/>
        <v>-0.66562171200000009</v>
      </c>
      <c r="AU250" s="289">
        <f t="shared" ca="1" si="178"/>
        <v>0</v>
      </c>
      <c r="AV250" s="289"/>
      <c r="AW250" s="215">
        <f t="shared" si="205"/>
        <v>0.78000000000000047</v>
      </c>
      <c r="AX250" s="215">
        <f t="shared" si="206"/>
        <v>0.78000000000000047</v>
      </c>
      <c r="AY250" s="215">
        <f t="shared" si="207"/>
        <v>0.6599999999999997</v>
      </c>
      <c r="AZ250" s="215">
        <f t="shared" si="208"/>
        <v>0.58000000000000052</v>
      </c>
      <c r="BA250" s="215">
        <v>0</v>
      </c>
      <c r="BB250" s="289">
        <f t="shared" ca="1" si="179"/>
        <v>0.86530822560000065</v>
      </c>
      <c r="BC250" s="289">
        <f t="shared" ca="1" si="180"/>
        <v>0.86530822560000065</v>
      </c>
      <c r="BD250" s="289">
        <f t="shared" ca="1" si="181"/>
        <v>0.73218388319999983</v>
      </c>
      <c r="BE250" s="289">
        <f t="shared" ca="1" si="182"/>
        <v>0.64343432160000069</v>
      </c>
      <c r="BF250" s="289">
        <f t="shared" ca="1" si="183"/>
        <v>0</v>
      </c>
    </row>
    <row r="251" spans="34:58" ht="15" hidden="1" customHeight="1">
      <c r="AH251" s="252">
        <v>73</v>
      </c>
      <c r="AI251" s="252" t="b">
        <f t="shared" si="173"/>
        <v>0</v>
      </c>
      <c r="AJ251" s="252" t="b">
        <f t="shared" si="172"/>
        <v>1</v>
      </c>
      <c r="AK251" s="288" t="b">
        <f t="shared" si="184"/>
        <v>0</v>
      </c>
      <c r="AL251" s="215">
        <f t="shared" si="201"/>
        <v>-1.2</v>
      </c>
      <c r="AM251" s="215">
        <f t="shared" si="202"/>
        <v>-1.2</v>
      </c>
      <c r="AN251" s="215">
        <f t="shared" si="203"/>
        <v>-0.7</v>
      </c>
      <c r="AO251" s="215">
        <f t="shared" si="204"/>
        <v>-0.6</v>
      </c>
      <c r="AP251" s="215">
        <v>0</v>
      </c>
      <c r="AQ251" s="289">
        <f t="shared" ca="1" si="174"/>
        <v>-1.3312434240000002</v>
      </c>
      <c r="AR251" s="289">
        <f t="shared" ca="1" si="175"/>
        <v>-1.3312434240000002</v>
      </c>
      <c r="AS251" s="289">
        <f t="shared" ca="1" si="176"/>
        <v>-0.77655866400000007</v>
      </c>
      <c r="AT251" s="289">
        <f t="shared" ca="1" si="177"/>
        <v>-0.66562171200000009</v>
      </c>
      <c r="AU251" s="289">
        <f t="shared" ca="1" si="178"/>
        <v>0</v>
      </c>
      <c r="AV251" s="289"/>
      <c r="AW251" s="215">
        <f t="shared" si="205"/>
        <v>0.78666666666666718</v>
      </c>
      <c r="AX251" s="215">
        <f t="shared" si="206"/>
        <v>0.78666666666666718</v>
      </c>
      <c r="AY251" s="215">
        <f t="shared" si="207"/>
        <v>0.67333333333333301</v>
      </c>
      <c r="AZ251" s="215">
        <f t="shared" si="208"/>
        <v>0.58666666666666722</v>
      </c>
      <c r="BA251" s="215">
        <v>0</v>
      </c>
      <c r="BB251" s="289">
        <f t="shared" ca="1" si="179"/>
        <v>0.87270402240000078</v>
      </c>
      <c r="BC251" s="289">
        <f t="shared" ca="1" si="180"/>
        <v>0.87270402240000078</v>
      </c>
      <c r="BD251" s="289">
        <f t="shared" ca="1" si="181"/>
        <v>0.74697547679999976</v>
      </c>
      <c r="BE251" s="289">
        <f t="shared" ca="1" si="182"/>
        <v>0.65083011840000071</v>
      </c>
      <c r="BF251" s="289">
        <f t="shared" ca="1" si="183"/>
        <v>0</v>
      </c>
    </row>
    <row r="252" spans="34:58" ht="15" hidden="1" customHeight="1">
      <c r="AH252" s="252">
        <v>74</v>
      </c>
      <c r="AI252" s="252" t="b">
        <f t="shared" si="173"/>
        <v>0</v>
      </c>
      <c r="AJ252" s="252" t="b">
        <f t="shared" si="172"/>
        <v>1</v>
      </c>
      <c r="AK252" s="288" t="b">
        <f t="shared" si="184"/>
        <v>0</v>
      </c>
      <c r="AL252" s="215">
        <f t="shared" si="201"/>
        <v>-1.2</v>
      </c>
      <c r="AM252" s="215">
        <f t="shared" si="202"/>
        <v>-1.2</v>
      </c>
      <c r="AN252" s="215">
        <f t="shared" si="203"/>
        <v>-0.7</v>
      </c>
      <c r="AO252" s="215">
        <f t="shared" si="204"/>
        <v>-0.6</v>
      </c>
      <c r="AP252" s="215">
        <v>0</v>
      </c>
      <c r="AQ252" s="289">
        <f t="shared" ca="1" si="174"/>
        <v>-1.3312434240000002</v>
      </c>
      <c r="AR252" s="289">
        <f t="shared" ca="1" si="175"/>
        <v>-1.3312434240000002</v>
      </c>
      <c r="AS252" s="289">
        <f t="shared" ca="1" si="176"/>
        <v>-0.77655866400000007</v>
      </c>
      <c r="AT252" s="289">
        <f t="shared" ca="1" si="177"/>
        <v>-0.66562171200000009</v>
      </c>
      <c r="AU252" s="289">
        <f t="shared" ca="1" si="178"/>
        <v>0</v>
      </c>
      <c r="AV252" s="289"/>
      <c r="AW252" s="215">
        <f t="shared" si="205"/>
        <v>0.79333333333333389</v>
      </c>
      <c r="AX252" s="215">
        <f t="shared" si="206"/>
        <v>0.79333333333333389</v>
      </c>
      <c r="AY252" s="215">
        <f t="shared" si="207"/>
        <v>0.68666666666666631</v>
      </c>
      <c r="AZ252" s="215">
        <f t="shared" si="208"/>
        <v>0.59333333333333393</v>
      </c>
      <c r="BA252" s="215">
        <v>0</v>
      </c>
      <c r="BB252" s="289">
        <f t="shared" ca="1" si="179"/>
        <v>0.8800998192000008</v>
      </c>
      <c r="BC252" s="289">
        <f t="shared" ca="1" si="180"/>
        <v>0.8800998192000008</v>
      </c>
      <c r="BD252" s="289">
        <f t="shared" ca="1" si="181"/>
        <v>0.7617670703999998</v>
      </c>
      <c r="BE252" s="289">
        <f t="shared" ca="1" si="182"/>
        <v>0.65822591520000084</v>
      </c>
      <c r="BF252" s="289">
        <f t="shared" ca="1" si="183"/>
        <v>0</v>
      </c>
    </row>
    <row r="253" spans="34:58" ht="15" hidden="1" customHeight="1">
      <c r="AH253" s="280">
        <v>75</v>
      </c>
      <c r="AI253" s="252" t="b">
        <f t="shared" si="173"/>
        <v>0</v>
      </c>
      <c r="AJ253" s="252" t="b">
        <f t="shared" si="172"/>
        <v>1</v>
      </c>
      <c r="AK253" s="288" t="b">
        <f t="shared" si="184"/>
        <v>0</v>
      </c>
      <c r="AL253" s="289">
        <v>-1.2</v>
      </c>
      <c r="AM253" s="289">
        <v>-1.2</v>
      </c>
      <c r="AN253" s="289">
        <v>-0.7</v>
      </c>
      <c r="AO253" s="289">
        <v>-0.6</v>
      </c>
      <c r="AP253" s="289">
        <v>0</v>
      </c>
      <c r="AQ253" s="289">
        <f t="shared" ca="1" si="174"/>
        <v>-1.3312434240000002</v>
      </c>
      <c r="AR253" s="289">
        <f t="shared" ca="1" si="175"/>
        <v>-1.3312434240000002</v>
      </c>
      <c r="AS253" s="289">
        <f t="shared" ca="1" si="176"/>
        <v>-0.77655866400000007</v>
      </c>
      <c r="AT253" s="289">
        <f t="shared" ca="1" si="177"/>
        <v>-0.66562171200000009</v>
      </c>
      <c r="AU253" s="289">
        <f t="shared" ca="1" si="178"/>
        <v>0</v>
      </c>
      <c r="AV253" s="289"/>
      <c r="AW253" s="289">
        <v>0.8</v>
      </c>
      <c r="AX253" s="289">
        <v>0.8</v>
      </c>
      <c r="AY253" s="289">
        <v>0.7</v>
      </c>
      <c r="AZ253" s="289">
        <v>0.6</v>
      </c>
      <c r="BA253" s="289">
        <v>0</v>
      </c>
      <c r="BB253" s="289">
        <f t="shared" ca="1" si="179"/>
        <v>0.88749561600000026</v>
      </c>
      <c r="BC253" s="289">
        <f t="shared" ca="1" si="180"/>
        <v>0.88749561600000026</v>
      </c>
      <c r="BD253" s="289">
        <f t="shared" ca="1" si="181"/>
        <v>0.77655866400000007</v>
      </c>
      <c r="BE253" s="289">
        <f t="shared" ca="1" si="182"/>
        <v>0.66562171200000009</v>
      </c>
      <c r="BF253" s="289">
        <f t="shared" ca="1" si="183"/>
        <v>0</v>
      </c>
    </row>
  </sheetData>
  <sheetProtection password="CD8C" sheet="1" objects="1" scenarios="1"/>
  <customSheetViews>
    <customSheetView guid="{6C52B67B-3021-4890-8879-9905AB467CFE}" scale="75" showPageBreaks="1" showGridLines="0" printArea="1" hiddenColumns="1" topLeftCell="A4">
      <selection activeCell="G48" sqref="G48:G49"/>
      <pageMargins left="0.70866141732283472" right="0.70866141732283472" top="0.74803149606299213" bottom="0.74803149606299213" header="0.31496062992125984" footer="0.31496062992125984"/>
      <printOptions horizontalCentered="1"/>
      <pageSetup paperSize="9" scale="80" orientation="portrait" r:id="rId1"/>
    </customSheetView>
  </customSheetViews>
  <mergeCells count="208">
    <mergeCell ref="J38:K38"/>
    <mergeCell ref="L38:M38"/>
    <mergeCell ref="E36:G36"/>
    <mergeCell ref="J36:K36"/>
    <mergeCell ref="L36:M36"/>
    <mergeCell ref="L54:Q54"/>
    <mergeCell ref="H43:K43"/>
    <mergeCell ref="H44:K44"/>
    <mergeCell ref="H45:K46"/>
    <mergeCell ref="N36:O36"/>
    <mergeCell ref="P36:Q36"/>
    <mergeCell ref="J37:K37"/>
    <mergeCell ref="L37:M37"/>
    <mergeCell ref="H37:I37"/>
    <mergeCell ref="N38:O38"/>
    <mergeCell ref="C40:AA40"/>
    <mergeCell ref="H42:K42"/>
    <mergeCell ref="N37:O37"/>
    <mergeCell ref="R37:V37"/>
    <mergeCell ref="R38:V38"/>
    <mergeCell ref="H38:I38"/>
    <mergeCell ref="P37:Q37"/>
    <mergeCell ref="L42:Q42"/>
    <mergeCell ref="R42:Z42"/>
    <mergeCell ref="AV13:AV83"/>
    <mergeCell ref="BG13:BG83"/>
    <mergeCell ref="AV134:AV204"/>
    <mergeCell ref="BG134:BG204"/>
    <mergeCell ref="L55:Q58"/>
    <mergeCell ref="L49:Q49"/>
    <mergeCell ref="L50:Q50"/>
    <mergeCell ref="L51:Q51"/>
    <mergeCell ref="G47:G54"/>
    <mergeCell ref="H47:K47"/>
    <mergeCell ref="H51:K51"/>
    <mergeCell ref="H48:K48"/>
    <mergeCell ref="H52:K52"/>
    <mergeCell ref="H49:K49"/>
    <mergeCell ref="H50:K50"/>
    <mergeCell ref="H53:K54"/>
    <mergeCell ref="G55:G58"/>
    <mergeCell ref="H55:K55"/>
    <mergeCell ref="H35:I35"/>
    <mergeCell ref="H36:I36"/>
    <mergeCell ref="P34:Q34"/>
    <mergeCell ref="P35:Q35"/>
    <mergeCell ref="H56:K56"/>
    <mergeCell ref="H57:K58"/>
    <mergeCell ref="N35:O35"/>
    <mergeCell ref="R35:V35"/>
    <mergeCell ref="L52:Q53"/>
    <mergeCell ref="L47:Q48"/>
    <mergeCell ref="P38:Q38"/>
    <mergeCell ref="L43:Q45"/>
    <mergeCell ref="L46:Q46"/>
    <mergeCell ref="C20:N20"/>
    <mergeCell ref="J27:K27"/>
    <mergeCell ref="L27:M27"/>
    <mergeCell ref="P27:Q27"/>
    <mergeCell ref="C21:L21"/>
    <mergeCell ref="M21:N21"/>
    <mergeCell ref="T24:U24"/>
    <mergeCell ref="E27:G27"/>
    <mergeCell ref="P25:AA25"/>
    <mergeCell ref="V24:W24"/>
    <mergeCell ref="C37:D38"/>
    <mergeCell ref="E37:G37"/>
    <mergeCell ref="R36:V36"/>
    <mergeCell ref="C35:D36"/>
    <mergeCell ref="G43:G46"/>
    <mergeCell ref="E38:G38"/>
    <mergeCell ref="E35:G35"/>
    <mergeCell ref="J35:K35"/>
    <mergeCell ref="L35:M35"/>
    <mergeCell ref="R34:V34"/>
    <mergeCell ref="C23:L23"/>
    <mergeCell ref="J31:K31"/>
    <mergeCell ref="L31:M31"/>
    <mergeCell ref="P31:Q31"/>
    <mergeCell ref="C24:L24"/>
    <mergeCell ref="N30:O30"/>
    <mergeCell ref="N31:O31"/>
    <mergeCell ref="J30:K30"/>
    <mergeCell ref="L30:M30"/>
    <mergeCell ref="P30:Q30"/>
    <mergeCell ref="C31:D31"/>
    <mergeCell ref="H30:I30"/>
    <mergeCell ref="H31:I31"/>
    <mergeCell ref="C27:D27"/>
    <mergeCell ref="C28:D28"/>
    <mergeCell ref="C29:D29"/>
    <mergeCell ref="L34:M34"/>
    <mergeCell ref="N34:O34"/>
    <mergeCell ref="L29:M29"/>
    <mergeCell ref="P29:Q29"/>
    <mergeCell ref="N29:O29"/>
    <mergeCell ref="J28:K28"/>
    <mergeCell ref="L28:M28"/>
    <mergeCell ref="P28:Q28"/>
    <mergeCell ref="H28:I28"/>
    <mergeCell ref="H29:I29"/>
    <mergeCell ref="N28:O28"/>
    <mergeCell ref="C33:V33"/>
    <mergeCell ref="H34:I34"/>
    <mergeCell ref="C30:D30"/>
    <mergeCell ref="J29:K29"/>
    <mergeCell ref="E30:G30"/>
    <mergeCell ref="E31:G31"/>
    <mergeCell ref="E28:G28"/>
    <mergeCell ref="E29:G29"/>
    <mergeCell ref="C34:D34"/>
    <mergeCell ref="E34:G34"/>
    <mergeCell ref="J34:K34"/>
    <mergeCell ref="H27:I27"/>
    <mergeCell ref="N27:O27"/>
    <mergeCell ref="C18:L18"/>
    <mergeCell ref="M18:N18"/>
    <mergeCell ref="P17:Y17"/>
    <mergeCell ref="Z17:AA17"/>
    <mergeCell ref="T23:U23"/>
    <mergeCell ref="V23:W23"/>
    <mergeCell ref="Z23:AA23"/>
    <mergeCell ref="P23:Q23"/>
    <mergeCell ref="R23:S23"/>
    <mergeCell ref="X23:Y23"/>
    <mergeCell ref="T22:U22"/>
    <mergeCell ref="V22:W22"/>
    <mergeCell ref="Z22:AA22"/>
    <mergeCell ref="P22:Q22"/>
    <mergeCell ref="R22:S22"/>
    <mergeCell ref="X22:Y22"/>
    <mergeCell ref="C22:L22"/>
    <mergeCell ref="M22:N22"/>
    <mergeCell ref="C26:Q26"/>
    <mergeCell ref="M23:N23"/>
    <mergeCell ref="M24:N24"/>
    <mergeCell ref="C17:L17"/>
    <mergeCell ref="M17:N17"/>
    <mergeCell ref="C14:L14"/>
    <mergeCell ref="M14:N14"/>
    <mergeCell ref="P14:Y14"/>
    <mergeCell ref="P24:Q24"/>
    <mergeCell ref="R24:S24"/>
    <mergeCell ref="Z14:AA14"/>
    <mergeCell ref="Z15:AA15"/>
    <mergeCell ref="C15:L15"/>
    <mergeCell ref="M15:N15"/>
    <mergeCell ref="C8:N8"/>
    <mergeCell ref="P8:AA8"/>
    <mergeCell ref="C9:F9"/>
    <mergeCell ref="C16:L16"/>
    <mergeCell ref="M16:N16"/>
    <mergeCell ref="P15:Y15"/>
    <mergeCell ref="C12:L12"/>
    <mergeCell ref="M12:N12"/>
    <mergeCell ref="C13:L13"/>
    <mergeCell ref="M13:N13"/>
    <mergeCell ref="Q13:Z13"/>
    <mergeCell ref="P16:Y16"/>
    <mergeCell ref="Z16:AA16"/>
    <mergeCell ref="B1:R1"/>
    <mergeCell ref="S1:AB1"/>
    <mergeCell ref="BB12:BF12"/>
    <mergeCell ref="AS6:AS7"/>
    <mergeCell ref="AT6:AT7"/>
    <mergeCell ref="AS4:AS5"/>
    <mergeCell ref="AT4:AT5"/>
    <mergeCell ref="AO4:AO5"/>
    <mergeCell ref="AO6:AO7"/>
    <mergeCell ref="AP6:AP7"/>
    <mergeCell ref="AQ6:AQ7"/>
    <mergeCell ref="AR6:AR7"/>
    <mergeCell ref="G9:N9"/>
    <mergeCell ref="P9:X9"/>
    <mergeCell ref="Y9:AA9"/>
    <mergeCell ref="AO2:AT2"/>
    <mergeCell ref="C10:F10"/>
    <mergeCell ref="G10:N10"/>
    <mergeCell ref="P10:Y10"/>
    <mergeCell ref="Z10:AA10"/>
    <mergeCell ref="C11:F11"/>
    <mergeCell ref="G11:N11"/>
    <mergeCell ref="P11:Y11"/>
    <mergeCell ref="Z11:AA11"/>
    <mergeCell ref="R56:U58"/>
    <mergeCell ref="V56:Z58"/>
    <mergeCell ref="V51:Z52"/>
    <mergeCell ref="V48:Z49"/>
    <mergeCell ref="R43:U44"/>
    <mergeCell ref="AV2:AZ2"/>
    <mergeCell ref="R50:U50"/>
    <mergeCell ref="V50:Z50"/>
    <mergeCell ref="V43:Z44"/>
    <mergeCell ref="R48:U49"/>
    <mergeCell ref="R51:U52"/>
    <mergeCell ref="AR4:AR5"/>
    <mergeCell ref="AP4:AP5"/>
    <mergeCell ref="AQ4:AQ5"/>
    <mergeCell ref="AL12:AP12"/>
    <mergeCell ref="AQ12:AU12"/>
    <mergeCell ref="AW12:BA12"/>
    <mergeCell ref="P18:Y18"/>
    <mergeCell ref="Z18:AA18"/>
    <mergeCell ref="P19:Y19"/>
    <mergeCell ref="Z19:AA19"/>
    <mergeCell ref="P21:AA21"/>
    <mergeCell ref="Z24:AA24"/>
    <mergeCell ref="X24:Y24"/>
  </mergeCells>
  <conditionalFormatting sqref="V43:Z58">
    <cfRule type="expression" dxfId="10" priority="6">
      <formula>AND($AH$4=2,$AI$11&gt;=$M$14)</formula>
    </cfRule>
  </conditionalFormatting>
  <conditionalFormatting sqref="R43:U58">
    <cfRule type="expression" dxfId="9" priority="4">
      <formula>AND($AH$4=2,$AI$11&gt;=$M$14)</formula>
    </cfRule>
    <cfRule type="expression" dxfId="8" priority="5">
      <formula>AND($AH$4=2,$AI$11&lt;$M$14)</formula>
    </cfRule>
  </conditionalFormatting>
  <conditionalFormatting sqref="H50:Z50">
    <cfRule type="expression" dxfId="7" priority="3">
      <formula>$AH$4=1</formula>
    </cfRule>
  </conditionalFormatting>
  <conditionalFormatting sqref="L43:Q58">
    <cfRule type="expression" dxfId="6" priority="2">
      <formula>$AH$4=2</formula>
    </cfRule>
  </conditionalFormatting>
  <conditionalFormatting sqref="Z11:AA11">
    <cfRule type="expression" dxfId="5" priority="1">
      <formula>$Y$9=INDEX(Site_terrain_type,1)</formula>
    </cfRule>
  </conditionalFormatting>
  <dataValidations count="6">
    <dataValidation type="list" allowBlank="1" showInputMessage="1" showErrorMessage="1" sqref="M18:N18" xr:uid="{00000000-0002-0000-0700-000000000000}">
      <formula1>$AI$5:$AI$6</formula1>
    </dataValidation>
    <dataValidation type="custom" allowBlank="1" showInputMessage="1" showErrorMessage="1" error="Angle must be a whole number between -45° and -5° or between +5°and +75°._x000a_For angle between -5° and +5° design as flat roof." sqref="M17:N17" xr:uid="{00000000-0002-0000-0700-000001000000}">
      <formula1>AM6</formula1>
    </dataValidation>
    <dataValidation type="list" allowBlank="1" showInputMessage="1" showErrorMessage="1" sqref="G9:N9" xr:uid="{00000000-0002-0000-0700-000002000000}">
      <formula1>Structure</formula1>
    </dataValidation>
    <dataValidation type="list" allowBlank="1" showInputMessage="1" showErrorMessage="1" sqref="G10:N10" xr:uid="{00000000-0002-0000-0700-000003000000}">
      <formula1>Structural_type</formula1>
    </dataValidation>
    <dataValidation type="list" allowBlank="1" showInputMessage="1" showErrorMessage="1" sqref="G11:N11" xr:uid="{00000000-0002-0000-0700-000004000000}">
      <formula1>Type_of_surface</formula1>
    </dataValidation>
    <dataValidation type="list" allowBlank="1" showInputMessage="1" showErrorMessage="1" sqref="Y9:AA9" xr:uid="{00000000-0002-0000-0700-000005000000}">
      <formula1>Site_terrain_type</formula1>
    </dataValidation>
  </dataValidations>
  <hyperlinks>
    <hyperlink ref="C61" r:id="rId2" xr:uid="{00000000-0004-0000-0700-000000000000}"/>
  </hyperlinks>
  <printOptions horizontalCentered="1"/>
  <pageMargins left="0.74803149606299213" right="0.31496062992125984" top="0.74803149606299202" bottom="0.43307086614173229" header="0" footer="0"/>
  <pageSetup paperSize="9" scale="74" orientation="portrait"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BU133"/>
  <sheetViews>
    <sheetView showGridLines="0" zoomScaleNormal="100" zoomScaleSheetLayoutView="100" workbookViewId="0">
      <selection activeCell="G9" sqref="G9:N9"/>
    </sheetView>
  </sheetViews>
  <sheetFormatPr defaultRowHeight="17.100000000000001" customHeight="1"/>
  <cols>
    <col min="1" max="1" width="2.5703125" style="155" customWidth="1"/>
    <col min="2" max="2" width="2" style="155" customWidth="1"/>
    <col min="3" max="3" width="6.140625" style="155" customWidth="1"/>
    <col min="4" max="27" width="4.7109375" style="155" customWidth="1"/>
    <col min="28" max="28" width="2" style="155" customWidth="1"/>
    <col min="29" max="29" width="2.5703125" style="155" customWidth="1"/>
    <col min="30" max="33" width="9.140625" style="136" hidden="1" customWidth="1"/>
    <col min="34" max="35" width="9.140625" style="252" hidden="1" customWidth="1"/>
    <col min="36" max="53" width="9.140625" style="278" hidden="1" customWidth="1"/>
    <col min="54" max="54" width="9.140625" style="136" hidden="1" customWidth="1"/>
    <col min="55" max="63" width="9.140625" style="278" hidden="1" customWidth="1"/>
    <col min="64" max="72" width="9.140625" style="136" hidden="1" customWidth="1"/>
    <col min="73" max="73" width="9.140625" style="136" customWidth="1"/>
    <col min="74" max="16384" width="9.140625" style="136"/>
  </cols>
  <sheetData>
    <row r="1" spans="1:73" ht="15" customHeight="1">
      <c r="A1" s="133"/>
      <c r="B1" s="769" t="s">
        <v>486</v>
      </c>
      <c r="C1" s="769"/>
      <c r="D1" s="769"/>
      <c r="E1" s="769"/>
      <c r="F1" s="769"/>
      <c r="G1" s="769"/>
      <c r="H1" s="769"/>
      <c r="I1" s="769"/>
      <c r="J1" s="769"/>
      <c r="K1" s="769"/>
      <c r="L1" s="769"/>
      <c r="M1" s="769"/>
      <c r="N1" s="769"/>
      <c r="O1" s="769"/>
      <c r="P1" s="769"/>
      <c r="Q1" s="769"/>
      <c r="R1" s="769"/>
      <c r="S1" s="770" t="s">
        <v>487</v>
      </c>
      <c r="T1" s="770"/>
      <c r="U1" s="770"/>
      <c r="V1" s="770"/>
      <c r="W1" s="770"/>
      <c r="X1" s="770"/>
      <c r="Y1" s="770"/>
      <c r="Z1" s="770"/>
      <c r="AA1" s="770"/>
      <c r="AB1" s="770"/>
      <c r="AC1" s="13"/>
      <c r="AD1" s="43"/>
      <c r="AE1" s="43"/>
      <c r="AF1" s="43"/>
      <c r="AG1" s="43"/>
      <c r="AH1" s="45"/>
      <c r="AI1" s="45"/>
      <c r="AJ1" s="98"/>
      <c r="AK1" s="98"/>
      <c r="AL1" s="98"/>
      <c r="AM1" s="98"/>
      <c r="AN1" s="98"/>
      <c r="AO1" s="98"/>
      <c r="AP1" s="938" t="s">
        <v>229</v>
      </c>
      <c r="AQ1" s="938"/>
      <c r="AR1" s="938"/>
      <c r="AS1" s="938"/>
      <c r="AT1" s="938"/>
      <c r="AU1" s="938"/>
      <c r="AV1" s="938"/>
      <c r="AW1" s="938"/>
      <c r="AX1" s="938"/>
      <c r="AY1" s="938"/>
      <c r="AZ1" s="98"/>
      <c r="BA1" s="938" t="s">
        <v>236</v>
      </c>
      <c r="BB1" s="938"/>
      <c r="BC1" s="938"/>
      <c r="BD1" s="938"/>
      <c r="BE1" s="938"/>
      <c r="BF1" s="938"/>
      <c r="BG1" s="938"/>
      <c r="BH1" s="938"/>
      <c r="BI1" s="938"/>
      <c r="BJ1" s="938"/>
      <c r="BK1" s="98"/>
      <c r="BL1" s="43"/>
      <c r="BM1" s="43"/>
      <c r="BN1" s="43"/>
      <c r="BO1" s="43"/>
      <c r="BP1" s="43"/>
      <c r="BQ1" s="43"/>
      <c r="BR1" s="43"/>
      <c r="BS1" s="43"/>
      <c r="BT1" s="43"/>
      <c r="BU1" s="43"/>
    </row>
    <row r="2" spans="1:73" ht="29.25" customHeight="1" thickBot="1">
      <c r="A2" s="133"/>
      <c r="AC2" s="13"/>
      <c r="AD2" s="43"/>
      <c r="AE2" s="43"/>
      <c r="AF2" s="43"/>
      <c r="AG2" s="43"/>
      <c r="AH2" s="45">
        <v>2</v>
      </c>
      <c r="AI2" s="114" t="s">
        <v>626</v>
      </c>
      <c r="AJ2" s="98"/>
      <c r="AK2" s="98"/>
      <c r="AL2" s="98"/>
      <c r="AM2" s="98"/>
      <c r="AN2" s="98"/>
      <c r="AO2" s="98"/>
      <c r="AP2" s="245" t="s">
        <v>101</v>
      </c>
      <c r="AQ2" s="246" t="s">
        <v>120</v>
      </c>
      <c r="AR2" s="246" t="s">
        <v>121</v>
      </c>
      <c r="AS2" s="246" t="s">
        <v>93</v>
      </c>
      <c r="AT2" s="246" t="s">
        <v>40</v>
      </c>
      <c r="AU2" s="246" t="s">
        <v>144</v>
      </c>
      <c r="AV2" s="246" t="s">
        <v>154</v>
      </c>
      <c r="AW2" s="246" t="s">
        <v>155</v>
      </c>
      <c r="AX2" s="246" t="s">
        <v>156</v>
      </c>
      <c r="AY2" s="246" t="s">
        <v>157</v>
      </c>
      <c r="AZ2" s="98"/>
      <c r="BA2" s="245" t="s">
        <v>101</v>
      </c>
      <c r="BB2" s="246" t="s">
        <v>120</v>
      </c>
      <c r="BC2" s="246" t="s">
        <v>121</v>
      </c>
      <c r="BD2" s="246" t="s">
        <v>93</v>
      </c>
      <c r="BE2" s="246" t="s">
        <v>40</v>
      </c>
      <c r="BF2" s="246" t="s">
        <v>144</v>
      </c>
      <c r="BG2" s="246" t="s">
        <v>154</v>
      </c>
      <c r="BH2" s="246" t="s">
        <v>155</v>
      </c>
      <c r="BI2" s="246" t="s">
        <v>156</v>
      </c>
      <c r="BJ2" s="246" t="s">
        <v>157</v>
      </c>
      <c r="BK2" s="98"/>
      <c r="BL2" s="43"/>
      <c r="BM2" s="43"/>
      <c r="BN2" s="43"/>
      <c r="BO2" s="43"/>
      <c r="BP2" s="43"/>
      <c r="BQ2" s="43"/>
      <c r="BR2" s="43"/>
      <c r="BS2" s="43"/>
      <c r="BT2" s="43"/>
      <c r="BU2" s="43"/>
    </row>
    <row r="3" spans="1:73" ht="19.5" customHeight="1">
      <c r="A3" s="133"/>
      <c r="AC3" s="13"/>
      <c r="AD3" s="43"/>
      <c r="AE3" s="43"/>
      <c r="AF3" s="43"/>
      <c r="AG3" s="43"/>
      <c r="AH3" s="186">
        <f>MATCH(AE30,AI4:AI5,0)</f>
        <v>2</v>
      </c>
      <c r="AI3" s="186" t="s">
        <v>133</v>
      </c>
      <c r="AJ3" s="98"/>
      <c r="AK3" s="186" t="s">
        <v>107</v>
      </c>
      <c r="AL3" s="186">
        <f>+MIN(M13, 2*M16)</f>
        <v>80</v>
      </c>
      <c r="AM3" s="98"/>
      <c r="AN3" s="273" t="s">
        <v>212</v>
      </c>
      <c r="AO3" s="98"/>
      <c r="AP3" s="245" t="s">
        <v>141</v>
      </c>
      <c r="AQ3" s="249">
        <f ca="1">VLOOKUP(TRUE,AI11:BT131,11,FALSE)</f>
        <v>-1.1463485040000008</v>
      </c>
      <c r="AR3" s="249">
        <f ca="1">VLOOKUP(TRUE,AI11:BT131,12,FALSE)</f>
        <v>-0.77655866400000007</v>
      </c>
      <c r="AS3" s="249">
        <f ca="1">VLOOKUP(TRUE,AI11:BT131,13,FALSE)</f>
        <v>-0.44374780799999997</v>
      </c>
      <c r="AT3" s="249">
        <f ca="1">VLOOKUP(TRUE,AI11:BT131,14,FALSE)</f>
        <v>-0.66562171200000009</v>
      </c>
      <c r="AU3" s="249">
        <f ca="1">VLOOKUP(TRUE,AI11:BT131,15,FALSE)</f>
        <v>-1.5161383440000005</v>
      </c>
      <c r="AV3" s="249">
        <f ca="1">VLOOKUP(TRUE,AI11:BT131,16,FALSE)</f>
        <v>-1.2572854559999997</v>
      </c>
      <c r="AW3" s="249">
        <f ca="1">VLOOKUP(TRUE,AI11:BT131,17,FALSE)</f>
        <v>-1.0354115520000005</v>
      </c>
      <c r="AX3" s="249">
        <f ca="1">VLOOKUP(TRUE,AI11:BT131,18,FALSE)</f>
        <v>-0.66562171200000009</v>
      </c>
      <c r="AY3" s="249">
        <f ca="1">VLOOKUP(TRUE,AI11:BT131,19,FALSE)</f>
        <v>-0.48072679200000007</v>
      </c>
      <c r="AZ3" s="98"/>
      <c r="BA3" s="245" t="s">
        <v>239</v>
      </c>
      <c r="BB3" s="249">
        <f t="shared" ref="BB3:BJ3" ca="1" si="0">+AQ3-1.35*$Z$14</f>
        <v>-1.4163485040000008</v>
      </c>
      <c r="BC3" s="249">
        <f t="shared" ca="1" si="0"/>
        <v>-1.046558664</v>
      </c>
      <c r="BD3" s="249">
        <f t="shared" ca="1" si="0"/>
        <v>-0.71374780799999993</v>
      </c>
      <c r="BE3" s="249">
        <f t="shared" ca="1" si="0"/>
        <v>-0.93562171200000011</v>
      </c>
      <c r="BF3" s="249">
        <f t="shared" ca="1" si="0"/>
        <v>-1.7861383440000005</v>
      </c>
      <c r="BG3" s="249">
        <f t="shared" ca="1" si="0"/>
        <v>-1.5272854559999998</v>
      </c>
      <c r="BH3" s="249">
        <f t="shared" ca="1" si="0"/>
        <v>-1.3054115520000005</v>
      </c>
      <c r="BI3" s="249">
        <f t="shared" ca="1" si="0"/>
        <v>-0.93562171200000011</v>
      </c>
      <c r="BJ3" s="249">
        <f t="shared" ca="1" si="0"/>
        <v>-0.75072679200000003</v>
      </c>
      <c r="BK3" s="98"/>
      <c r="BL3" s="43"/>
      <c r="BM3" s="43"/>
      <c r="BN3" s="43"/>
      <c r="BO3" s="43"/>
      <c r="BP3" s="43"/>
      <c r="BQ3" s="43"/>
      <c r="BR3" s="43"/>
      <c r="BS3" s="43"/>
      <c r="BT3" s="43"/>
      <c r="BU3" s="43"/>
    </row>
    <row r="4" spans="1:73" ht="19.5" customHeight="1">
      <c r="A4" s="133"/>
      <c r="AC4" s="13"/>
      <c r="AD4" s="43"/>
      <c r="AE4" s="43"/>
      <c r="AF4" s="43"/>
      <c r="AG4" s="43"/>
      <c r="AH4" s="186">
        <v>1</v>
      </c>
      <c r="AI4" s="186">
        <v>0</v>
      </c>
      <c r="AJ4" s="98"/>
      <c r="AK4" s="186" t="s">
        <v>151</v>
      </c>
      <c r="AL4" s="186">
        <f>+AL3/10</f>
        <v>8</v>
      </c>
      <c r="AM4" s="98"/>
      <c r="AN4" s="274" t="b">
        <f>AND(-45&lt;=M17,M17&lt;=-5)</f>
        <v>0</v>
      </c>
      <c r="AO4" s="98"/>
      <c r="AP4" s="245" t="s">
        <v>142</v>
      </c>
      <c r="AQ4" s="249">
        <f ca="1">VLOOKUP(TRUE,AI11:BT131,30,FALSE)</f>
        <v>0.44374780800000008</v>
      </c>
      <c r="AR4" s="249">
        <f ca="1">VLOOKUP(TRUE,AI11:BT131,31,FALSE)</f>
        <v>0.3328108560000001</v>
      </c>
      <c r="AS4" s="249">
        <f ca="1">VLOOKUP(TRUE,AI11:BT131,32,FALSE)</f>
        <v>0.29583187200000005</v>
      </c>
      <c r="AT4" s="249">
        <f ca="1">VLOOKUP(TRUE,AI11:BT131,33,FALSE)</f>
        <v>-0.66562171200000009</v>
      </c>
      <c r="AU4" s="249">
        <f ca="1">VLOOKUP(TRUE,AI11:BT131,34,FALSE)</f>
        <v>-1.5161383440000005</v>
      </c>
      <c r="AV4" s="249">
        <f ca="1">VLOOKUP(TRUE,AI11:BT131,35,FALSE)</f>
        <v>-1.2572854559999997</v>
      </c>
      <c r="AW4" s="249">
        <f ca="1">VLOOKUP(TRUE,AI11:BT131,36,FALSE)</f>
        <v>0</v>
      </c>
      <c r="AX4" s="249">
        <f ca="1">VLOOKUP(TRUE,AI11:BT131,37,FALSE)</f>
        <v>0</v>
      </c>
      <c r="AY4" s="249">
        <f ca="1">VLOOKUP(TRUE,AI11:BT131,38,FALSE)</f>
        <v>0</v>
      </c>
      <c r="AZ4" s="98"/>
      <c r="BA4" s="245" t="s">
        <v>240</v>
      </c>
      <c r="BB4" s="249">
        <f t="shared" ref="BB4:BJ4" ca="1" si="1">+AQ3-1.35*$Z$15</f>
        <v>-0.74134850400000074</v>
      </c>
      <c r="BC4" s="249">
        <f t="shared" ca="1" si="1"/>
        <v>-0.37155866400000004</v>
      </c>
      <c r="BD4" s="249">
        <f t="shared" ca="1" si="1"/>
        <v>-3.8747807999999939E-2</v>
      </c>
      <c r="BE4" s="249">
        <f t="shared" ca="1" si="1"/>
        <v>-0.26062171200000006</v>
      </c>
      <c r="BF4" s="249">
        <f t="shared" ca="1" si="1"/>
        <v>-1.1111383440000004</v>
      </c>
      <c r="BG4" s="249">
        <f t="shared" ca="1" si="1"/>
        <v>-0.85228545599999972</v>
      </c>
      <c r="BH4" s="249">
        <f t="shared" ca="1" si="1"/>
        <v>-0.63041155200000043</v>
      </c>
      <c r="BI4" s="249">
        <f t="shared" ca="1" si="1"/>
        <v>-0.26062171200000006</v>
      </c>
      <c r="BJ4" s="249">
        <f t="shared" ca="1" si="1"/>
        <v>-7.5726792000000043E-2</v>
      </c>
      <c r="BK4" s="98"/>
      <c r="BL4" s="43"/>
      <c r="BM4" s="43"/>
      <c r="BN4" s="43"/>
      <c r="BO4" s="43"/>
      <c r="BP4" s="43"/>
      <c r="BQ4" s="43"/>
      <c r="BR4" s="43"/>
      <c r="BS4" s="43"/>
      <c r="BT4" s="43"/>
      <c r="BU4" s="43"/>
    </row>
    <row r="5" spans="1:73" ht="19.5" customHeight="1" thickBot="1">
      <c r="A5" s="133"/>
      <c r="AC5" s="13"/>
      <c r="AD5" s="43"/>
      <c r="AE5" s="43"/>
      <c r="AF5" s="43"/>
      <c r="AG5" s="43"/>
      <c r="AH5" s="186">
        <v>2</v>
      </c>
      <c r="AI5" s="186">
        <v>90</v>
      </c>
      <c r="AJ5" s="98"/>
      <c r="AK5" s="186" t="s">
        <v>152</v>
      </c>
      <c r="AL5" s="186">
        <f>+AL3/4</f>
        <v>20</v>
      </c>
      <c r="AM5" s="98"/>
      <c r="AN5" s="275" t="b">
        <f>AND(5&lt;=M17,M17&lt;=75)</f>
        <v>1</v>
      </c>
      <c r="AO5" s="98"/>
      <c r="AP5" s="245" t="s">
        <v>440</v>
      </c>
      <c r="AQ5" s="249">
        <f>VLOOKUP(TRUE,AI11:BT131,2,FALSE)</f>
        <v>-1.0333333333333339</v>
      </c>
      <c r="AR5" s="249">
        <f>VLOOKUP(TRUE,AI11:BT131,3,FALSE)</f>
        <v>-0.7</v>
      </c>
      <c r="AS5" s="249">
        <f>VLOOKUP(TRUE,AI11:BT131,4,FALSE)</f>
        <v>-0.39999999999999991</v>
      </c>
      <c r="AT5" s="249">
        <f>VLOOKUP(TRUE,AI11:BT131,5,FALSE)</f>
        <v>-0.6</v>
      </c>
      <c r="AU5" s="249">
        <f>VLOOKUP(TRUE,AI11:BT131,6,FALSE)</f>
        <v>-1.3666666666666669</v>
      </c>
      <c r="AV5" s="249">
        <f>VLOOKUP(TRUE,AI11:BT131,7,FALSE)</f>
        <v>-1.1333333333333329</v>
      </c>
      <c r="AW5" s="249">
        <f>VLOOKUP(TRUE,AI11:BT131,8,FALSE)</f>
        <v>-0.93333333333333357</v>
      </c>
      <c r="AX5" s="249">
        <f>VLOOKUP(TRUE,AI11:BT131,9,FALSE)</f>
        <v>-0.6</v>
      </c>
      <c r="AY5" s="249">
        <f>VLOOKUP(TRUE,AI11:BT131,10,FALSE)</f>
        <v>-0.43333333333333329</v>
      </c>
      <c r="AZ5" s="98"/>
      <c r="BA5" s="245" t="s">
        <v>241</v>
      </c>
      <c r="BB5" s="249">
        <f t="shared" ref="BB5:BJ5" ca="1" si="2">+AQ4-1.35*$Z$14</f>
        <v>0.17374780800000006</v>
      </c>
      <c r="BC5" s="249">
        <f t="shared" ca="1" si="2"/>
        <v>6.2810856000000082E-2</v>
      </c>
      <c r="BD5" s="249">
        <f t="shared" ca="1" si="2"/>
        <v>2.5831872000000033E-2</v>
      </c>
      <c r="BE5" s="249">
        <f t="shared" ca="1" si="2"/>
        <v>-0.93562171200000011</v>
      </c>
      <c r="BF5" s="249">
        <f t="shared" ca="1" si="2"/>
        <v>-1.7861383440000005</v>
      </c>
      <c r="BG5" s="249">
        <f t="shared" ca="1" si="2"/>
        <v>-1.5272854559999998</v>
      </c>
      <c r="BH5" s="249">
        <f t="shared" ca="1" si="2"/>
        <v>-0.27</v>
      </c>
      <c r="BI5" s="249">
        <f t="shared" ca="1" si="2"/>
        <v>-0.27</v>
      </c>
      <c r="BJ5" s="249">
        <f t="shared" ca="1" si="2"/>
        <v>-0.27</v>
      </c>
      <c r="BK5" s="98"/>
      <c r="BL5" s="43"/>
      <c r="BM5" s="43"/>
      <c r="BN5" s="43"/>
      <c r="BO5" s="43"/>
      <c r="BP5" s="43"/>
      <c r="BQ5" s="43"/>
      <c r="BR5" s="43"/>
      <c r="BS5" s="43"/>
      <c r="BT5" s="43"/>
      <c r="BU5" s="43"/>
    </row>
    <row r="6" spans="1:73" ht="17.100000000000001" customHeight="1" thickBot="1">
      <c r="A6" s="133"/>
      <c r="B6" s="119"/>
      <c r="C6" s="23"/>
      <c r="D6" s="23"/>
      <c r="E6" s="23"/>
      <c r="F6" s="23"/>
      <c r="G6" s="23"/>
      <c r="H6" s="23"/>
      <c r="I6" s="23"/>
      <c r="J6" s="23"/>
      <c r="K6" s="23"/>
      <c r="L6" s="23"/>
      <c r="M6" s="23"/>
      <c r="N6" s="23"/>
      <c r="O6" s="23"/>
      <c r="P6" s="23"/>
      <c r="Q6" s="23"/>
      <c r="R6" s="23"/>
      <c r="S6" s="23"/>
      <c r="T6" s="23"/>
      <c r="U6" s="23"/>
      <c r="V6" s="23"/>
      <c r="W6" s="23"/>
      <c r="X6" s="23"/>
      <c r="Y6" s="23"/>
      <c r="Z6" s="23"/>
      <c r="AA6" s="23"/>
      <c r="AB6" s="120"/>
      <c r="AC6" s="13"/>
      <c r="AD6" s="43"/>
      <c r="AE6" s="43"/>
      <c r="AF6" s="43"/>
      <c r="AG6" s="43"/>
      <c r="AH6" s="183"/>
      <c r="AI6" s="183" t="str">
        <f>"Roof width b = "&amp;FIXED(M13,2)&amp;"m"</f>
        <v>Roof width b = 80.00m</v>
      </c>
      <c r="AJ6" s="98"/>
      <c r="AK6" s="186" t="s">
        <v>153</v>
      </c>
      <c r="AL6" s="186">
        <f>+AL3/2</f>
        <v>40</v>
      </c>
      <c r="AM6" s="98"/>
      <c r="AN6" s="270" t="b">
        <f>OR(AN4=TRUE,AN5=TRUE)</f>
        <v>1</v>
      </c>
      <c r="AO6" s="98"/>
      <c r="AP6" s="250" t="s">
        <v>441</v>
      </c>
      <c r="AQ6" s="251">
        <f>VLOOKUP(TRUE,AI11:BT131,21,FALSE)</f>
        <v>0.39999999999999997</v>
      </c>
      <c r="AR6" s="251">
        <f>VLOOKUP(TRUE,AI11:BT131,22,FALSE)</f>
        <v>0.30000000000000004</v>
      </c>
      <c r="AS6" s="251">
        <f>VLOOKUP(TRUE,AI11:BT131,23,FALSE)</f>
        <v>0.26666666666666666</v>
      </c>
      <c r="AT6" s="251">
        <f>VLOOKUP(TRUE,AI11:BT131,24,FALSE)</f>
        <v>-0.6</v>
      </c>
      <c r="AU6" s="251">
        <f>VLOOKUP(TRUE,AI11:BT131,25,FALSE)</f>
        <v>-1.3666666666666669</v>
      </c>
      <c r="AV6" s="251">
        <f>VLOOKUP(TRUE,AI11:BT131,26,FALSE)</f>
        <v>-1.1333333333333329</v>
      </c>
      <c r="AW6" s="251">
        <f>VLOOKUP(TRUE,AI11:BT131,27,FALSE)</f>
        <v>0</v>
      </c>
      <c r="AX6" s="251">
        <f>VLOOKUP(TRUE,AI11:BT131,28,FALSE)</f>
        <v>0</v>
      </c>
      <c r="AY6" s="251">
        <f>VLOOKUP(TRUE,AI11:BT131,29,FALSE)</f>
        <v>0</v>
      </c>
      <c r="AZ6" s="98"/>
      <c r="BA6" s="250" t="s">
        <v>242</v>
      </c>
      <c r="BB6" s="251">
        <f t="shared" ref="BB6:BJ6" ca="1" si="3">+AQ4-1.35*$Z$15</f>
        <v>0.84874780800000016</v>
      </c>
      <c r="BC6" s="251">
        <f t="shared" ca="1" si="3"/>
        <v>0.73781085600000007</v>
      </c>
      <c r="BD6" s="251">
        <f t="shared" ca="1" si="3"/>
        <v>0.70083187200000008</v>
      </c>
      <c r="BE6" s="251">
        <f t="shared" ca="1" si="3"/>
        <v>-0.26062171200000006</v>
      </c>
      <c r="BF6" s="251">
        <f t="shared" ca="1" si="3"/>
        <v>-1.1111383440000004</v>
      </c>
      <c r="BG6" s="251">
        <f t="shared" ca="1" si="3"/>
        <v>-0.85228545599999972</v>
      </c>
      <c r="BH6" s="251">
        <f t="shared" ca="1" si="3"/>
        <v>0.40500000000000003</v>
      </c>
      <c r="BI6" s="251">
        <f t="shared" ca="1" si="3"/>
        <v>0.40500000000000003</v>
      </c>
      <c r="BJ6" s="251">
        <f t="shared" ca="1" si="3"/>
        <v>0.40500000000000003</v>
      </c>
      <c r="BK6" s="98"/>
      <c r="BL6" s="43"/>
      <c r="BM6" s="43"/>
      <c r="BN6" s="43"/>
      <c r="BO6" s="43"/>
      <c r="BP6" s="43"/>
      <c r="BQ6" s="43"/>
      <c r="BR6" s="43"/>
      <c r="BS6" s="43"/>
      <c r="BT6" s="43"/>
      <c r="BU6" s="43"/>
    </row>
    <row r="7" spans="1:73" ht="17.100000000000001" customHeight="1">
      <c r="A7" s="13"/>
      <c r="B7" s="119"/>
      <c r="C7" s="23"/>
      <c r="D7" s="23"/>
      <c r="E7" s="23"/>
      <c r="F7" s="23"/>
      <c r="G7" s="23"/>
      <c r="H7" s="23"/>
      <c r="I7" s="23"/>
      <c r="J7" s="23"/>
      <c r="K7" s="23"/>
      <c r="L7" s="23"/>
      <c r="M7" s="23"/>
      <c r="N7" s="23"/>
      <c r="O7" s="23"/>
      <c r="P7" s="23"/>
      <c r="Q7" s="23"/>
      <c r="R7" s="23"/>
      <c r="S7" s="23"/>
      <c r="T7" s="23"/>
      <c r="U7" s="23"/>
      <c r="V7" s="23"/>
      <c r="W7" s="23"/>
      <c r="X7" s="23"/>
      <c r="Y7" s="23"/>
      <c r="Z7" s="23"/>
      <c r="AA7" s="23"/>
      <c r="AB7" s="120"/>
      <c r="AC7" s="13"/>
      <c r="AD7" s="43"/>
      <c r="AE7" s="43"/>
      <c r="AF7" s="43"/>
      <c r="AG7" s="43"/>
      <c r="AH7" s="183"/>
      <c r="AI7" s="183" t="str">
        <f>"Roof depth d = "&amp;FIXED(M14,2)&amp;"m"</f>
        <v>Roof depth d = 50.00m</v>
      </c>
      <c r="AJ7" s="98"/>
      <c r="AK7" s="98"/>
      <c r="AL7" s="98"/>
      <c r="AM7" s="98"/>
      <c r="AN7" s="98"/>
      <c r="AO7" s="98"/>
      <c r="AP7" s="98"/>
      <c r="AQ7" s="98"/>
      <c r="AR7" s="98"/>
      <c r="AS7" s="98"/>
      <c r="AT7" s="98"/>
      <c r="AU7" s="98"/>
      <c r="AV7" s="98"/>
      <c r="AW7" s="98"/>
      <c r="AX7" s="98"/>
      <c r="AY7" s="98"/>
      <c r="AZ7" s="98"/>
      <c r="BA7" s="98"/>
      <c r="BB7" s="43" t="str">
        <f t="shared" ref="BB7:BJ7" ca="1" si="4">FIXED(MIN(BB3:BB6),3)&amp;" / "&amp;FIXED(MAX(BB3:BB6),3)&amp;" kN/m2"</f>
        <v>-1.416 / 0.849 kN/m2</v>
      </c>
      <c r="BC7" s="43" t="str">
        <f t="shared" ca="1" si="4"/>
        <v>-1.047 / 0.738 kN/m2</v>
      </c>
      <c r="BD7" s="43" t="str">
        <f t="shared" ca="1" si="4"/>
        <v>-0.714 / 0.701 kN/m2</v>
      </c>
      <c r="BE7" s="43" t="str">
        <f t="shared" ca="1" si="4"/>
        <v>-0.936 / -0.261 kN/m2</v>
      </c>
      <c r="BF7" s="43" t="str">
        <f t="shared" ca="1" si="4"/>
        <v>-1.786 / -1.111 kN/m2</v>
      </c>
      <c r="BG7" s="43" t="str">
        <f t="shared" ca="1" si="4"/>
        <v>-1.527 / -0.852 kN/m2</v>
      </c>
      <c r="BH7" s="43" t="str">
        <f t="shared" ca="1" si="4"/>
        <v>-1.305 / 0.405 kN/m2</v>
      </c>
      <c r="BI7" s="43" t="str">
        <f t="shared" ca="1" si="4"/>
        <v>-0.936 / 0.405 kN/m2</v>
      </c>
      <c r="BJ7" s="43" t="str">
        <f t="shared" ca="1" si="4"/>
        <v>-0.751 / 0.405 kN/m2</v>
      </c>
      <c r="BK7" s="98"/>
      <c r="BL7" s="43"/>
      <c r="BM7" s="43"/>
      <c r="BN7" s="43"/>
      <c r="BO7" s="43"/>
      <c r="BP7" s="43"/>
      <c r="BQ7" s="43"/>
      <c r="BR7" s="43"/>
      <c r="BS7" s="43"/>
      <c r="BT7" s="43"/>
      <c r="BU7" s="43"/>
    </row>
    <row r="8" spans="1:73" ht="17.100000000000001" customHeight="1">
      <c r="A8" s="13"/>
      <c r="B8" s="119"/>
      <c r="C8" s="573" t="s">
        <v>348</v>
      </c>
      <c r="D8" s="574"/>
      <c r="E8" s="574"/>
      <c r="F8" s="574"/>
      <c r="G8" s="574"/>
      <c r="H8" s="574"/>
      <c r="I8" s="574"/>
      <c r="J8" s="574"/>
      <c r="K8" s="574"/>
      <c r="L8" s="574"/>
      <c r="M8" s="574"/>
      <c r="N8" s="575"/>
      <c r="O8" s="23"/>
      <c r="P8" s="573" t="s">
        <v>349</v>
      </c>
      <c r="Q8" s="574"/>
      <c r="R8" s="574"/>
      <c r="S8" s="574"/>
      <c r="T8" s="574"/>
      <c r="U8" s="574"/>
      <c r="V8" s="574"/>
      <c r="W8" s="574"/>
      <c r="X8" s="574"/>
      <c r="Y8" s="574"/>
      <c r="Z8" s="574"/>
      <c r="AA8" s="575"/>
      <c r="AB8" s="120"/>
      <c r="AC8" s="13"/>
      <c r="AD8" s="13" t="s">
        <v>579</v>
      </c>
      <c r="AE8" s="398" t="str">
        <f>G9</f>
        <v>Vertical walls</v>
      </c>
      <c r="AF8" s="199" t="s">
        <v>554</v>
      </c>
      <c r="AG8" s="43"/>
      <c r="AH8" s="45"/>
      <c r="AI8" s="45"/>
      <c r="AJ8" s="271">
        <v>2</v>
      </c>
      <c r="AK8" s="271">
        <v>3</v>
      </c>
      <c r="AL8" s="271">
        <v>4</v>
      </c>
      <c r="AM8" s="271">
        <v>5</v>
      </c>
      <c r="AN8" s="271">
        <v>6</v>
      </c>
      <c r="AO8" s="271">
        <v>7</v>
      </c>
      <c r="AP8" s="271">
        <v>8</v>
      </c>
      <c r="AQ8" s="271">
        <v>9</v>
      </c>
      <c r="AR8" s="271">
        <v>10</v>
      </c>
      <c r="AS8" s="271">
        <v>11</v>
      </c>
      <c r="AT8" s="271">
        <v>12</v>
      </c>
      <c r="AU8" s="271">
        <v>13</v>
      </c>
      <c r="AV8" s="271">
        <v>14</v>
      </c>
      <c r="AW8" s="271">
        <v>15</v>
      </c>
      <c r="AX8" s="271">
        <v>16</v>
      </c>
      <c r="AY8" s="271">
        <v>17</v>
      </c>
      <c r="AZ8" s="271">
        <v>18</v>
      </c>
      <c r="BA8" s="271">
        <v>19</v>
      </c>
      <c r="BB8" s="271">
        <v>20</v>
      </c>
      <c r="BC8" s="271">
        <v>21</v>
      </c>
      <c r="BD8" s="271">
        <v>22</v>
      </c>
      <c r="BE8" s="271">
        <v>23</v>
      </c>
      <c r="BF8" s="271">
        <v>24</v>
      </c>
      <c r="BG8" s="271">
        <v>25</v>
      </c>
      <c r="BH8" s="271">
        <v>26</v>
      </c>
      <c r="BI8" s="271">
        <v>27</v>
      </c>
      <c r="BJ8" s="271">
        <v>28</v>
      </c>
      <c r="BK8" s="271">
        <v>29</v>
      </c>
      <c r="BL8" s="271">
        <v>30</v>
      </c>
      <c r="BM8" s="271">
        <v>31</v>
      </c>
      <c r="BN8" s="271">
        <v>32</v>
      </c>
      <c r="BO8" s="271">
        <v>33</v>
      </c>
      <c r="BP8" s="271">
        <v>34</v>
      </c>
      <c r="BQ8" s="271">
        <v>35</v>
      </c>
      <c r="BR8" s="271">
        <v>36</v>
      </c>
      <c r="BS8" s="271">
        <v>37</v>
      </c>
      <c r="BT8" s="271">
        <v>38</v>
      </c>
      <c r="BU8" s="43"/>
    </row>
    <row r="9" spans="1:73" ht="17.100000000000001" customHeight="1">
      <c r="A9" s="13"/>
      <c r="B9" s="119"/>
      <c r="C9" s="690" t="s">
        <v>370</v>
      </c>
      <c r="D9" s="691"/>
      <c r="E9" s="691"/>
      <c r="F9" s="691"/>
      <c r="G9" s="637" t="s">
        <v>372</v>
      </c>
      <c r="H9" s="637"/>
      <c r="I9" s="637"/>
      <c r="J9" s="637"/>
      <c r="K9" s="637"/>
      <c r="L9" s="637"/>
      <c r="M9" s="637"/>
      <c r="N9" s="638"/>
      <c r="O9" s="23"/>
      <c r="P9" s="702" t="s">
        <v>368</v>
      </c>
      <c r="Q9" s="703"/>
      <c r="R9" s="703"/>
      <c r="S9" s="703"/>
      <c r="T9" s="703"/>
      <c r="U9" s="703"/>
      <c r="V9" s="703"/>
      <c r="W9" s="703"/>
      <c r="X9" s="703"/>
      <c r="Y9" s="704" t="s">
        <v>299</v>
      </c>
      <c r="Z9" s="704"/>
      <c r="AA9" s="705"/>
      <c r="AB9" s="120"/>
      <c r="AC9" s="13"/>
      <c r="AD9" s="13" t="s">
        <v>580</v>
      </c>
      <c r="AE9" s="398" t="str">
        <f>G10</f>
        <v>Reinforced concrete building</v>
      </c>
      <c r="AF9" s="199" t="s">
        <v>556</v>
      </c>
      <c r="AG9" s="43"/>
      <c r="AH9" s="45"/>
      <c r="AI9" s="45"/>
      <c r="AJ9" s="937" t="s">
        <v>158</v>
      </c>
      <c r="AK9" s="937"/>
      <c r="AL9" s="937"/>
      <c r="AM9" s="937"/>
      <c r="AN9" s="937"/>
      <c r="AO9" s="937"/>
      <c r="AP9" s="937"/>
      <c r="AQ9" s="937"/>
      <c r="AR9" s="937"/>
      <c r="AS9" s="937" t="s">
        <v>148</v>
      </c>
      <c r="AT9" s="937"/>
      <c r="AU9" s="937"/>
      <c r="AV9" s="937"/>
      <c r="AW9" s="937"/>
      <c r="AX9" s="937"/>
      <c r="AY9" s="937"/>
      <c r="AZ9" s="937"/>
      <c r="BA9" s="937"/>
      <c r="BB9" s="43"/>
      <c r="BC9" s="937" t="s">
        <v>159</v>
      </c>
      <c r="BD9" s="937"/>
      <c r="BE9" s="937"/>
      <c r="BF9" s="937"/>
      <c r="BG9" s="937"/>
      <c r="BH9" s="937"/>
      <c r="BI9" s="937"/>
      <c r="BJ9" s="937"/>
      <c r="BK9" s="937"/>
      <c r="BL9" s="937" t="s">
        <v>150</v>
      </c>
      <c r="BM9" s="937"/>
      <c r="BN9" s="937"/>
      <c r="BO9" s="937"/>
      <c r="BP9" s="937"/>
      <c r="BQ9" s="937"/>
      <c r="BR9" s="937"/>
      <c r="BS9" s="937"/>
      <c r="BT9" s="937"/>
      <c r="BU9" s="43"/>
    </row>
    <row r="10" spans="1:73" ht="17.100000000000001" customHeight="1">
      <c r="A10" s="13"/>
      <c r="B10" s="119"/>
      <c r="C10" s="696" t="s">
        <v>351</v>
      </c>
      <c r="D10" s="697"/>
      <c r="E10" s="697"/>
      <c r="F10" s="697"/>
      <c r="G10" s="639" t="s">
        <v>353</v>
      </c>
      <c r="H10" s="639"/>
      <c r="I10" s="639"/>
      <c r="J10" s="639"/>
      <c r="K10" s="639"/>
      <c r="L10" s="639"/>
      <c r="M10" s="639"/>
      <c r="N10" s="640"/>
      <c r="O10" s="23"/>
      <c r="P10" s="592" t="s">
        <v>366</v>
      </c>
      <c r="Q10" s="593"/>
      <c r="R10" s="593"/>
      <c r="S10" s="593"/>
      <c r="T10" s="593"/>
      <c r="U10" s="593"/>
      <c r="V10" s="593"/>
      <c r="W10" s="593"/>
      <c r="X10" s="593"/>
      <c r="Y10" s="593"/>
      <c r="Z10" s="688">
        <v>15</v>
      </c>
      <c r="AA10" s="689"/>
      <c r="AB10" s="120"/>
      <c r="AC10" s="13"/>
      <c r="AD10" s="13" t="s">
        <v>581</v>
      </c>
      <c r="AE10" s="398" t="str">
        <f>G11</f>
        <v>Smooth (e.g. smooth concrete, steel)</v>
      </c>
      <c r="AF10" s="199" t="s">
        <v>557</v>
      </c>
      <c r="AG10" s="43"/>
      <c r="AH10" s="45" t="s">
        <v>127</v>
      </c>
      <c r="AI10" s="45" t="s">
        <v>146</v>
      </c>
      <c r="AJ10" s="98" t="s">
        <v>120</v>
      </c>
      <c r="AK10" s="98" t="s">
        <v>121</v>
      </c>
      <c r="AL10" s="98" t="s">
        <v>93</v>
      </c>
      <c r="AM10" s="98" t="s">
        <v>40</v>
      </c>
      <c r="AN10" s="98" t="s">
        <v>144</v>
      </c>
      <c r="AO10" s="98" t="s">
        <v>154</v>
      </c>
      <c r="AP10" s="98" t="s">
        <v>155</v>
      </c>
      <c r="AQ10" s="98" t="s">
        <v>156</v>
      </c>
      <c r="AR10" s="98" t="s">
        <v>157</v>
      </c>
      <c r="AS10" s="98" t="s">
        <v>120</v>
      </c>
      <c r="AT10" s="98" t="s">
        <v>121</v>
      </c>
      <c r="AU10" s="98" t="s">
        <v>93</v>
      </c>
      <c r="AV10" s="98" t="s">
        <v>40</v>
      </c>
      <c r="AW10" s="98" t="s">
        <v>144</v>
      </c>
      <c r="AX10" s="98" t="s">
        <v>154</v>
      </c>
      <c r="AY10" s="98" t="s">
        <v>155</v>
      </c>
      <c r="AZ10" s="98" t="s">
        <v>156</v>
      </c>
      <c r="BA10" s="98" t="s">
        <v>157</v>
      </c>
      <c r="BB10" s="43"/>
      <c r="BC10" s="98" t="s">
        <v>120</v>
      </c>
      <c r="BD10" s="98" t="s">
        <v>121</v>
      </c>
      <c r="BE10" s="98" t="s">
        <v>93</v>
      </c>
      <c r="BF10" s="98" t="s">
        <v>40</v>
      </c>
      <c r="BG10" s="98" t="s">
        <v>144</v>
      </c>
      <c r="BH10" s="98" t="s">
        <v>154</v>
      </c>
      <c r="BI10" s="98" t="s">
        <v>155</v>
      </c>
      <c r="BJ10" s="98" t="s">
        <v>156</v>
      </c>
      <c r="BK10" s="98" t="s">
        <v>157</v>
      </c>
      <c r="BL10" s="98" t="s">
        <v>120</v>
      </c>
      <c r="BM10" s="98" t="s">
        <v>121</v>
      </c>
      <c r="BN10" s="98" t="s">
        <v>93</v>
      </c>
      <c r="BO10" s="98" t="s">
        <v>40</v>
      </c>
      <c r="BP10" s="98" t="s">
        <v>144</v>
      </c>
      <c r="BQ10" s="98" t="s">
        <v>154</v>
      </c>
      <c r="BR10" s="98" t="s">
        <v>155</v>
      </c>
      <c r="BS10" s="98" t="s">
        <v>156</v>
      </c>
      <c r="BT10" s="98" t="s">
        <v>157</v>
      </c>
      <c r="BU10" s="43"/>
    </row>
    <row r="11" spans="1:73" ht="17.100000000000001" customHeight="1">
      <c r="A11" s="13"/>
      <c r="B11" s="119"/>
      <c r="C11" s="696" t="s">
        <v>356</v>
      </c>
      <c r="D11" s="697"/>
      <c r="E11" s="697"/>
      <c r="F11" s="697"/>
      <c r="G11" s="639" t="s">
        <v>357</v>
      </c>
      <c r="H11" s="639"/>
      <c r="I11" s="639"/>
      <c r="J11" s="639"/>
      <c r="K11" s="639"/>
      <c r="L11" s="639"/>
      <c r="M11" s="639"/>
      <c r="N11" s="640"/>
      <c r="O11" s="23"/>
      <c r="P11" s="692" t="s">
        <v>367</v>
      </c>
      <c r="Q11" s="693"/>
      <c r="R11" s="693"/>
      <c r="S11" s="693"/>
      <c r="T11" s="693"/>
      <c r="U11" s="693"/>
      <c r="V11" s="693"/>
      <c r="W11" s="693"/>
      <c r="X11" s="693"/>
      <c r="Y11" s="693"/>
      <c r="Z11" s="694">
        <v>10</v>
      </c>
      <c r="AA11" s="695"/>
      <c r="AB11" s="120"/>
      <c r="AC11" s="13"/>
      <c r="AD11" s="13" t="s">
        <v>537</v>
      </c>
      <c r="AE11" s="399">
        <f>1.35</f>
        <v>1.35</v>
      </c>
      <c r="AF11" s="199">
        <v>1.35</v>
      </c>
      <c r="AG11" s="43"/>
      <c r="AH11" s="276">
        <v>-45</v>
      </c>
      <c r="AI11" s="45" t="b">
        <f t="shared" ref="AI11:AI42" si="5">AND($M$17=AH11)</f>
        <v>0</v>
      </c>
      <c r="AJ11" s="277">
        <v>-1.4</v>
      </c>
      <c r="AK11" s="277">
        <v>-1</v>
      </c>
      <c r="AL11" s="277">
        <v>-1</v>
      </c>
      <c r="AM11" s="277">
        <v>-0.7</v>
      </c>
      <c r="AN11" s="277">
        <v>-0.7</v>
      </c>
      <c r="AO11" s="277">
        <v>-0.4</v>
      </c>
      <c r="AP11" s="277">
        <v>-1.1000000000000001</v>
      </c>
      <c r="AQ11" s="277">
        <v>-1</v>
      </c>
      <c r="AR11" s="277">
        <v>-0.9</v>
      </c>
      <c r="AS11" s="277">
        <f t="shared" ref="AS11:AS42" ca="1" si="6">1.35*$Z$17*$M$22*AJ11</f>
        <v>-1.5531173280000001</v>
      </c>
      <c r="AT11" s="277">
        <f t="shared" ref="AT11:AT42" ca="1" si="7">1.35*$Z$17*$M$22*AK11</f>
        <v>-1.1093695200000002</v>
      </c>
      <c r="AU11" s="277">
        <f t="shared" ref="AU11:AU42" ca="1" si="8">1.35*$Z$17*$M$22*AL11</f>
        <v>-1.1093695200000002</v>
      </c>
      <c r="AV11" s="277">
        <f t="shared" ref="AV11:AV42" ca="1" si="9">1.35*$Z$17*$M$22*AM11</f>
        <v>-0.77655866400000007</v>
      </c>
      <c r="AW11" s="277">
        <f t="shared" ref="AW11:AW42" ca="1" si="10">1.35*$Z$17*$M$22*AN11</f>
        <v>-0.77655866400000007</v>
      </c>
      <c r="AX11" s="277">
        <f t="shared" ref="AX11:AX42" ca="1" si="11">1.35*$Z$17*$M$22*AO11</f>
        <v>-0.44374780800000013</v>
      </c>
      <c r="AY11" s="277">
        <f t="shared" ref="AY11:AY42" ca="1" si="12">1.35*$Z$17*$M$22*AP11</f>
        <v>-1.2203064720000003</v>
      </c>
      <c r="AZ11" s="277">
        <f t="shared" ref="AZ11:AZ42" ca="1" si="13">1.35*$Z$17*$M$22*AQ11</f>
        <v>-1.1093695200000002</v>
      </c>
      <c r="BA11" s="277">
        <f t="shared" ref="BA11:BA42" ca="1" si="14">1.35*$Z$17*$M$22*AR11</f>
        <v>-0.99843256800000024</v>
      </c>
      <c r="BB11" s="43"/>
      <c r="BC11" s="277">
        <v>-1.4</v>
      </c>
      <c r="BD11" s="277">
        <v>-1</v>
      </c>
      <c r="BE11" s="277">
        <v>-1</v>
      </c>
      <c r="BF11" s="277">
        <v>-0.7</v>
      </c>
      <c r="BG11" s="277">
        <v>-0.7</v>
      </c>
      <c r="BH11" s="277">
        <v>-0.4</v>
      </c>
      <c r="BI11" s="277">
        <v>-1.1000000000000001</v>
      </c>
      <c r="BJ11" s="277">
        <v>-1</v>
      </c>
      <c r="BK11" s="277">
        <v>-0.9</v>
      </c>
      <c r="BL11" s="277">
        <f t="shared" ref="BL11:BL55" ca="1" si="15">1.35*$Z$17*$M$22*BC11</f>
        <v>-1.5531173280000001</v>
      </c>
      <c r="BM11" s="277">
        <f t="shared" ref="BM11:BM55" ca="1" si="16">1.35*$Z$17*$M$22*BD11</f>
        <v>-1.1093695200000002</v>
      </c>
      <c r="BN11" s="277">
        <f t="shared" ref="BN11:BN55" ca="1" si="17">1.35*$Z$17*$M$22*BE11</f>
        <v>-1.1093695200000002</v>
      </c>
      <c r="BO11" s="277">
        <f t="shared" ref="BO11:BO55" ca="1" si="18">1.35*$Z$17*$M$22*BF11</f>
        <v>-0.77655866400000007</v>
      </c>
      <c r="BP11" s="277">
        <f t="shared" ref="BP11:BP55" ca="1" si="19">1.35*$Z$17*$M$22*BG11</f>
        <v>-0.77655866400000007</v>
      </c>
      <c r="BQ11" s="277">
        <f t="shared" ref="BQ11:BQ55" ca="1" si="20">1.35*$Z$17*$M$22*BH11</f>
        <v>-0.44374780800000013</v>
      </c>
      <c r="BR11" s="277">
        <f t="shared" ref="BR11:BR55" ca="1" si="21">1.35*$Z$17*$M$22*BI11</f>
        <v>-1.2203064720000003</v>
      </c>
      <c r="BS11" s="277">
        <f t="shared" ref="BS11:BS55" ca="1" si="22">1.35*$Z$17*$M$22*BJ11</f>
        <v>-1.1093695200000002</v>
      </c>
      <c r="BT11" s="277">
        <f t="shared" ref="BT11:BT55" ca="1" si="23">1.35*$Z$17*$M$22*BK11</f>
        <v>-0.99843256800000024</v>
      </c>
      <c r="BU11" s="43"/>
    </row>
    <row r="12" spans="1:73" ht="17.100000000000001" customHeight="1">
      <c r="A12" s="13"/>
      <c r="B12" s="119"/>
      <c r="C12" s="714" t="s">
        <v>347</v>
      </c>
      <c r="D12" s="715"/>
      <c r="E12" s="715"/>
      <c r="F12" s="715"/>
      <c r="G12" s="715"/>
      <c r="H12" s="715"/>
      <c r="I12" s="715"/>
      <c r="J12" s="715"/>
      <c r="K12" s="715"/>
      <c r="L12" s="715"/>
      <c r="M12" s="688">
        <v>1.35</v>
      </c>
      <c r="N12" s="689"/>
      <c r="O12" s="23"/>
      <c r="P12" s="23"/>
      <c r="Q12" s="23"/>
      <c r="R12" s="23"/>
      <c r="S12" s="23"/>
      <c r="T12" s="23"/>
      <c r="U12" s="23"/>
      <c r="V12" s="23"/>
      <c r="W12" s="23"/>
      <c r="X12" s="23"/>
      <c r="Y12" s="23"/>
      <c r="Z12" s="23"/>
      <c r="AA12" s="23"/>
      <c r="AB12" s="120"/>
      <c r="AC12" s="13"/>
      <c r="AD12" s="13" t="s">
        <v>555</v>
      </c>
      <c r="AE12" s="399">
        <f>M13</f>
        <v>80</v>
      </c>
      <c r="AF12" s="199" t="s">
        <v>559</v>
      </c>
      <c r="AG12" s="43"/>
      <c r="AH12" s="45">
        <v>-44</v>
      </c>
      <c r="AI12" s="45" t="b">
        <f t="shared" si="5"/>
        <v>0</v>
      </c>
      <c r="AJ12" s="98">
        <f>-0.9/15+AJ11</f>
        <v>-1.46</v>
      </c>
      <c r="AK12" s="98">
        <f>-0.2/15+AK11</f>
        <v>-1.0133333333333334</v>
      </c>
      <c r="AL12" s="98">
        <f>0+AL11</f>
        <v>-1</v>
      </c>
      <c r="AM12" s="98">
        <f>0+AM11</f>
        <v>-0.7</v>
      </c>
      <c r="AN12" s="98">
        <f>-0.5/15+AN11</f>
        <v>-0.73333333333333328</v>
      </c>
      <c r="AO12" s="98">
        <f>-0.4/15+AO11</f>
        <v>-0.42666666666666669</v>
      </c>
      <c r="AP12" s="98">
        <f>0.1/15+AP11</f>
        <v>-1.0933333333333335</v>
      </c>
      <c r="AQ12" s="98">
        <f>0+AQ11</f>
        <v>-1</v>
      </c>
      <c r="AR12" s="98">
        <f>0.1/15+AR11</f>
        <v>-0.89333333333333331</v>
      </c>
      <c r="AS12" s="277">
        <f t="shared" ca="1" si="6"/>
        <v>-1.6196794992000003</v>
      </c>
      <c r="AT12" s="277">
        <f t="shared" ca="1" si="7"/>
        <v>-1.1241611136000003</v>
      </c>
      <c r="AU12" s="277">
        <f t="shared" ca="1" si="8"/>
        <v>-1.1093695200000002</v>
      </c>
      <c r="AV12" s="277">
        <f t="shared" ca="1" si="9"/>
        <v>-0.77655866400000007</v>
      </c>
      <c r="AW12" s="277">
        <f t="shared" ca="1" si="10"/>
        <v>-0.81353764800000006</v>
      </c>
      <c r="AX12" s="277">
        <f t="shared" ca="1" si="11"/>
        <v>-0.4733309952000001</v>
      </c>
      <c r="AY12" s="277">
        <f t="shared" ca="1" si="12"/>
        <v>-1.2129106752000005</v>
      </c>
      <c r="AZ12" s="277">
        <f t="shared" ca="1" si="13"/>
        <v>-1.1093695200000002</v>
      </c>
      <c r="BA12" s="277">
        <f t="shared" ca="1" si="14"/>
        <v>-0.99103677120000022</v>
      </c>
      <c r="BB12" s="43"/>
      <c r="BC12" s="98">
        <f>-0.9/15+BC11</f>
        <v>-1.46</v>
      </c>
      <c r="BD12" s="98">
        <f>-0.2/15+BD11</f>
        <v>-1.0133333333333334</v>
      </c>
      <c r="BE12" s="98">
        <f>0+BE11</f>
        <v>-1</v>
      </c>
      <c r="BF12" s="98">
        <f>0+BF11</f>
        <v>-0.7</v>
      </c>
      <c r="BG12" s="98">
        <f>-0.5/15+BG11</f>
        <v>-0.73333333333333328</v>
      </c>
      <c r="BH12" s="98">
        <f>-0.4/15+BH11</f>
        <v>-0.42666666666666669</v>
      </c>
      <c r="BI12" s="98">
        <f>0.1/15+BI11</f>
        <v>-1.0933333333333335</v>
      </c>
      <c r="BJ12" s="98">
        <f>0+BJ11</f>
        <v>-1</v>
      </c>
      <c r="BK12" s="98">
        <f>0.1/15+BK11</f>
        <v>-0.89333333333333331</v>
      </c>
      <c r="BL12" s="277">
        <f t="shared" ca="1" si="15"/>
        <v>-1.6196794992000003</v>
      </c>
      <c r="BM12" s="277">
        <f t="shared" ca="1" si="16"/>
        <v>-1.1241611136000003</v>
      </c>
      <c r="BN12" s="277">
        <f t="shared" ca="1" si="17"/>
        <v>-1.1093695200000002</v>
      </c>
      <c r="BO12" s="277">
        <f t="shared" ca="1" si="18"/>
        <v>-0.77655866400000007</v>
      </c>
      <c r="BP12" s="277">
        <f t="shared" ca="1" si="19"/>
        <v>-0.81353764800000006</v>
      </c>
      <c r="BQ12" s="277">
        <f t="shared" ca="1" si="20"/>
        <v>-0.4733309952000001</v>
      </c>
      <c r="BR12" s="277">
        <f t="shared" ca="1" si="21"/>
        <v>-1.2129106752000005</v>
      </c>
      <c r="BS12" s="277">
        <f t="shared" ca="1" si="22"/>
        <v>-1.1093695200000002</v>
      </c>
      <c r="BT12" s="277">
        <f t="shared" ca="1" si="23"/>
        <v>-0.99103677120000022</v>
      </c>
      <c r="BU12" s="43"/>
    </row>
    <row r="13" spans="1:73" ht="17.100000000000001" customHeight="1">
      <c r="A13" s="13"/>
      <c r="B13" s="119"/>
      <c r="C13" s="714" t="s">
        <v>409</v>
      </c>
      <c r="D13" s="715"/>
      <c r="E13" s="715"/>
      <c r="F13" s="715"/>
      <c r="G13" s="715"/>
      <c r="H13" s="715"/>
      <c r="I13" s="715"/>
      <c r="J13" s="715"/>
      <c r="K13" s="715"/>
      <c r="L13" s="715"/>
      <c r="M13" s="653">
        <v>80</v>
      </c>
      <c r="N13" s="654"/>
      <c r="O13" s="23"/>
      <c r="P13" s="427"/>
      <c r="Q13" s="574" t="s">
        <v>363</v>
      </c>
      <c r="R13" s="574"/>
      <c r="S13" s="574"/>
      <c r="T13" s="574"/>
      <c r="U13" s="574"/>
      <c r="V13" s="574"/>
      <c r="W13" s="574"/>
      <c r="X13" s="574"/>
      <c r="Y13" s="574"/>
      <c r="Z13" s="574"/>
      <c r="AA13" s="195" t="s">
        <v>288</v>
      </c>
      <c r="AB13" s="120"/>
      <c r="AC13" s="13"/>
      <c r="AD13" s="13" t="s">
        <v>540</v>
      </c>
      <c r="AE13" s="399">
        <f>M14</f>
        <v>50</v>
      </c>
      <c r="AF13" s="199" t="s">
        <v>560</v>
      </c>
      <c r="AG13" s="43"/>
      <c r="AH13" s="45">
        <v>-43</v>
      </c>
      <c r="AI13" s="45" t="b">
        <f t="shared" si="5"/>
        <v>0</v>
      </c>
      <c r="AJ13" s="98">
        <f t="shared" ref="AJ13:AJ25" si="24">-0.9/15+AJ12</f>
        <v>-1.52</v>
      </c>
      <c r="AK13" s="98">
        <f t="shared" ref="AK13:AK25" si="25">-0.2/15+AK12</f>
        <v>-1.0266666666666668</v>
      </c>
      <c r="AL13" s="98">
        <f t="shared" ref="AL13:AL25" si="26">0+AL12</f>
        <v>-1</v>
      </c>
      <c r="AM13" s="98">
        <f t="shared" ref="AM13:AM25" si="27">0+AM12</f>
        <v>-0.7</v>
      </c>
      <c r="AN13" s="98">
        <f t="shared" ref="AN13:AN25" si="28">-0.5/15+AN12</f>
        <v>-0.76666666666666661</v>
      </c>
      <c r="AO13" s="98">
        <f t="shared" ref="AO13:AO25" si="29">-0.4/15+AO12</f>
        <v>-0.45333333333333337</v>
      </c>
      <c r="AP13" s="98">
        <f t="shared" ref="AP13:AP25" si="30">0.1/15+AP12</f>
        <v>-1.0866666666666669</v>
      </c>
      <c r="AQ13" s="98">
        <f t="shared" ref="AQ13:AQ25" si="31">0+AQ12</f>
        <v>-1</v>
      </c>
      <c r="AR13" s="98">
        <f t="shared" ref="AR13:AR25" si="32">0.1/15+AR12</f>
        <v>-0.8866666666666666</v>
      </c>
      <c r="AS13" s="277">
        <f t="shared" ca="1" si="6"/>
        <v>-1.6862416704000003</v>
      </c>
      <c r="AT13" s="277">
        <f t="shared" ca="1" si="7"/>
        <v>-1.1389527072000005</v>
      </c>
      <c r="AU13" s="277">
        <f t="shared" ca="1" si="8"/>
        <v>-1.1093695200000002</v>
      </c>
      <c r="AV13" s="277">
        <f t="shared" ca="1" si="9"/>
        <v>-0.77655866400000007</v>
      </c>
      <c r="AW13" s="277">
        <f t="shared" ca="1" si="10"/>
        <v>-0.85051663200000005</v>
      </c>
      <c r="AX13" s="277">
        <f t="shared" ca="1" si="11"/>
        <v>-0.50291418240000019</v>
      </c>
      <c r="AY13" s="277">
        <f t="shared" ca="1" si="12"/>
        <v>-1.2055148784000005</v>
      </c>
      <c r="AZ13" s="277">
        <f t="shared" ca="1" si="13"/>
        <v>-1.1093695200000002</v>
      </c>
      <c r="BA13" s="277">
        <f t="shared" ca="1" si="14"/>
        <v>-0.98364097440000009</v>
      </c>
      <c r="BB13" s="43"/>
      <c r="BC13" s="98">
        <f t="shared" ref="BC13:BC25" si="33">-0.9/15+BC12</f>
        <v>-1.52</v>
      </c>
      <c r="BD13" s="98">
        <f t="shared" ref="BD13:BD25" si="34">-0.2/15+BD12</f>
        <v>-1.0266666666666668</v>
      </c>
      <c r="BE13" s="98">
        <f t="shared" ref="BE13:BF25" si="35">0+BE12</f>
        <v>-1</v>
      </c>
      <c r="BF13" s="98">
        <f t="shared" si="35"/>
        <v>-0.7</v>
      </c>
      <c r="BG13" s="98">
        <f t="shared" ref="BG13:BG25" si="36">-0.5/15+BG12</f>
        <v>-0.76666666666666661</v>
      </c>
      <c r="BH13" s="98">
        <f t="shared" ref="BH13:BH25" si="37">-0.4/15+BH12</f>
        <v>-0.45333333333333337</v>
      </c>
      <c r="BI13" s="98">
        <f t="shared" ref="BI13:BI25" si="38">0.1/15+BI12</f>
        <v>-1.0866666666666669</v>
      </c>
      <c r="BJ13" s="98">
        <f t="shared" ref="BJ13:BJ25" si="39">0+BJ12</f>
        <v>-1</v>
      </c>
      <c r="BK13" s="98">
        <f t="shared" ref="BK13:BK25" si="40">0.1/15+BK12</f>
        <v>-0.8866666666666666</v>
      </c>
      <c r="BL13" s="277">
        <f t="shared" ca="1" si="15"/>
        <v>-1.6862416704000003</v>
      </c>
      <c r="BM13" s="277">
        <f t="shared" ca="1" si="16"/>
        <v>-1.1389527072000005</v>
      </c>
      <c r="BN13" s="277">
        <f t="shared" ca="1" si="17"/>
        <v>-1.1093695200000002</v>
      </c>
      <c r="BO13" s="277">
        <f t="shared" ca="1" si="18"/>
        <v>-0.77655866400000007</v>
      </c>
      <c r="BP13" s="277">
        <f t="shared" ca="1" si="19"/>
        <v>-0.85051663200000005</v>
      </c>
      <c r="BQ13" s="277">
        <f t="shared" ca="1" si="20"/>
        <v>-0.50291418240000019</v>
      </c>
      <c r="BR13" s="277">
        <f t="shared" ca="1" si="21"/>
        <v>-1.2055148784000005</v>
      </c>
      <c r="BS13" s="277">
        <f t="shared" ca="1" si="22"/>
        <v>-1.1093695200000002</v>
      </c>
      <c r="BT13" s="277">
        <f t="shared" ca="1" si="23"/>
        <v>-0.98364097440000009</v>
      </c>
      <c r="BU13" s="43"/>
    </row>
    <row r="14" spans="1:73" ht="17.100000000000001" customHeight="1">
      <c r="A14" s="13"/>
      <c r="B14" s="119"/>
      <c r="C14" s="714" t="s">
        <v>410</v>
      </c>
      <c r="D14" s="715"/>
      <c r="E14" s="715"/>
      <c r="F14" s="715"/>
      <c r="G14" s="715"/>
      <c r="H14" s="715"/>
      <c r="I14" s="715"/>
      <c r="J14" s="715"/>
      <c r="K14" s="715"/>
      <c r="L14" s="715"/>
      <c r="M14" s="653">
        <v>50</v>
      </c>
      <c r="N14" s="654"/>
      <c r="O14" s="23"/>
      <c r="P14" s="716" t="s">
        <v>360</v>
      </c>
      <c r="Q14" s="717"/>
      <c r="R14" s="717"/>
      <c r="S14" s="717"/>
      <c r="T14" s="717"/>
      <c r="U14" s="717"/>
      <c r="V14" s="717"/>
      <c r="W14" s="717"/>
      <c r="X14" s="717"/>
      <c r="Y14" s="717"/>
      <c r="Z14" s="653">
        <v>0.2</v>
      </c>
      <c r="AA14" s="654"/>
      <c r="AB14" s="120"/>
      <c r="AC14" s="13"/>
      <c r="AD14" s="13" t="s">
        <v>539</v>
      </c>
      <c r="AE14" s="399">
        <f>82</f>
        <v>82</v>
      </c>
      <c r="AF14" s="199">
        <v>82</v>
      </c>
      <c r="AG14" s="43"/>
      <c r="AH14" s="45">
        <v>-42</v>
      </c>
      <c r="AI14" s="45" t="b">
        <f t="shared" si="5"/>
        <v>0</v>
      </c>
      <c r="AJ14" s="98">
        <f t="shared" si="24"/>
        <v>-1.58</v>
      </c>
      <c r="AK14" s="98">
        <f t="shared" si="25"/>
        <v>-1.0400000000000003</v>
      </c>
      <c r="AL14" s="98">
        <f t="shared" si="26"/>
        <v>-1</v>
      </c>
      <c r="AM14" s="98">
        <f t="shared" si="27"/>
        <v>-0.7</v>
      </c>
      <c r="AN14" s="98">
        <f t="shared" si="28"/>
        <v>-0.79999999999999993</v>
      </c>
      <c r="AO14" s="98">
        <f t="shared" si="29"/>
        <v>-0.48000000000000004</v>
      </c>
      <c r="AP14" s="98">
        <f t="shared" si="30"/>
        <v>-1.0800000000000003</v>
      </c>
      <c r="AQ14" s="98">
        <f t="shared" si="31"/>
        <v>-1</v>
      </c>
      <c r="AR14" s="98">
        <f t="shared" si="32"/>
        <v>-0.87999999999999989</v>
      </c>
      <c r="AS14" s="277">
        <f t="shared" ca="1" si="6"/>
        <v>-1.7528038416000005</v>
      </c>
      <c r="AT14" s="277">
        <f t="shared" ca="1" si="7"/>
        <v>-1.1537443008000006</v>
      </c>
      <c r="AU14" s="277">
        <f t="shared" ca="1" si="8"/>
        <v>-1.1093695200000002</v>
      </c>
      <c r="AV14" s="277">
        <f t="shared" ca="1" si="9"/>
        <v>-0.77655866400000007</v>
      </c>
      <c r="AW14" s="277">
        <f t="shared" ca="1" si="10"/>
        <v>-0.88749561600000015</v>
      </c>
      <c r="AX14" s="277">
        <f t="shared" ca="1" si="11"/>
        <v>-0.53249736960000016</v>
      </c>
      <c r="AY14" s="277">
        <f t="shared" ca="1" si="12"/>
        <v>-1.1981190816000005</v>
      </c>
      <c r="AZ14" s="277">
        <f t="shared" ca="1" si="13"/>
        <v>-1.1093695200000002</v>
      </c>
      <c r="BA14" s="277">
        <f t="shared" ca="1" si="14"/>
        <v>-0.97624517760000007</v>
      </c>
      <c r="BB14" s="43"/>
      <c r="BC14" s="98">
        <f t="shared" si="33"/>
        <v>-1.58</v>
      </c>
      <c r="BD14" s="98">
        <f t="shared" si="34"/>
        <v>-1.0400000000000003</v>
      </c>
      <c r="BE14" s="98">
        <f t="shared" si="35"/>
        <v>-1</v>
      </c>
      <c r="BF14" s="98">
        <f t="shared" si="35"/>
        <v>-0.7</v>
      </c>
      <c r="BG14" s="98">
        <f t="shared" si="36"/>
        <v>-0.79999999999999993</v>
      </c>
      <c r="BH14" s="98">
        <f t="shared" si="37"/>
        <v>-0.48000000000000004</v>
      </c>
      <c r="BI14" s="98">
        <f t="shared" si="38"/>
        <v>-1.0800000000000003</v>
      </c>
      <c r="BJ14" s="98">
        <f t="shared" si="39"/>
        <v>-1</v>
      </c>
      <c r="BK14" s="98">
        <f t="shared" si="40"/>
        <v>-0.87999999999999989</v>
      </c>
      <c r="BL14" s="277">
        <f t="shared" ca="1" si="15"/>
        <v>-1.7528038416000005</v>
      </c>
      <c r="BM14" s="277">
        <f t="shared" ca="1" si="16"/>
        <v>-1.1537443008000006</v>
      </c>
      <c r="BN14" s="277">
        <f t="shared" ca="1" si="17"/>
        <v>-1.1093695200000002</v>
      </c>
      <c r="BO14" s="277">
        <f t="shared" ca="1" si="18"/>
        <v>-0.77655866400000007</v>
      </c>
      <c r="BP14" s="277">
        <f t="shared" ca="1" si="19"/>
        <v>-0.88749561600000015</v>
      </c>
      <c r="BQ14" s="277">
        <f t="shared" ca="1" si="20"/>
        <v>-0.53249736960000016</v>
      </c>
      <c r="BR14" s="277">
        <f t="shared" ca="1" si="21"/>
        <v>-1.1981190816000005</v>
      </c>
      <c r="BS14" s="277">
        <f t="shared" ca="1" si="22"/>
        <v>-1.1093695200000002</v>
      </c>
      <c r="BT14" s="277">
        <f t="shared" ca="1" si="23"/>
        <v>-0.97624517760000007</v>
      </c>
      <c r="BU14" s="43"/>
    </row>
    <row r="15" spans="1:73" ht="17.100000000000001" customHeight="1">
      <c r="A15" s="13"/>
      <c r="B15" s="119"/>
      <c r="C15" s="714" t="s">
        <v>407</v>
      </c>
      <c r="D15" s="715"/>
      <c r="E15" s="715"/>
      <c r="F15" s="715"/>
      <c r="G15" s="715"/>
      <c r="H15" s="715"/>
      <c r="I15" s="715"/>
      <c r="J15" s="715"/>
      <c r="K15" s="715"/>
      <c r="L15" s="715"/>
      <c r="M15" s="688">
        <v>81.8</v>
      </c>
      <c r="N15" s="689"/>
      <c r="O15" s="23"/>
      <c r="P15" s="714" t="s">
        <v>359</v>
      </c>
      <c r="Q15" s="715"/>
      <c r="R15" s="715"/>
      <c r="S15" s="715"/>
      <c r="T15" s="715"/>
      <c r="U15" s="715"/>
      <c r="V15" s="715"/>
      <c r="W15" s="715"/>
      <c r="X15" s="715"/>
      <c r="Y15" s="715"/>
      <c r="Z15" s="653">
        <v>-0.3</v>
      </c>
      <c r="AA15" s="654"/>
      <c r="AB15" s="120"/>
      <c r="AC15" s="13"/>
      <c r="AD15" s="13" t="s">
        <v>538</v>
      </c>
      <c r="AE15" s="399">
        <f>M16</f>
        <v>70</v>
      </c>
      <c r="AF15" s="199" t="s">
        <v>562</v>
      </c>
      <c r="AG15" s="43"/>
      <c r="AH15" s="45">
        <v>-41</v>
      </c>
      <c r="AI15" s="45" t="b">
        <f t="shared" si="5"/>
        <v>0</v>
      </c>
      <c r="AJ15" s="98">
        <f t="shared" si="24"/>
        <v>-1.6400000000000001</v>
      </c>
      <c r="AK15" s="98">
        <f t="shared" si="25"/>
        <v>-1.0533333333333337</v>
      </c>
      <c r="AL15" s="98">
        <f t="shared" si="26"/>
        <v>-1</v>
      </c>
      <c r="AM15" s="98">
        <f t="shared" si="27"/>
        <v>-0.7</v>
      </c>
      <c r="AN15" s="98">
        <f t="shared" si="28"/>
        <v>-0.83333333333333326</v>
      </c>
      <c r="AO15" s="98">
        <f t="shared" si="29"/>
        <v>-0.50666666666666671</v>
      </c>
      <c r="AP15" s="98">
        <f t="shared" si="30"/>
        <v>-1.0733333333333337</v>
      </c>
      <c r="AQ15" s="98">
        <f t="shared" si="31"/>
        <v>-1</v>
      </c>
      <c r="AR15" s="98">
        <f t="shared" si="32"/>
        <v>-0.87333333333333318</v>
      </c>
      <c r="AS15" s="277">
        <f t="shared" ca="1" si="6"/>
        <v>-1.8193660128000004</v>
      </c>
      <c r="AT15" s="277">
        <f t="shared" ca="1" si="7"/>
        <v>-1.1685358944000006</v>
      </c>
      <c r="AU15" s="277">
        <f t="shared" ca="1" si="8"/>
        <v>-1.1093695200000002</v>
      </c>
      <c r="AV15" s="277">
        <f t="shared" ca="1" si="9"/>
        <v>-0.77655866400000007</v>
      </c>
      <c r="AW15" s="277">
        <f t="shared" ca="1" si="10"/>
        <v>-0.92447460000000015</v>
      </c>
      <c r="AX15" s="277">
        <f t="shared" ca="1" si="11"/>
        <v>-0.56208055680000013</v>
      </c>
      <c r="AY15" s="277">
        <f t="shared" ca="1" si="12"/>
        <v>-1.1907232848000007</v>
      </c>
      <c r="AZ15" s="277">
        <f t="shared" ca="1" si="13"/>
        <v>-1.1093695200000002</v>
      </c>
      <c r="BA15" s="277">
        <f t="shared" ca="1" si="14"/>
        <v>-0.96884938080000005</v>
      </c>
      <c r="BB15" s="43"/>
      <c r="BC15" s="98">
        <f t="shared" si="33"/>
        <v>-1.6400000000000001</v>
      </c>
      <c r="BD15" s="98">
        <f t="shared" si="34"/>
        <v>-1.0533333333333337</v>
      </c>
      <c r="BE15" s="98">
        <f t="shared" si="35"/>
        <v>-1</v>
      </c>
      <c r="BF15" s="98">
        <f t="shared" si="35"/>
        <v>-0.7</v>
      </c>
      <c r="BG15" s="98">
        <f t="shared" si="36"/>
        <v>-0.83333333333333326</v>
      </c>
      <c r="BH15" s="98">
        <f t="shared" si="37"/>
        <v>-0.50666666666666671</v>
      </c>
      <c r="BI15" s="98">
        <f t="shared" si="38"/>
        <v>-1.0733333333333337</v>
      </c>
      <c r="BJ15" s="98">
        <f t="shared" si="39"/>
        <v>-1</v>
      </c>
      <c r="BK15" s="98">
        <f t="shared" si="40"/>
        <v>-0.87333333333333318</v>
      </c>
      <c r="BL15" s="277">
        <f t="shared" ca="1" si="15"/>
        <v>-1.8193660128000004</v>
      </c>
      <c r="BM15" s="277">
        <f t="shared" ca="1" si="16"/>
        <v>-1.1685358944000006</v>
      </c>
      <c r="BN15" s="277">
        <f t="shared" ca="1" si="17"/>
        <v>-1.1093695200000002</v>
      </c>
      <c r="BO15" s="277">
        <f t="shared" ca="1" si="18"/>
        <v>-0.77655866400000007</v>
      </c>
      <c r="BP15" s="277">
        <f t="shared" ca="1" si="19"/>
        <v>-0.92447460000000015</v>
      </c>
      <c r="BQ15" s="277">
        <f t="shared" ca="1" si="20"/>
        <v>-0.56208055680000013</v>
      </c>
      <c r="BR15" s="277">
        <f t="shared" ca="1" si="21"/>
        <v>-1.1907232848000007</v>
      </c>
      <c r="BS15" s="277">
        <f t="shared" ca="1" si="22"/>
        <v>-1.1093695200000002</v>
      </c>
      <c r="BT15" s="277">
        <f t="shared" ca="1" si="23"/>
        <v>-0.96884938080000005</v>
      </c>
      <c r="BU15" s="43"/>
    </row>
    <row r="16" spans="1:73" ht="17.100000000000001" customHeight="1">
      <c r="A16" s="13"/>
      <c r="B16" s="119"/>
      <c r="C16" s="714" t="s">
        <v>431</v>
      </c>
      <c r="D16" s="715"/>
      <c r="E16" s="715"/>
      <c r="F16" s="715"/>
      <c r="G16" s="715"/>
      <c r="H16" s="715"/>
      <c r="I16" s="715"/>
      <c r="J16" s="715"/>
      <c r="K16" s="715"/>
      <c r="L16" s="715"/>
      <c r="M16" s="653">
        <v>70</v>
      </c>
      <c r="N16" s="654"/>
      <c r="O16" s="23"/>
      <c r="P16" s="714" t="s">
        <v>361</v>
      </c>
      <c r="Q16" s="715"/>
      <c r="R16" s="715"/>
      <c r="S16" s="715"/>
      <c r="T16" s="715"/>
      <c r="U16" s="715"/>
      <c r="V16" s="715"/>
      <c r="W16" s="715"/>
      <c r="X16" s="715"/>
      <c r="Y16" s="715"/>
      <c r="Z16" s="550" t="str">
        <f>input!Z24</f>
        <v>C</v>
      </c>
      <c r="AA16" s="551"/>
      <c r="AB16" s="120"/>
      <c r="AC16" s="13"/>
      <c r="AD16" s="13" t="s">
        <v>582</v>
      </c>
      <c r="AE16" s="398" t="str">
        <f>Y9</f>
        <v>town</v>
      </c>
      <c r="AF16" s="199" t="s">
        <v>563</v>
      </c>
      <c r="AG16" s="43"/>
      <c r="AH16" s="45">
        <v>-40</v>
      </c>
      <c r="AI16" s="45" t="b">
        <f t="shared" si="5"/>
        <v>0</v>
      </c>
      <c r="AJ16" s="98">
        <f t="shared" si="24"/>
        <v>-1.7000000000000002</v>
      </c>
      <c r="AK16" s="98">
        <f t="shared" si="25"/>
        <v>-1.0666666666666671</v>
      </c>
      <c r="AL16" s="98">
        <f t="shared" si="26"/>
        <v>-1</v>
      </c>
      <c r="AM16" s="98">
        <f t="shared" si="27"/>
        <v>-0.7</v>
      </c>
      <c r="AN16" s="98">
        <f t="shared" si="28"/>
        <v>-0.86666666666666659</v>
      </c>
      <c r="AO16" s="98">
        <f t="shared" si="29"/>
        <v>-0.53333333333333333</v>
      </c>
      <c r="AP16" s="98">
        <f t="shared" si="30"/>
        <v>-1.0666666666666671</v>
      </c>
      <c r="AQ16" s="98">
        <f t="shared" si="31"/>
        <v>-1</v>
      </c>
      <c r="AR16" s="98">
        <f t="shared" si="32"/>
        <v>-0.86666666666666647</v>
      </c>
      <c r="AS16" s="277">
        <f t="shared" ca="1" si="6"/>
        <v>-1.8859281840000006</v>
      </c>
      <c r="AT16" s="277">
        <f t="shared" ca="1" si="7"/>
        <v>-1.1833274880000006</v>
      </c>
      <c r="AU16" s="277">
        <f t="shared" ca="1" si="8"/>
        <v>-1.1093695200000002</v>
      </c>
      <c r="AV16" s="277">
        <f t="shared" ca="1" si="9"/>
        <v>-0.77655866400000007</v>
      </c>
      <c r="AW16" s="277">
        <f t="shared" ca="1" si="10"/>
        <v>-0.96145358400000014</v>
      </c>
      <c r="AX16" s="277">
        <f t="shared" ca="1" si="11"/>
        <v>-0.5916637440000001</v>
      </c>
      <c r="AY16" s="277">
        <f t="shared" ca="1" si="12"/>
        <v>-1.1833274880000006</v>
      </c>
      <c r="AZ16" s="277">
        <f t="shared" ca="1" si="13"/>
        <v>-1.1093695200000002</v>
      </c>
      <c r="BA16" s="277">
        <f t="shared" ca="1" si="14"/>
        <v>-0.96145358400000003</v>
      </c>
      <c r="BB16" s="43"/>
      <c r="BC16" s="98">
        <f t="shared" si="33"/>
        <v>-1.7000000000000002</v>
      </c>
      <c r="BD16" s="98">
        <f t="shared" si="34"/>
        <v>-1.0666666666666671</v>
      </c>
      <c r="BE16" s="98">
        <f t="shared" si="35"/>
        <v>-1</v>
      </c>
      <c r="BF16" s="98">
        <f t="shared" si="35"/>
        <v>-0.7</v>
      </c>
      <c r="BG16" s="98">
        <f t="shared" si="36"/>
        <v>-0.86666666666666659</v>
      </c>
      <c r="BH16" s="98">
        <f t="shared" si="37"/>
        <v>-0.53333333333333333</v>
      </c>
      <c r="BI16" s="98">
        <f t="shared" si="38"/>
        <v>-1.0666666666666671</v>
      </c>
      <c r="BJ16" s="98">
        <f t="shared" si="39"/>
        <v>-1</v>
      </c>
      <c r="BK16" s="98">
        <f t="shared" si="40"/>
        <v>-0.86666666666666647</v>
      </c>
      <c r="BL16" s="277">
        <f t="shared" ca="1" si="15"/>
        <v>-1.8859281840000006</v>
      </c>
      <c r="BM16" s="277">
        <f t="shared" ca="1" si="16"/>
        <v>-1.1833274880000006</v>
      </c>
      <c r="BN16" s="277">
        <f t="shared" ca="1" si="17"/>
        <v>-1.1093695200000002</v>
      </c>
      <c r="BO16" s="277">
        <f t="shared" ca="1" si="18"/>
        <v>-0.77655866400000007</v>
      </c>
      <c r="BP16" s="277">
        <f t="shared" ca="1" si="19"/>
        <v>-0.96145358400000014</v>
      </c>
      <c r="BQ16" s="277">
        <f t="shared" ca="1" si="20"/>
        <v>-0.5916637440000001</v>
      </c>
      <c r="BR16" s="277">
        <f t="shared" ca="1" si="21"/>
        <v>-1.1833274880000006</v>
      </c>
      <c r="BS16" s="277">
        <f t="shared" ca="1" si="22"/>
        <v>-1.1093695200000002</v>
      </c>
      <c r="BT16" s="277">
        <f t="shared" ca="1" si="23"/>
        <v>-0.96145358400000003</v>
      </c>
      <c r="BU16" s="43"/>
    </row>
    <row r="17" spans="1:73" ht="17.100000000000001" customHeight="1">
      <c r="A17" s="13"/>
      <c r="B17" s="119"/>
      <c r="C17" s="714" t="s">
        <v>528</v>
      </c>
      <c r="D17" s="715"/>
      <c r="E17" s="715"/>
      <c r="F17" s="715"/>
      <c r="G17" s="715"/>
      <c r="H17" s="715"/>
      <c r="I17" s="715"/>
      <c r="J17" s="715"/>
      <c r="K17" s="715"/>
      <c r="L17" s="715"/>
      <c r="M17" s="653">
        <v>20</v>
      </c>
      <c r="N17" s="654"/>
      <c r="O17" s="23"/>
      <c r="P17" s="714" t="s">
        <v>362</v>
      </c>
      <c r="Q17" s="715"/>
      <c r="R17" s="715"/>
      <c r="S17" s="715"/>
      <c r="T17" s="715"/>
      <c r="U17" s="715"/>
      <c r="V17" s="715"/>
      <c r="W17" s="715"/>
      <c r="X17" s="715"/>
      <c r="Y17" s="715"/>
      <c r="Z17" s="550">
        <f ca="1">+input!Z25</f>
        <v>0.79320000000000002</v>
      </c>
      <c r="AA17" s="551"/>
      <c r="AB17" s="120"/>
      <c r="AC17" s="13"/>
      <c r="AD17" s="13" t="s">
        <v>541</v>
      </c>
      <c r="AE17" s="399">
        <f>Z10</f>
        <v>15</v>
      </c>
      <c r="AF17" s="199" t="s">
        <v>564</v>
      </c>
      <c r="AG17" s="43"/>
      <c r="AH17" s="45">
        <v>-39</v>
      </c>
      <c r="AI17" s="45" t="b">
        <f t="shared" si="5"/>
        <v>0</v>
      </c>
      <c r="AJ17" s="98">
        <f t="shared" si="24"/>
        <v>-1.7600000000000002</v>
      </c>
      <c r="AK17" s="98">
        <f t="shared" si="25"/>
        <v>-1.0800000000000005</v>
      </c>
      <c r="AL17" s="98">
        <f t="shared" si="26"/>
        <v>-1</v>
      </c>
      <c r="AM17" s="98">
        <f t="shared" si="27"/>
        <v>-0.7</v>
      </c>
      <c r="AN17" s="98">
        <f t="shared" si="28"/>
        <v>-0.89999999999999991</v>
      </c>
      <c r="AO17" s="98">
        <f t="shared" si="29"/>
        <v>-0.55999999999999994</v>
      </c>
      <c r="AP17" s="98">
        <f t="shared" si="30"/>
        <v>-1.0600000000000005</v>
      </c>
      <c r="AQ17" s="98">
        <f t="shared" si="31"/>
        <v>-1</v>
      </c>
      <c r="AR17" s="98">
        <f t="shared" si="32"/>
        <v>-0.85999999999999976</v>
      </c>
      <c r="AS17" s="277">
        <f t="shared" ca="1" si="6"/>
        <v>-1.9524903552000006</v>
      </c>
      <c r="AT17" s="277">
        <f t="shared" ca="1" si="7"/>
        <v>-1.1981190816000009</v>
      </c>
      <c r="AU17" s="277">
        <f t="shared" ca="1" si="8"/>
        <v>-1.1093695200000002</v>
      </c>
      <c r="AV17" s="277">
        <f t="shared" ca="1" si="9"/>
        <v>-0.77655866400000007</v>
      </c>
      <c r="AW17" s="277">
        <f t="shared" ca="1" si="10"/>
        <v>-0.99843256800000013</v>
      </c>
      <c r="AX17" s="277">
        <f t="shared" ca="1" si="11"/>
        <v>-0.62124693120000007</v>
      </c>
      <c r="AY17" s="277">
        <f t="shared" ca="1" si="12"/>
        <v>-1.1759316912000009</v>
      </c>
      <c r="AZ17" s="277">
        <f t="shared" ca="1" si="13"/>
        <v>-1.1093695200000002</v>
      </c>
      <c r="BA17" s="277">
        <f t="shared" ca="1" si="14"/>
        <v>-0.9540577871999999</v>
      </c>
      <c r="BB17" s="43"/>
      <c r="BC17" s="98">
        <f t="shared" si="33"/>
        <v>-1.7600000000000002</v>
      </c>
      <c r="BD17" s="98">
        <f t="shared" si="34"/>
        <v>-1.0800000000000005</v>
      </c>
      <c r="BE17" s="98">
        <f t="shared" si="35"/>
        <v>-1</v>
      </c>
      <c r="BF17" s="98">
        <f t="shared" si="35"/>
        <v>-0.7</v>
      </c>
      <c r="BG17" s="98">
        <f t="shared" si="36"/>
        <v>-0.89999999999999991</v>
      </c>
      <c r="BH17" s="98">
        <f t="shared" si="37"/>
        <v>-0.55999999999999994</v>
      </c>
      <c r="BI17" s="98">
        <f t="shared" si="38"/>
        <v>-1.0600000000000005</v>
      </c>
      <c r="BJ17" s="98">
        <f t="shared" si="39"/>
        <v>-1</v>
      </c>
      <c r="BK17" s="98">
        <f t="shared" si="40"/>
        <v>-0.85999999999999976</v>
      </c>
      <c r="BL17" s="277">
        <f t="shared" ca="1" si="15"/>
        <v>-1.9524903552000006</v>
      </c>
      <c r="BM17" s="277">
        <f t="shared" ca="1" si="16"/>
        <v>-1.1981190816000009</v>
      </c>
      <c r="BN17" s="277">
        <f t="shared" ca="1" si="17"/>
        <v>-1.1093695200000002</v>
      </c>
      <c r="BO17" s="277">
        <f t="shared" ca="1" si="18"/>
        <v>-0.77655866400000007</v>
      </c>
      <c r="BP17" s="277">
        <f t="shared" ca="1" si="19"/>
        <v>-0.99843256800000013</v>
      </c>
      <c r="BQ17" s="277">
        <f t="shared" ca="1" si="20"/>
        <v>-0.62124693120000007</v>
      </c>
      <c r="BR17" s="277">
        <f t="shared" ca="1" si="21"/>
        <v>-1.1759316912000009</v>
      </c>
      <c r="BS17" s="277">
        <f t="shared" ca="1" si="22"/>
        <v>-1.1093695200000002</v>
      </c>
      <c r="BT17" s="277">
        <f t="shared" ca="1" si="23"/>
        <v>-0.9540577871999999</v>
      </c>
      <c r="BU17" s="43"/>
    </row>
    <row r="18" spans="1:73" ht="17.100000000000001" customHeight="1">
      <c r="A18" s="13"/>
      <c r="B18" s="119"/>
      <c r="C18" s="739" t="s">
        <v>430</v>
      </c>
      <c r="D18" s="740"/>
      <c r="E18" s="740"/>
      <c r="F18" s="740"/>
      <c r="G18" s="740"/>
      <c r="H18" s="740"/>
      <c r="I18" s="740"/>
      <c r="J18" s="740"/>
      <c r="K18" s="740"/>
      <c r="L18" s="740"/>
      <c r="M18" s="832">
        <v>90</v>
      </c>
      <c r="N18" s="833"/>
      <c r="O18" s="23"/>
      <c r="P18" s="714" t="s">
        <v>445</v>
      </c>
      <c r="Q18" s="715"/>
      <c r="R18" s="715"/>
      <c r="S18" s="715"/>
      <c r="T18" s="715"/>
      <c r="U18" s="715"/>
      <c r="V18" s="715"/>
      <c r="W18" s="715"/>
      <c r="X18" s="715"/>
      <c r="Y18" s="715"/>
      <c r="Z18" s="550">
        <f>+input!$Z$26</f>
        <v>0.01</v>
      </c>
      <c r="AA18" s="551"/>
      <c r="AB18" s="120"/>
      <c r="AC18" s="13"/>
      <c r="AD18" s="13" t="s">
        <v>542</v>
      </c>
      <c r="AE18" s="399">
        <f>Z11</f>
        <v>10</v>
      </c>
      <c r="AF18" s="199" t="s">
        <v>565</v>
      </c>
      <c r="AG18" s="43"/>
      <c r="AH18" s="45">
        <v>-38</v>
      </c>
      <c r="AI18" s="45" t="b">
        <f t="shared" si="5"/>
        <v>0</v>
      </c>
      <c r="AJ18" s="98">
        <f t="shared" si="24"/>
        <v>-1.8200000000000003</v>
      </c>
      <c r="AK18" s="98">
        <f t="shared" si="25"/>
        <v>-1.0933333333333339</v>
      </c>
      <c r="AL18" s="98">
        <f t="shared" si="26"/>
        <v>-1</v>
      </c>
      <c r="AM18" s="98">
        <f t="shared" si="27"/>
        <v>-0.7</v>
      </c>
      <c r="AN18" s="98">
        <f t="shared" si="28"/>
        <v>-0.93333333333333324</v>
      </c>
      <c r="AO18" s="98">
        <f t="shared" si="29"/>
        <v>-0.58666666666666656</v>
      </c>
      <c r="AP18" s="98">
        <f t="shared" si="30"/>
        <v>-1.0533333333333339</v>
      </c>
      <c r="AQ18" s="98">
        <f t="shared" si="31"/>
        <v>-1</v>
      </c>
      <c r="AR18" s="98">
        <f t="shared" si="32"/>
        <v>-0.85333333333333306</v>
      </c>
      <c r="AS18" s="277">
        <f t="shared" ca="1" si="6"/>
        <v>-2.0190525264000008</v>
      </c>
      <c r="AT18" s="277">
        <f t="shared" ca="1" si="7"/>
        <v>-1.212910675200001</v>
      </c>
      <c r="AU18" s="277">
        <f t="shared" ca="1" si="8"/>
        <v>-1.1093695200000002</v>
      </c>
      <c r="AV18" s="277">
        <f t="shared" ca="1" si="9"/>
        <v>-0.77655866400000007</v>
      </c>
      <c r="AW18" s="277">
        <f t="shared" ca="1" si="10"/>
        <v>-1.035411552</v>
      </c>
      <c r="AX18" s="277">
        <f t="shared" ca="1" si="11"/>
        <v>-0.65083011840000005</v>
      </c>
      <c r="AY18" s="277">
        <f t="shared" ca="1" si="12"/>
        <v>-1.1685358944000008</v>
      </c>
      <c r="AZ18" s="277">
        <f t="shared" ca="1" si="13"/>
        <v>-1.1093695200000002</v>
      </c>
      <c r="BA18" s="277">
        <f t="shared" ca="1" si="14"/>
        <v>-0.94666199039999988</v>
      </c>
      <c r="BB18" s="43"/>
      <c r="BC18" s="98">
        <f t="shared" si="33"/>
        <v>-1.8200000000000003</v>
      </c>
      <c r="BD18" s="98">
        <f t="shared" si="34"/>
        <v>-1.0933333333333339</v>
      </c>
      <c r="BE18" s="98">
        <f t="shared" si="35"/>
        <v>-1</v>
      </c>
      <c r="BF18" s="98">
        <f t="shared" si="35"/>
        <v>-0.7</v>
      </c>
      <c r="BG18" s="98">
        <f t="shared" si="36"/>
        <v>-0.93333333333333324</v>
      </c>
      <c r="BH18" s="98">
        <f t="shared" si="37"/>
        <v>-0.58666666666666656</v>
      </c>
      <c r="BI18" s="98">
        <f t="shared" si="38"/>
        <v>-1.0533333333333339</v>
      </c>
      <c r="BJ18" s="98">
        <f t="shared" si="39"/>
        <v>-1</v>
      </c>
      <c r="BK18" s="98">
        <f t="shared" si="40"/>
        <v>-0.85333333333333306</v>
      </c>
      <c r="BL18" s="277">
        <f t="shared" ca="1" si="15"/>
        <v>-2.0190525264000008</v>
      </c>
      <c r="BM18" s="277">
        <f t="shared" ca="1" si="16"/>
        <v>-1.212910675200001</v>
      </c>
      <c r="BN18" s="277">
        <f t="shared" ca="1" si="17"/>
        <v>-1.1093695200000002</v>
      </c>
      <c r="BO18" s="277">
        <f t="shared" ca="1" si="18"/>
        <v>-0.77655866400000007</v>
      </c>
      <c r="BP18" s="277">
        <f t="shared" ca="1" si="19"/>
        <v>-1.035411552</v>
      </c>
      <c r="BQ18" s="277">
        <f t="shared" ca="1" si="20"/>
        <v>-0.65083011840000005</v>
      </c>
      <c r="BR18" s="277">
        <f t="shared" ca="1" si="21"/>
        <v>-1.1685358944000008</v>
      </c>
      <c r="BS18" s="277">
        <f t="shared" ca="1" si="22"/>
        <v>-1.1093695200000002</v>
      </c>
      <c r="BT18" s="277">
        <f t="shared" ca="1" si="23"/>
        <v>-0.94666199039999988</v>
      </c>
      <c r="BU18" s="43"/>
    </row>
    <row r="19" spans="1:73" ht="17.100000000000001" customHeight="1">
      <c r="A19" s="13"/>
      <c r="B19" s="119"/>
      <c r="C19" s="23"/>
      <c r="D19" s="23"/>
      <c r="E19" s="23"/>
      <c r="F19" s="23"/>
      <c r="G19" s="23"/>
      <c r="H19" s="23"/>
      <c r="I19" s="23"/>
      <c r="J19" s="23"/>
      <c r="K19" s="23"/>
      <c r="L19" s="23"/>
      <c r="M19" s="23"/>
      <c r="N19" s="23"/>
      <c r="O19" s="23"/>
      <c r="P19" s="739" t="s">
        <v>415</v>
      </c>
      <c r="Q19" s="740"/>
      <c r="R19" s="740"/>
      <c r="S19" s="740"/>
      <c r="T19" s="740"/>
      <c r="U19" s="740"/>
      <c r="V19" s="740"/>
      <c r="W19" s="740"/>
      <c r="X19" s="740"/>
      <c r="Y19" s="740"/>
      <c r="Z19" s="587">
        <f>AL3</f>
        <v>80</v>
      </c>
      <c r="AA19" s="588"/>
      <c r="AB19" s="120"/>
      <c r="AC19" s="13"/>
      <c r="AD19" s="13" t="s">
        <v>543</v>
      </c>
      <c r="AE19" s="399">
        <f>Z14</f>
        <v>0.2</v>
      </c>
      <c r="AF19" s="199" t="s">
        <v>566</v>
      </c>
      <c r="AG19" s="43"/>
      <c r="AH19" s="45">
        <v>-37</v>
      </c>
      <c r="AI19" s="45" t="b">
        <f t="shared" si="5"/>
        <v>0</v>
      </c>
      <c r="AJ19" s="98">
        <f t="shared" si="24"/>
        <v>-1.8800000000000003</v>
      </c>
      <c r="AK19" s="98">
        <f t="shared" si="25"/>
        <v>-1.1066666666666674</v>
      </c>
      <c r="AL19" s="98">
        <f t="shared" si="26"/>
        <v>-1</v>
      </c>
      <c r="AM19" s="98">
        <f t="shared" si="27"/>
        <v>-0.7</v>
      </c>
      <c r="AN19" s="98">
        <f t="shared" si="28"/>
        <v>-0.96666666666666656</v>
      </c>
      <c r="AO19" s="98">
        <f t="shared" si="29"/>
        <v>-0.61333333333333317</v>
      </c>
      <c r="AP19" s="98">
        <f t="shared" si="30"/>
        <v>-1.0466666666666673</v>
      </c>
      <c r="AQ19" s="98">
        <f t="shared" si="31"/>
        <v>-1</v>
      </c>
      <c r="AR19" s="98">
        <f t="shared" si="32"/>
        <v>-0.84666666666666635</v>
      </c>
      <c r="AS19" s="277">
        <f t="shared" ca="1" si="6"/>
        <v>-2.085614697600001</v>
      </c>
      <c r="AT19" s="277">
        <f t="shared" ca="1" si="7"/>
        <v>-1.227702268800001</v>
      </c>
      <c r="AU19" s="277">
        <f t="shared" ca="1" si="8"/>
        <v>-1.1093695200000002</v>
      </c>
      <c r="AV19" s="277">
        <f t="shared" ca="1" si="9"/>
        <v>-0.77655866400000007</v>
      </c>
      <c r="AW19" s="277">
        <f t="shared" ca="1" si="10"/>
        <v>-1.0723905360000001</v>
      </c>
      <c r="AX19" s="277">
        <f t="shared" ca="1" si="11"/>
        <v>-0.68041330559999991</v>
      </c>
      <c r="AY19" s="277">
        <f t="shared" ca="1" si="12"/>
        <v>-1.161140097600001</v>
      </c>
      <c r="AZ19" s="277">
        <f t="shared" ca="1" si="13"/>
        <v>-1.1093695200000002</v>
      </c>
      <c r="BA19" s="277">
        <f t="shared" ca="1" si="14"/>
        <v>-0.93926619359999985</v>
      </c>
      <c r="BB19" s="43"/>
      <c r="BC19" s="98">
        <f t="shared" si="33"/>
        <v>-1.8800000000000003</v>
      </c>
      <c r="BD19" s="98">
        <f t="shared" si="34"/>
        <v>-1.1066666666666674</v>
      </c>
      <c r="BE19" s="98">
        <f t="shared" si="35"/>
        <v>-1</v>
      </c>
      <c r="BF19" s="98">
        <f t="shared" si="35"/>
        <v>-0.7</v>
      </c>
      <c r="BG19" s="98">
        <f t="shared" si="36"/>
        <v>-0.96666666666666656</v>
      </c>
      <c r="BH19" s="98">
        <f t="shared" si="37"/>
        <v>-0.61333333333333317</v>
      </c>
      <c r="BI19" s="98">
        <f t="shared" si="38"/>
        <v>-1.0466666666666673</v>
      </c>
      <c r="BJ19" s="98">
        <f t="shared" si="39"/>
        <v>-1</v>
      </c>
      <c r="BK19" s="98">
        <f t="shared" si="40"/>
        <v>-0.84666666666666635</v>
      </c>
      <c r="BL19" s="277">
        <f t="shared" ca="1" si="15"/>
        <v>-2.085614697600001</v>
      </c>
      <c r="BM19" s="277">
        <f t="shared" ca="1" si="16"/>
        <v>-1.227702268800001</v>
      </c>
      <c r="BN19" s="277">
        <f t="shared" ca="1" si="17"/>
        <v>-1.1093695200000002</v>
      </c>
      <c r="BO19" s="277">
        <f t="shared" ca="1" si="18"/>
        <v>-0.77655866400000007</v>
      </c>
      <c r="BP19" s="277">
        <f t="shared" ca="1" si="19"/>
        <v>-1.0723905360000001</v>
      </c>
      <c r="BQ19" s="277">
        <f t="shared" ca="1" si="20"/>
        <v>-0.68041330559999991</v>
      </c>
      <c r="BR19" s="277">
        <f t="shared" ca="1" si="21"/>
        <v>-1.161140097600001</v>
      </c>
      <c r="BS19" s="277">
        <f t="shared" ca="1" si="22"/>
        <v>-1.1093695200000002</v>
      </c>
      <c r="BT19" s="277">
        <f t="shared" ca="1" si="23"/>
        <v>-0.93926619359999985</v>
      </c>
      <c r="BU19" s="43"/>
    </row>
    <row r="20" spans="1:73" ht="17.100000000000001" customHeight="1">
      <c r="A20" s="13"/>
      <c r="B20" s="119"/>
      <c r="C20" s="573" t="s">
        <v>645</v>
      </c>
      <c r="D20" s="574"/>
      <c r="E20" s="574"/>
      <c r="F20" s="574"/>
      <c r="G20" s="574"/>
      <c r="H20" s="574"/>
      <c r="I20" s="574"/>
      <c r="J20" s="574"/>
      <c r="K20" s="574"/>
      <c r="L20" s="574"/>
      <c r="M20" s="574"/>
      <c r="N20" s="575"/>
      <c r="O20" s="23"/>
      <c r="P20" s="23"/>
      <c r="Q20" s="23"/>
      <c r="R20" s="23"/>
      <c r="S20" s="23"/>
      <c r="T20" s="23"/>
      <c r="U20" s="23"/>
      <c r="V20" s="23"/>
      <c r="W20" s="23"/>
      <c r="X20" s="23"/>
      <c r="Y20" s="23"/>
      <c r="Z20" s="23"/>
      <c r="AA20" s="23"/>
      <c r="AB20" s="120"/>
      <c r="AC20" s="13"/>
      <c r="AD20" s="13" t="s">
        <v>544</v>
      </c>
      <c r="AE20" s="399">
        <f>Z15</f>
        <v>-0.3</v>
      </c>
      <c r="AF20" s="199" t="s">
        <v>567</v>
      </c>
      <c r="AG20" s="43"/>
      <c r="AH20" s="45">
        <v>-36</v>
      </c>
      <c r="AI20" s="45" t="b">
        <f t="shared" si="5"/>
        <v>0</v>
      </c>
      <c r="AJ20" s="98">
        <f t="shared" si="24"/>
        <v>-1.9400000000000004</v>
      </c>
      <c r="AK20" s="98">
        <f t="shared" si="25"/>
        <v>-1.1200000000000008</v>
      </c>
      <c r="AL20" s="98">
        <f t="shared" si="26"/>
        <v>-1</v>
      </c>
      <c r="AM20" s="98">
        <f t="shared" si="27"/>
        <v>-0.7</v>
      </c>
      <c r="AN20" s="98">
        <f t="shared" si="28"/>
        <v>-0.99999999999999989</v>
      </c>
      <c r="AO20" s="98">
        <f t="shared" si="29"/>
        <v>-0.63999999999999979</v>
      </c>
      <c r="AP20" s="98">
        <f t="shared" si="30"/>
        <v>-1.0400000000000007</v>
      </c>
      <c r="AQ20" s="98">
        <f t="shared" si="31"/>
        <v>-1</v>
      </c>
      <c r="AR20" s="98">
        <f t="shared" si="32"/>
        <v>-0.83999999999999964</v>
      </c>
      <c r="AS20" s="277">
        <f t="shared" ca="1" si="6"/>
        <v>-2.1521768688000007</v>
      </c>
      <c r="AT20" s="277">
        <f t="shared" ca="1" si="7"/>
        <v>-1.242493862400001</v>
      </c>
      <c r="AU20" s="277">
        <f t="shared" ca="1" si="8"/>
        <v>-1.1093695200000002</v>
      </c>
      <c r="AV20" s="277">
        <f t="shared" ca="1" si="9"/>
        <v>-0.77655866400000007</v>
      </c>
      <c r="AW20" s="277">
        <f t="shared" ca="1" si="10"/>
        <v>-1.10936952</v>
      </c>
      <c r="AX20" s="277">
        <f t="shared" ca="1" si="11"/>
        <v>-0.70999649279999988</v>
      </c>
      <c r="AY20" s="277">
        <f t="shared" ca="1" si="12"/>
        <v>-1.153744300800001</v>
      </c>
      <c r="AZ20" s="277">
        <f t="shared" ca="1" si="13"/>
        <v>-1.1093695200000002</v>
      </c>
      <c r="BA20" s="277">
        <f t="shared" ca="1" si="14"/>
        <v>-0.93187039679999983</v>
      </c>
      <c r="BB20" s="43"/>
      <c r="BC20" s="98">
        <f t="shared" si="33"/>
        <v>-1.9400000000000004</v>
      </c>
      <c r="BD20" s="98">
        <f t="shared" si="34"/>
        <v>-1.1200000000000008</v>
      </c>
      <c r="BE20" s="98">
        <f t="shared" si="35"/>
        <v>-1</v>
      </c>
      <c r="BF20" s="98">
        <f t="shared" si="35"/>
        <v>-0.7</v>
      </c>
      <c r="BG20" s="98">
        <f t="shared" si="36"/>
        <v>-0.99999999999999989</v>
      </c>
      <c r="BH20" s="98">
        <f t="shared" si="37"/>
        <v>-0.63999999999999979</v>
      </c>
      <c r="BI20" s="98">
        <f t="shared" si="38"/>
        <v>-1.0400000000000007</v>
      </c>
      <c r="BJ20" s="98">
        <f t="shared" si="39"/>
        <v>-1</v>
      </c>
      <c r="BK20" s="98">
        <f t="shared" si="40"/>
        <v>-0.83999999999999964</v>
      </c>
      <c r="BL20" s="277">
        <f t="shared" ca="1" si="15"/>
        <v>-2.1521768688000007</v>
      </c>
      <c r="BM20" s="277">
        <f t="shared" ca="1" si="16"/>
        <v>-1.242493862400001</v>
      </c>
      <c r="BN20" s="277">
        <f t="shared" ca="1" si="17"/>
        <v>-1.1093695200000002</v>
      </c>
      <c r="BO20" s="277">
        <f t="shared" ca="1" si="18"/>
        <v>-0.77655866400000007</v>
      </c>
      <c r="BP20" s="277">
        <f t="shared" ca="1" si="19"/>
        <v>-1.10936952</v>
      </c>
      <c r="BQ20" s="277">
        <f t="shared" ca="1" si="20"/>
        <v>-0.70999649279999988</v>
      </c>
      <c r="BR20" s="277">
        <f t="shared" ca="1" si="21"/>
        <v>-1.153744300800001</v>
      </c>
      <c r="BS20" s="277">
        <f t="shared" ca="1" si="22"/>
        <v>-1.1093695200000002</v>
      </c>
      <c r="BT20" s="277">
        <f t="shared" ca="1" si="23"/>
        <v>-0.93187039679999983</v>
      </c>
      <c r="BU20" s="43"/>
    </row>
    <row r="21" spans="1:73" ht="17.100000000000001" customHeight="1">
      <c r="A21" s="13"/>
      <c r="B21" s="119"/>
      <c r="C21" s="716" t="s">
        <v>365</v>
      </c>
      <c r="D21" s="717"/>
      <c r="E21" s="717"/>
      <c r="F21" s="717"/>
      <c r="G21" s="717"/>
      <c r="H21" s="717"/>
      <c r="I21" s="717"/>
      <c r="J21" s="717"/>
      <c r="K21" s="717"/>
      <c r="L21" s="717"/>
      <c r="M21" s="678">
        <f>input!$M$19</f>
        <v>0.1</v>
      </c>
      <c r="N21" s="679"/>
      <c r="O21" s="23"/>
      <c r="P21" s="573" t="s">
        <v>380</v>
      </c>
      <c r="Q21" s="574"/>
      <c r="R21" s="574"/>
      <c r="S21" s="574"/>
      <c r="T21" s="574"/>
      <c r="U21" s="574"/>
      <c r="V21" s="574"/>
      <c r="W21" s="574"/>
      <c r="X21" s="574"/>
      <c r="Y21" s="574"/>
      <c r="Z21" s="574"/>
      <c r="AA21" s="575"/>
      <c r="AB21" s="120"/>
      <c r="AC21" s="13"/>
      <c r="AD21" s="13" t="s">
        <v>583</v>
      </c>
      <c r="AE21" s="403" t="s">
        <v>95</v>
      </c>
      <c r="AF21" s="199"/>
      <c r="AG21" s="43"/>
      <c r="AH21" s="45">
        <v>-35</v>
      </c>
      <c r="AI21" s="45" t="b">
        <f t="shared" si="5"/>
        <v>0</v>
      </c>
      <c r="AJ21" s="98">
        <f t="shared" si="24"/>
        <v>-2.0000000000000004</v>
      </c>
      <c r="AK21" s="98">
        <f t="shared" si="25"/>
        <v>-1.1333333333333342</v>
      </c>
      <c r="AL21" s="98">
        <f t="shared" si="26"/>
        <v>-1</v>
      </c>
      <c r="AM21" s="98">
        <f t="shared" si="27"/>
        <v>-0.7</v>
      </c>
      <c r="AN21" s="98">
        <f t="shared" si="28"/>
        <v>-1.0333333333333332</v>
      </c>
      <c r="AO21" s="98">
        <f t="shared" si="29"/>
        <v>-0.66666666666666641</v>
      </c>
      <c r="AP21" s="98">
        <f t="shared" si="30"/>
        <v>-1.0333333333333341</v>
      </c>
      <c r="AQ21" s="98">
        <f t="shared" si="31"/>
        <v>-1</v>
      </c>
      <c r="AR21" s="98">
        <f t="shared" si="32"/>
        <v>-0.83333333333333293</v>
      </c>
      <c r="AS21" s="277">
        <f t="shared" ca="1" si="6"/>
        <v>-2.2187390400000009</v>
      </c>
      <c r="AT21" s="277">
        <f t="shared" ca="1" si="7"/>
        <v>-1.2572854560000013</v>
      </c>
      <c r="AU21" s="277">
        <f t="shared" ca="1" si="8"/>
        <v>-1.1093695200000002</v>
      </c>
      <c r="AV21" s="277">
        <f t="shared" ca="1" si="9"/>
        <v>-0.77655866400000007</v>
      </c>
      <c r="AW21" s="277">
        <f t="shared" ca="1" si="10"/>
        <v>-1.1463485040000001</v>
      </c>
      <c r="AX21" s="277">
        <f t="shared" ca="1" si="11"/>
        <v>-0.73957967999999985</v>
      </c>
      <c r="AY21" s="277">
        <f t="shared" ca="1" si="12"/>
        <v>-1.146348504000001</v>
      </c>
      <c r="AZ21" s="277">
        <f t="shared" ca="1" si="13"/>
        <v>-1.1093695200000002</v>
      </c>
      <c r="BA21" s="277">
        <f t="shared" ca="1" si="14"/>
        <v>-0.9244745999999997</v>
      </c>
      <c r="BB21" s="43"/>
      <c r="BC21" s="98">
        <f t="shared" si="33"/>
        <v>-2.0000000000000004</v>
      </c>
      <c r="BD21" s="98">
        <f t="shared" si="34"/>
        <v>-1.1333333333333342</v>
      </c>
      <c r="BE21" s="98">
        <f t="shared" si="35"/>
        <v>-1</v>
      </c>
      <c r="BF21" s="98">
        <f t="shared" si="35"/>
        <v>-0.7</v>
      </c>
      <c r="BG21" s="98">
        <f t="shared" si="36"/>
        <v>-1.0333333333333332</v>
      </c>
      <c r="BH21" s="98">
        <f t="shared" si="37"/>
        <v>-0.66666666666666641</v>
      </c>
      <c r="BI21" s="98">
        <f t="shared" si="38"/>
        <v>-1.0333333333333341</v>
      </c>
      <c r="BJ21" s="98">
        <f t="shared" si="39"/>
        <v>-1</v>
      </c>
      <c r="BK21" s="98">
        <f t="shared" si="40"/>
        <v>-0.83333333333333293</v>
      </c>
      <c r="BL21" s="277">
        <f t="shared" ca="1" si="15"/>
        <v>-2.2187390400000009</v>
      </c>
      <c r="BM21" s="277">
        <f t="shared" ca="1" si="16"/>
        <v>-1.2572854560000013</v>
      </c>
      <c r="BN21" s="277">
        <f t="shared" ca="1" si="17"/>
        <v>-1.1093695200000002</v>
      </c>
      <c r="BO21" s="277">
        <f t="shared" ca="1" si="18"/>
        <v>-0.77655866400000007</v>
      </c>
      <c r="BP21" s="277">
        <f t="shared" ca="1" si="19"/>
        <v>-1.1463485040000001</v>
      </c>
      <c r="BQ21" s="277">
        <f t="shared" ca="1" si="20"/>
        <v>-0.73957967999999985</v>
      </c>
      <c r="BR21" s="277">
        <f t="shared" ca="1" si="21"/>
        <v>-1.146348504000001</v>
      </c>
      <c r="BS21" s="277">
        <f t="shared" ca="1" si="22"/>
        <v>-1.1093695200000002</v>
      </c>
      <c r="BT21" s="277">
        <f t="shared" ca="1" si="23"/>
        <v>-0.9244745999999997</v>
      </c>
      <c r="BU21" s="43"/>
    </row>
    <row r="22" spans="1:73" s="252" customFormat="1" ht="17.100000000000001" customHeight="1">
      <c r="A22" s="13"/>
      <c r="B22" s="119"/>
      <c r="C22" s="714" t="s">
        <v>364</v>
      </c>
      <c r="D22" s="715"/>
      <c r="E22" s="715"/>
      <c r="F22" s="715"/>
      <c r="G22" s="715"/>
      <c r="H22" s="715"/>
      <c r="I22" s="715"/>
      <c r="J22" s="715"/>
      <c r="K22" s="715"/>
      <c r="L22" s="715"/>
      <c r="M22" s="550">
        <f ca="1">+input!M20</f>
        <v>1.036</v>
      </c>
      <c r="N22" s="551"/>
      <c r="O22" s="23"/>
      <c r="P22" s="809" t="s">
        <v>385</v>
      </c>
      <c r="Q22" s="810"/>
      <c r="R22" s="738" t="s">
        <v>121</v>
      </c>
      <c r="S22" s="738"/>
      <c r="T22" s="738" t="s">
        <v>93</v>
      </c>
      <c r="U22" s="738"/>
      <c r="V22" s="738" t="s">
        <v>40</v>
      </c>
      <c r="W22" s="738"/>
      <c r="X22" s="738" t="s">
        <v>156</v>
      </c>
      <c r="Y22" s="738"/>
      <c r="Z22" s="738" t="s">
        <v>157</v>
      </c>
      <c r="AA22" s="771"/>
      <c r="AB22" s="120"/>
      <c r="AC22" s="13"/>
      <c r="AD22" s="13" t="s">
        <v>545</v>
      </c>
      <c r="AE22" s="403">
        <v>5</v>
      </c>
      <c r="AF22" s="199"/>
      <c r="AG22" s="43"/>
      <c r="AH22" s="45">
        <v>-34</v>
      </c>
      <c r="AI22" s="45" t="b">
        <f t="shared" si="5"/>
        <v>0</v>
      </c>
      <c r="AJ22" s="98">
        <f t="shared" si="24"/>
        <v>-2.0600000000000005</v>
      </c>
      <c r="AK22" s="98">
        <f t="shared" si="25"/>
        <v>-1.1466666666666676</v>
      </c>
      <c r="AL22" s="98">
        <f t="shared" si="26"/>
        <v>-1</v>
      </c>
      <c r="AM22" s="98">
        <f t="shared" si="27"/>
        <v>-0.7</v>
      </c>
      <c r="AN22" s="98">
        <f t="shared" si="28"/>
        <v>-1.0666666666666667</v>
      </c>
      <c r="AO22" s="98">
        <f t="shared" si="29"/>
        <v>-0.69333333333333302</v>
      </c>
      <c r="AP22" s="98">
        <f t="shared" si="30"/>
        <v>-1.0266666666666675</v>
      </c>
      <c r="AQ22" s="98">
        <f t="shared" si="31"/>
        <v>-1</v>
      </c>
      <c r="AR22" s="98">
        <f t="shared" si="32"/>
        <v>-0.82666666666666622</v>
      </c>
      <c r="AS22" s="277">
        <f t="shared" ca="1" si="6"/>
        <v>-2.2853012112000011</v>
      </c>
      <c r="AT22" s="277">
        <f t="shared" ca="1" si="7"/>
        <v>-1.2720770496000013</v>
      </c>
      <c r="AU22" s="277">
        <f t="shared" ca="1" si="8"/>
        <v>-1.1093695200000002</v>
      </c>
      <c r="AV22" s="277">
        <f t="shared" ca="1" si="9"/>
        <v>-0.77655866400000007</v>
      </c>
      <c r="AW22" s="277">
        <f t="shared" ca="1" si="10"/>
        <v>-1.1833274880000002</v>
      </c>
      <c r="AX22" s="277">
        <f t="shared" ca="1" si="11"/>
        <v>-0.76916286719999982</v>
      </c>
      <c r="AY22" s="277">
        <f t="shared" ca="1" si="12"/>
        <v>-1.1389527072000012</v>
      </c>
      <c r="AZ22" s="277">
        <f t="shared" ca="1" si="13"/>
        <v>-1.1093695200000002</v>
      </c>
      <c r="BA22" s="277">
        <f t="shared" ca="1" si="14"/>
        <v>-0.91707880319999968</v>
      </c>
      <c r="BB22" s="43"/>
      <c r="BC22" s="98">
        <f t="shared" si="33"/>
        <v>-2.0600000000000005</v>
      </c>
      <c r="BD22" s="98">
        <f t="shared" si="34"/>
        <v>-1.1466666666666676</v>
      </c>
      <c r="BE22" s="98">
        <f t="shared" si="35"/>
        <v>-1</v>
      </c>
      <c r="BF22" s="98">
        <f t="shared" si="35"/>
        <v>-0.7</v>
      </c>
      <c r="BG22" s="98">
        <f t="shared" si="36"/>
        <v>-1.0666666666666667</v>
      </c>
      <c r="BH22" s="98">
        <f t="shared" si="37"/>
        <v>-0.69333333333333302</v>
      </c>
      <c r="BI22" s="98">
        <f t="shared" si="38"/>
        <v>-1.0266666666666675</v>
      </c>
      <c r="BJ22" s="98">
        <f t="shared" si="39"/>
        <v>-1</v>
      </c>
      <c r="BK22" s="98">
        <f t="shared" si="40"/>
        <v>-0.82666666666666622</v>
      </c>
      <c r="BL22" s="277">
        <f t="shared" ca="1" si="15"/>
        <v>-2.2853012112000011</v>
      </c>
      <c r="BM22" s="277">
        <f t="shared" ca="1" si="16"/>
        <v>-1.2720770496000013</v>
      </c>
      <c r="BN22" s="277">
        <f t="shared" ca="1" si="17"/>
        <v>-1.1093695200000002</v>
      </c>
      <c r="BO22" s="277">
        <f t="shared" ca="1" si="18"/>
        <v>-0.77655866400000007</v>
      </c>
      <c r="BP22" s="277">
        <f t="shared" ca="1" si="19"/>
        <v>-1.1833274880000002</v>
      </c>
      <c r="BQ22" s="277">
        <f t="shared" ca="1" si="20"/>
        <v>-0.76916286719999982</v>
      </c>
      <c r="BR22" s="277">
        <f t="shared" ca="1" si="21"/>
        <v>-1.1389527072000012</v>
      </c>
      <c r="BS22" s="277">
        <f t="shared" ca="1" si="22"/>
        <v>-1.1093695200000002</v>
      </c>
      <c r="BT22" s="277">
        <f t="shared" ca="1" si="23"/>
        <v>-0.91707880319999968</v>
      </c>
      <c r="BU22" s="45"/>
    </row>
    <row r="23" spans="1:73" s="252" customFormat="1" ht="17.100000000000001" customHeight="1">
      <c r="A23" s="13"/>
      <c r="B23" s="119"/>
      <c r="C23" s="714" t="s">
        <v>450</v>
      </c>
      <c r="D23" s="715"/>
      <c r="E23" s="715"/>
      <c r="F23" s="715"/>
      <c r="G23" s="715"/>
      <c r="H23" s="715"/>
      <c r="I23" s="715"/>
      <c r="J23" s="715"/>
      <c r="K23" s="715"/>
      <c r="L23" s="715"/>
      <c r="M23" s="550">
        <f>+M13*M14/COS(M17*3.14/180)</f>
        <v>4256.437004882252</v>
      </c>
      <c r="N23" s="551"/>
      <c r="O23" s="23"/>
      <c r="P23" s="752" t="s">
        <v>443</v>
      </c>
      <c r="Q23" s="753"/>
      <c r="R23" s="711" t="str">
        <f ca="1">FIXED(MIN(BC3:BC6),3)</f>
        <v>-1.047</v>
      </c>
      <c r="S23" s="711"/>
      <c r="T23" s="711" t="str">
        <f ca="1">FIXED(MIN(BD3:BD6),3)</f>
        <v>-0.714</v>
      </c>
      <c r="U23" s="711"/>
      <c r="V23" s="711" t="str">
        <f ca="1">FIXED(MIN(BE3:BE6),3)</f>
        <v>-0.936</v>
      </c>
      <c r="W23" s="711"/>
      <c r="X23" s="711" t="str">
        <f ca="1">FIXED(MIN(BI3:BI6),3)</f>
        <v>-0.936</v>
      </c>
      <c r="Y23" s="711"/>
      <c r="Z23" s="711" t="str">
        <f ca="1">IF($AH$3=1,"-",FIXED(MIN(BJ3:BJ6),3))</f>
        <v>-0.751</v>
      </c>
      <c r="AA23" s="712"/>
      <c r="AB23" s="120"/>
      <c r="AC23" s="13"/>
      <c r="AD23" s="13" t="s">
        <v>546</v>
      </c>
      <c r="AE23" s="403">
        <v>0</v>
      </c>
      <c r="AF23" s="199"/>
      <c r="AG23" s="43"/>
      <c r="AH23" s="45">
        <v>-33</v>
      </c>
      <c r="AI23" s="45" t="b">
        <f t="shared" si="5"/>
        <v>0</v>
      </c>
      <c r="AJ23" s="98">
        <f t="shared" si="24"/>
        <v>-2.1200000000000006</v>
      </c>
      <c r="AK23" s="98">
        <f t="shared" si="25"/>
        <v>-1.160000000000001</v>
      </c>
      <c r="AL23" s="98">
        <f t="shared" si="26"/>
        <v>-1</v>
      </c>
      <c r="AM23" s="98">
        <f t="shared" si="27"/>
        <v>-0.7</v>
      </c>
      <c r="AN23" s="98">
        <f t="shared" si="28"/>
        <v>-1.1000000000000001</v>
      </c>
      <c r="AO23" s="98">
        <f t="shared" si="29"/>
        <v>-0.71999999999999964</v>
      </c>
      <c r="AP23" s="98">
        <f t="shared" si="30"/>
        <v>-1.0200000000000009</v>
      </c>
      <c r="AQ23" s="98">
        <f t="shared" si="31"/>
        <v>-1</v>
      </c>
      <c r="AR23" s="98">
        <f t="shared" si="32"/>
        <v>-0.81999999999999951</v>
      </c>
      <c r="AS23" s="277">
        <f t="shared" ca="1" si="6"/>
        <v>-2.3518633824000013</v>
      </c>
      <c r="AT23" s="277">
        <f t="shared" ca="1" si="7"/>
        <v>-1.2868686432000014</v>
      </c>
      <c r="AU23" s="277">
        <f t="shared" ca="1" si="8"/>
        <v>-1.1093695200000002</v>
      </c>
      <c r="AV23" s="277">
        <f t="shared" ca="1" si="9"/>
        <v>-0.77655866400000007</v>
      </c>
      <c r="AW23" s="277">
        <f t="shared" ca="1" si="10"/>
        <v>-1.2203064720000003</v>
      </c>
      <c r="AX23" s="277">
        <f t="shared" ca="1" si="11"/>
        <v>-0.79874605439999979</v>
      </c>
      <c r="AY23" s="277">
        <f t="shared" ca="1" si="12"/>
        <v>-1.1315569104000012</v>
      </c>
      <c r="AZ23" s="277">
        <f t="shared" ca="1" si="13"/>
        <v>-1.1093695200000002</v>
      </c>
      <c r="BA23" s="277">
        <f t="shared" ca="1" si="14"/>
        <v>-0.90968300639999966</v>
      </c>
      <c r="BB23" s="43"/>
      <c r="BC23" s="98">
        <f t="shared" si="33"/>
        <v>-2.1200000000000006</v>
      </c>
      <c r="BD23" s="98">
        <f t="shared" si="34"/>
        <v>-1.160000000000001</v>
      </c>
      <c r="BE23" s="98">
        <f t="shared" si="35"/>
        <v>-1</v>
      </c>
      <c r="BF23" s="98">
        <f t="shared" si="35"/>
        <v>-0.7</v>
      </c>
      <c r="BG23" s="98">
        <f t="shared" si="36"/>
        <v>-1.1000000000000001</v>
      </c>
      <c r="BH23" s="98">
        <f t="shared" si="37"/>
        <v>-0.71999999999999964</v>
      </c>
      <c r="BI23" s="98">
        <f t="shared" si="38"/>
        <v>-1.0200000000000009</v>
      </c>
      <c r="BJ23" s="98">
        <f t="shared" si="39"/>
        <v>-1</v>
      </c>
      <c r="BK23" s="98">
        <f t="shared" si="40"/>
        <v>-0.81999999999999951</v>
      </c>
      <c r="BL23" s="277">
        <f t="shared" ca="1" si="15"/>
        <v>-2.3518633824000013</v>
      </c>
      <c r="BM23" s="277">
        <f t="shared" ca="1" si="16"/>
        <v>-1.2868686432000014</v>
      </c>
      <c r="BN23" s="277">
        <f t="shared" ca="1" si="17"/>
        <v>-1.1093695200000002</v>
      </c>
      <c r="BO23" s="277">
        <f t="shared" ca="1" si="18"/>
        <v>-0.77655866400000007</v>
      </c>
      <c r="BP23" s="277">
        <f t="shared" ca="1" si="19"/>
        <v>-1.2203064720000003</v>
      </c>
      <c r="BQ23" s="277">
        <f t="shared" ca="1" si="20"/>
        <v>-0.79874605439999979</v>
      </c>
      <c r="BR23" s="277">
        <f t="shared" ca="1" si="21"/>
        <v>-1.1315569104000012</v>
      </c>
      <c r="BS23" s="277">
        <f t="shared" ca="1" si="22"/>
        <v>-1.1093695200000002</v>
      </c>
      <c r="BT23" s="277">
        <f t="shared" ca="1" si="23"/>
        <v>-0.90968300639999966</v>
      </c>
      <c r="BU23" s="45"/>
    </row>
    <row r="24" spans="1:73" s="252" customFormat="1" ht="17.100000000000001" customHeight="1">
      <c r="A24" s="13"/>
      <c r="B24" s="119"/>
      <c r="C24" s="739" t="s">
        <v>390</v>
      </c>
      <c r="D24" s="740"/>
      <c r="E24" s="740"/>
      <c r="F24" s="740"/>
      <c r="G24" s="740"/>
      <c r="H24" s="740"/>
      <c r="I24" s="740"/>
      <c r="J24" s="740"/>
      <c r="K24" s="740"/>
      <c r="L24" s="740"/>
      <c r="M24" s="587">
        <f>1.35*Z18*M23</f>
        <v>57.461899565910407</v>
      </c>
      <c r="N24" s="588"/>
      <c r="O24" s="23"/>
      <c r="P24" s="754" t="s">
        <v>444</v>
      </c>
      <c r="Q24" s="755"/>
      <c r="R24" s="768" t="str">
        <f ca="1">FIXED(MAX(BC3:BC6),3)</f>
        <v>0.738</v>
      </c>
      <c r="S24" s="768"/>
      <c r="T24" s="768" t="str">
        <f ca="1">FIXED(MAX(BD3:BD6),3)</f>
        <v>0.701</v>
      </c>
      <c r="U24" s="768"/>
      <c r="V24" s="768" t="str">
        <f ca="1">FIXED(MAX(BE3:BE6),3)</f>
        <v>-0.261</v>
      </c>
      <c r="W24" s="768"/>
      <c r="X24" s="768" t="str">
        <f ca="1">FIXED(MAX(BI3:BI6),3)</f>
        <v>0.405</v>
      </c>
      <c r="Y24" s="768"/>
      <c r="Z24" s="768" t="str">
        <f ca="1">IF($AH$3=1,"-",FIXED(MAX(BJ3:BJ6),3))</f>
        <v>0.405</v>
      </c>
      <c r="AA24" s="797"/>
      <c r="AB24" s="120"/>
      <c r="AC24" s="13"/>
      <c r="AD24" s="13" t="s">
        <v>547</v>
      </c>
      <c r="AE24" s="403">
        <v>1</v>
      </c>
      <c r="AF24" s="199"/>
      <c r="AG24" s="43"/>
      <c r="AH24" s="45">
        <v>-32</v>
      </c>
      <c r="AI24" s="45" t="b">
        <f t="shared" si="5"/>
        <v>0</v>
      </c>
      <c r="AJ24" s="98">
        <f t="shared" si="24"/>
        <v>-2.1800000000000006</v>
      </c>
      <c r="AK24" s="98">
        <f t="shared" si="25"/>
        <v>-1.1733333333333344</v>
      </c>
      <c r="AL24" s="98">
        <f t="shared" si="26"/>
        <v>-1</v>
      </c>
      <c r="AM24" s="98">
        <f t="shared" si="27"/>
        <v>-0.7</v>
      </c>
      <c r="AN24" s="98">
        <f t="shared" si="28"/>
        <v>-1.1333333333333335</v>
      </c>
      <c r="AO24" s="98">
        <f t="shared" si="29"/>
        <v>-0.74666666666666626</v>
      </c>
      <c r="AP24" s="98">
        <f t="shared" si="30"/>
        <v>-1.0133333333333343</v>
      </c>
      <c r="AQ24" s="98">
        <f t="shared" si="31"/>
        <v>-1</v>
      </c>
      <c r="AR24" s="98">
        <f t="shared" si="32"/>
        <v>-0.8133333333333328</v>
      </c>
      <c r="AS24" s="277">
        <f t="shared" ca="1" si="6"/>
        <v>-2.418425553600001</v>
      </c>
      <c r="AT24" s="277">
        <f t="shared" ca="1" si="7"/>
        <v>-1.3016602368000014</v>
      </c>
      <c r="AU24" s="277">
        <f t="shared" ca="1" si="8"/>
        <v>-1.1093695200000002</v>
      </c>
      <c r="AV24" s="277">
        <f t="shared" ca="1" si="9"/>
        <v>-0.77655866400000007</v>
      </c>
      <c r="AW24" s="277">
        <f t="shared" ca="1" si="10"/>
        <v>-1.2572854560000004</v>
      </c>
      <c r="AX24" s="277">
        <f t="shared" ca="1" si="11"/>
        <v>-0.82832924159999965</v>
      </c>
      <c r="AY24" s="277">
        <f t="shared" ca="1" si="12"/>
        <v>-1.1241611136000014</v>
      </c>
      <c r="AZ24" s="277">
        <f t="shared" ca="1" si="13"/>
        <v>-1.1093695200000002</v>
      </c>
      <c r="BA24" s="277">
        <f t="shared" ca="1" si="14"/>
        <v>-0.90228720959999953</v>
      </c>
      <c r="BB24" s="43"/>
      <c r="BC24" s="98">
        <f t="shared" si="33"/>
        <v>-2.1800000000000006</v>
      </c>
      <c r="BD24" s="98">
        <f t="shared" si="34"/>
        <v>-1.1733333333333344</v>
      </c>
      <c r="BE24" s="98">
        <f t="shared" si="35"/>
        <v>-1</v>
      </c>
      <c r="BF24" s="98">
        <f t="shared" si="35"/>
        <v>-0.7</v>
      </c>
      <c r="BG24" s="98">
        <f t="shared" si="36"/>
        <v>-1.1333333333333335</v>
      </c>
      <c r="BH24" s="98">
        <f t="shared" si="37"/>
        <v>-0.74666666666666626</v>
      </c>
      <c r="BI24" s="98">
        <f t="shared" si="38"/>
        <v>-1.0133333333333343</v>
      </c>
      <c r="BJ24" s="98">
        <f t="shared" si="39"/>
        <v>-1</v>
      </c>
      <c r="BK24" s="98">
        <f t="shared" si="40"/>
        <v>-0.8133333333333328</v>
      </c>
      <c r="BL24" s="277">
        <f t="shared" ca="1" si="15"/>
        <v>-2.418425553600001</v>
      </c>
      <c r="BM24" s="277">
        <f t="shared" ca="1" si="16"/>
        <v>-1.3016602368000014</v>
      </c>
      <c r="BN24" s="277">
        <f t="shared" ca="1" si="17"/>
        <v>-1.1093695200000002</v>
      </c>
      <c r="BO24" s="277">
        <f t="shared" ca="1" si="18"/>
        <v>-0.77655866400000007</v>
      </c>
      <c r="BP24" s="277">
        <f t="shared" ca="1" si="19"/>
        <v>-1.2572854560000004</v>
      </c>
      <c r="BQ24" s="277">
        <f t="shared" ca="1" si="20"/>
        <v>-0.82832924159999965</v>
      </c>
      <c r="BR24" s="277">
        <f t="shared" ca="1" si="21"/>
        <v>-1.1241611136000014</v>
      </c>
      <c r="BS24" s="277">
        <f t="shared" ca="1" si="22"/>
        <v>-1.1093695200000002</v>
      </c>
      <c r="BT24" s="277">
        <f t="shared" ca="1" si="23"/>
        <v>-0.90228720959999953</v>
      </c>
      <c r="BU24" s="45"/>
    </row>
    <row r="25" spans="1:73" s="252" customFormat="1" ht="17.100000000000001" customHeight="1">
      <c r="A25" s="13"/>
      <c r="B25" s="119"/>
      <c r="C25" s="23"/>
      <c r="D25" s="23"/>
      <c r="E25" s="23"/>
      <c r="F25" s="23"/>
      <c r="G25" s="23"/>
      <c r="H25" s="23"/>
      <c r="I25" s="23"/>
      <c r="J25" s="23"/>
      <c r="K25" s="23"/>
      <c r="L25" s="23"/>
      <c r="M25" s="23"/>
      <c r="N25" s="23"/>
      <c r="O25" s="23"/>
      <c r="P25" s="869" t="s">
        <v>442</v>
      </c>
      <c r="Q25" s="784"/>
      <c r="R25" s="784"/>
      <c r="S25" s="784"/>
      <c r="T25" s="784"/>
      <c r="U25" s="784"/>
      <c r="V25" s="784"/>
      <c r="W25" s="784"/>
      <c r="X25" s="784"/>
      <c r="Y25" s="784"/>
      <c r="Z25" s="784"/>
      <c r="AA25" s="784"/>
      <c r="AB25" s="120"/>
      <c r="AC25" s="13"/>
      <c r="AD25" s="210" t="s">
        <v>584</v>
      </c>
      <c r="AE25" s="403" t="s">
        <v>115</v>
      </c>
      <c r="AF25" s="199"/>
      <c r="AG25" s="43"/>
      <c r="AH25" s="45">
        <v>-31</v>
      </c>
      <c r="AI25" s="45" t="b">
        <f t="shared" si="5"/>
        <v>0</v>
      </c>
      <c r="AJ25" s="98">
        <f t="shared" si="24"/>
        <v>-2.2400000000000007</v>
      </c>
      <c r="AK25" s="98">
        <f t="shared" si="25"/>
        <v>-1.1866666666666679</v>
      </c>
      <c r="AL25" s="98">
        <f t="shared" si="26"/>
        <v>-1</v>
      </c>
      <c r="AM25" s="98">
        <f t="shared" si="27"/>
        <v>-0.7</v>
      </c>
      <c r="AN25" s="98">
        <f t="shared" si="28"/>
        <v>-1.166666666666667</v>
      </c>
      <c r="AO25" s="98">
        <f t="shared" si="29"/>
        <v>-0.77333333333333287</v>
      </c>
      <c r="AP25" s="98">
        <f t="shared" si="30"/>
        <v>-1.0066666666666677</v>
      </c>
      <c r="AQ25" s="98">
        <f t="shared" si="31"/>
        <v>-1</v>
      </c>
      <c r="AR25" s="98">
        <f t="shared" si="32"/>
        <v>-0.80666666666666609</v>
      </c>
      <c r="AS25" s="277">
        <f t="shared" ca="1" si="6"/>
        <v>-2.4849877248000012</v>
      </c>
      <c r="AT25" s="277">
        <f t="shared" ca="1" si="7"/>
        <v>-1.3164518304000017</v>
      </c>
      <c r="AU25" s="277">
        <f t="shared" ca="1" si="8"/>
        <v>-1.1093695200000002</v>
      </c>
      <c r="AV25" s="277">
        <f t="shared" ca="1" si="9"/>
        <v>-0.77655866400000007</v>
      </c>
      <c r="AW25" s="277">
        <f t="shared" ca="1" si="10"/>
        <v>-1.2942644400000005</v>
      </c>
      <c r="AX25" s="277">
        <f t="shared" ca="1" si="11"/>
        <v>-0.85791242879999963</v>
      </c>
      <c r="AY25" s="277">
        <f t="shared" ca="1" si="12"/>
        <v>-1.1167653168000014</v>
      </c>
      <c r="AZ25" s="277">
        <f t="shared" ca="1" si="13"/>
        <v>-1.1093695200000002</v>
      </c>
      <c r="BA25" s="277">
        <f t="shared" ca="1" si="14"/>
        <v>-0.89489141279999951</v>
      </c>
      <c r="BB25" s="43"/>
      <c r="BC25" s="98">
        <f t="shared" si="33"/>
        <v>-2.2400000000000007</v>
      </c>
      <c r="BD25" s="98">
        <f t="shared" si="34"/>
        <v>-1.1866666666666679</v>
      </c>
      <c r="BE25" s="98">
        <f t="shared" si="35"/>
        <v>-1</v>
      </c>
      <c r="BF25" s="98">
        <f t="shared" si="35"/>
        <v>-0.7</v>
      </c>
      <c r="BG25" s="98">
        <f t="shared" si="36"/>
        <v>-1.166666666666667</v>
      </c>
      <c r="BH25" s="98">
        <f t="shared" si="37"/>
        <v>-0.77333333333333287</v>
      </c>
      <c r="BI25" s="98">
        <f t="shared" si="38"/>
        <v>-1.0066666666666677</v>
      </c>
      <c r="BJ25" s="98">
        <f t="shared" si="39"/>
        <v>-1</v>
      </c>
      <c r="BK25" s="98">
        <f t="shared" si="40"/>
        <v>-0.80666666666666609</v>
      </c>
      <c r="BL25" s="277">
        <f t="shared" ca="1" si="15"/>
        <v>-2.4849877248000012</v>
      </c>
      <c r="BM25" s="277">
        <f t="shared" ca="1" si="16"/>
        <v>-1.3164518304000017</v>
      </c>
      <c r="BN25" s="277">
        <f t="shared" ca="1" si="17"/>
        <v>-1.1093695200000002</v>
      </c>
      <c r="BO25" s="277">
        <f t="shared" ca="1" si="18"/>
        <v>-0.77655866400000007</v>
      </c>
      <c r="BP25" s="277">
        <f t="shared" ca="1" si="19"/>
        <v>-1.2942644400000005</v>
      </c>
      <c r="BQ25" s="277">
        <f t="shared" ca="1" si="20"/>
        <v>-0.85791242879999963</v>
      </c>
      <c r="BR25" s="277">
        <f t="shared" ca="1" si="21"/>
        <v>-1.1167653168000014</v>
      </c>
      <c r="BS25" s="277">
        <f t="shared" ca="1" si="22"/>
        <v>-1.1093695200000002</v>
      </c>
      <c r="BT25" s="277">
        <f t="shared" ca="1" si="23"/>
        <v>-0.89489141279999951</v>
      </c>
      <c r="BU25" s="45"/>
    </row>
    <row r="26" spans="1:73" s="252" customFormat="1" ht="17.100000000000001" customHeight="1">
      <c r="A26" s="13"/>
      <c r="B26" s="119"/>
      <c r="C26" s="23"/>
      <c r="D26" s="23"/>
      <c r="E26" s="23"/>
      <c r="F26" s="23"/>
      <c r="G26" s="23"/>
      <c r="H26" s="23"/>
      <c r="I26" s="23"/>
      <c r="J26" s="23"/>
      <c r="K26" s="23"/>
      <c r="L26" s="23"/>
      <c r="M26" s="23"/>
      <c r="N26" s="23"/>
      <c r="O26" s="23"/>
      <c r="P26" s="23"/>
      <c r="Q26" s="23"/>
      <c r="R26" s="23"/>
      <c r="S26" s="23"/>
      <c r="T26" s="23"/>
      <c r="U26" s="23"/>
      <c r="V26" s="23"/>
      <c r="W26" s="23"/>
      <c r="X26" s="23"/>
      <c r="Y26" s="23"/>
      <c r="Z26" s="23"/>
      <c r="AA26" s="23"/>
      <c r="AB26" s="120"/>
      <c r="AC26" s="13"/>
      <c r="AD26" s="210" t="s">
        <v>548</v>
      </c>
      <c r="AE26" s="403">
        <v>1</v>
      </c>
      <c r="AF26" s="199"/>
      <c r="AG26" s="43"/>
      <c r="AH26" s="276">
        <v>-30</v>
      </c>
      <c r="AI26" s="45" t="b">
        <f t="shared" si="5"/>
        <v>0</v>
      </c>
      <c r="AJ26" s="277">
        <v>-2.2999999999999998</v>
      </c>
      <c r="AK26" s="277">
        <v>-1.2</v>
      </c>
      <c r="AL26" s="277">
        <v>-1</v>
      </c>
      <c r="AM26" s="277">
        <v>-0.7</v>
      </c>
      <c r="AN26" s="277">
        <v>-1.3</v>
      </c>
      <c r="AO26" s="277">
        <v>-0.8</v>
      </c>
      <c r="AP26" s="277">
        <v>-1</v>
      </c>
      <c r="AQ26" s="277">
        <v>-1</v>
      </c>
      <c r="AR26" s="277">
        <v>-0.8</v>
      </c>
      <c r="AS26" s="277">
        <f t="shared" ca="1" si="6"/>
        <v>-2.5515498960000005</v>
      </c>
      <c r="AT26" s="277">
        <f t="shared" ca="1" si="7"/>
        <v>-1.3312434240000002</v>
      </c>
      <c r="AU26" s="277">
        <f t="shared" ca="1" si="8"/>
        <v>-1.1093695200000002</v>
      </c>
      <c r="AV26" s="277">
        <f t="shared" ca="1" si="9"/>
        <v>-0.77655866400000007</v>
      </c>
      <c r="AW26" s="277">
        <f t="shared" ca="1" si="10"/>
        <v>-1.4421803760000003</v>
      </c>
      <c r="AX26" s="277">
        <f t="shared" ca="1" si="11"/>
        <v>-0.88749561600000026</v>
      </c>
      <c r="AY26" s="277">
        <f t="shared" ca="1" si="12"/>
        <v>-1.1093695200000002</v>
      </c>
      <c r="AZ26" s="277">
        <f t="shared" ca="1" si="13"/>
        <v>-1.1093695200000002</v>
      </c>
      <c r="BA26" s="277">
        <f t="shared" ca="1" si="14"/>
        <v>-0.88749561600000026</v>
      </c>
      <c r="BB26" s="43"/>
      <c r="BC26" s="277">
        <v>-2.2999999999999998</v>
      </c>
      <c r="BD26" s="277">
        <v>-1.2</v>
      </c>
      <c r="BE26" s="277">
        <v>-1</v>
      </c>
      <c r="BF26" s="277">
        <v>-0.7</v>
      </c>
      <c r="BG26" s="277">
        <v>-1.3</v>
      </c>
      <c r="BH26" s="277">
        <v>-0.8</v>
      </c>
      <c r="BI26" s="277">
        <v>-1</v>
      </c>
      <c r="BJ26" s="277">
        <v>-1</v>
      </c>
      <c r="BK26" s="277">
        <v>-0.8</v>
      </c>
      <c r="BL26" s="277">
        <f t="shared" ca="1" si="15"/>
        <v>-2.5515498960000005</v>
      </c>
      <c r="BM26" s="277">
        <f t="shared" ca="1" si="16"/>
        <v>-1.3312434240000002</v>
      </c>
      <c r="BN26" s="277">
        <f t="shared" ca="1" si="17"/>
        <v>-1.1093695200000002</v>
      </c>
      <c r="BO26" s="277">
        <f t="shared" ca="1" si="18"/>
        <v>-0.77655866400000007</v>
      </c>
      <c r="BP26" s="277">
        <f t="shared" ca="1" si="19"/>
        <v>-1.4421803760000003</v>
      </c>
      <c r="BQ26" s="277">
        <f t="shared" ca="1" si="20"/>
        <v>-0.88749561600000026</v>
      </c>
      <c r="BR26" s="277">
        <f t="shared" ca="1" si="21"/>
        <v>-1.1093695200000002</v>
      </c>
      <c r="BS26" s="277">
        <f t="shared" ca="1" si="22"/>
        <v>-1.1093695200000002</v>
      </c>
      <c r="BT26" s="277">
        <f t="shared" ca="1" si="23"/>
        <v>-0.88749561600000026</v>
      </c>
      <c r="BU26" s="45"/>
    </row>
    <row r="27" spans="1:73" s="252" customFormat="1" ht="17.100000000000001" customHeight="1">
      <c r="A27" s="13"/>
      <c r="B27" s="119"/>
      <c r="C27" s="573" t="s">
        <v>428</v>
      </c>
      <c r="D27" s="574"/>
      <c r="E27" s="574"/>
      <c r="F27" s="574"/>
      <c r="G27" s="574"/>
      <c r="H27" s="574"/>
      <c r="I27" s="574"/>
      <c r="J27" s="574"/>
      <c r="K27" s="574"/>
      <c r="L27" s="574"/>
      <c r="M27" s="574"/>
      <c r="N27" s="574"/>
      <c r="O27" s="574"/>
      <c r="P27" s="574"/>
      <c r="Q27" s="574"/>
      <c r="R27" s="574"/>
      <c r="S27" s="574"/>
      <c r="T27" s="574"/>
      <c r="U27" s="574"/>
      <c r="V27" s="574"/>
      <c r="W27" s="575"/>
      <c r="X27" s="23"/>
      <c r="Y27" s="23"/>
      <c r="Z27" s="23"/>
      <c r="AA27" s="23"/>
      <c r="AB27" s="120"/>
      <c r="AC27" s="13"/>
      <c r="AD27" s="210" t="s">
        <v>549</v>
      </c>
      <c r="AE27" s="403">
        <v>2</v>
      </c>
      <c r="AF27" s="199"/>
      <c r="AG27" s="43"/>
      <c r="AH27" s="45">
        <v>-29</v>
      </c>
      <c r="AI27" s="45" t="b">
        <f t="shared" si="5"/>
        <v>0</v>
      </c>
      <c r="AJ27" s="98">
        <f>-0.3/15+AJ26</f>
        <v>-2.3199999999999998</v>
      </c>
      <c r="AK27" s="98">
        <f>0.2/15+AK26</f>
        <v>-1.1866666666666665</v>
      </c>
      <c r="AL27" s="98">
        <f>0.1/15+AL26</f>
        <v>-0.99333333333333329</v>
      </c>
      <c r="AM27" s="98">
        <f>0.1/15+AM26</f>
        <v>-0.69333333333333325</v>
      </c>
      <c r="AN27" s="98">
        <f>-0.1/15+AN26</f>
        <v>-1.3066666666666666</v>
      </c>
      <c r="AO27" s="98">
        <f>-0.5/15+AO26</f>
        <v>-0.83333333333333337</v>
      </c>
      <c r="AP27" s="98">
        <f>0.1/15+AP26</f>
        <v>-0.99333333333333329</v>
      </c>
      <c r="AQ27" s="98">
        <f>0.1/15+AQ26</f>
        <v>-0.99333333333333329</v>
      </c>
      <c r="AR27" s="98">
        <f>0+AR26</f>
        <v>-0.8</v>
      </c>
      <c r="AS27" s="277">
        <f t="shared" ca="1" si="6"/>
        <v>-2.5737372864000005</v>
      </c>
      <c r="AT27" s="277">
        <f t="shared" ca="1" si="7"/>
        <v>-1.3164518304000001</v>
      </c>
      <c r="AU27" s="277">
        <f t="shared" ca="1" si="8"/>
        <v>-1.1019737232000002</v>
      </c>
      <c r="AV27" s="277">
        <f t="shared" ca="1" si="9"/>
        <v>-0.76916286720000004</v>
      </c>
      <c r="AW27" s="277">
        <f t="shared" ca="1" si="10"/>
        <v>-1.4495761728000003</v>
      </c>
      <c r="AX27" s="277">
        <f t="shared" ca="1" si="11"/>
        <v>-0.92447460000000026</v>
      </c>
      <c r="AY27" s="277">
        <f t="shared" ca="1" si="12"/>
        <v>-1.1019737232000002</v>
      </c>
      <c r="AZ27" s="277">
        <f t="shared" ca="1" si="13"/>
        <v>-1.1019737232000002</v>
      </c>
      <c r="BA27" s="277">
        <f t="shared" ca="1" si="14"/>
        <v>-0.88749561600000026</v>
      </c>
      <c r="BB27" s="43"/>
      <c r="BC27" s="98">
        <f>-0.3/15+BC26</f>
        <v>-2.3199999999999998</v>
      </c>
      <c r="BD27" s="98">
        <f>0.2/15+BD26</f>
        <v>-1.1866666666666665</v>
      </c>
      <c r="BE27" s="98">
        <f>0.1/15+BE26</f>
        <v>-0.99333333333333329</v>
      </c>
      <c r="BF27" s="98">
        <f>0.1/15+BF26</f>
        <v>-0.69333333333333325</v>
      </c>
      <c r="BG27" s="98">
        <f>-0.1/15+BG26</f>
        <v>-1.3066666666666666</v>
      </c>
      <c r="BH27" s="98">
        <f>-0.5/15+BH26</f>
        <v>-0.83333333333333337</v>
      </c>
      <c r="BI27" s="98">
        <f>0.1/15+BI26</f>
        <v>-0.99333333333333329</v>
      </c>
      <c r="BJ27" s="98">
        <f>0.1/15+BJ26</f>
        <v>-0.99333333333333329</v>
      </c>
      <c r="BK27" s="98">
        <f>0+BK26</f>
        <v>-0.8</v>
      </c>
      <c r="BL27" s="277">
        <f t="shared" ca="1" si="15"/>
        <v>-2.5737372864000005</v>
      </c>
      <c r="BM27" s="277">
        <f t="shared" ca="1" si="16"/>
        <v>-1.3164518304000001</v>
      </c>
      <c r="BN27" s="277">
        <f t="shared" ca="1" si="17"/>
        <v>-1.1019737232000002</v>
      </c>
      <c r="BO27" s="277">
        <f t="shared" ca="1" si="18"/>
        <v>-0.76916286720000004</v>
      </c>
      <c r="BP27" s="277">
        <f t="shared" ca="1" si="19"/>
        <v>-1.4495761728000003</v>
      </c>
      <c r="BQ27" s="277">
        <f t="shared" ca="1" si="20"/>
        <v>-0.92447460000000026</v>
      </c>
      <c r="BR27" s="277">
        <f t="shared" ca="1" si="21"/>
        <v>-1.1019737232000002</v>
      </c>
      <c r="BS27" s="277">
        <f t="shared" ca="1" si="22"/>
        <v>-1.1019737232000002</v>
      </c>
      <c r="BT27" s="277">
        <f t="shared" ca="1" si="23"/>
        <v>-0.88749561600000026</v>
      </c>
      <c r="BU27" s="45"/>
    </row>
    <row r="28" spans="1:73" s="252" customFormat="1" ht="17.100000000000001" customHeight="1">
      <c r="A28" s="13"/>
      <c r="B28" s="119"/>
      <c r="C28" s="809" t="s">
        <v>385</v>
      </c>
      <c r="D28" s="810"/>
      <c r="E28" s="810"/>
      <c r="F28" s="738" t="s">
        <v>120</v>
      </c>
      <c r="G28" s="738"/>
      <c r="H28" s="738" t="s">
        <v>121</v>
      </c>
      <c r="I28" s="738"/>
      <c r="J28" s="738" t="s">
        <v>93</v>
      </c>
      <c r="K28" s="738"/>
      <c r="L28" s="738" t="s">
        <v>40</v>
      </c>
      <c r="M28" s="738"/>
      <c r="N28" s="738" t="s">
        <v>144</v>
      </c>
      <c r="O28" s="738"/>
      <c r="P28" s="738" t="s">
        <v>154</v>
      </c>
      <c r="Q28" s="738"/>
      <c r="R28" s="738" t="s">
        <v>155</v>
      </c>
      <c r="S28" s="738"/>
      <c r="T28" s="738" t="s">
        <v>156</v>
      </c>
      <c r="U28" s="738"/>
      <c r="V28" s="738" t="s">
        <v>157</v>
      </c>
      <c r="W28" s="771"/>
      <c r="X28" s="23"/>
      <c r="Y28" s="23"/>
      <c r="Z28" s="23"/>
      <c r="AA28" s="23"/>
      <c r="AB28" s="120"/>
      <c r="AC28" s="13"/>
      <c r="AD28" s="210" t="s">
        <v>550</v>
      </c>
      <c r="AE28" s="404">
        <v>45</v>
      </c>
      <c r="AF28" s="199"/>
      <c r="AG28" s="43"/>
      <c r="AH28" s="45">
        <v>-28</v>
      </c>
      <c r="AI28" s="45" t="b">
        <f t="shared" si="5"/>
        <v>0</v>
      </c>
      <c r="AJ28" s="98">
        <f t="shared" ref="AJ28:AJ40" si="41">-0.3/15+AJ27</f>
        <v>-2.34</v>
      </c>
      <c r="AK28" s="98">
        <f t="shared" ref="AK28:AK40" si="42">0.2/15+AK27</f>
        <v>-1.1733333333333331</v>
      </c>
      <c r="AL28" s="98">
        <f t="shared" ref="AL28:AL40" si="43">0.1/15+AL27</f>
        <v>-0.98666666666666658</v>
      </c>
      <c r="AM28" s="98">
        <f t="shared" ref="AM28:AM40" si="44">0.1/15+AM27</f>
        <v>-0.68666666666666654</v>
      </c>
      <c r="AN28" s="98">
        <f t="shared" ref="AN28:AN40" si="45">-0.1/15+AN27</f>
        <v>-1.3133333333333332</v>
      </c>
      <c r="AO28" s="98">
        <f t="shared" ref="AO28:AO40" si="46">-0.5/15+AO27</f>
        <v>-0.8666666666666667</v>
      </c>
      <c r="AP28" s="98">
        <f t="shared" ref="AP28:AP40" si="47">0.1/15+AP27</f>
        <v>-0.98666666666666658</v>
      </c>
      <c r="AQ28" s="98">
        <f t="shared" ref="AQ28:AQ40" si="48">0.1/15+AQ27</f>
        <v>-0.98666666666666658</v>
      </c>
      <c r="AR28" s="98">
        <f t="shared" ref="AR28:AR40" si="49">0+AR27</f>
        <v>-0.8</v>
      </c>
      <c r="AS28" s="277">
        <f t="shared" ca="1" si="6"/>
        <v>-2.5959246768000002</v>
      </c>
      <c r="AT28" s="277">
        <f t="shared" ca="1" si="7"/>
        <v>-1.3016602368000001</v>
      </c>
      <c r="AU28" s="277">
        <f t="shared" ca="1" si="8"/>
        <v>-1.0945779264000002</v>
      </c>
      <c r="AV28" s="277">
        <f t="shared" ca="1" si="9"/>
        <v>-0.76176707040000002</v>
      </c>
      <c r="AW28" s="277">
        <f t="shared" ca="1" si="10"/>
        <v>-1.4569719696000001</v>
      </c>
      <c r="AX28" s="277">
        <f t="shared" ca="1" si="11"/>
        <v>-0.96145358400000025</v>
      </c>
      <c r="AY28" s="277">
        <f t="shared" ca="1" si="12"/>
        <v>-1.0945779264000002</v>
      </c>
      <c r="AZ28" s="277">
        <f t="shared" ca="1" si="13"/>
        <v>-1.0945779264000002</v>
      </c>
      <c r="BA28" s="277">
        <f t="shared" ca="1" si="14"/>
        <v>-0.88749561600000026</v>
      </c>
      <c r="BB28" s="43"/>
      <c r="BC28" s="98">
        <f t="shared" ref="BC28:BC40" si="50">-0.3/15+BC27</f>
        <v>-2.34</v>
      </c>
      <c r="BD28" s="98">
        <f t="shared" ref="BD28:BD40" si="51">0.2/15+BD27</f>
        <v>-1.1733333333333331</v>
      </c>
      <c r="BE28" s="98">
        <f t="shared" ref="BE28:BF40" si="52">0.1/15+BE27</f>
        <v>-0.98666666666666658</v>
      </c>
      <c r="BF28" s="98">
        <f t="shared" si="52"/>
        <v>-0.68666666666666654</v>
      </c>
      <c r="BG28" s="98">
        <f t="shared" ref="BG28:BG40" si="53">-0.1/15+BG27</f>
        <v>-1.3133333333333332</v>
      </c>
      <c r="BH28" s="98">
        <f t="shared" ref="BH28:BH40" si="54">-0.5/15+BH27</f>
        <v>-0.8666666666666667</v>
      </c>
      <c r="BI28" s="98">
        <f t="shared" ref="BI28:BJ40" si="55">0.1/15+BI27</f>
        <v>-0.98666666666666658</v>
      </c>
      <c r="BJ28" s="98">
        <f t="shared" si="55"/>
        <v>-0.98666666666666658</v>
      </c>
      <c r="BK28" s="98">
        <f t="shared" ref="BK28:BK40" si="56">0+BK27</f>
        <v>-0.8</v>
      </c>
      <c r="BL28" s="277">
        <f t="shared" ca="1" si="15"/>
        <v>-2.5959246768000002</v>
      </c>
      <c r="BM28" s="277">
        <f t="shared" ca="1" si="16"/>
        <v>-1.3016602368000001</v>
      </c>
      <c r="BN28" s="277">
        <f t="shared" ca="1" si="17"/>
        <v>-1.0945779264000002</v>
      </c>
      <c r="BO28" s="277">
        <f t="shared" ca="1" si="18"/>
        <v>-0.76176707040000002</v>
      </c>
      <c r="BP28" s="277">
        <f t="shared" ca="1" si="19"/>
        <v>-1.4569719696000001</v>
      </c>
      <c r="BQ28" s="277">
        <f t="shared" ca="1" si="20"/>
        <v>-0.96145358400000025</v>
      </c>
      <c r="BR28" s="277">
        <f t="shared" ca="1" si="21"/>
        <v>-1.0945779264000002</v>
      </c>
      <c r="BS28" s="277">
        <f t="shared" ca="1" si="22"/>
        <v>-1.0945779264000002</v>
      </c>
      <c r="BT28" s="277">
        <f t="shared" ca="1" si="23"/>
        <v>-0.88749561600000026</v>
      </c>
      <c r="BU28" s="45"/>
    </row>
    <row r="29" spans="1:73" s="252" customFormat="1" ht="17.100000000000001" customHeight="1">
      <c r="A29" s="13"/>
      <c r="B29" s="119"/>
      <c r="C29" s="718" t="s">
        <v>437</v>
      </c>
      <c r="D29" s="719"/>
      <c r="E29" s="719"/>
      <c r="F29" s="711" t="str">
        <f>FIXED(AQ5,3)</f>
        <v>-1.033</v>
      </c>
      <c r="G29" s="711"/>
      <c r="H29" s="711" t="str">
        <f>FIXED(AR5,3)</f>
        <v>-0.700</v>
      </c>
      <c r="I29" s="711"/>
      <c r="J29" s="711" t="str">
        <f>FIXED(AS5,3)</f>
        <v>-0.400</v>
      </c>
      <c r="K29" s="711"/>
      <c r="L29" s="711" t="str">
        <f>FIXED(AT5,3)</f>
        <v>-0.600</v>
      </c>
      <c r="M29" s="711"/>
      <c r="N29" s="711" t="str">
        <f>FIXED(AU5,3)</f>
        <v>-1.367</v>
      </c>
      <c r="O29" s="711"/>
      <c r="P29" s="711" t="str">
        <f>FIXED(AV5,3)</f>
        <v>-1.133</v>
      </c>
      <c r="Q29" s="711"/>
      <c r="R29" s="711" t="str">
        <f>FIXED(AW5,3)</f>
        <v>-0.933</v>
      </c>
      <c r="S29" s="711"/>
      <c r="T29" s="711" t="str">
        <f>FIXED(AX5,3)</f>
        <v>-0.600</v>
      </c>
      <c r="U29" s="711"/>
      <c r="V29" s="711" t="str">
        <f>IF($AH$3=1,"-",FIXED(AY5,3))</f>
        <v>-0.433</v>
      </c>
      <c r="W29" s="712"/>
      <c r="X29" s="23"/>
      <c r="Y29" s="23"/>
      <c r="Z29" s="23"/>
      <c r="AA29" s="23"/>
      <c r="AB29" s="120"/>
      <c r="AC29" s="13"/>
      <c r="AD29" s="210" t="s">
        <v>586</v>
      </c>
      <c r="AE29" s="399">
        <f>M17</f>
        <v>20</v>
      </c>
      <c r="AF29" s="199" t="s">
        <v>569</v>
      </c>
      <c r="AG29" s="43"/>
      <c r="AH29" s="45">
        <v>-27</v>
      </c>
      <c r="AI29" s="45" t="b">
        <f t="shared" si="5"/>
        <v>0</v>
      </c>
      <c r="AJ29" s="98">
        <f t="shared" si="41"/>
        <v>-2.36</v>
      </c>
      <c r="AK29" s="98">
        <f t="shared" si="42"/>
        <v>-1.1599999999999997</v>
      </c>
      <c r="AL29" s="98">
        <f t="shared" si="43"/>
        <v>-0.97999999999999987</v>
      </c>
      <c r="AM29" s="98">
        <f t="shared" si="44"/>
        <v>-0.67999999999999983</v>
      </c>
      <c r="AN29" s="98">
        <f t="shared" si="45"/>
        <v>-1.3199999999999998</v>
      </c>
      <c r="AO29" s="98">
        <f t="shared" si="46"/>
        <v>-0.9</v>
      </c>
      <c r="AP29" s="98">
        <f t="shared" si="47"/>
        <v>-0.97999999999999987</v>
      </c>
      <c r="AQ29" s="98">
        <f t="shared" si="48"/>
        <v>-0.97999999999999987</v>
      </c>
      <c r="AR29" s="98">
        <f t="shared" si="49"/>
        <v>-0.8</v>
      </c>
      <c r="AS29" s="277">
        <f t="shared" ca="1" si="6"/>
        <v>-2.6181120672000002</v>
      </c>
      <c r="AT29" s="277">
        <f t="shared" ca="1" si="7"/>
        <v>-1.2868686431999998</v>
      </c>
      <c r="AU29" s="277">
        <f t="shared" ca="1" si="8"/>
        <v>-1.0871821296000002</v>
      </c>
      <c r="AV29" s="277">
        <f t="shared" ca="1" si="9"/>
        <v>-0.7543712736</v>
      </c>
      <c r="AW29" s="277">
        <f t="shared" ca="1" si="10"/>
        <v>-1.4643677664000001</v>
      </c>
      <c r="AX29" s="277">
        <f t="shared" ca="1" si="11"/>
        <v>-0.99843256800000024</v>
      </c>
      <c r="AY29" s="277">
        <f t="shared" ca="1" si="12"/>
        <v>-1.0871821296000002</v>
      </c>
      <c r="AZ29" s="277">
        <f t="shared" ca="1" si="13"/>
        <v>-1.0871821296000002</v>
      </c>
      <c r="BA29" s="277">
        <f t="shared" ca="1" si="14"/>
        <v>-0.88749561600000026</v>
      </c>
      <c r="BB29" s="43"/>
      <c r="BC29" s="98">
        <f t="shared" si="50"/>
        <v>-2.36</v>
      </c>
      <c r="BD29" s="98">
        <f t="shared" si="51"/>
        <v>-1.1599999999999997</v>
      </c>
      <c r="BE29" s="98">
        <f t="shared" si="52"/>
        <v>-0.97999999999999987</v>
      </c>
      <c r="BF29" s="98">
        <f t="shared" si="52"/>
        <v>-0.67999999999999983</v>
      </c>
      <c r="BG29" s="98">
        <f t="shared" si="53"/>
        <v>-1.3199999999999998</v>
      </c>
      <c r="BH29" s="98">
        <f t="shared" si="54"/>
        <v>-0.9</v>
      </c>
      <c r="BI29" s="98">
        <f t="shared" si="55"/>
        <v>-0.97999999999999987</v>
      </c>
      <c r="BJ29" s="98">
        <f t="shared" si="55"/>
        <v>-0.97999999999999987</v>
      </c>
      <c r="BK29" s="98">
        <f t="shared" si="56"/>
        <v>-0.8</v>
      </c>
      <c r="BL29" s="277">
        <f t="shared" ca="1" si="15"/>
        <v>-2.6181120672000002</v>
      </c>
      <c r="BM29" s="277">
        <f t="shared" ca="1" si="16"/>
        <v>-1.2868686431999998</v>
      </c>
      <c r="BN29" s="277">
        <f t="shared" ca="1" si="17"/>
        <v>-1.0871821296000002</v>
      </c>
      <c r="BO29" s="277">
        <f t="shared" ca="1" si="18"/>
        <v>-0.7543712736</v>
      </c>
      <c r="BP29" s="277">
        <f t="shared" ca="1" si="19"/>
        <v>-1.4643677664000001</v>
      </c>
      <c r="BQ29" s="277">
        <f t="shared" ca="1" si="20"/>
        <v>-0.99843256800000024</v>
      </c>
      <c r="BR29" s="277">
        <f t="shared" ca="1" si="21"/>
        <v>-1.0871821296000002</v>
      </c>
      <c r="BS29" s="277">
        <f t="shared" ca="1" si="22"/>
        <v>-1.0871821296000002</v>
      </c>
      <c r="BT29" s="277">
        <f t="shared" ca="1" si="23"/>
        <v>-0.88749561600000026</v>
      </c>
      <c r="BU29" s="45"/>
    </row>
    <row r="30" spans="1:73" s="252" customFormat="1" ht="17.100000000000001" customHeight="1">
      <c r="A30" s="13"/>
      <c r="B30" s="119"/>
      <c r="C30" s="939" t="s">
        <v>436</v>
      </c>
      <c r="D30" s="837"/>
      <c r="E30" s="837"/>
      <c r="F30" s="746" t="str">
        <f>FIXED(AQ6,3)</f>
        <v>0.400</v>
      </c>
      <c r="G30" s="746"/>
      <c r="H30" s="746" t="str">
        <f>FIXED(AR6,3)</f>
        <v>0.300</v>
      </c>
      <c r="I30" s="746"/>
      <c r="J30" s="746" t="str">
        <f>FIXED(AS6,3)</f>
        <v>0.267</v>
      </c>
      <c r="K30" s="746"/>
      <c r="L30" s="746" t="str">
        <f>FIXED(AT6,3)</f>
        <v>-0.600</v>
      </c>
      <c r="M30" s="746"/>
      <c r="N30" s="746" t="str">
        <f>FIXED(AU6,3)</f>
        <v>-1.367</v>
      </c>
      <c r="O30" s="746"/>
      <c r="P30" s="746" t="str">
        <f>FIXED(AV6,3)</f>
        <v>-1.133</v>
      </c>
      <c r="Q30" s="746"/>
      <c r="R30" s="746" t="str">
        <f>FIXED(AW6,3)</f>
        <v>0.000</v>
      </c>
      <c r="S30" s="746"/>
      <c r="T30" s="746" t="str">
        <f>FIXED(AX6,3)</f>
        <v>0.000</v>
      </c>
      <c r="U30" s="746"/>
      <c r="V30" s="746" t="str">
        <f>IF($AH$3=1,"-",FIXED(AY6,3))</f>
        <v>0.000</v>
      </c>
      <c r="W30" s="747"/>
      <c r="X30" s="23"/>
      <c r="Y30" s="23"/>
      <c r="Z30" s="23"/>
      <c r="AA30" s="23"/>
      <c r="AB30" s="120"/>
      <c r="AC30" s="13"/>
      <c r="AD30" s="210" t="s">
        <v>585</v>
      </c>
      <c r="AE30" s="405">
        <f>M18</f>
        <v>90</v>
      </c>
      <c r="AF30" s="199" t="s">
        <v>570</v>
      </c>
      <c r="AG30" s="43"/>
      <c r="AH30" s="45">
        <v>-26</v>
      </c>
      <c r="AI30" s="45" t="b">
        <f t="shared" si="5"/>
        <v>0</v>
      </c>
      <c r="AJ30" s="98">
        <f t="shared" si="41"/>
        <v>-2.38</v>
      </c>
      <c r="AK30" s="98">
        <f t="shared" si="42"/>
        <v>-1.1466666666666663</v>
      </c>
      <c r="AL30" s="98">
        <f t="shared" si="43"/>
        <v>-0.97333333333333316</v>
      </c>
      <c r="AM30" s="98">
        <f t="shared" si="44"/>
        <v>-0.67333333333333312</v>
      </c>
      <c r="AN30" s="98">
        <f t="shared" si="45"/>
        <v>-1.3266666666666664</v>
      </c>
      <c r="AO30" s="98">
        <f t="shared" si="46"/>
        <v>-0.93333333333333335</v>
      </c>
      <c r="AP30" s="98">
        <f t="shared" si="47"/>
        <v>-0.97333333333333316</v>
      </c>
      <c r="AQ30" s="98">
        <f t="shared" si="48"/>
        <v>-0.97333333333333316</v>
      </c>
      <c r="AR30" s="98">
        <f t="shared" si="49"/>
        <v>-0.8</v>
      </c>
      <c r="AS30" s="277">
        <f t="shared" ca="1" si="6"/>
        <v>-2.6402994576000003</v>
      </c>
      <c r="AT30" s="277">
        <f t="shared" ca="1" si="7"/>
        <v>-1.2720770495999998</v>
      </c>
      <c r="AU30" s="277">
        <f t="shared" ca="1" si="8"/>
        <v>-1.0797863327999999</v>
      </c>
      <c r="AV30" s="277">
        <f t="shared" ca="1" si="9"/>
        <v>-0.74697547679999987</v>
      </c>
      <c r="AW30" s="277">
        <f t="shared" ca="1" si="10"/>
        <v>-1.4717635632000001</v>
      </c>
      <c r="AX30" s="277">
        <f t="shared" ca="1" si="11"/>
        <v>-1.0354115520000002</v>
      </c>
      <c r="AY30" s="277">
        <f t="shared" ca="1" si="12"/>
        <v>-1.0797863327999999</v>
      </c>
      <c r="AZ30" s="277">
        <f t="shared" ca="1" si="13"/>
        <v>-1.0797863327999999</v>
      </c>
      <c r="BA30" s="277">
        <f t="shared" ca="1" si="14"/>
        <v>-0.88749561600000026</v>
      </c>
      <c r="BB30" s="43"/>
      <c r="BC30" s="98">
        <f t="shared" si="50"/>
        <v>-2.38</v>
      </c>
      <c r="BD30" s="98">
        <f t="shared" si="51"/>
        <v>-1.1466666666666663</v>
      </c>
      <c r="BE30" s="98">
        <f t="shared" si="52"/>
        <v>-0.97333333333333316</v>
      </c>
      <c r="BF30" s="98">
        <f t="shared" si="52"/>
        <v>-0.67333333333333312</v>
      </c>
      <c r="BG30" s="98">
        <f t="shared" si="53"/>
        <v>-1.3266666666666664</v>
      </c>
      <c r="BH30" s="98">
        <f t="shared" si="54"/>
        <v>-0.93333333333333335</v>
      </c>
      <c r="BI30" s="98">
        <f t="shared" si="55"/>
        <v>-0.97333333333333316</v>
      </c>
      <c r="BJ30" s="98">
        <f t="shared" si="55"/>
        <v>-0.97333333333333316</v>
      </c>
      <c r="BK30" s="98">
        <f t="shared" si="56"/>
        <v>-0.8</v>
      </c>
      <c r="BL30" s="277">
        <f t="shared" ca="1" si="15"/>
        <v>-2.6402994576000003</v>
      </c>
      <c r="BM30" s="277">
        <f t="shared" ca="1" si="16"/>
        <v>-1.2720770495999998</v>
      </c>
      <c r="BN30" s="277">
        <f t="shared" ca="1" si="17"/>
        <v>-1.0797863327999999</v>
      </c>
      <c r="BO30" s="277">
        <f t="shared" ca="1" si="18"/>
        <v>-0.74697547679999987</v>
      </c>
      <c r="BP30" s="277">
        <f t="shared" ca="1" si="19"/>
        <v>-1.4717635632000001</v>
      </c>
      <c r="BQ30" s="277">
        <f t="shared" ca="1" si="20"/>
        <v>-1.0354115520000002</v>
      </c>
      <c r="BR30" s="277">
        <f t="shared" ca="1" si="21"/>
        <v>-1.0797863327999999</v>
      </c>
      <c r="BS30" s="277">
        <f t="shared" ca="1" si="22"/>
        <v>-1.0797863327999999</v>
      </c>
      <c r="BT30" s="277">
        <f t="shared" ca="1" si="23"/>
        <v>-0.88749561600000026</v>
      </c>
      <c r="BU30" s="45"/>
    </row>
    <row r="31" spans="1:73" s="252" customFormat="1" ht="17.100000000000001" customHeight="1">
      <c r="A31" s="13"/>
      <c r="B31" s="119"/>
      <c r="C31" s="752" t="s">
        <v>438</v>
      </c>
      <c r="D31" s="753"/>
      <c r="E31" s="753"/>
      <c r="F31" s="711" t="str">
        <f ca="1">FIXED(AQ3,3)</f>
        <v>-1.146</v>
      </c>
      <c r="G31" s="711"/>
      <c r="H31" s="711" t="str">
        <f ca="1">FIXED(AR3,3)</f>
        <v>-0.777</v>
      </c>
      <c r="I31" s="711"/>
      <c r="J31" s="711" t="str">
        <f ca="1">FIXED(AS3,3)</f>
        <v>-0.444</v>
      </c>
      <c r="K31" s="711"/>
      <c r="L31" s="711" t="str">
        <f ca="1">FIXED(AT3,3)</f>
        <v>-0.666</v>
      </c>
      <c r="M31" s="711"/>
      <c r="N31" s="711" t="str">
        <f ca="1">FIXED(AU3,3)</f>
        <v>-1.516</v>
      </c>
      <c r="O31" s="711"/>
      <c r="P31" s="711" t="str">
        <f ca="1">FIXED(AV3,3)</f>
        <v>-1.257</v>
      </c>
      <c r="Q31" s="711"/>
      <c r="R31" s="711" t="str">
        <f ca="1">FIXED(AW3,3)</f>
        <v>-1.035</v>
      </c>
      <c r="S31" s="711"/>
      <c r="T31" s="711" t="str">
        <f ca="1">FIXED(AX3,3)</f>
        <v>-0.666</v>
      </c>
      <c r="U31" s="711"/>
      <c r="V31" s="711" t="str">
        <f ca="1">IF($AH$3=1,"-",FIXED(AY3,3))</f>
        <v>-0.481</v>
      </c>
      <c r="W31" s="712"/>
      <c r="X31" s="23"/>
      <c r="Y31" s="23"/>
      <c r="Z31" s="23"/>
      <c r="AA31" s="23"/>
      <c r="AB31" s="120"/>
      <c r="AC31" s="13"/>
      <c r="AD31" s="210" t="s">
        <v>552</v>
      </c>
      <c r="AE31" s="401" t="s">
        <v>465</v>
      </c>
      <c r="AF31" s="199"/>
      <c r="AG31" s="43"/>
      <c r="AH31" s="45">
        <v>-25</v>
      </c>
      <c r="AI31" s="45" t="b">
        <f t="shared" si="5"/>
        <v>0</v>
      </c>
      <c r="AJ31" s="98">
        <f t="shared" si="41"/>
        <v>-2.4</v>
      </c>
      <c r="AK31" s="98">
        <f t="shared" si="42"/>
        <v>-1.1333333333333329</v>
      </c>
      <c r="AL31" s="98">
        <f t="shared" si="43"/>
        <v>-0.96666666666666645</v>
      </c>
      <c r="AM31" s="98">
        <f t="shared" si="44"/>
        <v>-0.66666666666666641</v>
      </c>
      <c r="AN31" s="98">
        <f t="shared" si="45"/>
        <v>-1.333333333333333</v>
      </c>
      <c r="AO31" s="98">
        <f t="shared" si="46"/>
        <v>-0.96666666666666667</v>
      </c>
      <c r="AP31" s="98">
        <f t="shared" si="47"/>
        <v>-0.96666666666666645</v>
      </c>
      <c r="AQ31" s="98">
        <f t="shared" si="48"/>
        <v>-0.96666666666666645</v>
      </c>
      <c r="AR31" s="98">
        <f t="shared" si="49"/>
        <v>-0.8</v>
      </c>
      <c r="AS31" s="277">
        <f t="shared" ca="1" si="6"/>
        <v>-2.6624868480000004</v>
      </c>
      <c r="AT31" s="277">
        <f t="shared" ca="1" si="7"/>
        <v>-1.2572854559999997</v>
      </c>
      <c r="AU31" s="277">
        <f t="shared" ca="1" si="8"/>
        <v>-1.0723905359999999</v>
      </c>
      <c r="AV31" s="277">
        <f t="shared" ca="1" si="9"/>
        <v>-0.73957967999999985</v>
      </c>
      <c r="AW31" s="277">
        <f t="shared" ca="1" si="10"/>
        <v>-1.4791593599999999</v>
      </c>
      <c r="AX31" s="277">
        <f t="shared" ca="1" si="11"/>
        <v>-1.0723905360000001</v>
      </c>
      <c r="AY31" s="277">
        <f t="shared" ca="1" si="12"/>
        <v>-1.0723905359999999</v>
      </c>
      <c r="AZ31" s="277">
        <f t="shared" ca="1" si="13"/>
        <v>-1.0723905359999999</v>
      </c>
      <c r="BA31" s="277">
        <f t="shared" ca="1" si="14"/>
        <v>-0.88749561600000026</v>
      </c>
      <c r="BB31" s="43"/>
      <c r="BC31" s="98">
        <f t="shared" si="50"/>
        <v>-2.4</v>
      </c>
      <c r="BD31" s="98">
        <f t="shared" si="51"/>
        <v>-1.1333333333333329</v>
      </c>
      <c r="BE31" s="98">
        <f t="shared" si="52"/>
        <v>-0.96666666666666645</v>
      </c>
      <c r="BF31" s="98">
        <f t="shared" si="52"/>
        <v>-0.66666666666666641</v>
      </c>
      <c r="BG31" s="98">
        <f t="shared" si="53"/>
        <v>-1.333333333333333</v>
      </c>
      <c r="BH31" s="98">
        <f t="shared" si="54"/>
        <v>-0.96666666666666667</v>
      </c>
      <c r="BI31" s="98">
        <f t="shared" si="55"/>
        <v>-0.96666666666666645</v>
      </c>
      <c r="BJ31" s="98">
        <f t="shared" si="55"/>
        <v>-0.96666666666666645</v>
      </c>
      <c r="BK31" s="98">
        <f t="shared" si="56"/>
        <v>-0.8</v>
      </c>
      <c r="BL31" s="277">
        <f t="shared" ca="1" si="15"/>
        <v>-2.6624868480000004</v>
      </c>
      <c r="BM31" s="277">
        <f t="shared" ca="1" si="16"/>
        <v>-1.2572854559999997</v>
      </c>
      <c r="BN31" s="277">
        <f t="shared" ca="1" si="17"/>
        <v>-1.0723905359999999</v>
      </c>
      <c r="BO31" s="277">
        <f t="shared" ca="1" si="18"/>
        <v>-0.73957967999999985</v>
      </c>
      <c r="BP31" s="277">
        <f t="shared" ca="1" si="19"/>
        <v>-1.4791593599999999</v>
      </c>
      <c r="BQ31" s="277">
        <f t="shared" ca="1" si="20"/>
        <v>-1.0723905360000001</v>
      </c>
      <c r="BR31" s="277">
        <f t="shared" ca="1" si="21"/>
        <v>-1.0723905359999999</v>
      </c>
      <c r="BS31" s="277">
        <f t="shared" ca="1" si="22"/>
        <v>-1.0723905359999999</v>
      </c>
      <c r="BT31" s="277">
        <f t="shared" ca="1" si="23"/>
        <v>-0.88749561600000026</v>
      </c>
      <c r="BU31" s="45"/>
    </row>
    <row r="32" spans="1:73" s="252" customFormat="1" ht="17.100000000000001" customHeight="1">
      <c r="A32" s="13"/>
      <c r="B32" s="119"/>
      <c r="C32" s="940" t="s">
        <v>439</v>
      </c>
      <c r="D32" s="941"/>
      <c r="E32" s="941"/>
      <c r="F32" s="931" t="str">
        <f ca="1">FIXED(AQ4,3)</f>
        <v>0.444</v>
      </c>
      <c r="G32" s="931"/>
      <c r="H32" s="931" t="str">
        <f ca="1">FIXED(AR4,3)</f>
        <v>0.333</v>
      </c>
      <c r="I32" s="931"/>
      <c r="J32" s="931" t="str">
        <f ca="1">FIXED(AS4,3)</f>
        <v>0.296</v>
      </c>
      <c r="K32" s="931"/>
      <c r="L32" s="931" t="str">
        <f ca="1">FIXED(AT4,3)</f>
        <v>-0.666</v>
      </c>
      <c r="M32" s="931"/>
      <c r="N32" s="931" t="str">
        <f ca="1">FIXED(AU4,3)</f>
        <v>-1.516</v>
      </c>
      <c r="O32" s="931"/>
      <c r="P32" s="931" t="str">
        <f ca="1">FIXED(AV4,3)</f>
        <v>-1.257</v>
      </c>
      <c r="Q32" s="931"/>
      <c r="R32" s="931" t="str">
        <f ca="1">FIXED(AW4,3)</f>
        <v>0.000</v>
      </c>
      <c r="S32" s="931"/>
      <c r="T32" s="931" t="str">
        <f ca="1">FIXED(AX4,3)</f>
        <v>0.000</v>
      </c>
      <c r="U32" s="931"/>
      <c r="V32" s="931" t="str">
        <f ca="1">IF($AH$3=1,"-",FIXED(AY4,3))</f>
        <v>0.000</v>
      </c>
      <c r="W32" s="932"/>
      <c r="X32" s="23"/>
      <c r="Y32" s="23"/>
      <c r="Z32" s="23"/>
      <c r="AA32" s="23"/>
      <c r="AB32" s="120"/>
      <c r="AC32" s="13"/>
      <c r="AD32" s="210" t="s">
        <v>553</v>
      </c>
      <c r="AE32" s="401" t="s">
        <v>476</v>
      </c>
      <c r="AF32" s="199"/>
      <c r="AG32" s="43"/>
      <c r="AH32" s="45">
        <v>-24</v>
      </c>
      <c r="AI32" s="45" t="b">
        <f t="shared" si="5"/>
        <v>0</v>
      </c>
      <c r="AJ32" s="98">
        <f t="shared" si="41"/>
        <v>-2.42</v>
      </c>
      <c r="AK32" s="98">
        <f t="shared" si="42"/>
        <v>-1.1199999999999994</v>
      </c>
      <c r="AL32" s="98">
        <f t="shared" si="43"/>
        <v>-0.95999999999999974</v>
      </c>
      <c r="AM32" s="98">
        <f t="shared" si="44"/>
        <v>-0.6599999999999997</v>
      </c>
      <c r="AN32" s="98">
        <f t="shared" si="45"/>
        <v>-1.3399999999999996</v>
      </c>
      <c r="AO32" s="98">
        <f t="shared" si="46"/>
        <v>-1</v>
      </c>
      <c r="AP32" s="98">
        <f t="shared" si="47"/>
        <v>-0.95999999999999974</v>
      </c>
      <c r="AQ32" s="98">
        <f t="shared" si="48"/>
        <v>-0.95999999999999974</v>
      </c>
      <c r="AR32" s="98">
        <f t="shared" si="49"/>
        <v>-0.8</v>
      </c>
      <c r="AS32" s="277">
        <f t="shared" ca="1" si="6"/>
        <v>-2.6846742384000004</v>
      </c>
      <c r="AT32" s="277">
        <f t="shared" ca="1" si="7"/>
        <v>-1.2424938623999997</v>
      </c>
      <c r="AU32" s="277">
        <f t="shared" ca="1" si="8"/>
        <v>-1.0649947391999999</v>
      </c>
      <c r="AV32" s="277">
        <f t="shared" ca="1" si="9"/>
        <v>-0.73218388319999983</v>
      </c>
      <c r="AW32" s="277">
        <f t="shared" ca="1" si="10"/>
        <v>-1.4865551567999999</v>
      </c>
      <c r="AX32" s="277">
        <f t="shared" ca="1" si="11"/>
        <v>-1.1093695200000002</v>
      </c>
      <c r="AY32" s="277">
        <f t="shared" ca="1" si="12"/>
        <v>-1.0649947391999999</v>
      </c>
      <c r="AZ32" s="277">
        <f t="shared" ca="1" si="13"/>
        <v>-1.0649947391999999</v>
      </c>
      <c r="BA32" s="277">
        <f t="shared" ca="1" si="14"/>
        <v>-0.88749561600000026</v>
      </c>
      <c r="BB32" s="43"/>
      <c r="BC32" s="98">
        <f t="shared" si="50"/>
        <v>-2.42</v>
      </c>
      <c r="BD32" s="98">
        <f t="shared" si="51"/>
        <v>-1.1199999999999994</v>
      </c>
      <c r="BE32" s="98">
        <f t="shared" si="52"/>
        <v>-0.95999999999999974</v>
      </c>
      <c r="BF32" s="98">
        <f t="shared" si="52"/>
        <v>-0.6599999999999997</v>
      </c>
      <c r="BG32" s="98">
        <f t="shared" si="53"/>
        <v>-1.3399999999999996</v>
      </c>
      <c r="BH32" s="98">
        <f t="shared" si="54"/>
        <v>-1</v>
      </c>
      <c r="BI32" s="98">
        <f t="shared" si="55"/>
        <v>-0.95999999999999974</v>
      </c>
      <c r="BJ32" s="98">
        <f t="shared" si="55"/>
        <v>-0.95999999999999974</v>
      </c>
      <c r="BK32" s="98">
        <f t="shared" si="56"/>
        <v>-0.8</v>
      </c>
      <c r="BL32" s="277">
        <f t="shared" ca="1" si="15"/>
        <v>-2.6846742384000004</v>
      </c>
      <c r="BM32" s="277">
        <f t="shared" ca="1" si="16"/>
        <v>-1.2424938623999997</v>
      </c>
      <c r="BN32" s="277">
        <f t="shared" ca="1" si="17"/>
        <v>-1.0649947391999999</v>
      </c>
      <c r="BO32" s="277">
        <f t="shared" ca="1" si="18"/>
        <v>-0.73218388319999983</v>
      </c>
      <c r="BP32" s="277">
        <f t="shared" ca="1" si="19"/>
        <v>-1.4865551567999999</v>
      </c>
      <c r="BQ32" s="277">
        <f t="shared" ca="1" si="20"/>
        <v>-1.1093695200000002</v>
      </c>
      <c r="BR32" s="277">
        <f t="shared" ca="1" si="21"/>
        <v>-1.0649947391999999</v>
      </c>
      <c r="BS32" s="277">
        <f t="shared" ca="1" si="22"/>
        <v>-1.0649947391999999</v>
      </c>
      <c r="BT32" s="277">
        <f t="shared" ca="1" si="23"/>
        <v>-0.88749561600000026</v>
      </c>
      <c r="BU32" s="45"/>
    </row>
    <row r="33" spans="1:73" s="252" customFormat="1" ht="17.100000000000001" customHeight="1">
      <c r="A33" s="13"/>
      <c r="B33" s="119"/>
      <c r="C33" s="756" t="s">
        <v>424</v>
      </c>
      <c r="D33" s="757"/>
      <c r="E33" s="757"/>
      <c r="F33" s="757"/>
      <c r="G33" s="757"/>
      <c r="H33" s="757"/>
      <c r="I33" s="757"/>
      <c r="J33" s="757"/>
      <c r="K33" s="757"/>
      <c r="L33" s="757"/>
      <c r="M33" s="757"/>
      <c r="N33" s="757"/>
      <c r="O33" s="757"/>
      <c r="P33" s="757"/>
      <c r="Q33" s="757"/>
      <c r="R33" s="757"/>
      <c r="S33" s="757"/>
      <c r="T33" s="757"/>
      <c r="U33" s="757"/>
      <c r="V33" s="757"/>
      <c r="W33" s="757"/>
      <c r="X33" s="792" t="s">
        <v>455</v>
      </c>
      <c r="Y33" s="793"/>
      <c r="Z33" s="793"/>
      <c r="AA33" s="794"/>
      <c r="AB33" s="120"/>
      <c r="AC33" s="13"/>
      <c r="AD33" s="210" t="s">
        <v>551</v>
      </c>
      <c r="AE33" s="401">
        <v>0.5</v>
      </c>
      <c r="AF33" s="199"/>
      <c r="AG33" s="43"/>
      <c r="AH33" s="45">
        <v>-23</v>
      </c>
      <c r="AI33" s="45" t="b">
        <f t="shared" si="5"/>
        <v>0</v>
      </c>
      <c r="AJ33" s="98">
        <f t="shared" si="41"/>
        <v>-2.44</v>
      </c>
      <c r="AK33" s="98">
        <f t="shared" si="42"/>
        <v>-1.106666666666666</v>
      </c>
      <c r="AL33" s="98">
        <f t="shared" si="43"/>
        <v>-0.95333333333333303</v>
      </c>
      <c r="AM33" s="98">
        <f t="shared" si="44"/>
        <v>-0.65333333333333299</v>
      </c>
      <c r="AN33" s="98">
        <f t="shared" si="45"/>
        <v>-1.3466666666666662</v>
      </c>
      <c r="AO33" s="98">
        <f t="shared" si="46"/>
        <v>-1.0333333333333334</v>
      </c>
      <c r="AP33" s="98">
        <f t="shared" si="47"/>
        <v>-0.95333333333333303</v>
      </c>
      <c r="AQ33" s="98">
        <f t="shared" si="48"/>
        <v>-0.95333333333333303</v>
      </c>
      <c r="AR33" s="98">
        <f t="shared" si="49"/>
        <v>-0.8</v>
      </c>
      <c r="AS33" s="277">
        <f t="shared" ca="1" si="6"/>
        <v>-2.7068616288000005</v>
      </c>
      <c r="AT33" s="277">
        <f t="shared" ca="1" si="7"/>
        <v>-1.2277022687999994</v>
      </c>
      <c r="AU33" s="277">
        <f t="shared" ca="1" si="8"/>
        <v>-1.0575989423999999</v>
      </c>
      <c r="AV33" s="277">
        <f t="shared" ca="1" si="9"/>
        <v>-0.72478808639999981</v>
      </c>
      <c r="AW33" s="277">
        <f t="shared" ca="1" si="10"/>
        <v>-1.4939509535999997</v>
      </c>
      <c r="AX33" s="277">
        <f t="shared" ca="1" si="11"/>
        <v>-1.1463485040000003</v>
      </c>
      <c r="AY33" s="277">
        <f t="shared" ca="1" si="12"/>
        <v>-1.0575989423999999</v>
      </c>
      <c r="AZ33" s="277">
        <f t="shared" ca="1" si="13"/>
        <v>-1.0575989423999999</v>
      </c>
      <c r="BA33" s="277">
        <f t="shared" ca="1" si="14"/>
        <v>-0.88749561600000026</v>
      </c>
      <c r="BB33" s="43"/>
      <c r="BC33" s="98">
        <f t="shared" si="50"/>
        <v>-2.44</v>
      </c>
      <c r="BD33" s="98">
        <f t="shared" si="51"/>
        <v>-1.106666666666666</v>
      </c>
      <c r="BE33" s="98">
        <f t="shared" si="52"/>
        <v>-0.95333333333333303</v>
      </c>
      <c r="BF33" s="98">
        <f t="shared" si="52"/>
        <v>-0.65333333333333299</v>
      </c>
      <c r="BG33" s="98">
        <f t="shared" si="53"/>
        <v>-1.3466666666666662</v>
      </c>
      <c r="BH33" s="98">
        <f t="shared" si="54"/>
        <v>-1.0333333333333334</v>
      </c>
      <c r="BI33" s="98">
        <f t="shared" si="55"/>
        <v>-0.95333333333333303</v>
      </c>
      <c r="BJ33" s="98">
        <f t="shared" si="55"/>
        <v>-0.95333333333333303</v>
      </c>
      <c r="BK33" s="98">
        <f t="shared" si="56"/>
        <v>-0.8</v>
      </c>
      <c r="BL33" s="277">
        <f t="shared" ca="1" si="15"/>
        <v>-2.7068616288000005</v>
      </c>
      <c r="BM33" s="277">
        <f t="shared" ca="1" si="16"/>
        <v>-1.2277022687999994</v>
      </c>
      <c r="BN33" s="277">
        <f t="shared" ca="1" si="17"/>
        <v>-1.0575989423999999</v>
      </c>
      <c r="BO33" s="277">
        <f t="shared" ca="1" si="18"/>
        <v>-0.72478808639999981</v>
      </c>
      <c r="BP33" s="277">
        <f t="shared" ca="1" si="19"/>
        <v>-1.4939509535999997</v>
      </c>
      <c r="BQ33" s="277">
        <f t="shared" ca="1" si="20"/>
        <v>-1.1463485040000003</v>
      </c>
      <c r="BR33" s="277">
        <f t="shared" ca="1" si="21"/>
        <v>-1.0575989423999999</v>
      </c>
      <c r="BS33" s="277">
        <f t="shared" ca="1" si="22"/>
        <v>-1.0575989423999999</v>
      </c>
      <c r="BT33" s="277">
        <f t="shared" ca="1" si="23"/>
        <v>-0.88749561600000026</v>
      </c>
      <c r="BU33" s="45"/>
    </row>
    <row r="34" spans="1:73" s="252" customFormat="1" ht="17.100000000000001" customHeight="1">
      <c r="A34" s="13"/>
      <c r="B34" s="119"/>
      <c r="C34" s="945" t="s">
        <v>456</v>
      </c>
      <c r="D34" s="946"/>
      <c r="E34" s="410" t="s">
        <v>480</v>
      </c>
      <c r="F34" s="931" t="str">
        <f ca="1">FIXED(BB3,3)</f>
        <v>-1.416</v>
      </c>
      <c r="G34" s="931"/>
      <c r="H34" s="931" t="str">
        <f ca="1">FIXED(BC3,3)</f>
        <v>-1.047</v>
      </c>
      <c r="I34" s="931"/>
      <c r="J34" s="931" t="str">
        <f ca="1">FIXED(BD3,3)</f>
        <v>-0.714</v>
      </c>
      <c r="K34" s="931"/>
      <c r="L34" s="931" t="str">
        <f ca="1">FIXED(BE3,3)</f>
        <v>-0.936</v>
      </c>
      <c r="M34" s="931"/>
      <c r="N34" s="931" t="str">
        <f ca="1">FIXED(BF3,3)</f>
        <v>-1.786</v>
      </c>
      <c r="O34" s="931"/>
      <c r="P34" s="931" t="str">
        <f ca="1">FIXED(BG3,3)</f>
        <v>-1.527</v>
      </c>
      <c r="Q34" s="931"/>
      <c r="R34" s="931" t="str">
        <f ca="1">FIXED(BH3,3)</f>
        <v>-1.305</v>
      </c>
      <c r="S34" s="931"/>
      <c r="T34" s="931" t="str">
        <f ca="1">FIXED(BI3,3)</f>
        <v>-0.936</v>
      </c>
      <c r="U34" s="931"/>
      <c r="V34" s="931" t="str">
        <f ca="1">IF($AH$3=1,"-",FIXED(BJ3,3))</f>
        <v>-0.751</v>
      </c>
      <c r="W34" s="931"/>
      <c r="X34" s="930" t="str">
        <f>"case I =   "&amp;FIXED(Z14,3)</f>
        <v>case I =   0.200</v>
      </c>
      <c r="Y34" s="931"/>
      <c r="Z34" s="931"/>
      <c r="AA34" s="932"/>
      <c r="AB34" s="120"/>
      <c r="AC34" s="13"/>
      <c r="AD34" s="43" t="s">
        <v>587</v>
      </c>
      <c r="AE34" s="43"/>
      <c r="AF34" s="43"/>
      <c r="AG34" s="43"/>
      <c r="AH34" s="45">
        <v>-22</v>
      </c>
      <c r="AI34" s="45" t="b">
        <f t="shared" si="5"/>
        <v>0</v>
      </c>
      <c r="AJ34" s="98">
        <f t="shared" si="41"/>
        <v>-2.46</v>
      </c>
      <c r="AK34" s="98">
        <f t="shared" si="42"/>
        <v>-1.0933333333333326</v>
      </c>
      <c r="AL34" s="98">
        <f t="shared" si="43"/>
        <v>-0.94666666666666632</v>
      </c>
      <c r="AM34" s="98">
        <f t="shared" si="44"/>
        <v>-0.64666666666666628</v>
      </c>
      <c r="AN34" s="98">
        <f t="shared" si="45"/>
        <v>-1.3533333333333328</v>
      </c>
      <c r="AO34" s="98">
        <f t="shared" si="46"/>
        <v>-1.0666666666666669</v>
      </c>
      <c r="AP34" s="98">
        <f t="shared" si="47"/>
        <v>-0.94666666666666632</v>
      </c>
      <c r="AQ34" s="98">
        <f t="shared" si="48"/>
        <v>-0.94666666666666632</v>
      </c>
      <c r="AR34" s="98">
        <f t="shared" si="49"/>
        <v>-0.8</v>
      </c>
      <c r="AS34" s="277">
        <f t="shared" ca="1" si="6"/>
        <v>-2.7290490192000005</v>
      </c>
      <c r="AT34" s="277">
        <f t="shared" ca="1" si="7"/>
        <v>-1.2129106751999994</v>
      </c>
      <c r="AU34" s="277">
        <f t="shared" ca="1" si="8"/>
        <v>-1.0502031455999998</v>
      </c>
      <c r="AV34" s="277">
        <f t="shared" ca="1" si="9"/>
        <v>-0.71739228959999968</v>
      </c>
      <c r="AW34" s="277">
        <f t="shared" ca="1" si="10"/>
        <v>-1.5013467503999998</v>
      </c>
      <c r="AX34" s="277">
        <f t="shared" ca="1" si="11"/>
        <v>-1.1833274880000004</v>
      </c>
      <c r="AY34" s="277">
        <f t="shared" ca="1" si="12"/>
        <v>-1.0502031455999998</v>
      </c>
      <c r="AZ34" s="277">
        <f t="shared" ca="1" si="13"/>
        <v>-1.0502031455999998</v>
      </c>
      <c r="BA34" s="277">
        <f t="shared" ca="1" si="14"/>
        <v>-0.88749561600000026</v>
      </c>
      <c r="BB34" s="43"/>
      <c r="BC34" s="98">
        <f t="shared" si="50"/>
        <v>-2.46</v>
      </c>
      <c r="BD34" s="98">
        <f t="shared" si="51"/>
        <v>-1.0933333333333326</v>
      </c>
      <c r="BE34" s="98">
        <f t="shared" si="52"/>
        <v>-0.94666666666666632</v>
      </c>
      <c r="BF34" s="98">
        <f t="shared" si="52"/>
        <v>-0.64666666666666628</v>
      </c>
      <c r="BG34" s="98">
        <f t="shared" si="53"/>
        <v>-1.3533333333333328</v>
      </c>
      <c r="BH34" s="98">
        <f t="shared" si="54"/>
        <v>-1.0666666666666669</v>
      </c>
      <c r="BI34" s="98">
        <f t="shared" si="55"/>
        <v>-0.94666666666666632</v>
      </c>
      <c r="BJ34" s="98">
        <f t="shared" si="55"/>
        <v>-0.94666666666666632</v>
      </c>
      <c r="BK34" s="98">
        <f t="shared" si="56"/>
        <v>-0.8</v>
      </c>
      <c r="BL34" s="277">
        <f t="shared" ca="1" si="15"/>
        <v>-2.7290490192000005</v>
      </c>
      <c r="BM34" s="277">
        <f t="shared" ca="1" si="16"/>
        <v>-1.2129106751999994</v>
      </c>
      <c r="BN34" s="277">
        <f t="shared" ca="1" si="17"/>
        <v>-1.0502031455999998</v>
      </c>
      <c r="BO34" s="277">
        <f t="shared" ca="1" si="18"/>
        <v>-0.71739228959999968</v>
      </c>
      <c r="BP34" s="277">
        <f t="shared" ca="1" si="19"/>
        <v>-1.5013467503999998</v>
      </c>
      <c r="BQ34" s="277">
        <f t="shared" ca="1" si="20"/>
        <v>-1.1833274880000004</v>
      </c>
      <c r="BR34" s="277">
        <f t="shared" ca="1" si="21"/>
        <v>-1.0502031455999998</v>
      </c>
      <c r="BS34" s="277">
        <f t="shared" ca="1" si="22"/>
        <v>-1.0502031455999998</v>
      </c>
      <c r="BT34" s="277">
        <f t="shared" ca="1" si="23"/>
        <v>-0.88749561600000026</v>
      </c>
      <c r="BU34" s="45"/>
    </row>
    <row r="35" spans="1:73" s="252" customFormat="1" ht="17.100000000000001" customHeight="1">
      <c r="A35" s="13"/>
      <c r="B35" s="119"/>
      <c r="C35" s="947"/>
      <c r="D35" s="948"/>
      <c r="E35" s="411" t="s">
        <v>480</v>
      </c>
      <c r="F35" s="746" t="str">
        <f ca="1">FIXED(BB4,3)</f>
        <v>-0.741</v>
      </c>
      <c r="G35" s="746"/>
      <c r="H35" s="746" t="str">
        <f ca="1">FIXED(BC4,3)</f>
        <v>-0.372</v>
      </c>
      <c r="I35" s="746"/>
      <c r="J35" s="746" t="str">
        <f ca="1">FIXED(BD4,3)</f>
        <v>-0.039</v>
      </c>
      <c r="K35" s="746"/>
      <c r="L35" s="746" t="str">
        <f ca="1">FIXED(BE4,3)</f>
        <v>-0.261</v>
      </c>
      <c r="M35" s="746"/>
      <c r="N35" s="746" t="str">
        <f ca="1">FIXED(BF4,3)</f>
        <v>-1.111</v>
      </c>
      <c r="O35" s="746"/>
      <c r="P35" s="746" t="str">
        <f ca="1">FIXED(BG4,3)</f>
        <v>-0.852</v>
      </c>
      <c r="Q35" s="746"/>
      <c r="R35" s="746" t="str">
        <f ca="1">FIXED(BH4,3)</f>
        <v>-0.630</v>
      </c>
      <c r="S35" s="746"/>
      <c r="T35" s="746" t="str">
        <f ca="1">FIXED(BI4,3)</f>
        <v>-0.261</v>
      </c>
      <c r="U35" s="746"/>
      <c r="V35" s="746" t="str">
        <f ca="1">IF($AH$3=1,"-",FIXED(BJ4,3))</f>
        <v>-0.076</v>
      </c>
      <c r="W35" s="746"/>
      <c r="X35" s="944" t="str">
        <f>"case II =   "&amp;FIXED(Z15,3)</f>
        <v>case II =   -0.300</v>
      </c>
      <c r="Y35" s="746"/>
      <c r="Z35" s="746"/>
      <c r="AA35" s="747"/>
      <c r="AB35" s="120"/>
      <c r="AC35" s="13"/>
      <c r="AD35" s="43" t="s">
        <v>588</v>
      </c>
      <c r="AE35" s="43"/>
      <c r="AF35" s="43"/>
      <c r="AG35" s="43"/>
      <c r="AH35" s="45">
        <v>-21</v>
      </c>
      <c r="AI35" s="45" t="b">
        <f t="shared" si="5"/>
        <v>0</v>
      </c>
      <c r="AJ35" s="98">
        <f t="shared" si="41"/>
        <v>-2.48</v>
      </c>
      <c r="AK35" s="98">
        <f t="shared" si="42"/>
        <v>-1.0799999999999992</v>
      </c>
      <c r="AL35" s="98">
        <f t="shared" si="43"/>
        <v>-0.93999999999999961</v>
      </c>
      <c r="AM35" s="98">
        <f t="shared" si="44"/>
        <v>-0.63999999999999957</v>
      </c>
      <c r="AN35" s="98">
        <f t="shared" si="45"/>
        <v>-1.3599999999999994</v>
      </c>
      <c r="AO35" s="98">
        <f t="shared" si="46"/>
        <v>-1.1000000000000003</v>
      </c>
      <c r="AP35" s="98">
        <f t="shared" si="47"/>
        <v>-0.93999999999999961</v>
      </c>
      <c r="AQ35" s="98">
        <f t="shared" si="48"/>
        <v>-0.93999999999999961</v>
      </c>
      <c r="AR35" s="98">
        <f t="shared" si="49"/>
        <v>-0.8</v>
      </c>
      <c r="AS35" s="277">
        <f t="shared" ca="1" si="6"/>
        <v>-2.7512364096000006</v>
      </c>
      <c r="AT35" s="277">
        <f t="shared" ca="1" si="7"/>
        <v>-1.1981190815999994</v>
      </c>
      <c r="AU35" s="277">
        <f t="shared" ca="1" si="8"/>
        <v>-1.0428073487999998</v>
      </c>
      <c r="AV35" s="277">
        <f t="shared" ca="1" si="9"/>
        <v>-0.70999649279999966</v>
      </c>
      <c r="AW35" s="277">
        <f t="shared" ca="1" si="10"/>
        <v>-1.5087425471999996</v>
      </c>
      <c r="AX35" s="277">
        <f t="shared" ca="1" si="11"/>
        <v>-1.2203064720000005</v>
      </c>
      <c r="AY35" s="277">
        <f t="shared" ca="1" si="12"/>
        <v>-1.0428073487999998</v>
      </c>
      <c r="AZ35" s="277">
        <f t="shared" ca="1" si="13"/>
        <v>-1.0428073487999998</v>
      </c>
      <c r="BA35" s="277">
        <f t="shared" ca="1" si="14"/>
        <v>-0.88749561600000026</v>
      </c>
      <c r="BB35" s="43"/>
      <c r="BC35" s="98">
        <f t="shared" si="50"/>
        <v>-2.48</v>
      </c>
      <c r="BD35" s="98">
        <f t="shared" si="51"/>
        <v>-1.0799999999999992</v>
      </c>
      <c r="BE35" s="98">
        <f t="shared" si="52"/>
        <v>-0.93999999999999961</v>
      </c>
      <c r="BF35" s="98">
        <f t="shared" si="52"/>
        <v>-0.63999999999999957</v>
      </c>
      <c r="BG35" s="98">
        <f t="shared" si="53"/>
        <v>-1.3599999999999994</v>
      </c>
      <c r="BH35" s="98">
        <f t="shared" si="54"/>
        <v>-1.1000000000000003</v>
      </c>
      <c r="BI35" s="98">
        <f t="shared" si="55"/>
        <v>-0.93999999999999961</v>
      </c>
      <c r="BJ35" s="98">
        <f t="shared" si="55"/>
        <v>-0.93999999999999961</v>
      </c>
      <c r="BK35" s="98">
        <f t="shared" si="56"/>
        <v>-0.8</v>
      </c>
      <c r="BL35" s="277">
        <f t="shared" ca="1" si="15"/>
        <v>-2.7512364096000006</v>
      </c>
      <c r="BM35" s="277">
        <f t="shared" ca="1" si="16"/>
        <v>-1.1981190815999994</v>
      </c>
      <c r="BN35" s="277">
        <f t="shared" ca="1" si="17"/>
        <v>-1.0428073487999998</v>
      </c>
      <c r="BO35" s="277">
        <f t="shared" ca="1" si="18"/>
        <v>-0.70999649279999966</v>
      </c>
      <c r="BP35" s="277">
        <f t="shared" ca="1" si="19"/>
        <v>-1.5087425471999996</v>
      </c>
      <c r="BQ35" s="277">
        <f t="shared" ca="1" si="20"/>
        <v>-1.2203064720000005</v>
      </c>
      <c r="BR35" s="277">
        <f t="shared" ca="1" si="21"/>
        <v>-1.0428073487999998</v>
      </c>
      <c r="BS35" s="277">
        <f t="shared" ca="1" si="22"/>
        <v>-1.0428073487999998</v>
      </c>
      <c r="BT35" s="277">
        <f t="shared" ca="1" si="23"/>
        <v>-0.88749561600000026</v>
      </c>
      <c r="BU35" s="45"/>
    </row>
    <row r="36" spans="1:73" s="252" customFormat="1" ht="17.100000000000001" customHeight="1">
      <c r="A36" s="13"/>
      <c r="B36" s="119"/>
      <c r="C36" s="933" t="s">
        <v>457</v>
      </c>
      <c r="D36" s="934"/>
      <c r="E36" s="412" t="s">
        <v>480</v>
      </c>
      <c r="F36" s="711" t="str">
        <f ca="1">FIXED(BB5,3)</f>
        <v>0.174</v>
      </c>
      <c r="G36" s="711"/>
      <c r="H36" s="711" t="str">
        <f ca="1">FIXED(BC5,3)</f>
        <v>0.063</v>
      </c>
      <c r="I36" s="711"/>
      <c r="J36" s="711" t="str">
        <f ca="1">FIXED(BD5,3)</f>
        <v>0.026</v>
      </c>
      <c r="K36" s="711"/>
      <c r="L36" s="711" t="str">
        <f ca="1">FIXED(BE5,3)</f>
        <v>-0.936</v>
      </c>
      <c r="M36" s="711"/>
      <c r="N36" s="711" t="str">
        <f ca="1">FIXED(BF5,3)</f>
        <v>-1.786</v>
      </c>
      <c r="O36" s="711"/>
      <c r="P36" s="711" t="str">
        <f ca="1">FIXED(BG5,3)</f>
        <v>-1.527</v>
      </c>
      <c r="Q36" s="711"/>
      <c r="R36" s="711" t="str">
        <f ca="1">FIXED(BH5,3)</f>
        <v>-0.270</v>
      </c>
      <c r="S36" s="711"/>
      <c r="T36" s="711" t="str">
        <f ca="1">FIXED(BI5,3)</f>
        <v>-0.270</v>
      </c>
      <c r="U36" s="711"/>
      <c r="V36" s="711" t="str">
        <f ca="1">IF($AH$3=1,"-",FIXED(BJ5,3))</f>
        <v>-0.270</v>
      </c>
      <c r="W36" s="711"/>
      <c r="X36" s="930" t="str">
        <f>"case I =   "&amp;FIXED(Z14,3)</f>
        <v>case I =   0.200</v>
      </c>
      <c r="Y36" s="931"/>
      <c r="Z36" s="931"/>
      <c r="AA36" s="932"/>
      <c r="AB36" s="120"/>
      <c r="AC36" s="13"/>
      <c r="AD36" s="43"/>
      <c r="AE36" s="43"/>
      <c r="AF36" s="43"/>
      <c r="AG36" s="43"/>
      <c r="AH36" s="45">
        <v>-20</v>
      </c>
      <c r="AI36" s="45" t="b">
        <f t="shared" si="5"/>
        <v>0</v>
      </c>
      <c r="AJ36" s="98">
        <f t="shared" si="41"/>
        <v>-2.5</v>
      </c>
      <c r="AK36" s="98">
        <f t="shared" si="42"/>
        <v>-1.0666666666666658</v>
      </c>
      <c r="AL36" s="98">
        <f t="shared" si="43"/>
        <v>-0.9333333333333329</v>
      </c>
      <c r="AM36" s="98">
        <f t="shared" si="44"/>
        <v>-0.63333333333333286</v>
      </c>
      <c r="AN36" s="98">
        <f t="shared" si="45"/>
        <v>-1.366666666666666</v>
      </c>
      <c r="AO36" s="98">
        <f t="shared" si="46"/>
        <v>-1.1333333333333337</v>
      </c>
      <c r="AP36" s="98">
        <f t="shared" si="47"/>
        <v>-0.9333333333333329</v>
      </c>
      <c r="AQ36" s="98">
        <f t="shared" si="48"/>
        <v>-0.9333333333333329</v>
      </c>
      <c r="AR36" s="98">
        <f t="shared" si="49"/>
        <v>-0.8</v>
      </c>
      <c r="AS36" s="277">
        <f t="shared" ca="1" si="6"/>
        <v>-2.7734238000000007</v>
      </c>
      <c r="AT36" s="277">
        <f t="shared" ca="1" si="7"/>
        <v>-1.1833274879999993</v>
      </c>
      <c r="AU36" s="277">
        <f t="shared" ca="1" si="8"/>
        <v>-1.0354115519999998</v>
      </c>
      <c r="AV36" s="277">
        <f t="shared" ca="1" si="9"/>
        <v>-0.70260069599999964</v>
      </c>
      <c r="AW36" s="277">
        <f t="shared" ca="1" si="10"/>
        <v>-1.5161383439999996</v>
      </c>
      <c r="AX36" s="277">
        <f t="shared" ca="1" si="11"/>
        <v>-1.2572854560000006</v>
      </c>
      <c r="AY36" s="277">
        <f t="shared" ca="1" si="12"/>
        <v>-1.0354115519999998</v>
      </c>
      <c r="AZ36" s="277">
        <f t="shared" ca="1" si="13"/>
        <v>-1.0354115519999998</v>
      </c>
      <c r="BA36" s="277">
        <f t="shared" ca="1" si="14"/>
        <v>-0.88749561600000026</v>
      </c>
      <c r="BB36" s="43"/>
      <c r="BC36" s="98">
        <f t="shared" si="50"/>
        <v>-2.5</v>
      </c>
      <c r="BD36" s="98">
        <f t="shared" si="51"/>
        <v>-1.0666666666666658</v>
      </c>
      <c r="BE36" s="98">
        <f t="shared" si="52"/>
        <v>-0.9333333333333329</v>
      </c>
      <c r="BF36" s="98">
        <f t="shared" si="52"/>
        <v>-0.63333333333333286</v>
      </c>
      <c r="BG36" s="98">
        <f t="shared" si="53"/>
        <v>-1.366666666666666</v>
      </c>
      <c r="BH36" s="98">
        <f t="shared" si="54"/>
        <v>-1.1333333333333337</v>
      </c>
      <c r="BI36" s="98">
        <f t="shared" si="55"/>
        <v>-0.9333333333333329</v>
      </c>
      <c r="BJ36" s="98">
        <f t="shared" si="55"/>
        <v>-0.9333333333333329</v>
      </c>
      <c r="BK36" s="98">
        <f t="shared" si="56"/>
        <v>-0.8</v>
      </c>
      <c r="BL36" s="277">
        <f t="shared" ca="1" si="15"/>
        <v>-2.7734238000000007</v>
      </c>
      <c r="BM36" s="277">
        <f t="shared" ca="1" si="16"/>
        <v>-1.1833274879999993</v>
      </c>
      <c r="BN36" s="277">
        <f t="shared" ca="1" si="17"/>
        <v>-1.0354115519999998</v>
      </c>
      <c r="BO36" s="277">
        <f t="shared" ca="1" si="18"/>
        <v>-0.70260069599999964</v>
      </c>
      <c r="BP36" s="277">
        <f t="shared" ca="1" si="19"/>
        <v>-1.5161383439999996</v>
      </c>
      <c r="BQ36" s="277">
        <f t="shared" ca="1" si="20"/>
        <v>-1.2572854560000006</v>
      </c>
      <c r="BR36" s="277">
        <f t="shared" ca="1" si="21"/>
        <v>-1.0354115519999998</v>
      </c>
      <c r="BS36" s="277">
        <f t="shared" ca="1" si="22"/>
        <v>-1.0354115519999998</v>
      </c>
      <c r="BT36" s="277">
        <f t="shared" ca="1" si="23"/>
        <v>-0.88749561600000026</v>
      </c>
      <c r="BU36" s="45"/>
    </row>
    <row r="37" spans="1:73" s="252" customFormat="1" ht="17.100000000000001" customHeight="1">
      <c r="A37" s="13"/>
      <c r="B37" s="119"/>
      <c r="C37" s="935"/>
      <c r="D37" s="936"/>
      <c r="E37" s="413" t="s">
        <v>480</v>
      </c>
      <c r="F37" s="768" t="str">
        <f ca="1">FIXED(BB6,3)</f>
        <v>0.849</v>
      </c>
      <c r="G37" s="768"/>
      <c r="H37" s="768" t="str">
        <f ca="1">FIXED(BC6,3)</f>
        <v>0.738</v>
      </c>
      <c r="I37" s="768"/>
      <c r="J37" s="768" t="str">
        <f ca="1">FIXED(BD6,3)</f>
        <v>0.701</v>
      </c>
      <c r="K37" s="768"/>
      <c r="L37" s="768" t="str">
        <f ca="1">FIXED(BE6,3)</f>
        <v>-0.261</v>
      </c>
      <c r="M37" s="768"/>
      <c r="N37" s="768" t="str">
        <f ca="1">FIXED(BF6,3)</f>
        <v>-1.111</v>
      </c>
      <c r="O37" s="768"/>
      <c r="P37" s="768" t="str">
        <f ca="1">FIXED(BG6,3)</f>
        <v>-0.852</v>
      </c>
      <c r="Q37" s="768"/>
      <c r="R37" s="768" t="str">
        <f ca="1">FIXED(BH6,3)</f>
        <v>0.405</v>
      </c>
      <c r="S37" s="768"/>
      <c r="T37" s="768" t="str">
        <f ca="1">FIXED(BI6,3)</f>
        <v>0.405</v>
      </c>
      <c r="U37" s="768"/>
      <c r="V37" s="768" t="str">
        <f ca="1">IF($AH$3=1,"-",FIXED(BJ6,3))</f>
        <v>0.405</v>
      </c>
      <c r="W37" s="768"/>
      <c r="X37" s="796" t="str">
        <f>"case II =   "&amp;FIXED(Z15,3)</f>
        <v>case II =   -0.300</v>
      </c>
      <c r="Y37" s="768"/>
      <c r="Z37" s="768"/>
      <c r="AA37" s="797"/>
      <c r="AB37" s="120"/>
      <c r="AC37" s="13"/>
      <c r="AD37" s="43"/>
      <c r="AE37" s="43"/>
      <c r="AF37" s="43"/>
      <c r="AG37" s="43"/>
      <c r="AH37" s="45">
        <v>-19</v>
      </c>
      <c r="AI37" s="45" t="b">
        <f t="shared" si="5"/>
        <v>0</v>
      </c>
      <c r="AJ37" s="98">
        <f t="shared" si="41"/>
        <v>-2.52</v>
      </c>
      <c r="AK37" s="98">
        <f t="shared" si="42"/>
        <v>-1.0533333333333323</v>
      </c>
      <c r="AL37" s="98">
        <f t="shared" si="43"/>
        <v>-0.92666666666666619</v>
      </c>
      <c r="AM37" s="98">
        <f t="shared" si="44"/>
        <v>-0.62666666666666615</v>
      </c>
      <c r="AN37" s="98">
        <f t="shared" si="45"/>
        <v>-1.3733333333333326</v>
      </c>
      <c r="AO37" s="98">
        <f t="shared" si="46"/>
        <v>-1.1666666666666672</v>
      </c>
      <c r="AP37" s="98">
        <f t="shared" si="47"/>
        <v>-0.92666666666666619</v>
      </c>
      <c r="AQ37" s="98">
        <f t="shared" si="48"/>
        <v>-0.92666666666666619</v>
      </c>
      <c r="AR37" s="98">
        <f t="shared" si="49"/>
        <v>-0.8</v>
      </c>
      <c r="AS37" s="277">
        <f t="shared" ca="1" si="6"/>
        <v>-2.7956111904000007</v>
      </c>
      <c r="AT37" s="277">
        <f t="shared" ca="1" si="7"/>
        <v>-1.1685358943999991</v>
      </c>
      <c r="AU37" s="277">
        <f t="shared" ca="1" si="8"/>
        <v>-1.0280157551999998</v>
      </c>
      <c r="AV37" s="277">
        <f t="shared" ca="1" si="9"/>
        <v>-0.69520489919999962</v>
      </c>
      <c r="AW37" s="277">
        <f t="shared" ca="1" si="10"/>
        <v>-1.5235341407999996</v>
      </c>
      <c r="AX37" s="277">
        <f t="shared" ca="1" si="11"/>
        <v>-1.2942644400000007</v>
      </c>
      <c r="AY37" s="277">
        <f t="shared" ca="1" si="12"/>
        <v>-1.0280157551999998</v>
      </c>
      <c r="AZ37" s="277">
        <f t="shared" ca="1" si="13"/>
        <v>-1.0280157551999998</v>
      </c>
      <c r="BA37" s="277">
        <f t="shared" ca="1" si="14"/>
        <v>-0.88749561600000026</v>
      </c>
      <c r="BB37" s="43"/>
      <c r="BC37" s="98">
        <f t="shared" si="50"/>
        <v>-2.52</v>
      </c>
      <c r="BD37" s="98">
        <f t="shared" si="51"/>
        <v>-1.0533333333333323</v>
      </c>
      <c r="BE37" s="98">
        <f t="shared" si="52"/>
        <v>-0.92666666666666619</v>
      </c>
      <c r="BF37" s="98">
        <f t="shared" si="52"/>
        <v>-0.62666666666666615</v>
      </c>
      <c r="BG37" s="98">
        <f t="shared" si="53"/>
        <v>-1.3733333333333326</v>
      </c>
      <c r="BH37" s="98">
        <f t="shared" si="54"/>
        <v>-1.1666666666666672</v>
      </c>
      <c r="BI37" s="98">
        <f t="shared" si="55"/>
        <v>-0.92666666666666619</v>
      </c>
      <c r="BJ37" s="98">
        <f t="shared" si="55"/>
        <v>-0.92666666666666619</v>
      </c>
      <c r="BK37" s="98">
        <f t="shared" si="56"/>
        <v>-0.8</v>
      </c>
      <c r="BL37" s="277">
        <f t="shared" ca="1" si="15"/>
        <v>-2.7956111904000007</v>
      </c>
      <c r="BM37" s="277">
        <f t="shared" ca="1" si="16"/>
        <v>-1.1685358943999991</v>
      </c>
      <c r="BN37" s="277">
        <f t="shared" ca="1" si="17"/>
        <v>-1.0280157551999998</v>
      </c>
      <c r="BO37" s="277">
        <f t="shared" ca="1" si="18"/>
        <v>-0.69520489919999962</v>
      </c>
      <c r="BP37" s="277">
        <f t="shared" ca="1" si="19"/>
        <v>-1.5235341407999996</v>
      </c>
      <c r="BQ37" s="277">
        <f t="shared" ca="1" si="20"/>
        <v>-1.2942644400000007</v>
      </c>
      <c r="BR37" s="277">
        <f t="shared" ca="1" si="21"/>
        <v>-1.0280157551999998</v>
      </c>
      <c r="BS37" s="277">
        <f t="shared" ca="1" si="22"/>
        <v>-1.0280157551999998</v>
      </c>
      <c r="BT37" s="277">
        <f t="shared" ca="1" si="23"/>
        <v>-0.88749561600000026</v>
      </c>
      <c r="BU37" s="45"/>
    </row>
    <row r="38" spans="1:73" s="252" customFormat="1" ht="17.100000000000001" customHeight="1">
      <c r="A38" s="13"/>
      <c r="B38" s="119"/>
      <c r="C38" s="943" t="s">
        <v>454</v>
      </c>
      <c r="D38" s="943"/>
      <c r="E38" s="943"/>
      <c r="F38" s="943"/>
      <c r="G38" s="943"/>
      <c r="H38" s="943"/>
      <c r="I38" s="943"/>
      <c r="J38" s="943"/>
      <c r="K38" s="943"/>
      <c r="L38" s="943"/>
      <c r="M38" s="943"/>
      <c r="N38" s="943"/>
      <c r="O38" s="943"/>
      <c r="P38" s="943"/>
      <c r="Q38" s="943"/>
      <c r="R38" s="943"/>
      <c r="S38" s="943"/>
      <c r="T38" s="943"/>
      <c r="U38" s="943"/>
      <c r="V38" s="943"/>
      <c r="W38" s="943"/>
      <c r="X38" s="23"/>
      <c r="Y38" s="23"/>
      <c r="Z38" s="23"/>
      <c r="AA38" s="23"/>
      <c r="AB38" s="120"/>
      <c r="AC38" s="13"/>
      <c r="AD38" s="43"/>
      <c r="AE38" s="43"/>
      <c r="AF38" s="43"/>
      <c r="AG38" s="43"/>
      <c r="AH38" s="45">
        <v>-18</v>
      </c>
      <c r="AI38" s="45" t="b">
        <f t="shared" si="5"/>
        <v>0</v>
      </c>
      <c r="AJ38" s="98">
        <f t="shared" si="41"/>
        <v>-2.54</v>
      </c>
      <c r="AK38" s="98">
        <f t="shared" si="42"/>
        <v>-1.0399999999999989</v>
      </c>
      <c r="AL38" s="98">
        <f t="shared" si="43"/>
        <v>-0.91999999999999948</v>
      </c>
      <c r="AM38" s="98">
        <f t="shared" si="44"/>
        <v>-0.61999999999999944</v>
      </c>
      <c r="AN38" s="98">
        <f t="shared" si="45"/>
        <v>-1.3799999999999992</v>
      </c>
      <c r="AO38" s="98">
        <f t="shared" si="46"/>
        <v>-1.2000000000000006</v>
      </c>
      <c r="AP38" s="98">
        <f t="shared" si="47"/>
        <v>-0.91999999999999948</v>
      </c>
      <c r="AQ38" s="98">
        <f t="shared" si="48"/>
        <v>-0.91999999999999948</v>
      </c>
      <c r="AR38" s="98">
        <f t="shared" si="49"/>
        <v>-0.8</v>
      </c>
      <c r="AS38" s="277">
        <f t="shared" ca="1" si="6"/>
        <v>-2.8177985808000008</v>
      </c>
      <c r="AT38" s="277">
        <f t="shared" ca="1" si="7"/>
        <v>-1.153744300799999</v>
      </c>
      <c r="AU38" s="277">
        <f t="shared" ca="1" si="8"/>
        <v>-1.0206199583999995</v>
      </c>
      <c r="AV38" s="277">
        <f t="shared" ca="1" si="9"/>
        <v>-0.68780910239999948</v>
      </c>
      <c r="AW38" s="277">
        <f t="shared" ca="1" si="10"/>
        <v>-1.5309299375999994</v>
      </c>
      <c r="AX38" s="277">
        <f t="shared" ca="1" si="11"/>
        <v>-1.3312434240000011</v>
      </c>
      <c r="AY38" s="277">
        <f t="shared" ca="1" si="12"/>
        <v>-1.0206199583999995</v>
      </c>
      <c r="AZ38" s="277">
        <f t="shared" ca="1" si="13"/>
        <v>-1.0206199583999995</v>
      </c>
      <c r="BA38" s="277">
        <f t="shared" ca="1" si="14"/>
        <v>-0.88749561600000026</v>
      </c>
      <c r="BB38" s="43"/>
      <c r="BC38" s="98">
        <f t="shared" si="50"/>
        <v>-2.54</v>
      </c>
      <c r="BD38" s="98">
        <f t="shared" si="51"/>
        <v>-1.0399999999999989</v>
      </c>
      <c r="BE38" s="98">
        <f t="shared" si="52"/>
        <v>-0.91999999999999948</v>
      </c>
      <c r="BF38" s="98">
        <f t="shared" si="52"/>
        <v>-0.61999999999999944</v>
      </c>
      <c r="BG38" s="98">
        <f t="shared" si="53"/>
        <v>-1.3799999999999992</v>
      </c>
      <c r="BH38" s="98">
        <f t="shared" si="54"/>
        <v>-1.2000000000000006</v>
      </c>
      <c r="BI38" s="98">
        <f t="shared" si="55"/>
        <v>-0.91999999999999948</v>
      </c>
      <c r="BJ38" s="98">
        <f t="shared" si="55"/>
        <v>-0.91999999999999948</v>
      </c>
      <c r="BK38" s="98">
        <f t="shared" si="56"/>
        <v>-0.8</v>
      </c>
      <c r="BL38" s="277">
        <f t="shared" ca="1" si="15"/>
        <v>-2.8177985808000008</v>
      </c>
      <c r="BM38" s="277">
        <f t="shared" ca="1" si="16"/>
        <v>-1.153744300799999</v>
      </c>
      <c r="BN38" s="277">
        <f t="shared" ca="1" si="17"/>
        <v>-1.0206199583999995</v>
      </c>
      <c r="BO38" s="277">
        <f t="shared" ca="1" si="18"/>
        <v>-0.68780910239999948</v>
      </c>
      <c r="BP38" s="277">
        <f t="shared" ca="1" si="19"/>
        <v>-1.5309299375999994</v>
      </c>
      <c r="BQ38" s="277">
        <f t="shared" ca="1" si="20"/>
        <v>-1.3312434240000011</v>
      </c>
      <c r="BR38" s="277">
        <f t="shared" ca="1" si="21"/>
        <v>-1.0206199583999995</v>
      </c>
      <c r="BS38" s="277">
        <f t="shared" ca="1" si="22"/>
        <v>-1.0206199583999995</v>
      </c>
      <c r="BT38" s="277">
        <f t="shared" ca="1" si="23"/>
        <v>-0.88749561600000026</v>
      </c>
      <c r="BU38" s="45"/>
    </row>
    <row r="39" spans="1:73" s="252" customFormat="1" ht="17.100000000000001" customHeight="1">
      <c r="A39" s="13"/>
      <c r="B39" s="119"/>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120"/>
      <c r="AC39" s="13"/>
      <c r="AD39" s="43"/>
      <c r="AE39" s="43"/>
      <c r="AF39" s="43"/>
      <c r="AG39" s="43"/>
      <c r="AH39" s="45">
        <v>-17</v>
      </c>
      <c r="AI39" s="45" t="b">
        <f t="shared" si="5"/>
        <v>0</v>
      </c>
      <c r="AJ39" s="98">
        <f t="shared" si="41"/>
        <v>-2.56</v>
      </c>
      <c r="AK39" s="98">
        <f t="shared" si="42"/>
        <v>-1.0266666666666655</v>
      </c>
      <c r="AL39" s="98">
        <f t="shared" si="43"/>
        <v>-0.91333333333333278</v>
      </c>
      <c r="AM39" s="98">
        <f t="shared" si="44"/>
        <v>-0.61333333333333273</v>
      </c>
      <c r="AN39" s="98">
        <f t="shared" si="45"/>
        <v>-1.3866666666666658</v>
      </c>
      <c r="AO39" s="98">
        <f t="shared" si="46"/>
        <v>-1.2333333333333341</v>
      </c>
      <c r="AP39" s="98">
        <f t="shared" si="47"/>
        <v>-0.91333333333333278</v>
      </c>
      <c r="AQ39" s="98">
        <f t="shared" si="48"/>
        <v>-0.91333333333333278</v>
      </c>
      <c r="AR39" s="98">
        <f t="shared" si="49"/>
        <v>-0.8</v>
      </c>
      <c r="AS39" s="277">
        <f t="shared" ca="1" si="6"/>
        <v>-2.8399859712000004</v>
      </c>
      <c r="AT39" s="277">
        <f t="shared" ca="1" si="7"/>
        <v>-1.138952707199999</v>
      </c>
      <c r="AU39" s="277">
        <f t="shared" ca="1" si="8"/>
        <v>-1.0132241615999995</v>
      </c>
      <c r="AV39" s="277">
        <f t="shared" ca="1" si="9"/>
        <v>-0.68041330559999946</v>
      </c>
      <c r="AW39" s="277">
        <f t="shared" ca="1" si="10"/>
        <v>-1.5383257343999994</v>
      </c>
      <c r="AX39" s="277">
        <f t="shared" ca="1" si="11"/>
        <v>-1.3682224080000012</v>
      </c>
      <c r="AY39" s="277">
        <f t="shared" ca="1" si="12"/>
        <v>-1.0132241615999995</v>
      </c>
      <c r="AZ39" s="277">
        <f t="shared" ca="1" si="13"/>
        <v>-1.0132241615999995</v>
      </c>
      <c r="BA39" s="277">
        <f t="shared" ca="1" si="14"/>
        <v>-0.88749561600000026</v>
      </c>
      <c r="BB39" s="43"/>
      <c r="BC39" s="98">
        <f t="shared" si="50"/>
        <v>-2.56</v>
      </c>
      <c r="BD39" s="98">
        <f t="shared" si="51"/>
        <v>-1.0266666666666655</v>
      </c>
      <c r="BE39" s="98">
        <f t="shared" si="52"/>
        <v>-0.91333333333333278</v>
      </c>
      <c r="BF39" s="98">
        <f t="shared" si="52"/>
        <v>-0.61333333333333273</v>
      </c>
      <c r="BG39" s="98">
        <f t="shared" si="53"/>
        <v>-1.3866666666666658</v>
      </c>
      <c r="BH39" s="98">
        <f t="shared" si="54"/>
        <v>-1.2333333333333341</v>
      </c>
      <c r="BI39" s="98">
        <f t="shared" si="55"/>
        <v>-0.91333333333333278</v>
      </c>
      <c r="BJ39" s="98">
        <f t="shared" si="55"/>
        <v>-0.91333333333333278</v>
      </c>
      <c r="BK39" s="98">
        <f t="shared" si="56"/>
        <v>-0.8</v>
      </c>
      <c r="BL39" s="277">
        <f t="shared" ca="1" si="15"/>
        <v>-2.8399859712000004</v>
      </c>
      <c r="BM39" s="277">
        <f t="shared" ca="1" si="16"/>
        <v>-1.138952707199999</v>
      </c>
      <c r="BN39" s="277">
        <f t="shared" ca="1" si="17"/>
        <v>-1.0132241615999995</v>
      </c>
      <c r="BO39" s="277">
        <f t="shared" ca="1" si="18"/>
        <v>-0.68041330559999946</v>
      </c>
      <c r="BP39" s="277">
        <f t="shared" ca="1" si="19"/>
        <v>-1.5383257343999994</v>
      </c>
      <c r="BQ39" s="277">
        <f t="shared" ca="1" si="20"/>
        <v>-1.3682224080000012</v>
      </c>
      <c r="BR39" s="277">
        <f t="shared" ca="1" si="21"/>
        <v>-1.0132241615999995</v>
      </c>
      <c r="BS39" s="277">
        <f t="shared" ca="1" si="22"/>
        <v>-1.0132241615999995</v>
      </c>
      <c r="BT39" s="277">
        <f t="shared" ca="1" si="23"/>
        <v>-0.88749561600000026</v>
      </c>
      <c r="BU39" s="45"/>
    </row>
    <row r="40" spans="1:73" s="252" customFormat="1" ht="17.100000000000001" customHeight="1">
      <c r="A40" s="13"/>
      <c r="B40" s="119"/>
      <c r="C40" s="668" t="s">
        <v>627</v>
      </c>
      <c r="D40" s="669"/>
      <c r="E40" s="669"/>
      <c r="F40" s="669"/>
      <c r="G40" s="669"/>
      <c r="H40" s="669"/>
      <c r="I40" s="669"/>
      <c r="J40" s="669"/>
      <c r="K40" s="669"/>
      <c r="L40" s="669"/>
      <c r="M40" s="669"/>
      <c r="N40" s="669"/>
      <c r="O40" s="669"/>
      <c r="P40" s="669"/>
      <c r="Q40" s="669"/>
      <c r="R40" s="669"/>
      <c r="S40" s="669"/>
      <c r="T40" s="669"/>
      <c r="U40" s="669"/>
      <c r="V40" s="669"/>
      <c r="W40" s="669"/>
      <c r="X40" s="669"/>
      <c r="Y40" s="669"/>
      <c r="Z40" s="669"/>
      <c r="AA40" s="670"/>
      <c r="AB40" s="120"/>
      <c r="AC40" s="13"/>
      <c r="AD40" s="43"/>
      <c r="AE40" s="43"/>
      <c r="AF40" s="43"/>
      <c r="AG40" s="43"/>
      <c r="AH40" s="45">
        <v>-16</v>
      </c>
      <c r="AI40" s="45" t="b">
        <f t="shared" si="5"/>
        <v>0</v>
      </c>
      <c r="AJ40" s="98">
        <f t="shared" si="41"/>
        <v>-2.58</v>
      </c>
      <c r="AK40" s="98">
        <f t="shared" si="42"/>
        <v>-1.0133333333333321</v>
      </c>
      <c r="AL40" s="98">
        <f t="shared" si="43"/>
        <v>-0.90666666666666607</v>
      </c>
      <c r="AM40" s="98">
        <f t="shared" si="44"/>
        <v>-0.60666666666666602</v>
      </c>
      <c r="AN40" s="98">
        <f t="shared" si="45"/>
        <v>-1.3933333333333324</v>
      </c>
      <c r="AO40" s="98">
        <f t="shared" si="46"/>
        <v>-1.2666666666666675</v>
      </c>
      <c r="AP40" s="98">
        <f t="shared" si="47"/>
        <v>-0.90666666666666607</v>
      </c>
      <c r="AQ40" s="98">
        <f t="shared" si="48"/>
        <v>-0.90666666666666607</v>
      </c>
      <c r="AR40" s="98">
        <f t="shared" si="49"/>
        <v>-0.8</v>
      </c>
      <c r="AS40" s="277">
        <f t="shared" ca="1" si="6"/>
        <v>-2.8621733616000005</v>
      </c>
      <c r="AT40" s="277">
        <f t="shared" ca="1" si="7"/>
        <v>-1.1241611135999989</v>
      </c>
      <c r="AU40" s="277">
        <f t="shared" ca="1" si="8"/>
        <v>-1.0058283647999995</v>
      </c>
      <c r="AV40" s="277">
        <f t="shared" ca="1" si="9"/>
        <v>-0.67301750879999944</v>
      </c>
      <c r="AW40" s="277">
        <f t="shared" ca="1" si="10"/>
        <v>-1.5457215311999992</v>
      </c>
      <c r="AX40" s="277">
        <f t="shared" ca="1" si="11"/>
        <v>-1.4052013920000013</v>
      </c>
      <c r="AY40" s="277">
        <f t="shared" ca="1" si="12"/>
        <v>-1.0058283647999995</v>
      </c>
      <c r="AZ40" s="277">
        <f t="shared" ca="1" si="13"/>
        <v>-1.0058283647999995</v>
      </c>
      <c r="BA40" s="277">
        <f t="shared" ca="1" si="14"/>
        <v>-0.88749561600000026</v>
      </c>
      <c r="BB40" s="43"/>
      <c r="BC40" s="98">
        <f t="shared" si="50"/>
        <v>-2.58</v>
      </c>
      <c r="BD40" s="98">
        <f t="shared" si="51"/>
        <v>-1.0133333333333321</v>
      </c>
      <c r="BE40" s="98">
        <f t="shared" si="52"/>
        <v>-0.90666666666666607</v>
      </c>
      <c r="BF40" s="98">
        <f t="shared" si="52"/>
        <v>-0.60666666666666602</v>
      </c>
      <c r="BG40" s="98">
        <f t="shared" si="53"/>
        <v>-1.3933333333333324</v>
      </c>
      <c r="BH40" s="98">
        <f t="shared" si="54"/>
        <v>-1.2666666666666675</v>
      </c>
      <c r="BI40" s="98">
        <f t="shared" si="55"/>
        <v>-0.90666666666666607</v>
      </c>
      <c r="BJ40" s="98">
        <f t="shared" si="55"/>
        <v>-0.90666666666666607</v>
      </c>
      <c r="BK40" s="98">
        <f t="shared" si="56"/>
        <v>-0.8</v>
      </c>
      <c r="BL40" s="277">
        <f t="shared" ca="1" si="15"/>
        <v>-2.8621733616000005</v>
      </c>
      <c r="BM40" s="277">
        <f t="shared" ca="1" si="16"/>
        <v>-1.1241611135999989</v>
      </c>
      <c r="BN40" s="277">
        <f t="shared" ca="1" si="17"/>
        <v>-1.0058283647999995</v>
      </c>
      <c r="BO40" s="277">
        <f t="shared" ca="1" si="18"/>
        <v>-0.67301750879999944</v>
      </c>
      <c r="BP40" s="277">
        <f t="shared" ca="1" si="19"/>
        <v>-1.5457215311999992</v>
      </c>
      <c r="BQ40" s="277">
        <f t="shared" ca="1" si="20"/>
        <v>-1.4052013920000013</v>
      </c>
      <c r="BR40" s="277">
        <f t="shared" ca="1" si="21"/>
        <v>-1.0058283647999995</v>
      </c>
      <c r="BS40" s="277">
        <f t="shared" ca="1" si="22"/>
        <v>-1.0058283647999995</v>
      </c>
      <c r="BT40" s="277">
        <f t="shared" ca="1" si="23"/>
        <v>-0.88749561600000026</v>
      </c>
      <c r="BU40" s="45"/>
    </row>
    <row r="41" spans="1:73" s="252" customFormat="1" ht="17.100000000000001" customHeight="1">
      <c r="A41" s="13"/>
      <c r="B41" s="119"/>
      <c r="C41" s="160"/>
      <c r="D41" s="161"/>
      <c r="E41" s="161"/>
      <c r="F41" s="161"/>
      <c r="G41" s="161"/>
      <c r="H41" s="161"/>
      <c r="I41" s="161"/>
      <c r="J41" s="161"/>
      <c r="K41" s="161"/>
      <c r="L41" s="161"/>
      <c r="M41" s="161"/>
      <c r="N41" s="161"/>
      <c r="O41" s="161"/>
      <c r="P41" s="161"/>
      <c r="Q41" s="161"/>
      <c r="R41" s="161"/>
      <c r="S41" s="161"/>
      <c r="T41" s="161"/>
      <c r="U41" s="161"/>
      <c r="V41" s="161"/>
      <c r="W41" s="161"/>
      <c r="X41" s="161"/>
      <c r="Y41" s="161"/>
      <c r="Z41" s="161"/>
      <c r="AA41" s="162"/>
      <c r="AB41" s="120"/>
      <c r="AC41" s="13"/>
      <c r="AD41" s="43"/>
      <c r="AE41" s="43"/>
      <c r="AF41" s="43"/>
      <c r="AG41" s="43"/>
      <c r="AH41" s="276">
        <v>-15</v>
      </c>
      <c r="AI41" s="45" t="b">
        <f t="shared" si="5"/>
        <v>0</v>
      </c>
      <c r="AJ41" s="277">
        <v>-2.6</v>
      </c>
      <c r="AK41" s="277">
        <v>-1</v>
      </c>
      <c r="AL41" s="277">
        <v>-0.9</v>
      </c>
      <c r="AM41" s="277">
        <v>-0.6</v>
      </c>
      <c r="AN41" s="277">
        <v>-1.4</v>
      </c>
      <c r="AO41" s="277">
        <v>-1.3</v>
      </c>
      <c r="AP41" s="277">
        <v>-0.9</v>
      </c>
      <c r="AQ41" s="277">
        <v>-0.9</v>
      </c>
      <c r="AR41" s="277">
        <v>-0.8</v>
      </c>
      <c r="AS41" s="277">
        <f t="shared" ca="1" si="6"/>
        <v>-2.8843607520000005</v>
      </c>
      <c r="AT41" s="277">
        <f t="shared" ca="1" si="7"/>
        <v>-1.1093695200000002</v>
      </c>
      <c r="AU41" s="277">
        <f t="shared" ca="1" si="8"/>
        <v>-0.99843256800000024</v>
      </c>
      <c r="AV41" s="277">
        <f t="shared" ca="1" si="9"/>
        <v>-0.66562171200000009</v>
      </c>
      <c r="AW41" s="277">
        <f t="shared" ca="1" si="10"/>
        <v>-1.5531173280000001</v>
      </c>
      <c r="AX41" s="277">
        <f t="shared" ca="1" si="11"/>
        <v>-1.4421803760000003</v>
      </c>
      <c r="AY41" s="277">
        <f t="shared" ca="1" si="12"/>
        <v>-0.99843256800000024</v>
      </c>
      <c r="AZ41" s="277">
        <f t="shared" ca="1" si="13"/>
        <v>-0.99843256800000024</v>
      </c>
      <c r="BA41" s="277">
        <f t="shared" ca="1" si="14"/>
        <v>-0.88749561600000026</v>
      </c>
      <c r="BB41" s="43"/>
      <c r="BC41" s="277">
        <v>-2.6</v>
      </c>
      <c r="BD41" s="277">
        <v>-1</v>
      </c>
      <c r="BE41" s="277">
        <v>-0.9</v>
      </c>
      <c r="BF41" s="277">
        <v>-0.6</v>
      </c>
      <c r="BG41" s="277">
        <v>-1.4</v>
      </c>
      <c r="BH41" s="277">
        <v>-1.3</v>
      </c>
      <c r="BI41" s="277">
        <v>-0.9</v>
      </c>
      <c r="BJ41" s="277">
        <v>-0.9</v>
      </c>
      <c r="BK41" s="277">
        <v>-0.8</v>
      </c>
      <c r="BL41" s="277">
        <f t="shared" ca="1" si="15"/>
        <v>-2.8843607520000005</v>
      </c>
      <c r="BM41" s="277">
        <f t="shared" ca="1" si="16"/>
        <v>-1.1093695200000002</v>
      </c>
      <c r="BN41" s="277">
        <f t="shared" ca="1" si="17"/>
        <v>-0.99843256800000024</v>
      </c>
      <c r="BO41" s="277">
        <f t="shared" ca="1" si="18"/>
        <v>-0.66562171200000009</v>
      </c>
      <c r="BP41" s="277">
        <f t="shared" ca="1" si="19"/>
        <v>-1.5531173280000001</v>
      </c>
      <c r="BQ41" s="277">
        <f t="shared" ca="1" si="20"/>
        <v>-1.4421803760000003</v>
      </c>
      <c r="BR41" s="277">
        <f t="shared" ca="1" si="21"/>
        <v>-0.99843256800000024</v>
      </c>
      <c r="BS41" s="277">
        <f t="shared" ca="1" si="22"/>
        <v>-0.99843256800000024</v>
      </c>
      <c r="BT41" s="277">
        <f t="shared" ca="1" si="23"/>
        <v>-0.88749561600000026</v>
      </c>
      <c r="BU41" s="45"/>
    </row>
    <row r="42" spans="1:73" s="252" customFormat="1" ht="16.5" customHeight="1">
      <c r="A42" s="13"/>
      <c r="B42" s="119"/>
      <c r="C42" s="163"/>
      <c r="D42" s="164"/>
      <c r="E42" s="164"/>
      <c r="F42" s="164"/>
      <c r="G42" s="164"/>
      <c r="H42" s="949"/>
      <c r="I42" s="949"/>
      <c r="J42" s="949"/>
      <c r="K42" s="949"/>
      <c r="L42" s="949"/>
      <c r="M42" s="949"/>
      <c r="N42" s="949"/>
      <c r="O42" s="463"/>
      <c r="P42" s="463"/>
      <c r="Q42" s="463"/>
      <c r="R42" s="164"/>
      <c r="S42" s="164"/>
      <c r="T42" s="164"/>
      <c r="U42" s="164"/>
      <c r="V42" s="164"/>
      <c r="W42" s="164"/>
      <c r="X42" s="164"/>
      <c r="Y42" s="164"/>
      <c r="Z42" s="164"/>
      <c r="AA42" s="165"/>
      <c r="AB42" s="120"/>
      <c r="AC42" s="13"/>
      <c r="AD42" s="43"/>
      <c r="AE42" s="43"/>
      <c r="AF42" s="43"/>
      <c r="AG42" s="43"/>
      <c r="AH42" s="45">
        <v>-14</v>
      </c>
      <c r="AI42" s="45" t="b">
        <f t="shared" si="5"/>
        <v>0</v>
      </c>
      <c r="AJ42" s="98">
        <f>0.3/10+AJ41</f>
        <v>-2.5700000000000003</v>
      </c>
      <c r="AK42" s="98">
        <f>-0.1/10+AK41</f>
        <v>-1.01</v>
      </c>
      <c r="AL42" s="98">
        <f>0.1/10+AL41</f>
        <v>-0.89</v>
      </c>
      <c r="AM42" s="98">
        <f>0+AM41</f>
        <v>-0.6</v>
      </c>
      <c r="AN42" s="98">
        <f>0.6/10+AN41</f>
        <v>-1.3399999999999999</v>
      </c>
      <c r="AO42" s="98">
        <f>0.7/10+AO41</f>
        <v>-1.23</v>
      </c>
      <c r="AP42" s="98">
        <f>-0.2/10+AP41</f>
        <v>-0.92</v>
      </c>
      <c r="AQ42" s="98">
        <f>0.3/10+AQ41</f>
        <v>-0.87</v>
      </c>
      <c r="AR42" s="98">
        <f>0.2/10+AR41</f>
        <v>-0.78</v>
      </c>
      <c r="AS42" s="277">
        <f t="shared" ca="1" si="6"/>
        <v>-2.8510796664000009</v>
      </c>
      <c r="AT42" s="277">
        <f t="shared" ca="1" si="7"/>
        <v>-1.1204632152000003</v>
      </c>
      <c r="AU42" s="277">
        <f t="shared" ca="1" si="8"/>
        <v>-0.98733887280000021</v>
      </c>
      <c r="AV42" s="277">
        <f t="shared" ca="1" si="9"/>
        <v>-0.66562171200000009</v>
      </c>
      <c r="AW42" s="277">
        <f t="shared" ca="1" si="10"/>
        <v>-1.4865551568000002</v>
      </c>
      <c r="AX42" s="277">
        <f t="shared" ca="1" si="11"/>
        <v>-1.3645245096000003</v>
      </c>
      <c r="AY42" s="277">
        <f t="shared" ca="1" si="12"/>
        <v>-1.0206199584000002</v>
      </c>
      <c r="AZ42" s="277">
        <f t="shared" ca="1" si="13"/>
        <v>-0.96515148240000015</v>
      </c>
      <c r="BA42" s="277">
        <f t="shared" ca="1" si="14"/>
        <v>-0.8653082256000002</v>
      </c>
      <c r="BB42" s="43"/>
      <c r="BC42" s="98">
        <f>0.3/10+BC41</f>
        <v>-2.5700000000000003</v>
      </c>
      <c r="BD42" s="98">
        <f>-0.1/10+BD41</f>
        <v>-1.01</v>
      </c>
      <c r="BE42" s="98">
        <f>0.1/10+BE41</f>
        <v>-0.89</v>
      </c>
      <c r="BF42" s="98">
        <f>0+BF41</f>
        <v>-0.6</v>
      </c>
      <c r="BG42" s="98">
        <f>0.6/10+BG41</f>
        <v>-1.3399999999999999</v>
      </c>
      <c r="BH42" s="98">
        <f>0.7/10+BH41</f>
        <v>-1.23</v>
      </c>
      <c r="BI42" s="98">
        <f>-0.2/10+BI41</f>
        <v>-0.92</v>
      </c>
      <c r="BJ42" s="98">
        <f>0.3/10+BJ41</f>
        <v>-0.87</v>
      </c>
      <c r="BK42" s="98">
        <f>0.2/10+BK41</f>
        <v>-0.78</v>
      </c>
      <c r="BL42" s="277">
        <f t="shared" ca="1" si="15"/>
        <v>-2.8510796664000009</v>
      </c>
      <c r="BM42" s="277">
        <f t="shared" ca="1" si="16"/>
        <v>-1.1204632152000003</v>
      </c>
      <c r="BN42" s="277">
        <f t="shared" ca="1" si="17"/>
        <v>-0.98733887280000021</v>
      </c>
      <c r="BO42" s="277">
        <f t="shared" ca="1" si="18"/>
        <v>-0.66562171200000009</v>
      </c>
      <c r="BP42" s="277">
        <f t="shared" ca="1" si="19"/>
        <v>-1.4865551568000002</v>
      </c>
      <c r="BQ42" s="277">
        <f t="shared" ca="1" si="20"/>
        <v>-1.3645245096000003</v>
      </c>
      <c r="BR42" s="277">
        <f t="shared" ca="1" si="21"/>
        <v>-1.0206199584000002</v>
      </c>
      <c r="BS42" s="277">
        <f t="shared" ca="1" si="22"/>
        <v>-0.96515148240000015</v>
      </c>
      <c r="BT42" s="277">
        <f t="shared" ca="1" si="23"/>
        <v>-0.8653082256000002</v>
      </c>
      <c r="BU42" s="45"/>
    </row>
    <row r="43" spans="1:73" s="252" customFormat="1" ht="17.100000000000001" customHeight="1" thickBot="1">
      <c r="A43" s="13"/>
      <c r="B43" s="119"/>
      <c r="C43" s="163"/>
      <c r="D43" s="164"/>
      <c r="E43" s="164"/>
      <c r="F43" s="164"/>
      <c r="G43" s="164"/>
      <c r="H43" s="950" t="str">
        <f>"d1 = "&amp;FIXED(+'Hipped roofs'!$AL$3/10,2)&amp;"m"</f>
        <v>d1 = 8.00m</v>
      </c>
      <c r="I43" s="950"/>
      <c r="J43" s="950"/>
      <c r="K43" s="951" t="str">
        <f>"d2 = "&amp;FIXED('Hipped roofs'!$AL$3/2-'Hipped roofs'!$AL$3/10,2)&amp;"m"</f>
        <v>d2 = 32.00m</v>
      </c>
      <c r="L43" s="951"/>
      <c r="M43" s="951"/>
      <c r="N43" s="951"/>
      <c r="O43" s="671" t="str">
        <f>"d3 = "&amp;FIXED('Hipped roofs'!M14-'Hipped roofs'!$AL$3/2,2)&amp;"m"</f>
        <v>d3 = 10.00m</v>
      </c>
      <c r="P43" s="671"/>
      <c r="Q43" s="671"/>
      <c r="R43" s="671"/>
      <c r="S43" s="671"/>
      <c r="T43" s="671"/>
      <c r="U43" s="671"/>
      <c r="V43" s="671"/>
      <c r="W43" s="671"/>
      <c r="X43" s="671"/>
      <c r="Y43" s="671"/>
      <c r="Z43" s="164"/>
      <c r="AA43" s="165"/>
      <c r="AB43" s="120"/>
      <c r="AC43" s="13"/>
      <c r="AD43" s="43"/>
      <c r="AE43" s="43"/>
      <c r="AF43" s="43"/>
      <c r="AG43" s="43"/>
      <c r="AH43" s="45">
        <v>-13</v>
      </c>
      <c r="AI43" s="45" t="b">
        <f t="shared" ref="AI43:AI74" si="57">AND($M$17=AH43)</f>
        <v>0</v>
      </c>
      <c r="AJ43" s="98">
        <f t="shared" ref="AJ43:AJ50" si="58">0.3/10+AJ42</f>
        <v>-2.5400000000000005</v>
      </c>
      <c r="AK43" s="98">
        <f t="shared" ref="AK43:AK50" si="59">-0.1/10+AK42</f>
        <v>-1.02</v>
      </c>
      <c r="AL43" s="98">
        <f t="shared" ref="AL43:AL50" si="60">0.1/10+AL42</f>
        <v>-0.88</v>
      </c>
      <c r="AM43" s="98">
        <f t="shared" ref="AM43:AM50" si="61">0+AM42</f>
        <v>-0.6</v>
      </c>
      <c r="AN43" s="98">
        <f t="shared" ref="AN43:AN50" si="62">0.6/10+AN42</f>
        <v>-1.2799999999999998</v>
      </c>
      <c r="AO43" s="98">
        <f t="shared" ref="AO43:AO50" si="63">0.7/10+AO42</f>
        <v>-1.1599999999999999</v>
      </c>
      <c r="AP43" s="98">
        <f t="shared" ref="AP43:AP50" si="64">-0.2/10+AP42</f>
        <v>-0.94000000000000006</v>
      </c>
      <c r="AQ43" s="98">
        <f t="shared" ref="AQ43:AQ50" si="65">0.3/10+AQ42</f>
        <v>-0.84</v>
      </c>
      <c r="AR43" s="98">
        <f t="shared" ref="AR43:AR50" si="66">0.2/10+AR42</f>
        <v>-0.76</v>
      </c>
      <c r="AS43" s="277">
        <f t="shared" ref="AS43:AS74" ca="1" si="67">1.35*$Z$17*$M$22*AJ43</f>
        <v>-2.8177985808000012</v>
      </c>
      <c r="AT43" s="277">
        <f t="shared" ref="AT43:AT74" ca="1" si="68">1.35*$Z$17*$M$22*AK43</f>
        <v>-1.1315569104000003</v>
      </c>
      <c r="AU43" s="277">
        <f t="shared" ref="AU43:AU74" ca="1" si="69">1.35*$Z$17*$M$22*AL43</f>
        <v>-0.97624517760000018</v>
      </c>
      <c r="AV43" s="277">
        <f t="shared" ref="AV43:AV74" ca="1" si="70">1.35*$Z$17*$M$22*AM43</f>
        <v>-0.66562171200000009</v>
      </c>
      <c r="AW43" s="277">
        <f t="shared" ref="AW43:AW74" ca="1" si="71">1.35*$Z$17*$M$22*AN43</f>
        <v>-1.4199929856</v>
      </c>
      <c r="AX43" s="277">
        <f t="shared" ref="AX43:AX74" ca="1" si="72">1.35*$Z$17*$M$22*AO43</f>
        <v>-1.2868686432000003</v>
      </c>
      <c r="AY43" s="277">
        <f t="shared" ref="AY43:AY74" ca="1" si="73">1.35*$Z$17*$M$22*AP43</f>
        <v>-1.0428073488000003</v>
      </c>
      <c r="AZ43" s="277">
        <f t="shared" ref="AZ43:AZ74" ca="1" si="74">1.35*$Z$17*$M$22*AQ43</f>
        <v>-0.93187039680000017</v>
      </c>
      <c r="BA43" s="277">
        <f t="shared" ref="BA43:BA74" ca="1" si="75">1.35*$Z$17*$M$22*AR43</f>
        <v>-0.84312083520000014</v>
      </c>
      <c r="BB43" s="43"/>
      <c r="BC43" s="98">
        <f t="shared" ref="BC43:BC50" si="76">0.3/10+BC42</f>
        <v>-2.5400000000000005</v>
      </c>
      <c r="BD43" s="98">
        <f t="shared" ref="BD43:BD50" si="77">-0.1/10+BD42</f>
        <v>-1.02</v>
      </c>
      <c r="BE43" s="98">
        <f t="shared" ref="BE43:BE50" si="78">0.1/10+BE42</f>
        <v>-0.88</v>
      </c>
      <c r="BF43" s="98">
        <f t="shared" ref="BF43:BF50" si="79">0+BF42</f>
        <v>-0.6</v>
      </c>
      <c r="BG43" s="98">
        <f t="shared" ref="BG43:BG50" si="80">0.6/10+BG42</f>
        <v>-1.2799999999999998</v>
      </c>
      <c r="BH43" s="98">
        <f t="shared" ref="BH43:BH50" si="81">0.7/10+BH42</f>
        <v>-1.1599999999999999</v>
      </c>
      <c r="BI43" s="98">
        <f t="shared" ref="BI43:BI50" si="82">-0.2/10+BI42</f>
        <v>-0.94000000000000006</v>
      </c>
      <c r="BJ43" s="98">
        <f t="shared" ref="BJ43:BJ50" si="83">0.3/10+BJ42</f>
        <v>-0.84</v>
      </c>
      <c r="BK43" s="98">
        <f t="shared" ref="BK43:BK50" si="84">0.2/10+BK42</f>
        <v>-0.76</v>
      </c>
      <c r="BL43" s="277">
        <f t="shared" ca="1" si="15"/>
        <v>-2.8177985808000012</v>
      </c>
      <c r="BM43" s="277">
        <f t="shared" ca="1" si="16"/>
        <v>-1.1315569104000003</v>
      </c>
      <c r="BN43" s="277">
        <f t="shared" ca="1" si="17"/>
        <v>-0.97624517760000018</v>
      </c>
      <c r="BO43" s="277">
        <f t="shared" ca="1" si="18"/>
        <v>-0.66562171200000009</v>
      </c>
      <c r="BP43" s="277">
        <f t="shared" ca="1" si="19"/>
        <v>-1.4199929856</v>
      </c>
      <c r="BQ43" s="277">
        <f t="shared" ca="1" si="20"/>
        <v>-1.2868686432000003</v>
      </c>
      <c r="BR43" s="277">
        <f t="shared" ca="1" si="21"/>
        <v>-1.0428073488000003</v>
      </c>
      <c r="BS43" s="277">
        <f t="shared" ca="1" si="22"/>
        <v>-0.93187039680000017</v>
      </c>
      <c r="BT43" s="277">
        <f t="shared" ca="1" si="23"/>
        <v>-0.84312083520000014</v>
      </c>
      <c r="BU43" s="45"/>
    </row>
    <row r="44" spans="1:73" s="252" customFormat="1" ht="17.100000000000001" customHeight="1">
      <c r="A44" s="13"/>
      <c r="B44" s="119"/>
      <c r="C44" s="672" t="str">
        <f>'Hipped roofs'!$AI$6</f>
        <v>Roof width b = 80.00m</v>
      </c>
      <c r="D44" s="164"/>
      <c r="E44" s="164"/>
      <c r="F44" s="164"/>
      <c r="G44" s="953" t="str">
        <f>"b3 = "&amp;FIXED(+'Hipped roofs'!$AL$3/4,2)&amp;"m"</f>
        <v>b3 = 20.00m</v>
      </c>
      <c r="H44" s="168"/>
      <c r="I44" s="169"/>
      <c r="J44" s="464"/>
      <c r="K44" s="169"/>
      <c r="L44" s="169"/>
      <c r="M44" s="169"/>
      <c r="N44" s="169"/>
      <c r="O44" s="169"/>
      <c r="P44" s="169"/>
      <c r="Q44" s="169"/>
      <c r="R44" s="169"/>
      <c r="S44" s="169"/>
      <c r="T44" s="169"/>
      <c r="U44" s="169"/>
      <c r="V44" s="169"/>
      <c r="W44" s="169"/>
      <c r="X44" s="169"/>
      <c r="Y44" s="170"/>
      <c r="Z44" s="942" t="str">
        <f>"b6 = "&amp;FIXED(+'Hipped roofs'!$AL$3/10,2)&amp;"m"</f>
        <v>b6 = 8.00m</v>
      </c>
      <c r="AA44" s="165"/>
      <c r="AB44" s="120"/>
      <c r="AC44" s="13"/>
      <c r="AD44" s="43"/>
      <c r="AE44" s="43"/>
      <c r="AF44" s="43"/>
      <c r="AG44" s="43"/>
      <c r="AH44" s="45">
        <v>-12</v>
      </c>
      <c r="AI44" s="45" t="b">
        <f t="shared" si="57"/>
        <v>0</v>
      </c>
      <c r="AJ44" s="98">
        <f t="shared" si="58"/>
        <v>-2.5100000000000007</v>
      </c>
      <c r="AK44" s="98">
        <f t="shared" si="59"/>
        <v>-1.03</v>
      </c>
      <c r="AL44" s="98">
        <f t="shared" si="60"/>
        <v>-0.87</v>
      </c>
      <c r="AM44" s="98">
        <f t="shared" si="61"/>
        <v>-0.6</v>
      </c>
      <c r="AN44" s="98">
        <f t="shared" si="62"/>
        <v>-1.2199999999999998</v>
      </c>
      <c r="AO44" s="98">
        <f t="shared" si="63"/>
        <v>-1.0899999999999999</v>
      </c>
      <c r="AP44" s="98">
        <f t="shared" si="64"/>
        <v>-0.96000000000000008</v>
      </c>
      <c r="AQ44" s="98">
        <f t="shared" si="65"/>
        <v>-0.80999999999999994</v>
      </c>
      <c r="AR44" s="98">
        <f t="shared" si="66"/>
        <v>-0.74</v>
      </c>
      <c r="AS44" s="277">
        <f t="shared" ca="1" si="67"/>
        <v>-2.7845174952000011</v>
      </c>
      <c r="AT44" s="277">
        <f t="shared" ca="1" si="68"/>
        <v>-1.1426506056000003</v>
      </c>
      <c r="AU44" s="277">
        <f t="shared" ca="1" si="69"/>
        <v>-0.96515148240000015</v>
      </c>
      <c r="AV44" s="277">
        <f t="shared" ca="1" si="70"/>
        <v>-0.66562171200000009</v>
      </c>
      <c r="AW44" s="277">
        <f t="shared" ca="1" si="71"/>
        <v>-1.3534308144</v>
      </c>
      <c r="AX44" s="277">
        <f t="shared" ca="1" si="72"/>
        <v>-1.2092127768000001</v>
      </c>
      <c r="AY44" s="277">
        <f t="shared" ca="1" si="73"/>
        <v>-1.0649947392000003</v>
      </c>
      <c r="AZ44" s="277">
        <f t="shared" ca="1" si="74"/>
        <v>-0.89858931120000007</v>
      </c>
      <c r="BA44" s="277">
        <f t="shared" ca="1" si="75"/>
        <v>-0.82093344480000019</v>
      </c>
      <c r="BB44" s="43"/>
      <c r="BC44" s="98">
        <f t="shared" si="76"/>
        <v>-2.5100000000000007</v>
      </c>
      <c r="BD44" s="98">
        <f t="shared" si="77"/>
        <v>-1.03</v>
      </c>
      <c r="BE44" s="98">
        <f t="shared" si="78"/>
        <v>-0.87</v>
      </c>
      <c r="BF44" s="98">
        <f t="shared" si="79"/>
        <v>-0.6</v>
      </c>
      <c r="BG44" s="98">
        <f t="shared" si="80"/>
        <v>-1.2199999999999998</v>
      </c>
      <c r="BH44" s="98">
        <f t="shared" si="81"/>
        <v>-1.0899999999999999</v>
      </c>
      <c r="BI44" s="98">
        <f t="shared" si="82"/>
        <v>-0.96000000000000008</v>
      </c>
      <c r="BJ44" s="98">
        <f t="shared" si="83"/>
        <v>-0.80999999999999994</v>
      </c>
      <c r="BK44" s="98">
        <f t="shared" si="84"/>
        <v>-0.74</v>
      </c>
      <c r="BL44" s="277">
        <f t="shared" ca="1" si="15"/>
        <v>-2.7845174952000011</v>
      </c>
      <c r="BM44" s="277">
        <f t="shared" ca="1" si="16"/>
        <v>-1.1426506056000003</v>
      </c>
      <c r="BN44" s="277">
        <f t="shared" ca="1" si="17"/>
        <v>-0.96515148240000015</v>
      </c>
      <c r="BO44" s="277">
        <f t="shared" ca="1" si="18"/>
        <v>-0.66562171200000009</v>
      </c>
      <c r="BP44" s="277">
        <f t="shared" ca="1" si="19"/>
        <v>-1.3534308144</v>
      </c>
      <c r="BQ44" s="277">
        <f t="shared" ca="1" si="20"/>
        <v>-1.2092127768000001</v>
      </c>
      <c r="BR44" s="277">
        <f t="shared" ca="1" si="21"/>
        <v>-1.0649947392000003</v>
      </c>
      <c r="BS44" s="277">
        <f t="shared" ca="1" si="22"/>
        <v>-0.89858931120000007</v>
      </c>
      <c r="BT44" s="277">
        <f t="shared" ca="1" si="23"/>
        <v>-0.82093344480000019</v>
      </c>
      <c r="BU44" s="45"/>
    </row>
    <row r="45" spans="1:73" s="252" customFormat="1" ht="17.100000000000001" customHeight="1">
      <c r="A45" s="13"/>
      <c r="B45" s="119"/>
      <c r="C45" s="672"/>
      <c r="D45" s="164"/>
      <c r="E45" s="164"/>
      <c r="F45" s="164"/>
      <c r="G45" s="953"/>
      <c r="H45" s="171"/>
      <c r="I45" s="172"/>
      <c r="J45" s="465"/>
      <c r="K45" s="172"/>
      <c r="L45" s="172"/>
      <c r="M45" s="172"/>
      <c r="N45" s="172"/>
      <c r="O45" s="172"/>
      <c r="P45" s="172"/>
      <c r="Q45" s="172"/>
      <c r="R45" s="172"/>
      <c r="S45" s="172"/>
      <c r="T45" s="172"/>
      <c r="U45" s="172"/>
      <c r="V45" s="172"/>
      <c r="W45" s="172"/>
      <c r="X45" s="172"/>
      <c r="Y45" s="173"/>
      <c r="Z45" s="942"/>
      <c r="AA45" s="165"/>
      <c r="AB45" s="120"/>
      <c r="AC45" s="13"/>
      <c r="AD45" s="43"/>
      <c r="AE45" s="43"/>
      <c r="AF45" s="43"/>
      <c r="AG45" s="43"/>
      <c r="AH45" s="45">
        <v>-11</v>
      </c>
      <c r="AI45" s="45" t="b">
        <f t="shared" si="57"/>
        <v>0</v>
      </c>
      <c r="AJ45" s="98">
        <f t="shared" si="58"/>
        <v>-2.4800000000000009</v>
      </c>
      <c r="AK45" s="98">
        <f t="shared" si="59"/>
        <v>-1.04</v>
      </c>
      <c r="AL45" s="98">
        <f t="shared" si="60"/>
        <v>-0.86</v>
      </c>
      <c r="AM45" s="98">
        <f t="shared" si="61"/>
        <v>-0.6</v>
      </c>
      <c r="AN45" s="98">
        <f t="shared" si="62"/>
        <v>-1.1599999999999997</v>
      </c>
      <c r="AO45" s="98">
        <f t="shared" si="63"/>
        <v>-1.0199999999999998</v>
      </c>
      <c r="AP45" s="98">
        <f t="shared" si="64"/>
        <v>-0.98000000000000009</v>
      </c>
      <c r="AQ45" s="98">
        <f t="shared" si="65"/>
        <v>-0.77999999999999992</v>
      </c>
      <c r="AR45" s="98">
        <f t="shared" si="66"/>
        <v>-0.72</v>
      </c>
      <c r="AS45" s="277">
        <f t="shared" ca="1" si="67"/>
        <v>-2.7512364096000015</v>
      </c>
      <c r="AT45" s="277">
        <f t="shared" ca="1" si="68"/>
        <v>-1.1537443008000003</v>
      </c>
      <c r="AU45" s="277">
        <f t="shared" ca="1" si="69"/>
        <v>-0.95405778720000023</v>
      </c>
      <c r="AV45" s="277">
        <f t="shared" ca="1" si="70"/>
        <v>-0.66562171200000009</v>
      </c>
      <c r="AW45" s="277">
        <f t="shared" ca="1" si="71"/>
        <v>-1.2868686431999998</v>
      </c>
      <c r="AX45" s="277">
        <f t="shared" ca="1" si="72"/>
        <v>-1.1315569104000001</v>
      </c>
      <c r="AY45" s="277">
        <f t="shared" ca="1" si="73"/>
        <v>-1.0871821296000004</v>
      </c>
      <c r="AZ45" s="277">
        <f t="shared" ca="1" si="74"/>
        <v>-0.86530822560000009</v>
      </c>
      <c r="BA45" s="277">
        <f t="shared" ca="1" si="75"/>
        <v>-0.79874605440000013</v>
      </c>
      <c r="BB45" s="43"/>
      <c r="BC45" s="98">
        <f t="shared" si="76"/>
        <v>-2.4800000000000009</v>
      </c>
      <c r="BD45" s="98">
        <f t="shared" si="77"/>
        <v>-1.04</v>
      </c>
      <c r="BE45" s="98">
        <f t="shared" si="78"/>
        <v>-0.86</v>
      </c>
      <c r="BF45" s="98">
        <f t="shared" si="79"/>
        <v>-0.6</v>
      </c>
      <c r="BG45" s="98">
        <f t="shared" si="80"/>
        <v>-1.1599999999999997</v>
      </c>
      <c r="BH45" s="98">
        <f t="shared" si="81"/>
        <v>-1.0199999999999998</v>
      </c>
      <c r="BI45" s="98">
        <f t="shared" si="82"/>
        <v>-0.98000000000000009</v>
      </c>
      <c r="BJ45" s="98">
        <f t="shared" si="83"/>
        <v>-0.77999999999999992</v>
      </c>
      <c r="BK45" s="98">
        <f t="shared" si="84"/>
        <v>-0.72</v>
      </c>
      <c r="BL45" s="277">
        <f t="shared" ca="1" si="15"/>
        <v>-2.7512364096000015</v>
      </c>
      <c r="BM45" s="277">
        <f t="shared" ca="1" si="16"/>
        <v>-1.1537443008000003</v>
      </c>
      <c r="BN45" s="277">
        <f t="shared" ca="1" si="17"/>
        <v>-0.95405778720000023</v>
      </c>
      <c r="BO45" s="277">
        <f t="shared" ca="1" si="18"/>
        <v>-0.66562171200000009</v>
      </c>
      <c r="BP45" s="277">
        <f t="shared" ca="1" si="19"/>
        <v>-1.2868686431999998</v>
      </c>
      <c r="BQ45" s="277">
        <f t="shared" ca="1" si="20"/>
        <v>-1.1315569104000001</v>
      </c>
      <c r="BR45" s="277">
        <f t="shared" ca="1" si="21"/>
        <v>-1.0871821296000004</v>
      </c>
      <c r="BS45" s="277">
        <f t="shared" ca="1" si="22"/>
        <v>-0.86530822560000009</v>
      </c>
      <c r="BT45" s="277">
        <f t="shared" ca="1" si="23"/>
        <v>-0.79874605440000013</v>
      </c>
      <c r="BU45" s="45"/>
    </row>
    <row r="46" spans="1:73" s="252" customFormat="1" ht="17.100000000000001" customHeight="1">
      <c r="A46" s="13"/>
      <c r="B46" s="119"/>
      <c r="C46" s="672"/>
      <c r="D46" s="164"/>
      <c r="E46" s="164"/>
      <c r="F46" s="164"/>
      <c r="G46" s="953"/>
      <c r="H46" s="171"/>
      <c r="I46" s="172"/>
      <c r="J46" s="465"/>
      <c r="K46" s="172"/>
      <c r="L46" s="172"/>
      <c r="M46" s="172"/>
      <c r="N46" s="172"/>
      <c r="O46" s="172"/>
      <c r="P46" s="172"/>
      <c r="Q46" s="172"/>
      <c r="R46" s="172"/>
      <c r="S46" s="172"/>
      <c r="T46" s="172"/>
      <c r="U46" s="172"/>
      <c r="V46" s="172"/>
      <c r="W46" s="172"/>
      <c r="X46" s="172"/>
      <c r="Y46" s="173"/>
      <c r="Z46" s="942"/>
      <c r="AA46" s="165"/>
      <c r="AB46" s="120"/>
      <c r="AC46" s="13"/>
      <c r="AD46" s="43"/>
      <c r="AE46" s="43"/>
      <c r="AF46" s="43"/>
      <c r="AG46" s="43"/>
      <c r="AH46" s="45">
        <v>-10</v>
      </c>
      <c r="AI46" s="45" t="b">
        <f t="shared" si="57"/>
        <v>0</v>
      </c>
      <c r="AJ46" s="98">
        <f t="shared" si="58"/>
        <v>-2.4500000000000011</v>
      </c>
      <c r="AK46" s="98">
        <f t="shared" si="59"/>
        <v>-1.05</v>
      </c>
      <c r="AL46" s="98">
        <f t="shared" si="60"/>
        <v>-0.85</v>
      </c>
      <c r="AM46" s="98">
        <f t="shared" si="61"/>
        <v>-0.6</v>
      </c>
      <c r="AN46" s="98">
        <f t="shared" si="62"/>
        <v>-1.0999999999999996</v>
      </c>
      <c r="AO46" s="98">
        <f t="shared" si="63"/>
        <v>-0.94999999999999984</v>
      </c>
      <c r="AP46" s="98">
        <f t="shared" si="64"/>
        <v>-1</v>
      </c>
      <c r="AQ46" s="98">
        <f t="shared" si="65"/>
        <v>-0.74999999999999989</v>
      </c>
      <c r="AR46" s="98">
        <f t="shared" si="66"/>
        <v>-0.7</v>
      </c>
      <c r="AS46" s="277">
        <f t="shared" ca="1" si="67"/>
        <v>-2.7179553240000018</v>
      </c>
      <c r="AT46" s="277">
        <f t="shared" ca="1" si="68"/>
        <v>-1.1648379960000004</v>
      </c>
      <c r="AU46" s="277">
        <f t="shared" ca="1" si="69"/>
        <v>-0.9429640920000002</v>
      </c>
      <c r="AV46" s="277">
        <f t="shared" ca="1" si="70"/>
        <v>-0.66562171200000009</v>
      </c>
      <c r="AW46" s="277">
        <f t="shared" ca="1" si="71"/>
        <v>-1.2203064719999999</v>
      </c>
      <c r="AX46" s="277">
        <f t="shared" ca="1" si="72"/>
        <v>-1.0539010440000001</v>
      </c>
      <c r="AY46" s="277">
        <f t="shared" ca="1" si="73"/>
        <v>-1.1093695200000002</v>
      </c>
      <c r="AZ46" s="277">
        <f t="shared" ca="1" si="74"/>
        <v>-0.83202714</v>
      </c>
      <c r="BA46" s="277">
        <f t="shared" ca="1" si="75"/>
        <v>-0.77655866400000007</v>
      </c>
      <c r="BB46" s="43"/>
      <c r="BC46" s="98">
        <f t="shared" si="76"/>
        <v>-2.4500000000000011</v>
      </c>
      <c r="BD46" s="98">
        <f t="shared" si="77"/>
        <v>-1.05</v>
      </c>
      <c r="BE46" s="98">
        <f t="shared" si="78"/>
        <v>-0.85</v>
      </c>
      <c r="BF46" s="98">
        <f t="shared" si="79"/>
        <v>-0.6</v>
      </c>
      <c r="BG46" s="98">
        <f t="shared" si="80"/>
        <v>-1.0999999999999996</v>
      </c>
      <c r="BH46" s="98">
        <f t="shared" si="81"/>
        <v>-0.94999999999999984</v>
      </c>
      <c r="BI46" s="98">
        <f t="shared" si="82"/>
        <v>-1</v>
      </c>
      <c r="BJ46" s="98">
        <f t="shared" si="83"/>
        <v>-0.74999999999999989</v>
      </c>
      <c r="BK46" s="98">
        <f t="shared" si="84"/>
        <v>-0.7</v>
      </c>
      <c r="BL46" s="277">
        <f t="shared" ca="1" si="15"/>
        <v>-2.7179553240000018</v>
      </c>
      <c r="BM46" s="277">
        <f t="shared" ca="1" si="16"/>
        <v>-1.1648379960000004</v>
      </c>
      <c r="BN46" s="277">
        <f t="shared" ca="1" si="17"/>
        <v>-0.9429640920000002</v>
      </c>
      <c r="BO46" s="277">
        <f t="shared" ca="1" si="18"/>
        <v>-0.66562171200000009</v>
      </c>
      <c r="BP46" s="277">
        <f t="shared" ca="1" si="19"/>
        <v>-1.2203064719999999</v>
      </c>
      <c r="BQ46" s="277">
        <f t="shared" ca="1" si="20"/>
        <v>-1.0539010440000001</v>
      </c>
      <c r="BR46" s="277">
        <f t="shared" ca="1" si="21"/>
        <v>-1.1093695200000002</v>
      </c>
      <c r="BS46" s="277">
        <f t="shared" ca="1" si="22"/>
        <v>-0.83202714</v>
      </c>
      <c r="BT46" s="277">
        <f t="shared" ca="1" si="23"/>
        <v>-0.77655866400000007</v>
      </c>
      <c r="BU46" s="45"/>
    </row>
    <row r="47" spans="1:73" s="252" customFormat="1" ht="17.100000000000001" customHeight="1">
      <c r="A47" s="13"/>
      <c r="B47" s="119"/>
      <c r="C47" s="672"/>
      <c r="D47" s="164"/>
      <c r="E47" s="164"/>
      <c r="F47" s="164"/>
      <c r="G47" s="953"/>
      <c r="H47" s="171"/>
      <c r="I47" s="172"/>
      <c r="J47" s="465"/>
      <c r="K47" s="172"/>
      <c r="L47" s="172"/>
      <c r="M47" s="172"/>
      <c r="N47" s="172"/>
      <c r="O47" s="172"/>
      <c r="P47" s="172"/>
      <c r="Q47" s="172"/>
      <c r="R47" s="172"/>
      <c r="S47" s="172"/>
      <c r="T47" s="172"/>
      <c r="U47" s="172"/>
      <c r="V47" s="172"/>
      <c r="W47" s="172"/>
      <c r="X47" s="172"/>
      <c r="Y47" s="173"/>
      <c r="Z47" s="942"/>
      <c r="AA47" s="165"/>
      <c r="AB47" s="120"/>
      <c r="AC47" s="13"/>
      <c r="AD47" s="43"/>
      <c r="AE47" s="43"/>
      <c r="AF47" s="43"/>
      <c r="AG47" s="43"/>
      <c r="AH47" s="45">
        <v>-9</v>
      </c>
      <c r="AI47" s="45" t="b">
        <f t="shared" si="57"/>
        <v>0</v>
      </c>
      <c r="AJ47" s="98">
        <f t="shared" si="58"/>
        <v>-2.4200000000000013</v>
      </c>
      <c r="AK47" s="98">
        <f t="shared" si="59"/>
        <v>-1.06</v>
      </c>
      <c r="AL47" s="98">
        <f t="shared" si="60"/>
        <v>-0.84</v>
      </c>
      <c r="AM47" s="98">
        <f t="shared" si="61"/>
        <v>-0.6</v>
      </c>
      <c r="AN47" s="98">
        <f t="shared" si="62"/>
        <v>-1.0399999999999996</v>
      </c>
      <c r="AO47" s="98">
        <f t="shared" si="63"/>
        <v>-0.87999999999999989</v>
      </c>
      <c r="AP47" s="98">
        <f t="shared" si="64"/>
        <v>-1.02</v>
      </c>
      <c r="AQ47" s="98">
        <f t="shared" si="65"/>
        <v>-0.71999999999999986</v>
      </c>
      <c r="AR47" s="98">
        <f t="shared" si="66"/>
        <v>-0.67999999999999994</v>
      </c>
      <c r="AS47" s="277">
        <f t="shared" ca="1" si="67"/>
        <v>-2.6846742384000017</v>
      </c>
      <c r="AT47" s="277">
        <f t="shared" ca="1" si="68"/>
        <v>-1.1759316912000002</v>
      </c>
      <c r="AU47" s="277">
        <f t="shared" ca="1" si="69"/>
        <v>-0.93187039680000017</v>
      </c>
      <c r="AV47" s="277">
        <f t="shared" ca="1" si="70"/>
        <v>-0.66562171200000009</v>
      </c>
      <c r="AW47" s="277">
        <f t="shared" ca="1" si="71"/>
        <v>-1.1537443007999997</v>
      </c>
      <c r="AX47" s="277">
        <f t="shared" ca="1" si="72"/>
        <v>-0.97624517760000007</v>
      </c>
      <c r="AY47" s="277">
        <f t="shared" ca="1" si="73"/>
        <v>-1.1315569104000003</v>
      </c>
      <c r="AZ47" s="277">
        <f t="shared" ca="1" si="74"/>
        <v>-0.79874605440000002</v>
      </c>
      <c r="BA47" s="277">
        <f t="shared" ca="1" si="75"/>
        <v>-0.75437127360000011</v>
      </c>
      <c r="BB47" s="43"/>
      <c r="BC47" s="98">
        <f t="shared" si="76"/>
        <v>-2.4200000000000013</v>
      </c>
      <c r="BD47" s="98">
        <f t="shared" si="77"/>
        <v>-1.06</v>
      </c>
      <c r="BE47" s="98">
        <f t="shared" si="78"/>
        <v>-0.84</v>
      </c>
      <c r="BF47" s="98">
        <f t="shared" si="79"/>
        <v>-0.6</v>
      </c>
      <c r="BG47" s="98">
        <f t="shared" si="80"/>
        <v>-1.0399999999999996</v>
      </c>
      <c r="BH47" s="98">
        <f t="shared" si="81"/>
        <v>-0.87999999999999989</v>
      </c>
      <c r="BI47" s="98">
        <f t="shared" si="82"/>
        <v>-1.02</v>
      </c>
      <c r="BJ47" s="98">
        <f t="shared" si="83"/>
        <v>-0.71999999999999986</v>
      </c>
      <c r="BK47" s="98">
        <f t="shared" si="84"/>
        <v>-0.67999999999999994</v>
      </c>
      <c r="BL47" s="277">
        <f t="shared" ca="1" si="15"/>
        <v>-2.6846742384000017</v>
      </c>
      <c r="BM47" s="277">
        <f t="shared" ca="1" si="16"/>
        <v>-1.1759316912000002</v>
      </c>
      <c r="BN47" s="277">
        <f t="shared" ca="1" si="17"/>
        <v>-0.93187039680000017</v>
      </c>
      <c r="BO47" s="277">
        <f t="shared" ca="1" si="18"/>
        <v>-0.66562171200000009</v>
      </c>
      <c r="BP47" s="277">
        <f t="shared" ca="1" si="19"/>
        <v>-1.1537443007999997</v>
      </c>
      <c r="BQ47" s="277">
        <f t="shared" ca="1" si="20"/>
        <v>-0.97624517760000007</v>
      </c>
      <c r="BR47" s="277">
        <f t="shared" ca="1" si="21"/>
        <v>-1.1315569104000003</v>
      </c>
      <c r="BS47" s="277">
        <f t="shared" ca="1" si="22"/>
        <v>-0.79874605440000002</v>
      </c>
      <c r="BT47" s="277">
        <f t="shared" ca="1" si="23"/>
        <v>-0.75437127360000011</v>
      </c>
      <c r="BU47" s="45"/>
    </row>
    <row r="48" spans="1:73" s="252" customFormat="1" ht="17.100000000000001" customHeight="1">
      <c r="A48" s="13"/>
      <c r="B48" s="119"/>
      <c r="C48" s="672"/>
      <c r="D48" s="164"/>
      <c r="E48" s="164"/>
      <c r="F48" s="164"/>
      <c r="G48" s="953" t="str">
        <f>"b2 = "&amp;FIXED('Hipped roofs'!M13-2*'Hipped roofs'!$AL$3/4,2)&amp;"m"</f>
        <v>b2 = 40.00m</v>
      </c>
      <c r="H48" s="171"/>
      <c r="I48" s="172"/>
      <c r="J48" s="465"/>
      <c r="K48" s="172"/>
      <c r="L48" s="172"/>
      <c r="M48" s="172"/>
      <c r="N48" s="172"/>
      <c r="O48" s="172"/>
      <c r="P48" s="172"/>
      <c r="Q48" s="172"/>
      <c r="R48" s="172"/>
      <c r="S48" s="172"/>
      <c r="T48" s="172"/>
      <c r="U48" s="172"/>
      <c r="V48" s="172"/>
      <c r="W48" s="172"/>
      <c r="X48" s="172"/>
      <c r="Y48" s="173"/>
      <c r="Z48" s="673" t="str">
        <f>"b5 = "&amp;FIXED('Hipped roofs'!M13-2*'Hipped roofs'!$AL$3/10,2)&amp;"m"</f>
        <v>b5 = 64.00m</v>
      </c>
      <c r="AA48" s="165"/>
      <c r="AB48" s="120"/>
      <c r="AC48" s="13"/>
      <c r="AD48" s="43"/>
      <c r="AE48" s="43"/>
      <c r="AF48" s="43"/>
      <c r="AG48" s="43"/>
      <c r="AH48" s="45">
        <v>-8</v>
      </c>
      <c r="AI48" s="45" t="b">
        <f t="shared" si="57"/>
        <v>0</v>
      </c>
      <c r="AJ48" s="98">
        <f t="shared" si="58"/>
        <v>-2.3900000000000015</v>
      </c>
      <c r="AK48" s="98">
        <f t="shared" si="59"/>
        <v>-1.07</v>
      </c>
      <c r="AL48" s="98">
        <f t="shared" si="60"/>
        <v>-0.83</v>
      </c>
      <c r="AM48" s="98">
        <f t="shared" si="61"/>
        <v>-0.6</v>
      </c>
      <c r="AN48" s="98">
        <f t="shared" si="62"/>
        <v>-0.97999999999999954</v>
      </c>
      <c r="AO48" s="98">
        <f t="shared" si="63"/>
        <v>-0.80999999999999994</v>
      </c>
      <c r="AP48" s="98">
        <f t="shared" si="64"/>
        <v>-1.04</v>
      </c>
      <c r="AQ48" s="98">
        <f t="shared" si="65"/>
        <v>-0.68999999999999984</v>
      </c>
      <c r="AR48" s="98">
        <f t="shared" si="66"/>
        <v>-0.65999999999999992</v>
      </c>
      <c r="AS48" s="277">
        <f t="shared" ca="1" si="67"/>
        <v>-2.6513931528000021</v>
      </c>
      <c r="AT48" s="277">
        <f t="shared" ca="1" si="68"/>
        <v>-1.1870253864000002</v>
      </c>
      <c r="AU48" s="277">
        <f t="shared" ca="1" si="69"/>
        <v>-0.92077670160000014</v>
      </c>
      <c r="AV48" s="277">
        <f t="shared" ca="1" si="70"/>
        <v>-0.66562171200000009</v>
      </c>
      <c r="AW48" s="277">
        <f t="shared" ca="1" si="71"/>
        <v>-1.0871821295999997</v>
      </c>
      <c r="AX48" s="277">
        <f t="shared" ca="1" si="72"/>
        <v>-0.89858931120000007</v>
      </c>
      <c r="AY48" s="277">
        <f t="shared" ca="1" si="73"/>
        <v>-1.1537443008000003</v>
      </c>
      <c r="AZ48" s="277">
        <f t="shared" ca="1" si="74"/>
        <v>-0.76546496879999992</v>
      </c>
      <c r="BA48" s="277">
        <f t="shared" ca="1" si="75"/>
        <v>-0.73218388320000005</v>
      </c>
      <c r="BB48" s="43"/>
      <c r="BC48" s="98">
        <f t="shared" si="76"/>
        <v>-2.3900000000000015</v>
      </c>
      <c r="BD48" s="98">
        <f t="shared" si="77"/>
        <v>-1.07</v>
      </c>
      <c r="BE48" s="98">
        <f t="shared" si="78"/>
        <v>-0.83</v>
      </c>
      <c r="BF48" s="98">
        <f t="shared" si="79"/>
        <v>-0.6</v>
      </c>
      <c r="BG48" s="98">
        <f t="shared" si="80"/>
        <v>-0.97999999999999954</v>
      </c>
      <c r="BH48" s="98">
        <f t="shared" si="81"/>
        <v>-0.80999999999999994</v>
      </c>
      <c r="BI48" s="98">
        <f t="shared" si="82"/>
        <v>-1.04</v>
      </c>
      <c r="BJ48" s="98">
        <f t="shared" si="83"/>
        <v>-0.68999999999999984</v>
      </c>
      <c r="BK48" s="98">
        <f t="shared" si="84"/>
        <v>-0.65999999999999992</v>
      </c>
      <c r="BL48" s="277">
        <f t="shared" ca="1" si="15"/>
        <v>-2.6513931528000021</v>
      </c>
      <c r="BM48" s="277">
        <f t="shared" ca="1" si="16"/>
        <v>-1.1870253864000002</v>
      </c>
      <c r="BN48" s="277">
        <f t="shared" ca="1" si="17"/>
        <v>-0.92077670160000014</v>
      </c>
      <c r="BO48" s="277">
        <f t="shared" ca="1" si="18"/>
        <v>-0.66562171200000009</v>
      </c>
      <c r="BP48" s="277">
        <f t="shared" ca="1" si="19"/>
        <v>-1.0871821295999997</v>
      </c>
      <c r="BQ48" s="277">
        <f t="shared" ca="1" si="20"/>
        <v>-0.89858931120000007</v>
      </c>
      <c r="BR48" s="277">
        <f t="shared" ca="1" si="21"/>
        <v>-1.1537443008000003</v>
      </c>
      <c r="BS48" s="277">
        <f t="shared" ca="1" si="22"/>
        <v>-0.76546496879999992</v>
      </c>
      <c r="BT48" s="277">
        <f t="shared" ca="1" si="23"/>
        <v>-0.73218388320000005</v>
      </c>
      <c r="BU48" s="45"/>
    </row>
    <row r="49" spans="1:73" s="252" customFormat="1" ht="17.100000000000001" customHeight="1">
      <c r="A49" s="13"/>
      <c r="B49" s="119"/>
      <c r="C49" s="672"/>
      <c r="D49" s="164"/>
      <c r="E49" s="164"/>
      <c r="F49" s="164"/>
      <c r="G49" s="953"/>
      <c r="H49" s="171"/>
      <c r="I49" s="172"/>
      <c r="J49" s="465"/>
      <c r="K49" s="172"/>
      <c r="L49" s="172"/>
      <c r="M49" s="172"/>
      <c r="N49" s="172"/>
      <c r="O49" s="172"/>
      <c r="P49" s="172"/>
      <c r="Q49" s="172"/>
      <c r="R49" s="172"/>
      <c r="S49" s="172"/>
      <c r="T49" s="172"/>
      <c r="U49" s="172"/>
      <c r="V49" s="172"/>
      <c r="W49" s="172"/>
      <c r="X49" s="172"/>
      <c r="Y49" s="173"/>
      <c r="Z49" s="673"/>
      <c r="AA49" s="165"/>
      <c r="AB49" s="120"/>
      <c r="AC49" s="13"/>
      <c r="AD49" s="43"/>
      <c r="AE49" s="43"/>
      <c r="AF49" s="43"/>
      <c r="AG49" s="43"/>
      <c r="AH49" s="45">
        <v>-7</v>
      </c>
      <c r="AI49" s="45" t="b">
        <f t="shared" si="57"/>
        <v>0</v>
      </c>
      <c r="AJ49" s="98">
        <f t="shared" si="58"/>
        <v>-2.3600000000000017</v>
      </c>
      <c r="AK49" s="98">
        <f t="shared" si="59"/>
        <v>-1.08</v>
      </c>
      <c r="AL49" s="98">
        <f t="shared" si="60"/>
        <v>-0.82</v>
      </c>
      <c r="AM49" s="98">
        <f t="shared" si="61"/>
        <v>-0.6</v>
      </c>
      <c r="AN49" s="98">
        <f t="shared" si="62"/>
        <v>-0.91999999999999948</v>
      </c>
      <c r="AO49" s="98">
        <f t="shared" si="63"/>
        <v>-0.74</v>
      </c>
      <c r="AP49" s="98">
        <f t="shared" si="64"/>
        <v>-1.06</v>
      </c>
      <c r="AQ49" s="98">
        <f t="shared" si="65"/>
        <v>-0.65999999999999981</v>
      </c>
      <c r="AR49" s="98">
        <f t="shared" si="66"/>
        <v>-0.6399999999999999</v>
      </c>
      <c r="AS49" s="277">
        <f t="shared" ca="1" si="67"/>
        <v>-2.6181120672000024</v>
      </c>
      <c r="AT49" s="277">
        <f t="shared" ca="1" si="68"/>
        <v>-1.1981190816000002</v>
      </c>
      <c r="AU49" s="277">
        <f t="shared" ca="1" si="69"/>
        <v>-0.9096830064000001</v>
      </c>
      <c r="AV49" s="277">
        <f t="shared" ca="1" si="70"/>
        <v>-0.66562171200000009</v>
      </c>
      <c r="AW49" s="277">
        <f t="shared" ca="1" si="71"/>
        <v>-1.0206199583999995</v>
      </c>
      <c r="AX49" s="277">
        <f t="shared" ca="1" si="72"/>
        <v>-0.82093344480000019</v>
      </c>
      <c r="AY49" s="277">
        <f t="shared" ca="1" si="73"/>
        <v>-1.1759316912000002</v>
      </c>
      <c r="AZ49" s="277">
        <f t="shared" ca="1" si="74"/>
        <v>-0.73218388319999994</v>
      </c>
      <c r="BA49" s="277">
        <f t="shared" ca="1" si="75"/>
        <v>-0.70999649279999999</v>
      </c>
      <c r="BB49" s="43"/>
      <c r="BC49" s="98">
        <f t="shared" si="76"/>
        <v>-2.3600000000000017</v>
      </c>
      <c r="BD49" s="98">
        <f t="shared" si="77"/>
        <v>-1.08</v>
      </c>
      <c r="BE49" s="98">
        <f t="shared" si="78"/>
        <v>-0.82</v>
      </c>
      <c r="BF49" s="98">
        <f t="shared" si="79"/>
        <v>-0.6</v>
      </c>
      <c r="BG49" s="98">
        <f t="shared" si="80"/>
        <v>-0.91999999999999948</v>
      </c>
      <c r="BH49" s="98">
        <f t="shared" si="81"/>
        <v>-0.74</v>
      </c>
      <c r="BI49" s="98">
        <f t="shared" si="82"/>
        <v>-1.06</v>
      </c>
      <c r="BJ49" s="98">
        <f t="shared" si="83"/>
        <v>-0.65999999999999981</v>
      </c>
      <c r="BK49" s="98">
        <f t="shared" si="84"/>
        <v>-0.6399999999999999</v>
      </c>
      <c r="BL49" s="277">
        <f t="shared" ca="1" si="15"/>
        <v>-2.6181120672000024</v>
      </c>
      <c r="BM49" s="277">
        <f t="shared" ca="1" si="16"/>
        <v>-1.1981190816000002</v>
      </c>
      <c r="BN49" s="277">
        <f t="shared" ca="1" si="17"/>
        <v>-0.9096830064000001</v>
      </c>
      <c r="BO49" s="277">
        <f t="shared" ca="1" si="18"/>
        <v>-0.66562171200000009</v>
      </c>
      <c r="BP49" s="277">
        <f t="shared" ca="1" si="19"/>
        <v>-1.0206199583999995</v>
      </c>
      <c r="BQ49" s="277">
        <f t="shared" ca="1" si="20"/>
        <v>-0.82093344480000019</v>
      </c>
      <c r="BR49" s="277">
        <f t="shared" ca="1" si="21"/>
        <v>-1.1759316912000002</v>
      </c>
      <c r="BS49" s="277">
        <f t="shared" ca="1" si="22"/>
        <v>-0.73218388319999994</v>
      </c>
      <c r="BT49" s="277">
        <f t="shared" ca="1" si="23"/>
        <v>-0.70999649279999999</v>
      </c>
      <c r="BU49" s="45"/>
    </row>
    <row r="50" spans="1:73" s="252" customFormat="1" ht="17.100000000000001" customHeight="1">
      <c r="A50" s="13"/>
      <c r="B50" s="119"/>
      <c r="C50" s="672"/>
      <c r="D50" s="164"/>
      <c r="E50" s="164"/>
      <c r="F50" s="164"/>
      <c r="G50" s="953"/>
      <c r="H50" s="171"/>
      <c r="I50" s="172"/>
      <c r="J50" s="465"/>
      <c r="K50" s="172"/>
      <c r="L50" s="172"/>
      <c r="M50" s="172"/>
      <c r="N50" s="172"/>
      <c r="O50" s="172"/>
      <c r="P50" s="172"/>
      <c r="Q50" s="172"/>
      <c r="R50" s="172"/>
      <c r="S50" s="172"/>
      <c r="T50" s="172"/>
      <c r="U50" s="172"/>
      <c r="V50" s="172"/>
      <c r="W50" s="172"/>
      <c r="X50" s="172"/>
      <c r="Y50" s="173"/>
      <c r="Z50" s="673"/>
      <c r="AA50" s="165"/>
      <c r="AB50" s="120"/>
      <c r="AC50" s="13"/>
      <c r="AD50" s="43"/>
      <c r="AE50" s="43"/>
      <c r="AF50" s="43"/>
      <c r="AG50" s="43"/>
      <c r="AH50" s="45">
        <v>-6</v>
      </c>
      <c r="AI50" s="45" t="b">
        <f t="shared" si="57"/>
        <v>0</v>
      </c>
      <c r="AJ50" s="98">
        <f t="shared" si="58"/>
        <v>-2.3300000000000018</v>
      </c>
      <c r="AK50" s="98">
        <f t="shared" si="59"/>
        <v>-1.0900000000000001</v>
      </c>
      <c r="AL50" s="98">
        <f t="shared" si="60"/>
        <v>-0.80999999999999994</v>
      </c>
      <c r="AM50" s="98">
        <f t="shared" si="61"/>
        <v>-0.6</v>
      </c>
      <c r="AN50" s="98">
        <f t="shared" si="62"/>
        <v>-0.85999999999999943</v>
      </c>
      <c r="AO50" s="98">
        <f t="shared" si="63"/>
        <v>-0.67</v>
      </c>
      <c r="AP50" s="98">
        <f t="shared" si="64"/>
        <v>-1.08</v>
      </c>
      <c r="AQ50" s="98">
        <f t="shared" si="65"/>
        <v>-0.62999999999999978</v>
      </c>
      <c r="AR50" s="98">
        <f t="shared" si="66"/>
        <v>-0.61999999999999988</v>
      </c>
      <c r="AS50" s="277">
        <f t="shared" ca="1" si="67"/>
        <v>-2.5848309816000024</v>
      </c>
      <c r="AT50" s="277">
        <f t="shared" ca="1" si="68"/>
        <v>-1.2092127768000003</v>
      </c>
      <c r="AU50" s="277">
        <f t="shared" ca="1" si="69"/>
        <v>-0.89858931120000007</v>
      </c>
      <c r="AV50" s="277">
        <f t="shared" ca="1" si="70"/>
        <v>-0.66562171200000009</v>
      </c>
      <c r="AW50" s="277">
        <f t="shared" ca="1" si="71"/>
        <v>-0.95405778719999956</v>
      </c>
      <c r="AX50" s="277">
        <f t="shared" ca="1" si="72"/>
        <v>-0.74327757840000019</v>
      </c>
      <c r="AY50" s="277">
        <f t="shared" ca="1" si="73"/>
        <v>-1.1981190816000002</v>
      </c>
      <c r="AZ50" s="277">
        <f t="shared" ca="1" si="74"/>
        <v>-0.69890279759999985</v>
      </c>
      <c r="BA50" s="277">
        <f t="shared" ca="1" si="75"/>
        <v>-0.68780910240000004</v>
      </c>
      <c r="BB50" s="43"/>
      <c r="BC50" s="98">
        <f t="shared" si="76"/>
        <v>-2.3300000000000018</v>
      </c>
      <c r="BD50" s="98">
        <f t="shared" si="77"/>
        <v>-1.0900000000000001</v>
      </c>
      <c r="BE50" s="98">
        <f t="shared" si="78"/>
        <v>-0.80999999999999994</v>
      </c>
      <c r="BF50" s="98">
        <f t="shared" si="79"/>
        <v>-0.6</v>
      </c>
      <c r="BG50" s="98">
        <f t="shared" si="80"/>
        <v>-0.85999999999999943</v>
      </c>
      <c r="BH50" s="98">
        <f t="shared" si="81"/>
        <v>-0.67</v>
      </c>
      <c r="BI50" s="98">
        <f t="shared" si="82"/>
        <v>-1.08</v>
      </c>
      <c r="BJ50" s="98">
        <f t="shared" si="83"/>
        <v>-0.62999999999999978</v>
      </c>
      <c r="BK50" s="98">
        <f t="shared" si="84"/>
        <v>-0.61999999999999988</v>
      </c>
      <c r="BL50" s="277">
        <f t="shared" ca="1" si="15"/>
        <v>-2.5848309816000024</v>
      </c>
      <c r="BM50" s="277">
        <f t="shared" ca="1" si="16"/>
        <v>-1.2092127768000003</v>
      </c>
      <c r="BN50" s="277">
        <f t="shared" ca="1" si="17"/>
        <v>-0.89858931120000007</v>
      </c>
      <c r="BO50" s="277">
        <f t="shared" ca="1" si="18"/>
        <v>-0.66562171200000009</v>
      </c>
      <c r="BP50" s="277">
        <f t="shared" ca="1" si="19"/>
        <v>-0.95405778719999956</v>
      </c>
      <c r="BQ50" s="277">
        <f t="shared" ca="1" si="20"/>
        <v>-0.74327757840000019</v>
      </c>
      <c r="BR50" s="277">
        <f t="shared" ca="1" si="21"/>
        <v>-1.1981190816000002</v>
      </c>
      <c r="BS50" s="277">
        <f t="shared" ca="1" si="22"/>
        <v>-0.69890279759999985</v>
      </c>
      <c r="BT50" s="277">
        <f t="shared" ca="1" si="23"/>
        <v>-0.68780910240000004</v>
      </c>
      <c r="BU50" s="45"/>
    </row>
    <row r="51" spans="1:73" s="252" customFormat="1" ht="17.100000000000001" customHeight="1">
      <c r="A51" s="13"/>
      <c r="B51" s="119"/>
      <c r="C51" s="672"/>
      <c r="D51" s="164"/>
      <c r="E51" s="164"/>
      <c r="F51" s="164"/>
      <c r="G51" s="953"/>
      <c r="H51" s="171"/>
      <c r="I51" s="172"/>
      <c r="J51" s="465"/>
      <c r="K51" s="172"/>
      <c r="L51" s="172"/>
      <c r="M51" s="172"/>
      <c r="N51" s="172"/>
      <c r="O51" s="172"/>
      <c r="P51" s="172"/>
      <c r="Q51" s="172"/>
      <c r="R51" s="172"/>
      <c r="S51" s="172"/>
      <c r="T51" s="172"/>
      <c r="U51" s="172"/>
      <c r="V51" s="172"/>
      <c r="W51" s="172"/>
      <c r="X51" s="172"/>
      <c r="Y51" s="173"/>
      <c r="Z51" s="673"/>
      <c r="AA51" s="165"/>
      <c r="AB51" s="120"/>
      <c r="AC51" s="13"/>
      <c r="AD51" s="43"/>
      <c r="AE51" s="43"/>
      <c r="AF51" s="43"/>
      <c r="AG51" s="43"/>
      <c r="AH51" s="276">
        <v>-5</v>
      </c>
      <c r="AI51" s="45" t="b">
        <f t="shared" si="57"/>
        <v>0</v>
      </c>
      <c r="AJ51" s="277">
        <v>-2.2999999999999998</v>
      </c>
      <c r="AK51" s="277">
        <v>-1.1000000000000001</v>
      </c>
      <c r="AL51" s="277">
        <v>-0.8</v>
      </c>
      <c r="AM51" s="277">
        <v>-0.6</v>
      </c>
      <c r="AN51" s="277">
        <v>-0.8</v>
      </c>
      <c r="AO51" s="277">
        <v>-0.6</v>
      </c>
      <c r="AP51" s="277">
        <v>-1.1000000000000001</v>
      </c>
      <c r="AQ51" s="277">
        <v>-0.6</v>
      </c>
      <c r="AR51" s="277">
        <v>-0.6</v>
      </c>
      <c r="AS51" s="277">
        <f t="shared" ca="1" si="67"/>
        <v>-2.5515498960000005</v>
      </c>
      <c r="AT51" s="277">
        <f t="shared" ca="1" si="68"/>
        <v>-1.2203064720000003</v>
      </c>
      <c r="AU51" s="277">
        <f t="shared" ca="1" si="69"/>
        <v>-0.88749561600000026</v>
      </c>
      <c r="AV51" s="277">
        <f t="shared" ca="1" si="70"/>
        <v>-0.66562171200000009</v>
      </c>
      <c r="AW51" s="277">
        <f t="shared" ca="1" si="71"/>
        <v>-0.88749561600000026</v>
      </c>
      <c r="AX51" s="277">
        <f t="shared" ca="1" si="72"/>
        <v>-0.66562171200000009</v>
      </c>
      <c r="AY51" s="277">
        <f t="shared" ca="1" si="73"/>
        <v>-1.2203064720000003</v>
      </c>
      <c r="AZ51" s="277">
        <f t="shared" ca="1" si="74"/>
        <v>-0.66562171200000009</v>
      </c>
      <c r="BA51" s="277">
        <f t="shared" ca="1" si="75"/>
        <v>-0.66562171200000009</v>
      </c>
      <c r="BB51" s="43"/>
      <c r="BC51" s="277">
        <v>-2.2999999999999998</v>
      </c>
      <c r="BD51" s="277">
        <v>-1.1000000000000001</v>
      </c>
      <c r="BE51" s="277">
        <v>-0.8</v>
      </c>
      <c r="BF51" s="277">
        <v>-0.6</v>
      </c>
      <c r="BG51" s="277">
        <v>-0.8</v>
      </c>
      <c r="BH51" s="277">
        <v>-0.6</v>
      </c>
      <c r="BI51" s="277">
        <v>-1.1000000000000001</v>
      </c>
      <c r="BJ51" s="277">
        <v>-0.6</v>
      </c>
      <c r="BK51" s="277">
        <v>-0.6</v>
      </c>
      <c r="BL51" s="277">
        <f t="shared" ca="1" si="15"/>
        <v>-2.5515498960000005</v>
      </c>
      <c r="BM51" s="277">
        <f t="shared" ca="1" si="16"/>
        <v>-1.2203064720000003</v>
      </c>
      <c r="BN51" s="277">
        <f t="shared" ca="1" si="17"/>
        <v>-0.88749561600000026</v>
      </c>
      <c r="BO51" s="277">
        <f t="shared" ca="1" si="18"/>
        <v>-0.66562171200000009</v>
      </c>
      <c r="BP51" s="277">
        <f t="shared" ca="1" si="19"/>
        <v>-0.88749561600000026</v>
      </c>
      <c r="BQ51" s="277">
        <f t="shared" ca="1" si="20"/>
        <v>-0.66562171200000009</v>
      </c>
      <c r="BR51" s="277">
        <f t="shared" ca="1" si="21"/>
        <v>-1.2203064720000003</v>
      </c>
      <c r="BS51" s="277">
        <f t="shared" ca="1" si="22"/>
        <v>-0.66562171200000009</v>
      </c>
      <c r="BT51" s="277">
        <f t="shared" ca="1" si="23"/>
        <v>-0.66562171200000009</v>
      </c>
      <c r="BU51" s="45"/>
    </row>
    <row r="52" spans="1:73" s="252" customFormat="1" ht="17.100000000000001" customHeight="1">
      <c r="A52" s="13"/>
      <c r="B52" s="119"/>
      <c r="C52" s="672"/>
      <c r="D52" s="164"/>
      <c r="E52" s="164"/>
      <c r="F52" s="164"/>
      <c r="G52" s="953"/>
      <c r="H52" s="171"/>
      <c r="I52" s="172"/>
      <c r="J52" s="465"/>
      <c r="K52" s="172"/>
      <c r="L52" s="172"/>
      <c r="M52" s="172"/>
      <c r="N52" s="172"/>
      <c r="O52" s="172"/>
      <c r="P52" s="172"/>
      <c r="Q52" s="172"/>
      <c r="R52" s="172"/>
      <c r="S52" s="172"/>
      <c r="T52" s="172"/>
      <c r="U52" s="172"/>
      <c r="V52" s="172"/>
      <c r="W52" s="172"/>
      <c r="X52" s="172"/>
      <c r="Y52" s="173"/>
      <c r="Z52" s="673"/>
      <c r="AA52" s="165"/>
      <c r="AB52" s="120"/>
      <c r="AC52" s="13"/>
      <c r="AD52" s="43"/>
      <c r="AE52" s="43"/>
      <c r="AF52" s="43"/>
      <c r="AG52" s="43"/>
      <c r="AH52" s="45">
        <v>-4</v>
      </c>
      <c r="AI52" s="45" t="b">
        <f t="shared" si="57"/>
        <v>0</v>
      </c>
      <c r="AJ52" s="98">
        <f>0.5/10+AJ51</f>
        <v>-2.25</v>
      </c>
      <c r="AK52" s="98">
        <f>-0.1/10+AK51</f>
        <v>-1.1100000000000001</v>
      </c>
      <c r="AL52" s="98">
        <f>0.2/10+AL51</f>
        <v>-0.78</v>
      </c>
      <c r="AM52" s="98">
        <f>0+AM51</f>
        <v>-0.6</v>
      </c>
      <c r="AN52" s="98">
        <f t="shared" ref="AN52:AR60" si="85">0+AN51</f>
        <v>-0.8</v>
      </c>
      <c r="AO52" s="98">
        <f t="shared" si="85"/>
        <v>-0.6</v>
      </c>
      <c r="AP52" s="98">
        <f t="shared" si="85"/>
        <v>-1.1000000000000001</v>
      </c>
      <c r="AQ52" s="98">
        <f t="shared" si="85"/>
        <v>-0.6</v>
      </c>
      <c r="AR52" s="98">
        <f t="shared" si="85"/>
        <v>-0.6</v>
      </c>
      <c r="AS52" s="277">
        <f t="shared" ca="1" si="67"/>
        <v>-2.4960814200000003</v>
      </c>
      <c r="AT52" s="277">
        <f t="shared" ca="1" si="68"/>
        <v>-1.2314001672000003</v>
      </c>
      <c r="AU52" s="277">
        <f t="shared" ca="1" si="69"/>
        <v>-0.8653082256000002</v>
      </c>
      <c r="AV52" s="277">
        <f t="shared" ca="1" si="70"/>
        <v>-0.66562171200000009</v>
      </c>
      <c r="AW52" s="277">
        <f t="shared" ca="1" si="71"/>
        <v>-0.88749561600000026</v>
      </c>
      <c r="AX52" s="277">
        <f t="shared" ca="1" si="72"/>
        <v>-0.66562171200000009</v>
      </c>
      <c r="AY52" s="277">
        <f t="shared" ca="1" si="73"/>
        <v>-1.2203064720000003</v>
      </c>
      <c r="AZ52" s="277">
        <f t="shared" ca="1" si="74"/>
        <v>-0.66562171200000009</v>
      </c>
      <c r="BA52" s="277">
        <f t="shared" ca="1" si="75"/>
        <v>-0.66562171200000009</v>
      </c>
      <c r="BB52" s="43"/>
      <c r="BC52" s="98">
        <f>2.3/10+BC51</f>
        <v>-2.0699999999999998</v>
      </c>
      <c r="BD52" s="98">
        <f>1.1/10+BD51</f>
        <v>-0.9900000000000001</v>
      </c>
      <c r="BE52" s="98">
        <f>0.8/10+BE51</f>
        <v>-0.72000000000000008</v>
      </c>
      <c r="BF52" s="98">
        <f>0/10+BF51</f>
        <v>-0.6</v>
      </c>
      <c r="BG52" s="98">
        <f>0/10+BG51</f>
        <v>-0.8</v>
      </c>
      <c r="BH52" s="98">
        <f>0/10+BH51</f>
        <v>-0.6</v>
      </c>
      <c r="BI52" s="98">
        <f>1.1/10+BI51</f>
        <v>-0.9900000000000001</v>
      </c>
      <c r="BJ52" s="98">
        <f>0.6/10+BJ51</f>
        <v>-0.54</v>
      </c>
      <c r="BK52" s="98">
        <f>0.6/10+BK51</f>
        <v>-0.54</v>
      </c>
      <c r="BL52" s="277">
        <f t="shared" ca="1" si="15"/>
        <v>-2.2963949064000002</v>
      </c>
      <c r="BM52" s="277">
        <f t="shared" ca="1" si="16"/>
        <v>-1.0982758248000004</v>
      </c>
      <c r="BN52" s="277">
        <f t="shared" ca="1" si="17"/>
        <v>-0.79874605440000024</v>
      </c>
      <c r="BO52" s="277">
        <f t="shared" ca="1" si="18"/>
        <v>-0.66562171200000009</v>
      </c>
      <c r="BP52" s="277">
        <f t="shared" ca="1" si="19"/>
        <v>-0.88749561600000026</v>
      </c>
      <c r="BQ52" s="277">
        <f t="shared" ca="1" si="20"/>
        <v>-0.66562171200000009</v>
      </c>
      <c r="BR52" s="277">
        <f t="shared" ca="1" si="21"/>
        <v>-1.0982758248000004</v>
      </c>
      <c r="BS52" s="277">
        <f t="shared" ca="1" si="22"/>
        <v>-0.59905954080000012</v>
      </c>
      <c r="BT52" s="277">
        <f t="shared" ca="1" si="23"/>
        <v>-0.59905954080000012</v>
      </c>
      <c r="BU52" s="45"/>
    </row>
    <row r="53" spans="1:73" s="252" customFormat="1" ht="17.100000000000001" customHeight="1">
      <c r="A53" s="13"/>
      <c r="B53" s="119"/>
      <c r="C53" s="672"/>
      <c r="D53" s="164"/>
      <c r="E53" s="164"/>
      <c r="F53" s="164"/>
      <c r="G53" s="953"/>
      <c r="H53" s="171"/>
      <c r="I53" s="172"/>
      <c r="J53" s="465"/>
      <c r="K53" s="172"/>
      <c r="L53" s="172"/>
      <c r="M53" s="172"/>
      <c r="N53" s="172"/>
      <c r="O53" s="172"/>
      <c r="P53" s="172"/>
      <c r="Q53" s="172"/>
      <c r="R53" s="172"/>
      <c r="S53" s="172"/>
      <c r="T53" s="172"/>
      <c r="U53" s="172"/>
      <c r="V53" s="172"/>
      <c r="W53" s="172"/>
      <c r="X53" s="172"/>
      <c r="Y53" s="173"/>
      <c r="Z53" s="673"/>
      <c r="AA53" s="165"/>
      <c r="AB53" s="120"/>
      <c r="AC53" s="13"/>
      <c r="AD53" s="43"/>
      <c r="AE53" s="43"/>
      <c r="AF53" s="43"/>
      <c r="AG53" s="43"/>
      <c r="AH53" s="45">
        <v>-3</v>
      </c>
      <c r="AI53" s="45" t="b">
        <f t="shared" si="57"/>
        <v>0</v>
      </c>
      <c r="AJ53" s="98">
        <f t="shared" ref="AJ53:AJ60" si="86">0.5/10+AJ52</f>
        <v>-2.2000000000000002</v>
      </c>
      <c r="AK53" s="98">
        <f t="shared" ref="AK53:AK60" si="87">-0.1/10+AK52</f>
        <v>-1.1200000000000001</v>
      </c>
      <c r="AL53" s="98">
        <f t="shared" ref="AL53:AL60" si="88">0.2/10+AL52</f>
        <v>-0.76</v>
      </c>
      <c r="AM53" s="98">
        <f t="shared" ref="AM53:AM60" si="89">0+AM52</f>
        <v>-0.6</v>
      </c>
      <c r="AN53" s="98">
        <f t="shared" si="85"/>
        <v>-0.8</v>
      </c>
      <c r="AO53" s="98">
        <f t="shared" si="85"/>
        <v>-0.6</v>
      </c>
      <c r="AP53" s="98">
        <f t="shared" si="85"/>
        <v>-1.1000000000000001</v>
      </c>
      <c r="AQ53" s="98">
        <f t="shared" si="85"/>
        <v>-0.6</v>
      </c>
      <c r="AR53" s="98">
        <f t="shared" si="85"/>
        <v>-0.6</v>
      </c>
      <c r="AS53" s="277">
        <f t="shared" ca="1" si="67"/>
        <v>-2.4406129440000006</v>
      </c>
      <c r="AT53" s="277">
        <f t="shared" ca="1" si="68"/>
        <v>-1.2424938624000004</v>
      </c>
      <c r="AU53" s="277">
        <f t="shared" ca="1" si="69"/>
        <v>-0.84312083520000014</v>
      </c>
      <c r="AV53" s="277">
        <f t="shared" ca="1" si="70"/>
        <v>-0.66562171200000009</v>
      </c>
      <c r="AW53" s="277">
        <f t="shared" ca="1" si="71"/>
        <v>-0.88749561600000026</v>
      </c>
      <c r="AX53" s="277">
        <f t="shared" ca="1" si="72"/>
        <v>-0.66562171200000009</v>
      </c>
      <c r="AY53" s="277">
        <f t="shared" ca="1" si="73"/>
        <v>-1.2203064720000003</v>
      </c>
      <c r="AZ53" s="277">
        <f t="shared" ca="1" si="74"/>
        <v>-0.66562171200000009</v>
      </c>
      <c r="BA53" s="277">
        <f t="shared" ca="1" si="75"/>
        <v>-0.66562171200000009</v>
      </c>
      <c r="BB53" s="43"/>
      <c r="BC53" s="98">
        <f t="shared" ref="BC53:BC60" si="90">2.3/10+BC52</f>
        <v>-1.8399999999999999</v>
      </c>
      <c r="BD53" s="98">
        <f t="shared" ref="BD53:BD60" si="91">1.1/10+BD52</f>
        <v>-0.88000000000000012</v>
      </c>
      <c r="BE53" s="98">
        <f t="shared" ref="BE53:BE60" si="92">0.8/10+BE52</f>
        <v>-0.64000000000000012</v>
      </c>
      <c r="BF53" s="98">
        <f t="shared" ref="BF53:BF60" si="93">0/10+BF52</f>
        <v>-0.6</v>
      </c>
      <c r="BG53" s="98">
        <f t="shared" ref="BG53:BG60" si="94">0/10+BG52</f>
        <v>-0.8</v>
      </c>
      <c r="BH53" s="98">
        <f t="shared" ref="BH53:BH60" si="95">0/10+BH52</f>
        <v>-0.6</v>
      </c>
      <c r="BI53" s="98">
        <f t="shared" ref="BI53:BI60" si="96">1.1/10+BI52</f>
        <v>-0.88000000000000012</v>
      </c>
      <c r="BJ53" s="98">
        <f t="shared" ref="BJ53:BJ60" si="97">0.6/10+BJ52</f>
        <v>-0.48000000000000004</v>
      </c>
      <c r="BK53" s="98">
        <f t="shared" ref="BK53:BK60" si="98">0.6/10+BK52</f>
        <v>-0.48000000000000004</v>
      </c>
      <c r="BL53" s="277">
        <f t="shared" ca="1" si="15"/>
        <v>-2.0412399168000004</v>
      </c>
      <c r="BM53" s="277">
        <f t="shared" ca="1" si="16"/>
        <v>-0.97624517760000029</v>
      </c>
      <c r="BN53" s="277">
        <f t="shared" ca="1" si="17"/>
        <v>-0.70999649280000032</v>
      </c>
      <c r="BO53" s="277">
        <f t="shared" ca="1" si="18"/>
        <v>-0.66562171200000009</v>
      </c>
      <c r="BP53" s="277">
        <f t="shared" ca="1" si="19"/>
        <v>-0.88749561600000026</v>
      </c>
      <c r="BQ53" s="277">
        <f t="shared" ca="1" si="20"/>
        <v>-0.66562171200000009</v>
      </c>
      <c r="BR53" s="277">
        <f t="shared" ca="1" si="21"/>
        <v>-0.97624517760000029</v>
      </c>
      <c r="BS53" s="277">
        <f t="shared" ca="1" si="22"/>
        <v>-0.53249736960000016</v>
      </c>
      <c r="BT53" s="277">
        <f t="shared" ca="1" si="23"/>
        <v>-0.53249736960000016</v>
      </c>
      <c r="BU53" s="45"/>
    </row>
    <row r="54" spans="1:73" s="252" customFormat="1" ht="17.100000000000001" customHeight="1">
      <c r="A54" s="13"/>
      <c r="B54" s="119"/>
      <c r="C54" s="672"/>
      <c r="D54" s="164"/>
      <c r="E54" s="164"/>
      <c r="F54" s="164"/>
      <c r="G54" s="953"/>
      <c r="H54" s="171"/>
      <c r="I54" s="172"/>
      <c r="J54" s="465"/>
      <c r="K54" s="172"/>
      <c r="L54" s="172"/>
      <c r="M54" s="172"/>
      <c r="N54" s="172"/>
      <c r="O54" s="172"/>
      <c r="P54" s="172"/>
      <c r="Q54" s="172"/>
      <c r="R54" s="172"/>
      <c r="S54" s="172"/>
      <c r="T54" s="172"/>
      <c r="U54" s="172"/>
      <c r="V54" s="172"/>
      <c r="W54" s="172"/>
      <c r="X54" s="172"/>
      <c r="Y54" s="173"/>
      <c r="Z54" s="673"/>
      <c r="AA54" s="165"/>
      <c r="AB54" s="120"/>
      <c r="AC54" s="13"/>
      <c r="AD54" s="43"/>
      <c r="AE54" s="43"/>
      <c r="AF54" s="43"/>
      <c r="AG54" s="43"/>
      <c r="AH54" s="45">
        <v>-2</v>
      </c>
      <c r="AI54" s="45" t="b">
        <f t="shared" si="57"/>
        <v>0</v>
      </c>
      <c r="AJ54" s="98">
        <f t="shared" si="86"/>
        <v>-2.1500000000000004</v>
      </c>
      <c r="AK54" s="98">
        <f t="shared" si="87"/>
        <v>-1.1300000000000001</v>
      </c>
      <c r="AL54" s="98">
        <f t="shared" si="88"/>
        <v>-0.74</v>
      </c>
      <c r="AM54" s="98">
        <f t="shared" si="89"/>
        <v>-0.6</v>
      </c>
      <c r="AN54" s="98">
        <f t="shared" si="85"/>
        <v>-0.8</v>
      </c>
      <c r="AO54" s="98">
        <f t="shared" si="85"/>
        <v>-0.6</v>
      </c>
      <c r="AP54" s="98">
        <f t="shared" si="85"/>
        <v>-1.1000000000000001</v>
      </c>
      <c r="AQ54" s="98">
        <f t="shared" si="85"/>
        <v>-0.6</v>
      </c>
      <c r="AR54" s="98">
        <f t="shared" si="85"/>
        <v>-0.6</v>
      </c>
      <c r="AS54" s="277">
        <f t="shared" ca="1" si="67"/>
        <v>-2.3851444680000009</v>
      </c>
      <c r="AT54" s="277">
        <f t="shared" ca="1" si="68"/>
        <v>-1.2535875576000004</v>
      </c>
      <c r="AU54" s="277">
        <f t="shared" ca="1" si="69"/>
        <v>-0.82093344480000019</v>
      </c>
      <c r="AV54" s="277">
        <f t="shared" ca="1" si="70"/>
        <v>-0.66562171200000009</v>
      </c>
      <c r="AW54" s="277">
        <f t="shared" ca="1" si="71"/>
        <v>-0.88749561600000026</v>
      </c>
      <c r="AX54" s="277">
        <f t="shared" ca="1" si="72"/>
        <v>-0.66562171200000009</v>
      </c>
      <c r="AY54" s="277">
        <f t="shared" ca="1" si="73"/>
        <v>-1.2203064720000003</v>
      </c>
      <c r="AZ54" s="277">
        <f t="shared" ca="1" si="74"/>
        <v>-0.66562171200000009</v>
      </c>
      <c r="BA54" s="277">
        <f t="shared" ca="1" si="75"/>
        <v>-0.66562171200000009</v>
      </c>
      <c r="BB54" s="43"/>
      <c r="BC54" s="98">
        <f t="shared" si="90"/>
        <v>-1.6099999999999999</v>
      </c>
      <c r="BD54" s="98">
        <f t="shared" si="91"/>
        <v>-0.77000000000000013</v>
      </c>
      <c r="BE54" s="98">
        <f t="shared" si="92"/>
        <v>-0.56000000000000016</v>
      </c>
      <c r="BF54" s="98">
        <f t="shared" si="93"/>
        <v>-0.6</v>
      </c>
      <c r="BG54" s="98">
        <f t="shared" si="94"/>
        <v>-0.8</v>
      </c>
      <c r="BH54" s="98">
        <f t="shared" si="95"/>
        <v>-0.6</v>
      </c>
      <c r="BI54" s="98">
        <f t="shared" si="96"/>
        <v>-0.77000000000000013</v>
      </c>
      <c r="BJ54" s="98">
        <f t="shared" si="97"/>
        <v>-0.42000000000000004</v>
      </c>
      <c r="BK54" s="98">
        <f t="shared" si="98"/>
        <v>-0.42000000000000004</v>
      </c>
      <c r="BL54" s="277">
        <f t="shared" ca="1" si="15"/>
        <v>-1.7860849272000001</v>
      </c>
      <c r="BM54" s="277">
        <f t="shared" ca="1" si="16"/>
        <v>-0.85421453040000028</v>
      </c>
      <c r="BN54" s="277">
        <f t="shared" ca="1" si="17"/>
        <v>-0.6212469312000003</v>
      </c>
      <c r="BO54" s="277">
        <f t="shared" ca="1" si="18"/>
        <v>-0.66562171200000009</v>
      </c>
      <c r="BP54" s="277">
        <f t="shared" ca="1" si="19"/>
        <v>-0.88749561600000026</v>
      </c>
      <c r="BQ54" s="277">
        <f t="shared" ca="1" si="20"/>
        <v>-0.66562171200000009</v>
      </c>
      <c r="BR54" s="277">
        <f t="shared" ca="1" si="21"/>
        <v>-0.85421453040000028</v>
      </c>
      <c r="BS54" s="277">
        <f t="shared" ca="1" si="22"/>
        <v>-0.46593519840000014</v>
      </c>
      <c r="BT54" s="277">
        <f t="shared" ca="1" si="23"/>
        <v>-0.46593519840000014</v>
      </c>
      <c r="BU54" s="45"/>
    </row>
    <row r="55" spans="1:73" s="252" customFormat="1" ht="17.100000000000001" customHeight="1">
      <c r="A55" s="13"/>
      <c r="B55" s="119"/>
      <c r="C55" s="672"/>
      <c r="D55" s="164"/>
      <c r="E55" s="164"/>
      <c r="F55" s="164"/>
      <c r="G55" s="953" t="str">
        <f>"b1 = "&amp;FIXED(+'Hipped roofs'!$AL$3/4,2)&amp;"m"</f>
        <v>b1 = 20.00m</v>
      </c>
      <c r="H55" s="171"/>
      <c r="I55" s="172"/>
      <c r="J55" s="465"/>
      <c r="K55" s="172"/>
      <c r="L55" s="172"/>
      <c r="M55" s="172"/>
      <c r="N55" s="172"/>
      <c r="O55" s="172"/>
      <c r="P55" s="172"/>
      <c r="Q55" s="172"/>
      <c r="R55" s="172"/>
      <c r="S55" s="172"/>
      <c r="T55" s="172"/>
      <c r="U55" s="172"/>
      <c r="V55" s="172"/>
      <c r="W55" s="172"/>
      <c r="X55" s="172"/>
      <c r="Y55" s="173"/>
      <c r="Z55" s="952" t="str">
        <f>"b4 = "&amp;FIXED(+'Hipped roofs'!$AL$3/10,2)&amp;"m"</f>
        <v>b4 = 8.00m</v>
      </c>
      <c r="AA55" s="165"/>
      <c r="AB55" s="120"/>
      <c r="AC55" s="13"/>
      <c r="AD55" s="43"/>
      <c r="AE55" s="43"/>
      <c r="AF55" s="43"/>
      <c r="AG55" s="43"/>
      <c r="AH55" s="45">
        <v>-1</v>
      </c>
      <c r="AI55" s="45" t="b">
        <f t="shared" si="57"/>
        <v>0</v>
      </c>
      <c r="AJ55" s="98">
        <f t="shared" si="86"/>
        <v>-2.1000000000000005</v>
      </c>
      <c r="AK55" s="98">
        <f t="shared" si="87"/>
        <v>-1.1400000000000001</v>
      </c>
      <c r="AL55" s="98">
        <f t="shared" si="88"/>
        <v>-0.72</v>
      </c>
      <c r="AM55" s="98">
        <f t="shared" si="89"/>
        <v>-0.6</v>
      </c>
      <c r="AN55" s="98">
        <f t="shared" si="85"/>
        <v>-0.8</v>
      </c>
      <c r="AO55" s="98">
        <f t="shared" si="85"/>
        <v>-0.6</v>
      </c>
      <c r="AP55" s="98">
        <f t="shared" si="85"/>
        <v>-1.1000000000000001</v>
      </c>
      <c r="AQ55" s="98">
        <f t="shared" si="85"/>
        <v>-0.6</v>
      </c>
      <c r="AR55" s="98">
        <f t="shared" si="85"/>
        <v>-0.6</v>
      </c>
      <c r="AS55" s="277">
        <f t="shared" ca="1" si="67"/>
        <v>-2.3296759920000012</v>
      </c>
      <c r="AT55" s="277">
        <f t="shared" ca="1" si="68"/>
        <v>-1.2646812528000004</v>
      </c>
      <c r="AU55" s="277">
        <f t="shared" ca="1" si="69"/>
        <v>-0.79874605440000013</v>
      </c>
      <c r="AV55" s="277">
        <f t="shared" ca="1" si="70"/>
        <v>-0.66562171200000009</v>
      </c>
      <c r="AW55" s="277">
        <f t="shared" ca="1" si="71"/>
        <v>-0.88749561600000026</v>
      </c>
      <c r="AX55" s="277">
        <f t="shared" ca="1" si="72"/>
        <v>-0.66562171200000009</v>
      </c>
      <c r="AY55" s="277">
        <f t="shared" ca="1" si="73"/>
        <v>-1.2203064720000003</v>
      </c>
      <c r="AZ55" s="277">
        <f t="shared" ca="1" si="74"/>
        <v>-0.66562171200000009</v>
      </c>
      <c r="BA55" s="277">
        <f t="shared" ca="1" si="75"/>
        <v>-0.66562171200000009</v>
      </c>
      <c r="BB55" s="43"/>
      <c r="BC55" s="98">
        <f t="shared" si="90"/>
        <v>-1.38</v>
      </c>
      <c r="BD55" s="98">
        <f t="shared" si="91"/>
        <v>-0.66000000000000014</v>
      </c>
      <c r="BE55" s="98">
        <f t="shared" si="92"/>
        <v>-0.48000000000000015</v>
      </c>
      <c r="BF55" s="98">
        <f t="shared" si="93"/>
        <v>-0.6</v>
      </c>
      <c r="BG55" s="98">
        <f t="shared" si="94"/>
        <v>-0.8</v>
      </c>
      <c r="BH55" s="98">
        <f t="shared" si="95"/>
        <v>-0.6</v>
      </c>
      <c r="BI55" s="98">
        <f t="shared" si="96"/>
        <v>-0.66000000000000014</v>
      </c>
      <c r="BJ55" s="98">
        <f t="shared" si="97"/>
        <v>-0.36000000000000004</v>
      </c>
      <c r="BK55" s="98">
        <f t="shared" si="98"/>
        <v>-0.36000000000000004</v>
      </c>
      <c r="BL55" s="277">
        <f t="shared" ca="1" si="15"/>
        <v>-1.5309299376000003</v>
      </c>
      <c r="BM55" s="277">
        <f t="shared" ca="1" si="16"/>
        <v>-0.73218388320000027</v>
      </c>
      <c r="BN55" s="277">
        <f t="shared" ca="1" si="17"/>
        <v>-0.53249736960000027</v>
      </c>
      <c r="BO55" s="277">
        <f t="shared" ca="1" si="18"/>
        <v>-0.66562171200000009</v>
      </c>
      <c r="BP55" s="277">
        <f t="shared" ca="1" si="19"/>
        <v>-0.88749561600000026</v>
      </c>
      <c r="BQ55" s="277">
        <f t="shared" ca="1" si="20"/>
        <v>-0.66562171200000009</v>
      </c>
      <c r="BR55" s="277">
        <f t="shared" ca="1" si="21"/>
        <v>-0.73218388320000027</v>
      </c>
      <c r="BS55" s="277">
        <f t="shared" ca="1" si="22"/>
        <v>-0.39937302720000012</v>
      </c>
      <c r="BT55" s="277">
        <f t="shared" ca="1" si="23"/>
        <v>-0.39937302720000012</v>
      </c>
      <c r="BU55" s="45"/>
    </row>
    <row r="56" spans="1:73" s="252" customFormat="1" ht="17.100000000000001" customHeight="1">
      <c r="A56" s="13"/>
      <c r="B56" s="119"/>
      <c r="C56" s="672"/>
      <c r="D56" s="164"/>
      <c r="E56" s="164"/>
      <c r="F56" s="164"/>
      <c r="G56" s="953"/>
      <c r="H56" s="171"/>
      <c r="I56" s="172"/>
      <c r="J56" s="465"/>
      <c r="K56" s="172"/>
      <c r="L56" s="172"/>
      <c r="M56" s="172"/>
      <c r="N56" s="172"/>
      <c r="O56" s="172"/>
      <c r="P56" s="172"/>
      <c r="Q56" s="172"/>
      <c r="R56" s="172"/>
      <c r="S56" s="172"/>
      <c r="T56" s="172"/>
      <c r="U56" s="172"/>
      <c r="V56" s="172"/>
      <c r="W56" s="172"/>
      <c r="X56" s="172"/>
      <c r="Y56" s="173"/>
      <c r="Z56" s="952"/>
      <c r="AA56" s="165"/>
      <c r="AB56" s="120"/>
      <c r="AC56" s="13"/>
      <c r="AD56" s="43"/>
      <c r="AE56" s="43"/>
      <c r="AF56" s="43"/>
      <c r="AG56" s="43"/>
      <c r="AH56" s="45">
        <v>0</v>
      </c>
      <c r="AI56" s="45" t="b">
        <f t="shared" si="57"/>
        <v>0</v>
      </c>
      <c r="AJ56" s="98">
        <f t="shared" si="86"/>
        <v>-2.0500000000000007</v>
      </c>
      <c r="AK56" s="98">
        <f t="shared" si="87"/>
        <v>-1.1500000000000001</v>
      </c>
      <c r="AL56" s="98">
        <f t="shared" si="88"/>
        <v>-0.7</v>
      </c>
      <c r="AM56" s="98">
        <f t="shared" si="89"/>
        <v>-0.6</v>
      </c>
      <c r="AN56" s="98">
        <f t="shared" si="85"/>
        <v>-0.8</v>
      </c>
      <c r="AO56" s="98">
        <f t="shared" si="85"/>
        <v>-0.6</v>
      </c>
      <c r="AP56" s="98">
        <f t="shared" si="85"/>
        <v>-1.1000000000000001</v>
      </c>
      <c r="AQ56" s="98">
        <f t="shared" si="85"/>
        <v>-0.6</v>
      </c>
      <c r="AR56" s="98">
        <f t="shared" si="85"/>
        <v>-0.6</v>
      </c>
      <c r="AS56" s="277">
        <f t="shared" ca="1" si="67"/>
        <v>-2.274207516000001</v>
      </c>
      <c r="AT56" s="277">
        <f t="shared" ca="1" si="68"/>
        <v>-1.2757749480000005</v>
      </c>
      <c r="AU56" s="277">
        <f t="shared" ca="1" si="69"/>
        <v>-0.77655866400000007</v>
      </c>
      <c r="AV56" s="277">
        <f t="shared" ca="1" si="70"/>
        <v>-0.66562171200000009</v>
      </c>
      <c r="AW56" s="277">
        <f t="shared" ca="1" si="71"/>
        <v>-0.88749561600000026</v>
      </c>
      <c r="AX56" s="277">
        <f t="shared" ca="1" si="72"/>
        <v>-0.66562171200000009</v>
      </c>
      <c r="AY56" s="277">
        <f t="shared" ca="1" si="73"/>
        <v>-1.2203064720000003</v>
      </c>
      <c r="AZ56" s="277">
        <f t="shared" ca="1" si="74"/>
        <v>-0.66562171200000009</v>
      </c>
      <c r="BA56" s="277">
        <f t="shared" ca="1" si="75"/>
        <v>-0.66562171200000009</v>
      </c>
      <c r="BB56" s="43"/>
      <c r="BC56" s="98">
        <f t="shared" ref="BC56" si="99">2.3/10+BC55</f>
        <v>-1.1499999999999999</v>
      </c>
      <c r="BD56" s="98">
        <f t="shared" si="91"/>
        <v>-0.55000000000000016</v>
      </c>
      <c r="BE56" s="98">
        <f t="shared" si="92"/>
        <v>-0.40000000000000013</v>
      </c>
      <c r="BF56" s="98">
        <f t="shared" si="93"/>
        <v>-0.6</v>
      </c>
      <c r="BG56" s="98">
        <f t="shared" si="94"/>
        <v>-0.8</v>
      </c>
      <c r="BH56" s="98">
        <f t="shared" si="95"/>
        <v>-0.6</v>
      </c>
      <c r="BI56" s="98">
        <f t="shared" si="96"/>
        <v>-0.55000000000000016</v>
      </c>
      <c r="BJ56" s="98">
        <f t="shared" si="97"/>
        <v>-0.30000000000000004</v>
      </c>
      <c r="BK56" s="98">
        <f t="shared" si="98"/>
        <v>-0.30000000000000004</v>
      </c>
      <c r="BL56" s="277"/>
      <c r="BM56" s="277"/>
      <c r="BN56" s="277"/>
      <c r="BO56" s="277"/>
      <c r="BP56" s="277"/>
      <c r="BQ56" s="277"/>
      <c r="BR56" s="277"/>
      <c r="BS56" s="277"/>
      <c r="BT56" s="277"/>
      <c r="BU56" s="45"/>
    </row>
    <row r="57" spans="1:73" s="252" customFormat="1" ht="17.100000000000001" customHeight="1">
      <c r="A57" s="13"/>
      <c r="B57" s="119"/>
      <c r="C57" s="672"/>
      <c r="D57" s="164"/>
      <c r="E57" s="164"/>
      <c r="F57" s="164"/>
      <c r="G57" s="953"/>
      <c r="H57" s="171"/>
      <c r="I57" s="172"/>
      <c r="J57" s="465"/>
      <c r="K57" s="172"/>
      <c r="L57" s="172"/>
      <c r="M57" s="172"/>
      <c r="N57" s="172"/>
      <c r="O57" s="172"/>
      <c r="P57" s="172"/>
      <c r="Q57" s="172"/>
      <c r="R57" s="172"/>
      <c r="S57" s="172"/>
      <c r="T57" s="172"/>
      <c r="U57" s="172"/>
      <c r="V57" s="172"/>
      <c r="W57" s="172"/>
      <c r="X57" s="172"/>
      <c r="Y57" s="173"/>
      <c r="Z57" s="952"/>
      <c r="AA57" s="165"/>
      <c r="AB57" s="120"/>
      <c r="AC57" s="13"/>
      <c r="AD57" s="43"/>
      <c r="AE57" s="43"/>
      <c r="AF57" s="43"/>
      <c r="AG57" s="43"/>
      <c r="AH57" s="45">
        <v>1</v>
      </c>
      <c r="AI57" s="45" t="b">
        <f t="shared" si="57"/>
        <v>0</v>
      </c>
      <c r="AJ57" s="98">
        <f>0.5/10+AJ56</f>
        <v>-2.0000000000000009</v>
      </c>
      <c r="AK57" s="98">
        <f>-0.1/10+AK56</f>
        <v>-1.1600000000000001</v>
      </c>
      <c r="AL57" s="98">
        <f>0.2/10+AL56</f>
        <v>-0.67999999999999994</v>
      </c>
      <c r="AM57" s="98">
        <f t="shared" ref="AM57:AR57" si="100">0+AM56</f>
        <v>-0.6</v>
      </c>
      <c r="AN57" s="98">
        <f t="shared" si="100"/>
        <v>-0.8</v>
      </c>
      <c r="AO57" s="98">
        <f t="shared" si="100"/>
        <v>-0.6</v>
      </c>
      <c r="AP57" s="98">
        <f t="shared" si="100"/>
        <v>-1.1000000000000001</v>
      </c>
      <c r="AQ57" s="98">
        <f t="shared" si="100"/>
        <v>-0.6</v>
      </c>
      <c r="AR57" s="98">
        <f t="shared" si="100"/>
        <v>-0.6</v>
      </c>
      <c r="AS57" s="277">
        <f t="shared" ca="1" si="67"/>
        <v>-2.2187390400000013</v>
      </c>
      <c r="AT57" s="277">
        <f t="shared" ca="1" si="68"/>
        <v>-1.2868686432000005</v>
      </c>
      <c r="AU57" s="277">
        <f t="shared" ca="1" si="69"/>
        <v>-0.75437127360000011</v>
      </c>
      <c r="AV57" s="277">
        <f t="shared" ca="1" si="70"/>
        <v>-0.66562171200000009</v>
      </c>
      <c r="AW57" s="277">
        <f t="shared" ca="1" si="71"/>
        <v>-0.88749561600000026</v>
      </c>
      <c r="AX57" s="277">
        <f t="shared" ca="1" si="72"/>
        <v>-0.66562171200000009</v>
      </c>
      <c r="AY57" s="277">
        <f t="shared" ca="1" si="73"/>
        <v>-1.2203064720000003</v>
      </c>
      <c r="AZ57" s="277">
        <f t="shared" ca="1" si="74"/>
        <v>-0.66562171200000009</v>
      </c>
      <c r="BA57" s="277">
        <f t="shared" ca="1" si="75"/>
        <v>-0.66562171200000009</v>
      </c>
      <c r="BB57" s="43"/>
      <c r="BC57" s="98">
        <f>2.3/10+BC56</f>
        <v>-0.91999999999999993</v>
      </c>
      <c r="BD57" s="98">
        <f t="shared" si="91"/>
        <v>-0.44000000000000017</v>
      </c>
      <c r="BE57" s="98">
        <f t="shared" si="92"/>
        <v>-0.32000000000000012</v>
      </c>
      <c r="BF57" s="98">
        <f t="shared" si="93"/>
        <v>-0.6</v>
      </c>
      <c r="BG57" s="98">
        <f t="shared" si="94"/>
        <v>-0.8</v>
      </c>
      <c r="BH57" s="98">
        <f t="shared" si="95"/>
        <v>-0.6</v>
      </c>
      <c r="BI57" s="98">
        <f t="shared" si="96"/>
        <v>-0.44000000000000017</v>
      </c>
      <c r="BJ57" s="98">
        <f t="shared" si="97"/>
        <v>-0.24000000000000005</v>
      </c>
      <c r="BK57" s="98">
        <f t="shared" si="98"/>
        <v>-0.24000000000000005</v>
      </c>
      <c r="BL57" s="277">
        <f t="shared" ref="BL57:BL88" ca="1" si="101">1.35*$Z$17*$M$22*BC57</f>
        <v>-1.0206199584000002</v>
      </c>
      <c r="BM57" s="277">
        <f t="shared" ref="BM57:BM88" ca="1" si="102">1.35*$Z$17*$M$22*BD57</f>
        <v>-0.48812258880000026</v>
      </c>
      <c r="BN57" s="277">
        <f t="shared" ref="BN57:BN88" ca="1" si="103">1.35*$Z$17*$M$22*BE57</f>
        <v>-0.35499824640000022</v>
      </c>
      <c r="BO57" s="277">
        <f t="shared" ref="BO57:BO88" ca="1" si="104">1.35*$Z$17*$M$22*BF57</f>
        <v>-0.66562171200000009</v>
      </c>
      <c r="BP57" s="277">
        <f t="shared" ref="BP57:BP88" ca="1" si="105">1.35*$Z$17*$M$22*BG57</f>
        <v>-0.88749561600000026</v>
      </c>
      <c r="BQ57" s="277">
        <f t="shared" ref="BQ57:BQ88" ca="1" si="106">1.35*$Z$17*$M$22*BH57</f>
        <v>-0.66562171200000009</v>
      </c>
      <c r="BR57" s="277">
        <f t="shared" ref="BR57:BR88" ca="1" si="107">1.35*$Z$17*$M$22*BI57</f>
        <v>-0.48812258880000026</v>
      </c>
      <c r="BS57" s="277">
        <f t="shared" ref="BS57:BS88" ca="1" si="108">1.35*$Z$17*$M$22*BJ57</f>
        <v>-0.26624868480000008</v>
      </c>
      <c r="BT57" s="277">
        <f t="shared" ref="BT57:BT88" ca="1" si="109">1.35*$Z$17*$M$22*BK57</f>
        <v>-0.26624868480000008</v>
      </c>
      <c r="BU57" s="45"/>
    </row>
    <row r="58" spans="1:73" s="252" customFormat="1" ht="17.100000000000001" customHeight="1" thickBot="1">
      <c r="A58" s="13"/>
      <c r="B58" s="119"/>
      <c r="C58" s="672"/>
      <c r="D58" s="164"/>
      <c r="E58" s="164"/>
      <c r="F58" s="164"/>
      <c r="G58" s="953"/>
      <c r="H58" s="174"/>
      <c r="I58" s="175"/>
      <c r="J58" s="466"/>
      <c r="K58" s="175"/>
      <c r="L58" s="175"/>
      <c r="M58" s="175"/>
      <c r="N58" s="175"/>
      <c r="O58" s="175"/>
      <c r="P58" s="175"/>
      <c r="Q58" s="175"/>
      <c r="R58" s="175"/>
      <c r="S58" s="175"/>
      <c r="T58" s="175"/>
      <c r="U58" s="175"/>
      <c r="V58" s="175"/>
      <c r="W58" s="175"/>
      <c r="X58" s="175"/>
      <c r="Y58" s="176"/>
      <c r="Z58" s="952"/>
      <c r="AA58" s="165"/>
      <c r="AB58" s="120"/>
      <c r="AC58" s="13"/>
      <c r="AD58" s="43"/>
      <c r="AE58" s="43"/>
      <c r="AF58" s="43"/>
      <c r="AG58" s="43"/>
      <c r="AH58" s="45">
        <v>2</v>
      </c>
      <c r="AI58" s="45" t="b">
        <f t="shared" si="57"/>
        <v>0</v>
      </c>
      <c r="AJ58" s="98">
        <f t="shared" si="86"/>
        <v>-1.9500000000000008</v>
      </c>
      <c r="AK58" s="98">
        <f t="shared" si="87"/>
        <v>-1.1700000000000002</v>
      </c>
      <c r="AL58" s="98">
        <f t="shared" si="88"/>
        <v>-0.65999999999999992</v>
      </c>
      <c r="AM58" s="98">
        <f t="shared" si="89"/>
        <v>-0.6</v>
      </c>
      <c r="AN58" s="98">
        <f t="shared" si="85"/>
        <v>-0.8</v>
      </c>
      <c r="AO58" s="98">
        <f t="shared" si="85"/>
        <v>-0.6</v>
      </c>
      <c r="AP58" s="98">
        <f t="shared" si="85"/>
        <v>-1.1000000000000001</v>
      </c>
      <c r="AQ58" s="98">
        <f t="shared" si="85"/>
        <v>-0.6</v>
      </c>
      <c r="AR58" s="98">
        <f t="shared" si="85"/>
        <v>-0.6</v>
      </c>
      <c r="AS58" s="277">
        <f t="shared" ca="1" si="67"/>
        <v>-2.1632705640000012</v>
      </c>
      <c r="AT58" s="277">
        <f t="shared" ca="1" si="68"/>
        <v>-1.2979623384000005</v>
      </c>
      <c r="AU58" s="277">
        <f t="shared" ca="1" si="69"/>
        <v>-0.73218388320000005</v>
      </c>
      <c r="AV58" s="277">
        <f t="shared" ca="1" si="70"/>
        <v>-0.66562171200000009</v>
      </c>
      <c r="AW58" s="277">
        <f t="shared" ca="1" si="71"/>
        <v>-0.88749561600000026</v>
      </c>
      <c r="AX58" s="277">
        <f t="shared" ca="1" si="72"/>
        <v>-0.66562171200000009</v>
      </c>
      <c r="AY58" s="277">
        <f t="shared" ca="1" si="73"/>
        <v>-1.2203064720000003</v>
      </c>
      <c r="AZ58" s="277">
        <f t="shared" ca="1" si="74"/>
        <v>-0.66562171200000009</v>
      </c>
      <c r="BA58" s="277">
        <f t="shared" ca="1" si="75"/>
        <v>-0.66562171200000009</v>
      </c>
      <c r="BB58" s="43"/>
      <c r="BC58" s="98">
        <f t="shared" si="90"/>
        <v>-0.69</v>
      </c>
      <c r="BD58" s="98">
        <f t="shared" si="91"/>
        <v>-0.33000000000000018</v>
      </c>
      <c r="BE58" s="98">
        <f t="shared" si="92"/>
        <v>-0.2400000000000001</v>
      </c>
      <c r="BF58" s="98">
        <f t="shared" si="93"/>
        <v>-0.6</v>
      </c>
      <c r="BG58" s="98">
        <f t="shared" si="94"/>
        <v>-0.8</v>
      </c>
      <c r="BH58" s="98">
        <f t="shared" si="95"/>
        <v>-0.6</v>
      </c>
      <c r="BI58" s="98">
        <f t="shared" si="96"/>
        <v>-0.33000000000000018</v>
      </c>
      <c r="BJ58" s="98">
        <f t="shared" si="97"/>
        <v>-0.18000000000000005</v>
      </c>
      <c r="BK58" s="98">
        <f t="shared" si="98"/>
        <v>-0.18000000000000005</v>
      </c>
      <c r="BL58" s="277">
        <f t="shared" ca="1" si="101"/>
        <v>-0.76546496880000015</v>
      </c>
      <c r="BM58" s="277">
        <f t="shared" ca="1" si="102"/>
        <v>-0.36609194160000025</v>
      </c>
      <c r="BN58" s="277">
        <f t="shared" ca="1" si="103"/>
        <v>-0.26624868480000019</v>
      </c>
      <c r="BO58" s="277">
        <f t="shared" ca="1" si="104"/>
        <v>-0.66562171200000009</v>
      </c>
      <c r="BP58" s="277">
        <f t="shared" ca="1" si="105"/>
        <v>-0.88749561600000026</v>
      </c>
      <c r="BQ58" s="277">
        <f t="shared" ca="1" si="106"/>
        <v>-0.66562171200000009</v>
      </c>
      <c r="BR58" s="277">
        <f t="shared" ca="1" si="107"/>
        <v>-0.36609194160000025</v>
      </c>
      <c r="BS58" s="277">
        <f t="shared" ca="1" si="108"/>
        <v>-0.19968651360000009</v>
      </c>
      <c r="BT58" s="277">
        <f t="shared" ca="1" si="109"/>
        <v>-0.19968651360000009</v>
      </c>
      <c r="BU58" s="45"/>
    </row>
    <row r="59" spans="1:73" s="252" customFormat="1" ht="17.100000000000001" customHeight="1">
      <c r="A59" s="13"/>
      <c r="B59" s="119"/>
      <c r="C59" s="163"/>
      <c r="D59" s="164"/>
      <c r="E59" s="164"/>
      <c r="F59" s="164"/>
      <c r="G59" s="164"/>
      <c r="H59" s="665" t="str">
        <f>"d4 = "&amp;FIXED(+'Hipped roofs'!$AL$3/10,2)&amp;"m"</f>
        <v>d4 = 8.00m</v>
      </c>
      <c r="I59" s="665"/>
      <c r="J59" s="665"/>
      <c r="K59" s="666" t="str">
        <f>"d5 = "&amp;FIXED('Hipped roofs'!M14-'Hipped roofs'!$AL$3/10,2)&amp;"m"</f>
        <v>d5 = 42.00m</v>
      </c>
      <c r="L59" s="666"/>
      <c r="M59" s="666"/>
      <c r="N59" s="666"/>
      <c r="O59" s="666"/>
      <c r="P59" s="666"/>
      <c r="Q59" s="666"/>
      <c r="R59" s="666"/>
      <c r="S59" s="666"/>
      <c r="T59" s="666"/>
      <c r="U59" s="666"/>
      <c r="V59" s="666"/>
      <c r="W59" s="666"/>
      <c r="X59" s="666"/>
      <c r="Y59" s="666"/>
      <c r="Z59" s="164"/>
      <c r="AA59" s="165"/>
      <c r="AB59" s="120"/>
      <c r="AC59" s="13"/>
      <c r="AD59" s="43"/>
      <c r="AE59" s="43"/>
      <c r="AF59" s="43"/>
      <c r="AG59" s="43"/>
      <c r="AH59" s="45">
        <v>3</v>
      </c>
      <c r="AI59" s="45" t="b">
        <f t="shared" si="57"/>
        <v>0</v>
      </c>
      <c r="AJ59" s="98">
        <f t="shared" si="86"/>
        <v>-1.9000000000000008</v>
      </c>
      <c r="AK59" s="98">
        <f t="shared" si="87"/>
        <v>-1.1800000000000002</v>
      </c>
      <c r="AL59" s="98">
        <f t="shared" si="88"/>
        <v>-0.6399999999999999</v>
      </c>
      <c r="AM59" s="98">
        <f t="shared" si="89"/>
        <v>-0.6</v>
      </c>
      <c r="AN59" s="98">
        <f t="shared" si="85"/>
        <v>-0.8</v>
      </c>
      <c r="AO59" s="98">
        <f t="shared" si="85"/>
        <v>-0.6</v>
      </c>
      <c r="AP59" s="98">
        <f t="shared" si="85"/>
        <v>-1.1000000000000001</v>
      </c>
      <c r="AQ59" s="98">
        <f t="shared" si="85"/>
        <v>-0.6</v>
      </c>
      <c r="AR59" s="98">
        <f t="shared" si="85"/>
        <v>-0.6</v>
      </c>
      <c r="AS59" s="277">
        <f t="shared" ca="1" si="67"/>
        <v>-2.1078020880000015</v>
      </c>
      <c r="AT59" s="277">
        <f t="shared" ca="1" si="68"/>
        <v>-1.3090560336000003</v>
      </c>
      <c r="AU59" s="277">
        <f t="shared" ca="1" si="69"/>
        <v>-0.70999649279999999</v>
      </c>
      <c r="AV59" s="277">
        <f t="shared" ca="1" si="70"/>
        <v>-0.66562171200000009</v>
      </c>
      <c r="AW59" s="277">
        <f t="shared" ca="1" si="71"/>
        <v>-0.88749561600000026</v>
      </c>
      <c r="AX59" s="277">
        <f t="shared" ca="1" si="72"/>
        <v>-0.66562171200000009</v>
      </c>
      <c r="AY59" s="277">
        <f t="shared" ca="1" si="73"/>
        <v>-1.2203064720000003</v>
      </c>
      <c r="AZ59" s="277">
        <f t="shared" ca="1" si="74"/>
        <v>-0.66562171200000009</v>
      </c>
      <c r="BA59" s="277">
        <f t="shared" ca="1" si="75"/>
        <v>-0.66562171200000009</v>
      </c>
      <c r="BB59" s="43"/>
      <c r="BC59" s="98">
        <f t="shared" si="90"/>
        <v>-0.45999999999999996</v>
      </c>
      <c r="BD59" s="98">
        <f t="shared" si="91"/>
        <v>-0.22000000000000017</v>
      </c>
      <c r="BE59" s="98">
        <f t="shared" si="92"/>
        <v>-0.16000000000000009</v>
      </c>
      <c r="BF59" s="98">
        <f t="shared" si="93"/>
        <v>-0.6</v>
      </c>
      <c r="BG59" s="98">
        <f t="shared" si="94"/>
        <v>-0.8</v>
      </c>
      <c r="BH59" s="98">
        <f t="shared" si="95"/>
        <v>-0.6</v>
      </c>
      <c r="BI59" s="98">
        <f t="shared" si="96"/>
        <v>-0.22000000000000017</v>
      </c>
      <c r="BJ59" s="98">
        <f t="shared" si="97"/>
        <v>-0.12000000000000005</v>
      </c>
      <c r="BK59" s="98">
        <f t="shared" si="98"/>
        <v>-0.12000000000000005</v>
      </c>
      <c r="BL59" s="277">
        <f t="shared" ca="1" si="101"/>
        <v>-0.5103099792000001</v>
      </c>
      <c r="BM59" s="277">
        <f t="shared" ca="1" si="102"/>
        <v>-0.24406129440000024</v>
      </c>
      <c r="BN59" s="277">
        <f t="shared" ca="1" si="103"/>
        <v>-0.17749912320000014</v>
      </c>
      <c r="BO59" s="277">
        <f t="shared" ca="1" si="104"/>
        <v>-0.66562171200000009</v>
      </c>
      <c r="BP59" s="277">
        <f t="shared" ca="1" si="105"/>
        <v>-0.88749561600000026</v>
      </c>
      <c r="BQ59" s="277">
        <f t="shared" ca="1" si="106"/>
        <v>-0.66562171200000009</v>
      </c>
      <c r="BR59" s="277">
        <f t="shared" ca="1" si="107"/>
        <v>-0.24406129440000024</v>
      </c>
      <c r="BS59" s="277">
        <f t="shared" ca="1" si="108"/>
        <v>-0.1331243424000001</v>
      </c>
      <c r="BT59" s="277">
        <f t="shared" ca="1" si="109"/>
        <v>-0.1331243424000001</v>
      </c>
      <c r="BU59" s="45"/>
    </row>
    <row r="60" spans="1:73" s="252" customFormat="1" ht="17.100000000000001" customHeight="1">
      <c r="A60" s="13"/>
      <c r="B60" s="119"/>
      <c r="C60" s="166"/>
      <c r="D60" s="167"/>
      <c r="E60" s="167"/>
      <c r="F60" s="167"/>
      <c r="G60" s="167"/>
      <c r="H60" s="167"/>
      <c r="I60" s="167"/>
      <c r="J60" s="167"/>
      <c r="K60" s="167"/>
      <c r="L60" s="167"/>
      <c r="M60" s="167"/>
      <c r="N60" s="167"/>
      <c r="O60" s="167"/>
      <c r="P60" s="167"/>
      <c r="Q60" s="167"/>
      <c r="R60" s="167"/>
      <c r="S60" s="167"/>
      <c r="T60" s="167"/>
      <c r="U60" s="167"/>
      <c r="V60" s="167"/>
      <c r="W60" s="167"/>
      <c r="X60" s="167"/>
      <c r="Y60" s="167"/>
      <c r="Z60" s="167"/>
      <c r="AA60" s="179" t="s">
        <v>500</v>
      </c>
      <c r="AB60" s="120"/>
      <c r="AC60" s="13"/>
      <c r="AD60" s="43"/>
      <c r="AE60" s="43"/>
      <c r="AF60" s="43"/>
      <c r="AG60" s="43"/>
      <c r="AH60" s="45">
        <v>4</v>
      </c>
      <c r="AI60" s="45" t="b">
        <f t="shared" si="57"/>
        <v>0</v>
      </c>
      <c r="AJ60" s="98">
        <f t="shared" si="86"/>
        <v>-1.8500000000000008</v>
      </c>
      <c r="AK60" s="98">
        <f t="shared" si="87"/>
        <v>-1.1900000000000002</v>
      </c>
      <c r="AL60" s="98">
        <f t="shared" si="88"/>
        <v>-0.61999999999999988</v>
      </c>
      <c r="AM60" s="98">
        <f t="shared" si="89"/>
        <v>-0.6</v>
      </c>
      <c r="AN60" s="98">
        <f t="shared" si="85"/>
        <v>-0.8</v>
      </c>
      <c r="AO60" s="98">
        <f t="shared" si="85"/>
        <v>-0.6</v>
      </c>
      <c r="AP60" s="98">
        <f t="shared" si="85"/>
        <v>-1.1000000000000001</v>
      </c>
      <c r="AQ60" s="98">
        <f t="shared" si="85"/>
        <v>-0.6</v>
      </c>
      <c r="AR60" s="98">
        <f t="shared" si="85"/>
        <v>-0.6</v>
      </c>
      <c r="AS60" s="277">
        <f t="shared" ca="1" si="67"/>
        <v>-2.0523336120000013</v>
      </c>
      <c r="AT60" s="277">
        <f t="shared" ca="1" si="68"/>
        <v>-1.3201497288000004</v>
      </c>
      <c r="AU60" s="277">
        <f t="shared" ca="1" si="69"/>
        <v>-0.68780910240000004</v>
      </c>
      <c r="AV60" s="277">
        <f t="shared" ca="1" si="70"/>
        <v>-0.66562171200000009</v>
      </c>
      <c r="AW60" s="277">
        <f t="shared" ca="1" si="71"/>
        <v>-0.88749561600000026</v>
      </c>
      <c r="AX60" s="277">
        <f t="shared" ca="1" si="72"/>
        <v>-0.66562171200000009</v>
      </c>
      <c r="AY60" s="277">
        <f t="shared" ca="1" si="73"/>
        <v>-1.2203064720000003</v>
      </c>
      <c r="AZ60" s="277">
        <f t="shared" ca="1" si="74"/>
        <v>-0.66562171200000009</v>
      </c>
      <c r="BA60" s="277">
        <f t="shared" ca="1" si="75"/>
        <v>-0.66562171200000009</v>
      </c>
      <c r="BB60" s="43"/>
      <c r="BC60" s="98">
        <f t="shared" si="90"/>
        <v>-0.22999999999999998</v>
      </c>
      <c r="BD60" s="98">
        <f t="shared" si="91"/>
        <v>-0.11000000000000015</v>
      </c>
      <c r="BE60" s="98">
        <f t="shared" si="92"/>
        <v>-8.0000000000000085E-2</v>
      </c>
      <c r="BF60" s="98">
        <f t="shared" si="93"/>
        <v>-0.6</v>
      </c>
      <c r="BG60" s="98">
        <f t="shared" si="94"/>
        <v>-0.8</v>
      </c>
      <c r="BH60" s="98">
        <f t="shared" si="95"/>
        <v>-0.6</v>
      </c>
      <c r="BI60" s="98">
        <f t="shared" si="96"/>
        <v>-0.11000000000000015</v>
      </c>
      <c r="BJ60" s="98">
        <f t="shared" si="97"/>
        <v>-6.0000000000000053E-2</v>
      </c>
      <c r="BK60" s="98">
        <f t="shared" si="98"/>
        <v>-6.0000000000000053E-2</v>
      </c>
      <c r="BL60" s="277">
        <f t="shared" ca="1" si="101"/>
        <v>-0.25515498960000005</v>
      </c>
      <c r="BM60" s="277">
        <f t="shared" ca="1" si="102"/>
        <v>-0.12203064720000019</v>
      </c>
      <c r="BN60" s="277">
        <f t="shared" ca="1" si="103"/>
        <v>-8.874956160000011E-2</v>
      </c>
      <c r="BO60" s="277">
        <f t="shared" ca="1" si="104"/>
        <v>-0.66562171200000009</v>
      </c>
      <c r="BP60" s="277">
        <f t="shared" ca="1" si="105"/>
        <v>-0.88749561600000026</v>
      </c>
      <c r="BQ60" s="277">
        <f t="shared" ca="1" si="106"/>
        <v>-0.66562171200000009</v>
      </c>
      <c r="BR60" s="277">
        <f t="shared" ca="1" si="107"/>
        <v>-0.12203064720000019</v>
      </c>
      <c r="BS60" s="277">
        <f t="shared" ca="1" si="108"/>
        <v>-6.6562171200000075E-2</v>
      </c>
      <c r="BT60" s="277">
        <f t="shared" ca="1" si="109"/>
        <v>-6.6562171200000075E-2</v>
      </c>
      <c r="BU60" s="45"/>
    </row>
    <row r="61" spans="1:73" s="252" customFormat="1" ht="17.100000000000001" customHeight="1" thickBot="1">
      <c r="A61" s="13"/>
      <c r="B61" s="122"/>
      <c r="C61" s="483" t="s">
        <v>396</v>
      </c>
      <c r="D61" s="123"/>
      <c r="E61" s="124"/>
      <c r="F61" s="124"/>
      <c r="G61" s="124"/>
      <c r="H61" s="124"/>
      <c r="I61" s="124"/>
      <c r="J61" s="124"/>
      <c r="K61" s="124"/>
      <c r="L61" s="124"/>
      <c r="M61" s="124"/>
      <c r="N61" s="124"/>
      <c r="O61" s="124"/>
      <c r="P61" s="124"/>
      <c r="Q61" s="124"/>
      <c r="R61" s="124"/>
      <c r="S61" s="124"/>
      <c r="T61" s="124"/>
      <c r="U61" s="124"/>
      <c r="V61" s="124"/>
      <c r="W61" s="124"/>
      <c r="X61" s="124"/>
      <c r="Y61" s="124"/>
      <c r="Z61" s="125"/>
      <c r="AA61" s="409" t="s">
        <v>395</v>
      </c>
      <c r="AB61" s="126"/>
      <c r="AC61" s="13"/>
      <c r="AD61" s="43"/>
      <c r="AE61" s="43"/>
      <c r="AF61" s="43"/>
      <c r="AG61" s="43"/>
      <c r="AH61" s="276">
        <v>5</v>
      </c>
      <c r="AI61" s="45" t="b">
        <f t="shared" si="57"/>
        <v>0</v>
      </c>
      <c r="AJ61" s="277">
        <v>-1.8</v>
      </c>
      <c r="AK61" s="277">
        <v>-1.2</v>
      </c>
      <c r="AL61" s="277">
        <v>-0.6</v>
      </c>
      <c r="AM61" s="277">
        <v>-0.6</v>
      </c>
      <c r="AN61" s="277">
        <v>-0.8</v>
      </c>
      <c r="AO61" s="277">
        <v>-0.6</v>
      </c>
      <c r="AP61" s="277">
        <v>-1.1000000000000001</v>
      </c>
      <c r="AQ61" s="277">
        <v>-0.6</v>
      </c>
      <c r="AR61" s="277">
        <v>-0.6</v>
      </c>
      <c r="AS61" s="277">
        <f t="shared" ca="1" si="67"/>
        <v>-1.9968651360000005</v>
      </c>
      <c r="AT61" s="277">
        <f t="shared" ca="1" si="68"/>
        <v>-1.3312434240000002</v>
      </c>
      <c r="AU61" s="277">
        <f t="shared" ca="1" si="69"/>
        <v>-0.66562171200000009</v>
      </c>
      <c r="AV61" s="277">
        <f t="shared" ca="1" si="70"/>
        <v>-0.66562171200000009</v>
      </c>
      <c r="AW61" s="277">
        <f t="shared" ca="1" si="71"/>
        <v>-0.88749561600000026</v>
      </c>
      <c r="AX61" s="277">
        <f t="shared" ca="1" si="72"/>
        <v>-0.66562171200000009</v>
      </c>
      <c r="AY61" s="277">
        <f t="shared" ca="1" si="73"/>
        <v>-1.2203064720000003</v>
      </c>
      <c r="AZ61" s="277">
        <f t="shared" ca="1" si="74"/>
        <v>-0.66562171200000009</v>
      </c>
      <c r="BA61" s="277">
        <f t="shared" ca="1" si="75"/>
        <v>-0.66562171200000009</v>
      </c>
      <c r="BB61" s="43"/>
      <c r="BC61" s="277">
        <v>0</v>
      </c>
      <c r="BD61" s="277">
        <v>0</v>
      </c>
      <c r="BE61" s="277">
        <v>0</v>
      </c>
      <c r="BF61" s="277">
        <v>-0.6</v>
      </c>
      <c r="BG61" s="277">
        <v>-0.8</v>
      </c>
      <c r="BH61" s="277">
        <v>-0.6</v>
      </c>
      <c r="BI61" s="277">
        <v>0</v>
      </c>
      <c r="BJ61" s="277">
        <v>0</v>
      </c>
      <c r="BK61" s="277">
        <v>0</v>
      </c>
      <c r="BL61" s="277">
        <f t="shared" ca="1" si="101"/>
        <v>0</v>
      </c>
      <c r="BM61" s="277">
        <f t="shared" ca="1" si="102"/>
        <v>0</v>
      </c>
      <c r="BN61" s="277">
        <f t="shared" ca="1" si="103"/>
        <v>0</v>
      </c>
      <c r="BO61" s="277">
        <f t="shared" ca="1" si="104"/>
        <v>-0.66562171200000009</v>
      </c>
      <c r="BP61" s="277">
        <f t="shared" ca="1" si="105"/>
        <v>-0.88749561600000026</v>
      </c>
      <c r="BQ61" s="277">
        <f t="shared" ca="1" si="106"/>
        <v>-0.66562171200000009</v>
      </c>
      <c r="BR61" s="277">
        <f t="shared" ca="1" si="107"/>
        <v>0</v>
      </c>
      <c r="BS61" s="277">
        <f t="shared" ca="1" si="108"/>
        <v>0</v>
      </c>
      <c r="BT61" s="277">
        <f t="shared" ca="1" si="109"/>
        <v>0</v>
      </c>
      <c r="BU61" s="45"/>
    </row>
    <row r="62" spans="1:73" s="252" customFormat="1" ht="17.100000000000001" customHeight="1">
      <c r="A62" s="13"/>
      <c r="AC62" s="13"/>
      <c r="AD62" s="43"/>
      <c r="AE62" s="43"/>
      <c r="AF62" s="43"/>
      <c r="AG62" s="43"/>
      <c r="AH62" s="45">
        <v>6</v>
      </c>
      <c r="AI62" s="45" t="b">
        <f t="shared" si="57"/>
        <v>0</v>
      </c>
      <c r="AJ62" s="98">
        <f>0.5/10+AJ61</f>
        <v>-1.75</v>
      </c>
      <c r="AK62" s="98">
        <f>0.4/10+AK61</f>
        <v>-1.1599999999999999</v>
      </c>
      <c r="AL62" s="98">
        <f>0.1/10+AL61</f>
        <v>-0.59</v>
      </c>
      <c r="AM62" s="98">
        <f>0+AM61</f>
        <v>-0.6</v>
      </c>
      <c r="AN62" s="98">
        <f>-0.6/10+AN61</f>
        <v>-0.8600000000000001</v>
      </c>
      <c r="AO62" s="98">
        <f>-0.7/10+AO61</f>
        <v>-0.66999999999999993</v>
      </c>
      <c r="AP62" s="98">
        <f>0.2/10+AP61</f>
        <v>-1.08</v>
      </c>
      <c r="AQ62" s="98">
        <f>0+AQ61</f>
        <v>-0.6</v>
      </c>
      <c r="AR62" s="98">
        <f>0.2/10+AR61</f>
        <v>-0.57999999999999996</v>
      </c>
      <c r="AS62" s="277">
        <f t="shared" ca="1" si="67"/>
        <v>-1.9413966600000003</v>
      </c>
      <c r="AT62" s="277">
        <f t="shared" ca="1" si="68"/>
        <v>-1.2868686432000003</v>
      </c>
      <c r="AU62" s="277">
        <f t="shared" ca="1" si="69"/>
        <v>-0.65452801680000006</v>
      </c>
      <c r="AV62" s="277">
        <f t="shared" ca="1" si="70"/>
        <v>-0.66562171200000009</v>
      </c>
      <c r="AW62" s="277">
        <f t="shared" ca="1" si="71"/>
        <v>-0.95405778720000034</v>
      </c>
      <c r="AX62" s="277">
        <f t="shared" ca="1" si="72"/>
        <v>-0.74327757840000008</v>
      </c>
      <c r="AY62" s="277">
        <f t="shared" ca="1" si="73"/>
        <v>-1.1981190816000002</v>
      </c>
      <c r="AZ62" s="277">
        <f t="shared" ca="1" si="74"/>
        <v>-0.66562171200000009</v>
      </c>
      <c r="BA62" s="277">
        <f t="shared" ca="1" si="75"/>
        <v>-0.64343432160000014</v>
      </c>
      <c r="BB62" s="43"/>
      <c r="BC62" s="98">
        <f>0.2/10+BC61</f>
        <v>0.02</v>
      </c>
      <c r="BD62" s="98">
        <f>0.2/10+BD61</f>
        <v>0.02</v>
      </c>
      <c r="BE62" s="98">
        <f>0.2/10+BE61</f>
        <v>0.02</v>
      </c>
      <c r="BF62" s="98">
        <f>0+BF61</f>
        <v>-0.6</v>
      </c>
      <c r="BG62" s="98">
        <f>-0.6/10+BG61</f>
        <v>-0.8600000000000001</v>
      </c>
      <c r="BH62" s="98">
        <f>-0.7/10+BH61</f>
        <v>-0.66999999999999993</v>
      </c>
      <c r="BI62" s="277">
        <v>0</v>
      </c>
      <c r="BJ62" s="277">
        <v>0</v>
      </c>
      <c r="BK62" s="277">
        <v>0</v>
      </c>
      <c r="BL62" s="277">
        <f t="shared" ca="1" si="101"/>
        <v>2.2187390400000003E-2</v>
      </c>
      <c r="BM62" s="277">
        <f t="shared" ca="1" si="102"/>
        <v>2.2187390400000003E-2</v>
      </c>
      <c r="BN62" s="277">
        <f t="shared" ca="1" si="103"/>
        <v>2.2187390400000003E-2</v>
      </c>
      <c r="BO62" s="277">
        <f t="shared" ca="1" si="104"/>
        <v>-0.66562171200000009</v>
      </c>
      <c r="BP62" s="277">
        <f t="shared" ca="1" si="105"/>
        <v>-0.95405778720000034</v>
      </c>
      <c r="BQ62" s="277">
        <f t="shared" ca="1" si="106"/>
        <v>-0.74327757840000008</v>
      </c>
      <c r="BR62" s="277">
        <f t="shared" ca="1" si="107"/>
        <v>0</v>
      </c>
      <c r="BS62" s="277">
        <f t="shared" ca="1" si="108"/>
        <v>0</v>
      </c>
      <c r="BT62" s="277">
        <f t="shared" ca="1" si="109"/>
        <v>0</v>
      </c>
      <c r="BU62" s="45"/>
    </row>
    <row r="63" spans="1:73" s="252" customFormat="1" ht="17.100000000000001" hidden="1"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43"/>
      <c r="AE63" s="43"/>
      <c r="AF63" s="43"/>
      <c r="AG63" s="43"/>
      <c r="AH63" s="45">
        <v>7</v>
      </c>
      <c r="AI63" s="45" t="b">
        <f t="shared" si="57"/>
        <v>0</v>
      </c>
      <c r="AJ63" s="98">
        <f t="shared" ref="AJ63:AJ70" si="110">0.5/10+AJ62</f>
        <v>-1.7</v>
      </c>
      <c r="AK63" s="98">
        <f t="shared" ref="AK63:AK70" si="111">0.4/10+AK62</f>
        <v>-1.1199999999999999</v>
      </c>
      <c r="AL63" s="98">
        <f t="shared" ref="AL63:AL70" si="112">0.1/10+AL62</f>
        <v>-0.57999999999999996</v>
      </c>
      <c r="AM63" s="98">
        <f t="shared" ref="AM63:AM70" si="113">0+AM62</f>
        <v>-0.6</v>
      </c>
      <c r="AN63" s="98">
        <f t="shared" ref="AN63:AN70" si="114">-0.6/10+AN62</f>
        <v>-0.92000000000000015</v>
      </c>
      <c r="AO63" s="98">
        <f t="shared" ref="AO63:AO70" si="115">-0.7/10+AO62</f>
        <v>-0.73999999999999988</v>
      </c>
      <c r="AP63" s="98">
        <f t="shared" ref="AP63:AP70" si="116">0.2/10+AP62</f>
        <v>-1.06</v>
      </c>
      <c r="AQ63" s="98">
        <f t="shared" ref="AQ63:AQ70" si="117">0+AQ62</f>
        <v>-0.6</v>
      </c>
      <c r="AR63" s="98">
        <f t="shared" ref="AR63:AR70" si="118">0.2/10+AR62</f>
        <v>-0.55999999999999994</v>
      </c>
      <c r="AS63" s="277">
        <f t="shared" ca="1" si="67"/>
        <v>-1.8859281840000004</v>
      </c>
      <c r="AT63" s="277">
        <f t="shared" ca="1" si="68"/>
        <v>-1.2424938624000001</v>
      </c>
      <c r="AU63" s="277">
        <f t="shared" ca="1" si="69"/>
        <v>-0.64343432160000014</v>
      </c>
      <c r="AV63" s="277">
        <f t="shared" ca="1" si="70"/>
        <v>-0.66562171200000009</v>
      </c>
      <c r="AW63" s="277">
        <f t="shared" ca="1" si="71"/>
        <v>-1.0206199584000004</v>
      </c>
      <c r="AX63" s="277">
        <f t="shared" ca="1" si="72"/>
        <v>-0.82093344480000008</v>
      </c>
      <c r="AY63" s="277">
        <f t="shared" ca="1" si="73"/>
        <v>-1.1759316912000002</v>
      </c>
      <c r="AZ63" s="277">
        <f t="shared" ca="1" si="74"/>
        <v>-0.66562171200000009</v>
      </c>
      <c r="BA63" s="277">
        <f t="shared" ca="1" si="75"/>
        <v>-0.62124693120000007</v>
      </c>
      <c r="BB63" s="43"/>
      <c r="BC63" s="98">
        <f t="shared" ref="BC63:BC70" si="119">0.2/10+BC62</f>
        <v>0.04</v>
      </c>
      <c r="BD63" s="98">
        <f t="shared" ref="BD63:BD70" si="120">0.2/10+BD62</f>
        <v>0.04</v>
      </c>
      <c r="BE63" s="98">
        <f t="shared" ref="BE63:BE70" si="121">0.2/10+BE62</f>
        <v>0.04</v>
      </c>
      <c r="BF63" s="98">
        <f t="shared" ref="BF63:BF70" si="122">0+BF62</f>
        <v>-0.6</v>
      </c>
      <c r="BG63" s="98">
        <f t="shared" ref="BG63:BG70" si="123">-0.6/10+BG62</f>
        <v>-0.92000000000000015</v>
      </c>
      <c r="BH63" s="98">
        <f t="shared" ref="BH63:BH70" si="124">-0.7/10+BH62</f>
        <v>-0.73999999999999988</v>
      </c>
      <c r="BI63" s="277">
        <v>0</v>
      </c>
      <c r="BJ63" s="277">
        <v>0</v>
      </c>
      <c r="BK63" s="277">
        <v>0</v>
      </c>
      <c r="BL63" s="277">
        <f t="shared" ca="1" si="101"/>
        <v>4.4374780800000006E-2</v>
      </c>
      <c r="BM63" s="277">
        <f t="shared" ca="1" si="102"/>
        <v>4.4374780800000006E-2</v>
      </c>
      <c r="BN63" s="277">
        <f t="shared" ca="1" si="103"/>
        <v>4.4374780800000006E-2</v>
      </c>
      <c r="BO63" s="277">
        <f t="shared" ca="1" si="104"/>
        <v>-0.66562171200000009</v>
      </c>
      <c r="BP63" s="277">
        <f t="shared" ca="1" si="105"/>
        <v>-1.0206199584000004</v>
      </c>
      <c r="BQ63" s="277">
        <f t="shared" ca="1" si="106"/>
        <v>-0.82093344480000008</v>
      </c>
      <c r="BR63" s="277">
        <f t="shared" ca="1" si="107"/>
        <v>0</v>
      </c>
      <c r="BS63" s="277">
        <f t="shared" ca="1" si="108"/>
        <v>0</v>
      </c>
      <c r="BT63" s="277">
        <f t="shared" ca="1" si="109"/>
        <v>0</v>
      </c>
      <c r="BU63" s="45"/>
    </row>
    <row r="64" spans="1:73" s="252" customFormat="1" ht="17.100000000000001" hidden="1"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43"/>
      <c r="AE64" s="43"/>
      <c r="AF64" s="43"/>
      <c r="AG64" s="43"/>
      <c r="AH64" s="45">
        <v>8</v>
      </c>
      <c r="AI64" s="45" t="b">
        <f t="shared" si="57"/>
        <v>0</v>
      </c>
      <c r="AJ64" s="98">
        <f t="shared" si="110"/>
        <v>-1.65</v>
      </c>
      <c r="AK64" s="98">
        <f t="shared" si="111"/>
        <v>-1.0799999999999998</v>
      </c>
      <c r="AL64" s="98">
        <f t="shared" si="112"/>
        <v>-0.56999999999999995</v>
      </c>
      <c r="AM64" s="98">
        <f t="shared" si="113"/>
        <v>-0.6</v>
      </c>
      <c r="AN64" s="98">
        <f t="shared" si="114"/>
        <v>-0.9800000000000002</v>
      </c>
      <c r="AO64" s="98">
        <f t="shared" si="115"/>
        <v>-0.80999999999999983</v>
      </c>
      <c r="AP64" s="98">
        <f t="shared" si="116"/>
        <v>-1.04</v>
      </c>
      <c r="AQ64" s="98">
        <f t="shared" si="117"/>
        <v>-0.6</v>
      </c>
      <c r="AR64" s="98">
        <f t="shared" si="118"/>
        <v>-0.53999999999999992</v>
      </c>
      <c r="AS64" s="277">
        <f t="shared" ca="1" si="67"/>
        <v>-1.8304597080000002</v>
      </c>
      <c r="AT64" s="277">
        <f t="shared" ca="1" si="68"/>
        <v>-1.1981190816</v>
      </c>
      <c r="AU64" s="277">
        <f t="shared" ca="1" si="69"/>
        <v>-0.63234062640000011</v>
      </c>
      <c r="AV64" s="277">
        <f t="shared" ca="1" si="70"/>
        <v>-0.66562171200000009</v>
      </c>
      <c r="AW64" s="277">
        <f t="shared" ca="1" si="71"/>
        <v>-1.0871821296000004</v>
      </c>
      <c r="AX64" s="277">
        <f t="shared" ca="1" si="72"/>
        <v>-0.89858931119999996</v>
      </c>
      <c r="AY64" s="277">
        <f t="shared" ca="1" si="73"/>
        <v>-1.1537443008000003</v>
      </c>
      <c r="AZ64" s="277">
        <f t="shared" ca="1" si="74"/>
        <v>-0.66562171200000009</v>
      </c>
      <c r="BA64" s="277">
        <f t="shared" ca="1" si="75"/>
        <v>-0.59905954080000001</v>
      </c>
      <c r="BB64" s="43"/>
      <c r="BC64" s="98">
        <f t="shared" si="119"/>
        <v>0.06</v>
      </c>
      <c r="BD64" s="98">
        <f t="shared" si="120"/>
        <v>0.06</v>
      </c>
      <c r="BE64" s="98">
        <f t="shared" si="121"/>
        <v>0.06</v>
      </c>
      <c r="BF64" s="98">
        <f t="shared" si="122"/>
        <v>-0.6</v>
      </c>
      <c r="BG64" s="98">
        <f t="shared" si="123"/>
        <v>-0.9800000000000002</v>
      </c>
      <c r="BH64" s="98">
        <f t="shared" si="124"/>
        <v>-0.80999999999999983</v>
      </c>
      <c r="BI64" s="277">
        <v>0</v>
      </c>
      <c r="BJ64" s="277">
        <v>0</v>
      </c>
      <c r="BK64" s="277">
        <v>0</v>
      </c>
      <c r="BL64" s="277">
        <f t="shared" ca="1" si="101"/>
        <v>6.6562171200000006E-2</v>
      </c>
      <c r="BM64" s="277">
        <f t="shared" ca="1" si="102"/>
        <v>6.6562171200000006E-2</v>
      </c>
      <c r="BN64" s="277">
        <f t="shared" ca="1" si="103"/>
        <v>6.6562171200000006E-2</v>
      </c>
      <c r="BO64" s="277">
        <f t="shared" ca="1" si="104"/>
        <v>-0.66562171200000009</v>
      </c>
      <c r="BP64" s="277">
        <f t="shared" ca="1" si="105"/>
        <v>-1.0871821296000004</v>
      </c>
      <c r="BQ64" s="277">
        <f t="shared" ca="1" si="106"/>
        <v>-0.89858931119999996</v>
      </c>
      <c r="BR64" s="277">
        <f t="shared" ca="1" si="107"/>
        <v>0</v>
      </c>
      <c r="BS64" s="277">
        <f t="shared" ca="1" si="108"/>
        <v>0</v>
      </c>
      <c r="BT64" s="277">
        <f t="shared" ca="1" si="109"/>
        <v>0</v>
      </c>
      <c r="BU64" s="45"/>
    </row>
    <row r="65" spans="1:73" s="252" customFormat="1" ht="17.100000000000001" hidden="1" customHeight="1">
      <c r="A65" s="13"/>
      <c r="B65" s="13"/>
      <c r="AB65" s="13"/>
      <c r="AC65" s="13"/>
      <c r="AD65" s="43"/>
      <c r="AE65" s="43"/>
      <c r="AF65" s="43"/>
      <c r="AG65" s="43"/>
      <c r="AH65" s="45">
        <v>9</v>
      </c>
      <c r="AI65" s="45" t="b">
        <f t="shared" si="57"/>
        <v>0</v>
      </c>
      <c r="AJ65" s="98">
        <f t="shared" si="110"/>
        <v>-1.5999999999999999</v>
      </c>
      <c r="AK65" s="98">
        <f t="shared" si="111"/>
        <v>-1.0399999999999998</v>
      </c>
      <c r="AL65" s="98">
        <f t="shared" si="112"/>
        <v>-0.55999999999999994</v>
      </c>
      <c r="AM65" s="98">
        <f t="shared" si="113"/>
        <v>-0.6</v>
      </c>
      <c r="AN65" s="98">
        <f t="shared" si="114"/>
        <v>-1.0400000000000003</v>
      </c>
      <c r="AO65" s="98">
        <f t="shared" si="115"/>
        <v>-0.87999999999999978</v>
      </c>
      <c r="AP65" s="98">
        <f t="shared" si="116"/>
        <v>-1.02</v>
      </c>
      <c r="AQ65" s="98">
        <f t="shared" si="117"/>
        <v>-0.6</v>
      </c>
      <c r="AR65" s="98">
        <f t="shared" si="118"/>
        <v>-0.51999999999999991</v>
      </c>
      <c r="AS65" s="277">
        <f t="shared" ca="1" si="67"/>
        <v>-1.7749912320000003</v>
      </c>
      <c r="AT65" s="277">
        <f t="shared" ca="1" si="68"/>
        <v>-1.1537443008000001</v>
      </c>
      <c r="AU65" s="277">
        <f t="shared" ca="1" si="69"/>
        <v>-0.62124693120000007</v>
      </c>
      <c r="AV65" s="277">
        <f t="shared" ca="1" si="70"/>
        <v>-0.66562171200000009</v>
      </c>
      <c r="AW65" s="277">
        <f t="shared" ca="1" si="71"/>
        <v>-1.1537443008000006</v>
      </c>
      <c r="AX65" s="277">
        <f t="shared" ca="1" si="72"/>
        <v>-0.97624517759999996</v>
      </c>
      <c r="AY65" s="277">
        <f t="shared" ca="1" si="73"/>
        <v>-1.1315569104000003</v>
      </c>
      <c r="AZ65" s="277">
        <f t="shared" ca="1" si="74"/>
        <v>-0.66562171200000009</v>
      </c>
      <c r="BA65" s="277">
        <f t="shared" ca="1" si="75"/>
        <v>-0.57687215040000006</v>
      </c>
      <c r="BB65" s="43"/>
      <c r="BC65" s="98">
        <f t="shared" si="119"/>
        <v>0.08</v>
      </c>
      <c r="BD65" s="98">
        <f t="shared" si="120"/>
        <v>0.08</v>
      </c>
      <c r="BE65" s="98">
        <f t="shared" si="121"/>
        <v>0.08</v>
      </c>
      <c r="BF65" s="98">
        <f t="shared" si="122"/>
        <v>-0.6</v>
      </c>
      <c r="BG65" s="98">
        <f t="shared" si="123"/>
        <v>-1.0400000000000003</v>
      </c>
      <c r="BH65" s="98">
        <f t="shared" si="124"/>
        <v>-0.87999999999999978</v>
      </c>
      <c r="BI65" s="277">
        <v>0</v>
      </c>
      <c r="BJ65" s="277">
        <v>0</v>
      </c>
      <c r="BK65" s="277">
        <v>0</v>
      </c>
      <c r="BL65" s="277">
        <f t="shared" ca="1" si="101"/>
        <v>8.8749561600000013E-2</v>
      </c>
      <c r="BM65" s="277">
        <f t="shared" ca="1" si="102"/>
        <v>8.8749561600000013E-2</v>
      </c>
      <c r="BN65" s="277">
        <f t="shared" ca="1" si="103"/>
        <v>8.8749561600000013E-2</v>
      </c>
      <c r="BO65" s="277">
        <f t="shared" ca="1" si="104"/>
        <v>-0.66562171200000009</v>
      </c>
      <c r="BP65" s="277">
        <f t="shared" ca="1" si="105"/>
        <v>-1.1537443008000006</v>
      </c>
      <c r="BQ65" s="277">
        <f t="shared" ca="1" si="106"/>
        <v>-0.97624517759999996</v>
      </c>
      <c r="BR65" s="277">
        <f t="shared" ca="1" si="107"/>
        <v>0</v>
      </c>
      <c r="BS65" s="277">
        <f t="shared" ca="1" si="108"/>
        <v>0</v>
      </c>
      <c r="BT65" s="277">
        <f t="shared" ca="1" si="109"/>
        <v>0</v>
      </c>
      <c r="BU65" s="45"/>
    </row>
    <row r="66" spans="1:73" s="252" customFormat="1" ht="17.100000000000001" hidden="1" customHeight="1">
      <c r="A66" s="13"/>
      <c r="B66" s="13"/>
      <c r="AB66" s="13"/>
      <c r="AC66" s="13"/>
      <c r="AD66" s="43"/>
      <c r="AE66" s="43"/>
      <c r="AF66" s="43"/>
      <c r="AG66" s="43"/>
      <c r="AH66" s="45">
        <v>10</v>
      </c>
      <c r="AI66" s="45" t="b">
        <f t="shared" si="57"/>
        <v>0</v>
      </c>
      <c r="AJ66" s="98">
        <f t="shared" si="110"/>
        <v>-1.5499999999999998</v>
      </c>
      <c r="AK66" s="98">
        <f t="shared" si="111"/>
        <v>-0.99999999999999978</v>
      </c>
      <c r="AL66" s="98">
        <f t="shared" si="112"/>
        <v>-0.54999999999999993</v>
      </c>
      <c r="AM66" s="98">
        <f t="shared" si="113"/>
        <v>-0.6</v>
      </c>
      <c r="AN66" s="98">
        <f t="shared" si="114"/>
        <v>-1.1000000000000003</v>
      </c>
      <c r="AO66" s="98">
        <f t="shared" si="115"/>
        <v>-0.94999999999999973</v>
      </c>
      <c r="AP66" s="98">
        <f t="shared" si="116"/>
        <v>-1</v>
      </c>
      <c r="AQ66" s="98">
        <f t="shared" si="117"/>
        <v>-0.6</v>
      </c>
      <c r="AR66" s="98">
        <f t="shared" si="118"/>
        <v>-0.49999999999999989</v>
      </c>
      <c r="AS66" s="277">
        <f t="shared" ca="1" si="67"/>
        <v>-1.7195227560000002</v>
      </c>
      <c r="AT66" s="277">
        <f t="shared" ca="1" si="68"/>
        <v>-1.10936952</v>
      </c>
      <c r="AU66" s="277">
        <f t="shared" ca="1" si="69"/>
        <v>-0.61015323600000004</v>
      </c>
      <c r="AV66" s="277">
        <f t="shared" ca="1" si="70"/>
        <v>-0.66562171200000009</v>
      </c>
      <c r="AW66" s="277">
        <f t="shared" ca="1" si="71"/>
        <v>-1.2203064720000005</v>
      </c>
      <c r="AX66" s="277">
        <f t="shared" ca="1" si="72"/>
        <v>-1.0539010439999998</v>
      </c>
      <c r="AY66" s="277">
        <f t="shared" ca="1" si="73"/>
        <v>-1.1093695200000002</v>
      </c>
      <c r="AZ66" s="277">
        <f t="shared" ca="1" si="74"/>
        <v>-0.66562171200000009</v>
      </c>
      <c r="BA66" s="277">
        <f t="shared" ca="1" si="75"/>
        <v>-0.55468476</v>
      </c>
      <c r="BB66" s="43"/>
      <c r="BC66" s="98">
        <f t="shared" si="119"/>
        <v>0.1</v>
      </c>
      <c r="BD66" s="98">
        <f t="shared" si="120"/>
        <v>0.1</v>
      </c>
      <c r="BE66" s="98">
        <f t="shared" si="121"/>
        <v>0.1</v>
      </c>
      <c r="BF66" s="98">
        <f t="shared" si="122"/>
        <v>-0.6</v>
      </c>
      <c r="BG66" s="98">
        <f t="shared" si="123"/>
        <v>-1.1000000000000003</v>
      </c>
      <c r="BH66" s="98">
        <f t="shared" si="124"/>
        <v>-0.94999999999999973</v>
      </c>
      <c r="BI66" s="277">
        <v>0</v>
      </c>
      <c r="BJ66" s="277">
        <v>0</v>
      </c>
      <c r="BK66" s="277">
        <v>0</v>
      </c>
      <c r="BL66" s="277">
        <f t="shared" ca="1" si="101"/>
        <v>0.11093695200000003</v>
      </c>
      <c r="BM66" s="277">
        <f t="shared" ca="1" si="102"/>
        <v>0.11093695200000003</v>
      </c>
      <c r="BN66" s="277">
        <f t="shared" ca="1" si="103"/>
        <v>0.11093695200000003</v>
      </c>
      <c r="BO66" s="277">
        <f t="shared" ca="1" si="104"/>
        <v>-0.66562171200000009</v>
      </c>
      <c r="BP66" s="277">
        <f t="shared" ca="1" si="105"/>
        <v>-1.2203064720000005</v>
      </c>
      <c r="BQ66" s="277">
        <f t="shared" ca="1" si="106"/>
        <v>-1.0539010439999998</v>
      </c>
      <c r="BR66" s="277">
        <f t="shared" ca="1" si="107"/>
        <v>0</v>
      </c>
      <c r="BS66" s="277">
        <f t="shared" ca="1" si="108"/>
        <v>0</v>
      </c>
      <c r="BT66" s="277">
        <f t="shared" ca="1" si="109"/>
        <v>0</v>
      </c>
      <c r="BU66" s="45"/>
    </row>
    <row r="67" spans="1:73" s="252" customFormat="1" ht="17.100000000000001" hidden="1" customHeight="1">
      <c r="A67" s="13"/>
      <c r="B67" s="13"/>
      <c r="AB67" s="13"/>
      <c r="AC67" s="13"/>
      <c r="AD67" s="136"/>
      <c r="AE67" s="136"/>
      <c r="AF67" s="136"/>
      <c r="AG67" s="136"/>
      <c r="AH67" s="252">
        <v>11</v>
      </c>
      <c r="AI67" s="252" t="b">
        <f t="shared" si="57"/>
        <v>0</v>
      </c>
      <c r="AJ67" s="278">
        <f t="shared" si="110"/>
        <v>-1.4999999999999998</v>
      </c>
      <c r="AK67" s="278">
        <f t="shared" si="111"/>
        <v>-0.95999999999999974</v>
      </c>
      <c r="AL67" s="278">
        <f t="shared" si="112"/>
        <v>-0.53999999999999992</v>
      </c>
      <c r="AM67" s="278">
        <f t="shared" si="113"/>
        <v>-0.6</v>
      </c>
      <c r="AN67" s="278">
        <f t="shared" si="114"/>
        <v>-1.1600000000000004</v>
      </c>
      <c r="AO67" s="278">
        <f t="shared" si="115"/>
        <v>-1.0199999999999998</v>
      </c>
      <c r="AP67" s="278">
        <f t="shared" si="116"/>
        <v>-0.98</v>
      </c>
      <c r="AQ67" s="278">
        <f t="shared" si="117"/>
        <v>-0.6</v>
      </c>
      <c r="AR67" s="278">
        <f t="shared" si="118"/>
        <v>-0.47999999999999987</v>
      </c>
      <c r="AS67" s="279">
        <f t="shared" ca="1" si="67"/>
        <v>-1.66405428</v>
      </c>
      <c r="AT67" s="279">
        <f t="shared" ca="1" si="68"/>
        <v>-1.0649947391999999</v>
      </c>
      <c r="AU67" s="279">
        <f t="shared" ca="1" si="69"/>
        <v>-0.59905954080000001</v>
      </c>
      <c r="AV67" s="279">
        <f t="shared" ca="1" si="70"/>
        <v>-0.66562171200000009</v>
      </c>
      <c r="AW67" s="279">
        <f t="shared" ca="1" si="71"/>
        <v>-1.2868686432000007</v>
      </c>
      <c r="AX67" s="279">
        <f t="shared" ca="1" si="72"/>
        <v>-1.1315569104000001</v>
      </c>
      <c r="AY67" s="279">
        <f t="shared" ca="1" si="73"/>
        <v>-1.0871821296000002</v>
      </c>
      <c r="AZ67" s="279">
        <f t="shared" ca="1" si="74"/>
        <v>-0.66562171200000009</v>
      </c>
      <c r="BA67" s="279">
        <f t="shared" ca="1" si="75"/>
        <v>-0.53249736959999994</v>
      </c>
      <c r="BB67" s="136"/>
      <c r="BC67" s="278">
        <f t="shared" si="119"/>
        <v>0.12000000000000001</v>
      </c>
      <c r="BD67" s="278">
        <f t="shared" si="120"/>
        <v>0.12000000000000001</v>
      </c>
      <c r="BE67" s="278">
        <f t="shared" si="121"/>
        <v>0.12000000000000001</v>
      </c>
      <c r="BF67" s="278">
        <f t="shared" si="122"/>
        <v>-0.6</v>
      </c>
      <c r="BG67" s="278">
        <f t="shared" si="123"/>
        <v>-1.1600000000000004</v>
      </c>
      <c r="BH67" s="278">
        <f t="shared" si="124"/>
        <v>-1.0199999999999998</v>
      </c>
      <c r="BI67" s="279">
        <v>0</v>
      </c>
      <c r="BJ67" s="279">
        <v>0</v>
      </c>
      <c r="BK67" s="279">
        <v>0</v>
      </c>
      <c r="BL67" s="279">
        <f t="shared" ca="1" si="101"/>
        <v>0.13312434240000004</v>
      </c>
      <c r="BM67" s="279">
        <f t="shared" ca="1" si="102"/>
        <v>0.13312434240000004</v>
      </c>
      <c r="BN67" s="279">
        <f t="shared" ca="1" si="103"/>
        <v>0.13312434240000004</v>
      </c>
      <c r="BO67" s="279">
        <f t="shared" ca="1" si="104"/>
        <v>-0.66562171200000009</v>
      </c>
      <c r="BP67" s="279">
        <f t="shared" ca="1" si="105"/>
        <v>-1.2868686432000007</v>
      </c>
      <c r="BQ67" s="279">
        <f t="shared" ca="1" si="106"/>
        <v>-1.1315569104000001</v>
      </c>
      <c r="BR67" s="279">
        <f t="shared" ca="1" si="107"/>
        <v>0</v>
      </c>
      <c r="BS67" s="279">
        <f t="shared" ca="1" si="108"/>
        <v>0</v>
      </c>
      <c r="BT67" s="279">
        <f t="shared" ca="1" si="109"/>
        <v>0</v>
      </c>
    </row>
    <row r="68" spans="1:73" s="252" customFormat="1" ht="17.100000000000001" hidden="1" customHeight="1">
      <c r="A68" s="13"/>
      <c r="B68" s="13"/>
      <c r="AB68" s="13"/>
      <c r="AC68" s="13"/>
      <c r="AD68" s="136"/>
      <c r="AE68" s="136"/>
      <c r="AF68" s="136"/>
      <c r="AG68" s="136"/>
      <c r="AH68" s="252">
        <v>12</v>
      </c>
      <c r="AI68" s="252" t="b">
        <f t="shared" si="57"/>
        <v>0</v>
      </c>
      <c r="AJ68" s="278">
        <f t="shared" si="110"/>
        <v>-1.4499999999999997</v>
      </c>
      <c r="AK68" s="278">
        <f t="shared" si="111"/>
        <v>-0.91999999999999971</v>
      </c>
      <c r="AL68" s="278">
        <f t="shared" si="112"/>
        <v>-0.52999999999999992</v>
      </c>
      <c r="AM68" s="278">
        <f t="shared" si="113"/>
        <v>-0.6</v>
      </c>
      <c r="AN68" s="278">
        <f t="shared" si="114"/>
        <v>-1.2200000000000004</v>
      </c>
      <c r="AO68" s="278">
        <f t="shared" si="115"/>
        <v>-1.0899999999999999</v>
      </c>
      <c r="AP68" s="278">
        <f t="shared" si="116"/>
        <v>-0.96</v>
      </c>
      <c r="AQ68" s="278">
        <f t="shared" si="117"/>
        <v>-0.6</v>
      </c>
      <c r="AR68" s="278">
        <f t="shared" si="118"/>
        <v>-0.45999999999999985</v>
      </c>
      <c r="AS68" s="279">
        <f t="shared" ca="1" si="67"/>
        <v>-1.6085858040000001</v>
      </c>
      <c r="AT68" s="279">
        <f t="shared" ca="1" si="68"/>
        <v>-1.0206199584</v>
      </c>
      <c r="AU68" s="279">
        <f t="shared" ca="1" si="69"/>
        <v>-0.58796584559999998</v>
      </c>
      <c r="AV68" s="279">
        <f t="shared" ca="1" si="70"/>
        <v>-0.66562171200000009</v>
      </c>
      <c r="AW68" s="279">
        <f t="shared" ca="1" si="71"/>
        <v>-1.3534308144000007</v>
      </c>
      <c r="AX68" s="279">
        <f t="shared" ca="1" si="72"/>
        <v>-1.2092127768000001</v>
      </c>
      <c r="AY68" s="279">
        <f t="shared" ca="1" si="73"/>
        <v>-1.0649947392000001</v>
      </c>
      <c r="AZ68" s="279">
        <f t="shared" ca="1" si="74"/>
        <v>-0.66562171200000009</v>
      </c>
      <c r="BA68" s="279">
        <f t="shared" ca="1" si="75"/>
        <v>-0.51030997919999999</v>
      </c>
      <c r="BB68" s="136"/>
      <c r="BC68" s="278">
        <f t="shared" si="119"/>
        <v>0.14000000000000001</v>
      </c>
      <c r="BD68" s="278">
        <f t="shared" si="120"/>
        <v>0.14000000000000001</v>
      </c>
      <c r="BE68" s="278">
        <f t="shared" si="121"/>
        <v>0.14000000000000001</v>
      </c>
      <c r="BF68" s="278">
        <f t="shared" si="122"/>
        <v>-0.6</v>
      </c>
      <c r="BG68" s="278">
        <f t="shared" si="123"/>
        <v>-1.2200000000000004</v>
      </c>
      <c r="BH68" s="278">
        <f t="shared" si="124"/>
        <v>-1.0899999999999999</v>
      </c>
      <c r="BI68" s="279">
        <v>0</v>
      </c>
      <c r="BJ68" s="279">
        <v>0</v>
      </c>
      <c r="BK68" s="279">
        <v>0</v>
      </c>
      <c r="BL68" s="279">
        <f t="shared" ca="1" si="101"/>
        <v>0.15531173280000005</v>
      </c>
      <c r="BM68" s="279">
        <f t="shared" ca="1" si="102"/>
        <v>0.15531173280000005</v>
      </c>
      <c r="BN68" s="279">
        <f t="shared" ca="1" si="103"/>
        <v>0.15531173280000005</v>
      </c>
      <c r="BO68" s="279">
        <f t="shared" ca="1" si="104"/>
        <v>-0.66562171200000009</v>
      </c>
      <c r="BP68" s="279">
        <f t="shared" ca="1" si="105"/>
        <v>-1.3534308144000007</v>
      </c>
      <c r="BQ68" s="279">
        <f t="shared" ca="1" si="106"/>
        <v>-1.2092127768000001</v>
      </c>
      <c r="BR68" s="279">
        <f t="shared" ca="1" si="107"/>
        <v>0</v>
      </c>
      <c r="BS68" s="279">
        <f t="shared" ca="1" si="108"/>
        <v>0</v>
      </c>
      <c r="BT68" s="279">
        <f t="shared" ca="1" si="109"/>
        <v>0</v>
      </c>
    </row>
    <row r="69" spans="1:73" s="252" customFormat="1" ht="17.100000000000001" hidden="1" customHeight="1">
      <c r="A69" s="13"/>
      <c r="B69" s="13"/>
      <c r="AB69" s="13"/>
      <c r="AC69" s="13"/>
      <c r="AD69" s="136"/>
      <c r="AE69" s="136"/>
      <c r="AF69" s="136"/>
      <c r="AG69" s="136"/>
      <c r="AH69" s="252">
        <v>13</v>
      </c>
      <c r="AI69" s="252" t="b">
        <f t="shared" si="57"/>
        <v>0</v>
      </c>
      <c r="AJ69" s="278">
        <f t="shared" si="110"/>
        <v>-1.3999999999999997</v>
      </c>
      <c r="AK69" s="278">
        <f t="shared" si="111"/>
        <v>-0.87999999999999967</v>
      </c>
      <c r="AL69" s="278">
        <f t="shared" si="112"/>
        <v>-0.51999999999999991</v>
      </c>
      <c r="AM69" s="278">
        <f t="shared" si="113"/>
        <v>-0.6</v>
      </c>
      <c r="AN69" s="278">
        <f t="shared" si="114"/>
        <v>-1.2800000000000005</v>
      </c>
      <c r="AO69" s="278">
        <f t="shared" si="115"/>
        <v>-1.1599999999999999</v>
      </c>
      <c r="AP69" s="278">
        <f t="shared" si="116"/>
        <v>-0.94</v>
      </c>
      <c r="AQ69" s="278">
        <f t="shared" si="117"/>
        <v>-0.6</v>
      </c>
      <c r="AR69" s="278">
        <f t="shared" si="118"/>
        <v>-0.43999999999999984</v>
      </c>
      <c r="AS69" s="279">
        <f t="shared" ca="1" si="67"/>
        <v>-1.5531173279999999</v>
      </c>
      <c r="AT69" s="279">
        <f t="shared" ca="1" si="68"/>
        <v>-0.97624517759999985</v>
      </c>
      <c r="AU69" s="279">
        <f t="shared" ca="1" si="69"/>
        <v>-0.57687215040000006</v>
      </c>
      <c r="AV69" s="279">
        <f t="shared" ca="1" si="70"/>
        <v>-0.66562171200000009</v>
      </c>
      <c r="AW69" s="279">
        <f t="shared" ca="1" si="71"/>
        <v>-1.4199929856000009</v>
      </c>
      <c r="AX69" s="279">
        <f t="shared" ca="1" si="72"/>
        <v>-1.2868686432000003</v>
      </c>
      <c r="AY69" s="279">
        <f t="shared" ca="1" si="73"/>
        <v>-1.0428073488000003</v>
      </c>
      <c r="AZ69" s="279">
        <f t="shared" ca="1" si="74"/>
        <v>-0.66562171200000009</v>
      </c>
      <c r="BA69" s="279">
        <f t="shared" ca="1" si="75"/>
        <v>-0.48812258879999992</v>
      </c>
      <c r="BB69" s="136"/>
      <c r="BC69" s="278">
        <f t="shared" si="119"/>
        <v>0.16</v>
      </c>
      <c r="BD69" s="278">
        <f t="shared" si="120"/>
        <v>0.16</v>
      </c>
      <c r="BE69" s="278">
        <f t="shared" si="121"/>
        <v>0.16</v>
      </c>
      <c r="BF69" s="278">
        <f t="shared" si="122"/>
        <v>-0.6</v>
      </c>
      <c r="BG69" s="278">
        <f t="shared" si="123"/>
        <v>-1.2800000000000005</v>
      </c>
      <c r="BH69" s="278">
        <f t="shared" si="124"/>
        <v>-1.1599999999999999</v>
      </c>
      <c r="BI69" s="279">
        <v>0</v>
      </c>
      <c r="BJ69" s="279">
        <v>0</v>
      </c>
      <c r="BK69" s="279">
        <v>0</v>
      </c>
      <c r="BL69" s="279">
        <f t="shared" ca="1" si="101"/>
        <v>0.17749912320000003</v>
      </c>
      <c r="BM69" s="279">
        <f t="shared" ca="1" si="102"/>
        <v>0.17749912320000003</v>
      </c>
      <c r="BN69" s="279">
        <f t="shared" ca="1" si="103"/>
        <v>0.17749912320000003</v>
      </c>
      <c r="BO69" s="279">
        <f t="shared" ca="1" si="104"/>
        <v>-0.66562171200000009</v>
      </c>
      <c r="BP69" s="279">
        <f t="shared" ca="1" si="105"/>
        <v>-1.4199929856000009</v>
      </c>
      <c r="BQ69" s="279">
        <f t="shared" ca="1" si="106"/>
        <v>-1.2868686432000003</v>
      </c>
      <c r="BR69" s="279">
        <f t="shared" ca="1" si="107"/>
        <v>0</v>
      </c>
      <c r="BS69" s="279">
        <f t="shared" ca="1" si="108"/>
        <v>0</v>
      </c>
      <c r="BT69" s="279">
        <f t="shared" ca="1" si="109"/>
        <v>0</v>
      </c>
    </row>
    <row r="70" spans="1:73" s="252" customFormat="1" ht="17.100000000000001" hidden="1" customHeight="1">
      <c r="A70" s="13"/>
      <c r="B70" s="13"/>
      <c r="AB70" s="13"/>
      <c r="AC70" s="13"/>
      <c r="AD70" s="136"/>
      <c r="AE70" s="136"/>
      <c r="AF70" s="136"/>
      <c r="AG70" s="136"/>
      <c r="AH70" s="252">
        <v>14</v>
      </c>
      <c r="AI70" s="252" t="b">
        <f t="shared" si="57"/>
        <v>0</v>
      </c>
      <c r="AJ70" s="278">
        <f t="shared" si="110"/>
        <v>-1.3499999999999996</v>
      </c>
      <c r="AK70" s="278">
        <f t="shared" si="111"/>
        <v>-0.83999999999999964</v>
      </c>
      <c r="AL70" s="278">
        <f t="shared" si="112"/>
        <v>-0.5099999999999999</v>
      </c>
      <c r="AM70" s="278">
        <f t="shared" si="113"/>
        <v>-0.6</v>
      </c>
      <c r="AN70" s="278">
        <f t="shared" si="114"/>
        <v>-1.3400000000000005</v>
      </c>
      <c r="AO70" s="278">
        <f t="shared" si="115"/>
        <v>-1.23</v>
      </c>
      <c r="AP70" s="278">
        <f t="shared" si="116"/>
        <v>-0.91999999999999993</v>
      </c>
      <c r="AQ70" s="278">
        <f t="shared" si="117"/>
        <v>-0.6</v>
      </c>
      <c r="AR70" s="278">
        <f t="shared" si="118"/>
        <v>-0.41999999999999982</v>
      </c>
      <c r="AS70" s="279">
        <f t="shared" ca="1" si="67"/>
        <v>-1.497648852</v>
      </c>
      <c r="AT70" s="279">
        <f t="shared" ca="1" si="68"/>
        <v>-0.93187039679999983</v>
      </c>
      <c r="AU70" s="279">
        <f t="shared" ca="1" si="69"/>
        <v>-0.56577845520000003</v>
      </c>
      <c r="AV70" s="279">
        <f t="shared" ca="1" si="70"/>
        <v>-0.66562171200000009</v>
      </c>
      <c r="AW70" s="279">
        <f t="shared" ca="1" si="71"/>
        <v>-1.4865551568000008</v>
      </c>
      <c r="AX70" s="279">
        <f t="shared" ca="1" si="72"/>
        <v>-1.3645245096000003</v>
      </c>
      <c r="AY70" s="279">
        <f t="shared" ca="1" si="73"/>
        <v>-1.0206199584000002</v>
      </c>
      <c r="AZ70" s="279">
        <f t="shared" ca="1" si="74"/>
        <v>-0.66562171200000009</v>
      </c>
      <c r="BA70" s="279">
        <f t="shared" ca="1" si="75"/>
        <v>-0.46593519839999992</v>
      </c>
      <c r="BB70" s="136"/>
      <c r="BC70" s="278">
        <f t="shared" si="119"/>
        <v>0.18</v>
      </c>
      <c r="BD70" s="278">
        <f t="shared" si="120"/>
        <v>0.18</v>
      </c>
      <c r="BE70" s="278">
        <f t="shared" si="121"/>
        <v>0.18</v>
      </c>
      <c r="BF70" s="278">
        <f t="shared" si="122"/>
        <v>-0.6</v>
      </c>
      <c r="BG70" s="278">
        <f t="shared" si="123"/>
        <v>-1.3400000000000005</v>
      </c>
      <c r="BH70" s="278">
        <f t="shared" si="124"/>
        <v>-1.23</v>
      </c>
      <c r="BI70" s="279">
        <v>0</v>
      </c>
      <c r="BJ70" s="279">
        <v>0</v>
      </c>
      <c r="BK70" s="279">
        <v>0</v>
      </c>
      <c r="BL70" s="279">
        <f t="shared" ca="1" si="101"/>
        <v>0.19968651360000003</v>
      </c>
      <c r="BM70" s="279">
        <f t="shared" ca="1" si="102"/>
        <v>0.19968651360000003</v>
      </c>
      <c r="BN70" s="279">
        <f t="shared" ca="1" si="103"/>
        <v>0.19968651360000003</v>
      </c>
      <c r="BO70" s="279">
        <f t="shared" ca="1" si="104"/>
        <v>-0.66562171200000009</v>
      </c>
      <c r="BP70" s="279">
        <f t="shared" ca="1" si="105"/>
        <v>-1.4865551568000008</v>
      </c>
      <c r="BQ70" s="279">
        <f t="shared" ca="1" si="106"/>
        <v>-1.3645245096000003</v>
      </c>
      <c r="BR70" s="279">
        <f t="shared" ca="1" si="107"/>
        <v>0</v>
      </c>
      <c r="BS70" s="279">
        <f t="shared" ca="1" si="108"/>
        <v>0</v>
      </c>
      <c r="BT70" s="279">
        <f t="shared" ca="1" si="109"/>
        <v>0</v>
      </c>
    </row>
    <row r="71" spans="1:73" s="252" customFormat="1" ht="17.100000000000001" hidden="1" customHeight="1">
      <c r="A71" s="13"/>
      <c r="B71" s="13"/>
      <c r="AB71" s="13"/>
      <c r="AC71" s="13"/>
      <c r="AD71" s="136"/>
      <c r="AE71" s="136"/>
      <c r="AF71" s="136"/>
      <c r="AG71" s="136"/>
      <c r="AH71" s="280">
        <v>15</v>
      </c>
      <c r="AI71" s="252" t="b">
        <f t="shared" si="57"/>
        <v>0</v>
      </c>
      <c r="AJ71" s="279">
        <v>-1.3</v>
      </c>
      <c r="AK71" s="279">
        <v>-0.8</v>
      </c>
      <c r="AL71" s="279">
        <v>-0.5</v>
      </c>
      <c r="AM71" s="279">
        <v>-0.6</v>
      </c>
      <c r="AN71" s="279">
        <v>-1.4</v>
      </c>
      <c r="AO71" s="279">
        <v>-1.3</v>
      </c>
      <c r="AP71" s="279">
        <v>-0.9</v>
      </c>
      <c r="AQ71" s="279">
        <v>-0.6</v>
      </c>
      <c r="AR71" s="279">
        <v>-0.4</v>
      </c>
      <c r="AS71" s="279">
        <f t="shared" ca="1" si="67"/>
        <v>-1.4421803760000003</v>
      </c>
      <c r="AT71" s="279">
        <f t="shared" ca="1" si="68"/>
        <v>-0.88749561600000026</v>
      </c>
      <c r="AU71" s="279">
        <f t="shared" ca="1" si="69"/>
        <v>-0.55468476000000011</v>
      </c>
      <c r="AV71" s="279">
        <f t="shared" ca="1" si="70"/>
        <v>-0.66562171200000009</v>
      </c>
      <c r="AW71" s="279">
        <f t="shared" ca="1" si="71"/>
        <v>-1.5531173280000001</v>
      </c>
      <c r="AX71" s="279">
        <f t="shared" ca="1" si="72"/>
        <v>-1.4421803760000003</v>
      </c>
      <c r="AY71" s="279">
        <f t="shared" ca="1" si="73"/>
        <v>-0.99843256800000024</v>
      </c>
      <c r="AZ71" s="279">
        <f t="shared" ca="1" si="74"/>
        <v>-0.66562171200000009</v>
      </c>
      <c r="BA71" s="279">
        <f t="shared" ca="1" si="75"/>
        <v>-0.44374780800000013</v>
      </c>
      <c r="BB71" s="136"/>
      <c r="BC71" s="279">
        <v>0.2</v>
      </c>
      <c r="BD71" s="279">
        <v>0.2</v>
      </c>
      <c r="BE71" s="279">
        <v>0.2</v>
      </c>
      <c r="BF71" s="279">
        <v>-0.6</v>
      </c>
      <c r="BG71" s="279">
        <v>-1.4</v>
      </c>
      <c r="BH71" s="279">
        <v>-1.3</v>
      </c>
      <c r="BI71" s="279">
        <v>0</v>
      </c>
      <c r="BJ71" s="279">
        <v>0</v>
      </c>
      <c r="BK71" s="279">
        <v>0</v>
      </c>
      <c r="BL71" s="279">
        <f t="shared" ca="1" si="101"/>
        <v>0.22187390400000007</v>
      </c>
      <c r="BM71" s="279">
        <f t="shared" ca="1" si="102"/>
        <v>0.22187390400000007</v>
      </c>
      <c r="BN71" s="279">
        <f t="shared" ca="1" si="103"/>
        <v>0.22187390400000007</v>
      </c>
      <c r="BO71" s="279">
        <f t="shared" ca="1" si="104"/>
        <v>-0.66562171200000009</v>
      </c>
      <c r="BP71" s="279">
        <f t="shared" ca="1" si="105"/>
        <v>-1.5531173280000001</v>
      </c>
      <c r="BQ71" s="279">
        <f t="shared" ca="1" si="106"/>
        <v>-1.4421803760000003</v>
      </c>
      <c r="BR71" s="279">
        <f t="shared" ca="1" si="107"/>
        <v>0</v>
      </c>
      <c r="BS71" s="279">
        <f t="shared" ca="1" si="108"/>
        <v>0</v>
      </c>
      <c r="BT71" s="279">
        <f t="shared" ca="1" si="109"/>
        <v>0</v>
      </c>
    </row>
    <row r="72" spans="1:73" s="252" customFormat="1" ht="17.100000000000001" hidden="1" customHeight="1">
      <c r="A72" s="13"/>
      <c r="B72" s="13"/>
      <c r="AB72" s="13"/>
      <c r="AC72" s="13"/>
      <c r="AD72" s="136"/>
      <c r="AE72" s="136"/>
      <c r="AF72" s="136"/>
      <c r="AG72" s="136"/>
      <c r="AH72" s="252">
        <v>16</v>
      </c>
      <c r="AI72" s="252" t="b">
        <f t="shared" si="57"/>
        <v>0</v>
      </c>
      <c r="AJ72" s="278">
        <f>0.8/15+AJ71</f>
        <v>-1.2466666666666668</v>
      </c>
      <c r="AK72" s="278">
        <f>0.3/15+AK71</f>
        <v>-0.78</v>
      </c>
      <c r="AL72" s="278">
        <f>0.3/15+AL71</f>
        <v>-0.48</v>
      </c>
      <c r="AM72" s="278">
        <f>0+AM71</f>
        <v>-0.6</v>
      </c>
      <c r="AN72" s="278">
        <f>0.1/15+AN71</f>
        <v>-1.3933333333333333</v>
      </c>
      <c r="AO72" s="278">
        <f>0.5/15+AO71</f>
        <v>-1.2666666666666666</v>
      </c>
      <c r="AP72" s="278">
        <f>-0.1/15+AP71</f>
        <v>-0.90666666666666673</v>
      </c>
      <c r="AQ72" s="278">
        <f>0+AQ71</f>
        <v>-0.6</v>
      </c>
      <c r="AR72" s="278">
        <f>-0.1/15+AR71</f>
        <v>-0.40666666666666668</v>
      </c>
      <c r="AS72" s="279">
        <f t="shared" ca="1" si="67"/>
        <v>-1.3830140016000005</v>
      </c>
      <c r="AT72" s="279">
        <f t="shared" ca="1" si="68"/>
        <v>-0.8653082256000002</v>
      </c>
      <c r="AU72" s="279">
        <f t="shared" ca="1" si="69"/>
        <v>-0.53249736960000005</v>
      </c>
      <c r="AV72" s="279">
        <f t="shared" ca="1" si="70"/>
        <v>-0.66562171200000009</v>
      </c>
      <c r="AW72" s="279">
        <f t="shared" ca="1" si="71"/>
        <v>-1.5457215312000003</v>
      </c>
      <c r="AX72" s="279">
        <f t="shared" ca="1" si="72"/>
        <v>-1.4052013920000002</v>
      </c>
      <c r="AY72" s="279">
        <f t="shared" ca="1" si="73"/>
        <v>-1.0058283648000004</v>
      </c>
      <c r="AZ72" s="279">
        <f t="shared" ca="1" si="74"/>
        <v>-0.66562171200000009</v>
      </c>
      <c r="BA72" s="279">
        <f t="shared" ca="1" si="75"/>
        <v>-0.4511436048000001</v>
      </c>
      <c r="BB72" s="136"/>
      <c r="BC72" s="278">
        <f>0.6/15+BC71</f>
        <v>0.24000000000000002</v>
      </c>
      <c r="BD72" s="278">
        <f>0.3/15+BD71</f>
        <v>0.22</v>
      </c>
      <c r="BE72" s="278">
        <f>0.2/15+BE71</f>
        <v>0.21333333333333335</v>
      </c>
      <c r="BF72" s="278">
        <f>0+BF71</f>
        <v>-0.6</v>
      </c>
      <c r="BG72" s="278">
        <f>0.1/15+BG71</f>
        <v>-1.3933333333333333</v>
      </c>
      <c r="BH72" s="278">
        <f>0.5/15+BH71</f>
        <v>-1.2666666666666666</v>
      </c>
      <c r="BI72" s="279">
        <v>0</v>
      </c>
      <c r="BJ72" s="279">
        <v>0</v>
      </c>
      <c r="BK72" s="279">
        <v>0</v>
      </c>
      <c r="BL72" s="279">
        <f t="shared" ca="1" si="101"/>
        <v>0.26624868480000008</v>
      </c>
      <c r="BM72" s="279">
        <f t="shared" ca="1" si="102"/>
        <v>0.24406129440000005</v>
      </c>
      <c r="BN72" s="279">
        <f t="shared" ca="1" si="103"/>
        <v>0.23666549760000005</v>
      </c>
      <c r="BO72" s="279">
        <f t="shared" ca="1" si="104"/>
        <v>-0.66562171200000009</v>
      </c>
      <c r="BP72" s="279">
        <f t="shared" ca="1" si="105"/>
        <v>-1.5457215312000003</v>
      </c>
      <c r="BQ72" s="279">
        <f t="shared" ca="1" si="106"/>
        <v>-1.4052013920000002</v>
      </c>
      <c r="BR72" s="279">
        <f t="shared" ca="1" si="107"/>
        <v>0</v>
      </c>
      <c r="BS72" s="279">
        <f t="shared" ca="1" si="108"/>
        <v>0</v>
      </c>
      <c r="BT72" s="279">
        <f t="shared" ca="1" si="109"/>
        <v>0</v>
      </c>
    </row>
    <row r="73" spans="1:73" s="252" customFormat="1" ht="17.100000000000001" hidden="1" customHeight="1">
      <c r="A73" s="13"/>
      <c r="B73" s="13"/>
      <c r="AB73" s="13"/>
      <c r="AC73" s="13"/>
      <c r="AD73" s="136"/>
      <c r="AE73" s="136"/>
      <c r="AF73" s="136"/>
      <c r="AG73" s="136"/>
      <c r="AH73" s="252">
        <v>17</v>
      </c>
      <c r="AI73" s="252" t="b">
        <f t="shared" si="57"/>
        <v>0</v>
      </c>
      <c r="AJ73" s="278">
        <f t="shared" ref="AJ73:AJ85" si="125">0.8/15+AJ72</f>
        <v>-1.1933333333333336</v>
      </c>
      <c r="AK73" s="278">
        <f t="shared" ref="AK73:AK85" si="126">0.3/15+AK72</f>
        <v>-0.76</v>
      </c>
      <c r="AL73" s="278">
        <f t="shared" ref="AL73:AL85" si="127">0.3/15+AL72</f>
        <v>-0.45999999999999996</v>
      </c>
      <c r="AM73" s="278">
        <f t="shared" ref="AM73:AM85" si="128">0+AM72</f>
        <v>-0.6</v>
      </c>
      <c r="AN73" s="278">
        <f t="shared" ref="AN73:AN85" si="129">0.1/15+AN72</f>
        <v>-1.3866666666666667</v>
      </c>
      <c r="AO73" s="278">
        <f t="shared" ref="AO73:AO85" si="130">0.5/15+AO72</f>
        <v>-1.2333333333333332</v>
      </c>
      <c r="AP73" s="278">
        <f t="shared" ref="AP73:AP85" si="131">-0.1/15+AP72</f>
        <v>-0.91333333333333344</v>
      </c>
      <c r="AQ73" s="278">
        <f t="shared" ref="AQ73:AQ85" si="132">0+AQ72</f>
        <v>-0.6</v>
      </c>
      <c r="AR73" s="278">
        <f t="shared" ref="AR73:AR85" si="133">-0.1/15+AR72</f>
        <v>-0.41333333333333333</v>
      </c>
      <c r="AS73" s="279">
        <f t="shared" ca="1" si="67"/>
        <v>-1.3238476272000006</v>
      </c>
      <c r="AT73" s="279">
        <f t="shared" ca="1" si="68"/>
        <v>-0.84312083520000014</v>
      </c>
      <c r="AU73" s="279">
        <f t="shared" ca="1" si="69"/>
        <v>-0.5103099792000001</v>
      </c>
      <c r="AV73" s="279">
        <f t="shared" ca="1" si="70"/>
        <v>-0.66562171200000009</v>
      </c>
      <c r="AW73" s="279">
        <f t="shared" ca="1" si="71"/>
        <v>-1.5383257344000003</v>
      </c>
      <c r="AX73" s="279">
        <f t="shared" ca="1" si="72"/>
        <v>-1.3682224080000001</v>
      </c>
      <c r="AY73" s="279">
        <f t="shared" ca="1" si="73"/>
        <v>-1.0132241616000004</v>
      </c>
      <c r="AZ73" s="279">
        <f t="shared" ca="1" si="74"/>
        <v>-0.66562171200000009</v>
      </c>
      <c r="BA73" s="279">
        <f t="shared" ca="1" si="75"/>
        <v>-0.45853940160000006</v>
      </c>
      <c r="BB73" s="136"/>
      <c r="BC73" s="278">
        <f t="shared" ref="BC73:BC85" si="134">0.6/15+BC72</f>
        <v>0.28000000000000003</v>
      </c>
      <c r="BD73" s="278">
        <f t="shared" ref="BD73:BD85" si="135">0.3/15+BD72</f>
        <v>0.24</v>
      </c>
      <c r="BE73" s="278">
        <f t="shared" ref="BE73:BE85" si="136">0.2/15+BE72</f>
        <v>0.22666666666666668</v>
      </c>
      <c r="BF73" s="278">
        <f t="shared" ref="BF73:BF85" si="137">0+BF72</f>
        <v>-0.6</v>
      </c>
      <c r="BG73" s="278">
        <f t="shared" ref="BG73:BG85" si="138">0.1/15+BG72</f>
        <v>-1.3866666666666667</v>
      </c>
      <c r="BH73" s="278">
        <f t="shared" ref="BH73:BH85" si="139">0.5/15+BH72</f>
        <v>-1.2333333333333332</v>
      </c>
      <c r="BI73" s="279">
        <v>0</v>
      </c>
      <c r="BJ73" s="279">
        <v>0</v>
      </c>
      <c r="BK73" s="279">
        <v>0</v>
      </c>
      <c r="BL73" s="279">
        <f t="shared" ca="1" si="101"/>
        <v>0.31062346560000009</v>
      </c>
      <c r="BM73" s="279">
        <f t="shared" ca="1" si="102"/>
        <v>0.26624868480000002</v>
      </c>
      <c r="BN73" s="279">
        <f t="shared" ca="1" si="103"/>
        <v>0.25145709120000009</v>
      </c>
      <c r="BO73" s="279">
        <f t="shared" ca="1" si="104"/>
        <v>-0.66562171200000009</v>
      </c>
      <c r="BP73" s="279">
        <f t="shared" ca="1" si="105"/>
        <v>-1.5383257344000003</v>
      </c>
      <c r="BQ73" s="279">
        <f t="shared" ca="1" si="106"/>
        <v>-1.3682224080000001</v>
      </c>
      <c r="BR73" s="279">
        <f t="shared" ca="1" si="107"/>
        <v>0</v>
      </c>
      <c r="BS73" s="279">
        <f t="shared" ca="1" si="108"/>
        <v>0</v>
      </c>
      <c r="BT73" s="279">
        <f t="shared" ca="1" si="109"/>
        <v>0</v>
      </c>
    </row>
    <row r="74" spans="1:73" s="252" customFormat="1" ht="17.100000000000001" hidden="1" customHeight="1">
      <c r="A74" s="13"/>
      <c r="B74" s="13"/>
      <c r="AB74" s="13"/>
      <c r="AC74" s="13"/>
      <c r="AD74" s="136"/>
      <c r="AE74" s="136"/>
      <c r="AF74" s="136"/>
      <c r="AG74" s="136"/>
      <c r="AH74" s="252">
        <v>18</v>
      </c>
      <c r="AI74" s="252" t="b">
        <f t="shared" si="57"/>
        <v>0</v>
      </c>
      <c r="AJ74" s="278">
        <f t="shared" si="125"/>
        <v>-1.1400000000000003</v>
      </c>
      <c r="AK74" s="278">
        <f t="shared" si="126"/>
        <v>-0.74</v>
      </c>
      <c r="AL74" s="278">
        <f t="shared" si="127"/>
        <v>-0.43999999999999995</v>
      </c>
      <c r="AM74" s="278">
        <f t="shared" si="128"/>
        <v>-0.6</v>
      </c>
      <c r="AN74" s="278">
        <f t="shared" si="129"/>
        <v>-1.3800000000000001</v>
      </c>
      <c r="AO74" s="278">
        <f t="shared" si="130"/>
        <v>-1.1999999999999997</v>
      </c>
      <c r="AP74" s="278">
        <f t="shared" si="131"/>
        <v>-0.92000000000000015</v>
      </c>
      <c r="AQ74" s="278">
        <f t="shared" si="132"/>
        <v>-0.6</v>
      </c>
      <c r="AR74" s="278">
        <f t="shared" si="133"/>
        <v>-0.42</v>
      </c>
      <c r="AS74" s="279">
        <f t="shared" ca="1" si="67"/>
        <v>-1.2646812528000007</v>
      </c>
      <c r="AT74" s="279">
        <f t="shared" ca="1" si="68"/>
        <v>-0.82093344480000019</v>
      </c>
      <c r="AU74" s="279">
        <f t="shared" ca="1" si="69"/>
        <v>-0.48812258880000003</v>
      </c>
      <c r="AV74" s="279">
        <f t="shared" ca="1" si="70"/>
        <v>-0.66562171200000009</v>
      </c>
      <c r="AW74" s="279">
        <f t="shared" ca="1" si="71"/>
        <v>-1.5309299376000005</v>
      </c>
      <c r="AX74" s="279">
        <f t="shared" ca="1" si="72"/>
        <v>-1.331243424</v>
      </c>
      <c r="AY74" s="279">
        <f t="shared" ca="1" si="73"/>
        <v>-1.0206199584000004</v>
      </c>
      <c r="AZ74" s="279">
        <f t="shared" ca="1" si="74"/>
        <v>-0.66562171200000009</v>
      </c>
      <c r="BA74" s="279">
        <f t="shared" ca="1" si="75"/>
        <v>-0.46593519840000008</v>
      </c>
      <c r="BB74" s="136"/>
      <c r="BC74" s="278">
        <f t="shared" si="134"/>
        <v>0.32</v>
      </c>
      <c r="BD74" s="278">
        <f t="shared" si="135"/>
        <v>0.26</v>
      </c>
      <c r="BE74" s="278">
        <f t="shared" si="136"/>
        <v>0.24000000000000002</v>
      </c>
      <c r="BF74" s="278">
        <f t="shared" si="137"/>
        <v>-0.6</v>
      </c>
      <c r="BG74" s="278">
        <f t="shared" si="138"/>
        <v>-1.3800000000000001</v>
      </c>
      <c r="BH74" s="278">
        <f t="shared" si="139"/>
        <v>-1.1999999999999997</v>
      </c>
      <c r="BI74" s="279">
        <v>0</v>
      </c>
      <c r="BJ74" s="279">
        <v>0</v>
      </c>
      <c r="BK74" s="279">
        <v>0</v>
      </c>
      <c r="BL74" s="279">
        <f t="shared" ca="1" si="101"/>
        <v>0.35499824640000005</v>
      </c>
      <c r="BM74" s="279">
        <f t="shared" ca="1" si="102"/>
        <v>0.28843607520000009</v>
      </c>
      <c r="BN74" s="279">
        <f t="shared" ca="1" si="103"/>
        <v>0.26624868480000008</v>
      </c>
      <c r="BO74" s="279">
        <f t="shared" ca="1" si="104"/>
        <v>-0.66562171200000009</v>
      </c>
      <c r="BP74" s="279">
        <f t="shared" ca="1" si="105"/>
        <v>-1.5309299376000005</v>
      </c>
      <c r="BQ74" s="279">
        <f t="shared" ca="1" si="106"/>
        <v>-1.331243424</v>
      </c>
      <c r="BR74" s="279">
        <f t="shared" ca="1" si="107"/>
        <v>0</v>
      </c>
      <c r="BS74" s="279">
        <f t="shared" ca="1" si="108"/>
        <v>0</v>
      </c>
      <c r="BT74" s="279">
        <f t="shared" ca="1" si="109"/>
        <v>0</v>
      </c>
    </row>
    <row r="75" spans="1:73" s="252" customFormat="1" ht="17.100000000000001" hidden="1" customHeight="1">
      <c r="A75" s="13"/>
      <c r="B75" s="13"/>
      <c r="AB75" s="13"/>
      <c r="AC75" s="13"/>
      <c r="AD75" s="136"/>
      <c r="AE75" s="136"/>
      <c r="AF75" s="136"/>
      <c r="AG75" s="136"/>
      <c r="AH75" s="252">
        <v>19</v>
      </c>
      <c r="AI75" s="252" t="b">
        <f t="shared" ref="AI75:AI106" si="140">AND($M$17=AH75)</f>
        <v>0</v>
      </c>
      <c r="AJ75" s="278">
        <f t="shared" si="125"/>
        <v>-1.0866666666666671</v>
      </c>
      <c r="AK75" s="278">
        <f t="shared" si="126"/>
        <v>-0.72</v>
      </c>
      <c r="AL75" s="278">
        <f t="shared" si="127"/>
        <v>-0.41999999999999993</v>
      </c>
      <c r="AM75" s="278">
        <f t="shared" si="128"/>
        <v>-0.6</v>
      </c>
      <c r="AN75" s="278">
        <f t="shared" si="129"/>
        <v>-1.3733333333333335</v>
      </c>
      <c r="AO75" s="278">
        <f t="shared" si="130"/>
        <v>-1.1666666666666663</v>
      </c>
      <c r="AP75" s="278">
        <f t="shared" si="131"/>
        <v>-0.92666666666666686</v>
      </c>
      <c r="AQ75" s="278">
        <f t="shared" si="132"/>
        <v>-0.6</v>
      </c>
      <c r="AR75" s="278">
        <f t="shared" si="133"/>
        <v>-0.42666666666666664</v>
      </c>
      <c r="AS75" s="279">
        <f t="shared" ref="AS75:AS106" ca="1" si="141">1.35*$Z$17*$M$22*AJ75</f>
        <v>-1.2055148784000007</v>
      </c>
      <c r="AT75" s="279">
        <f t="shared" ref="AT75:AT106" ca="1" si="142">1.35*$Z$17*$M$22*AK75</f>
        <v>-0.79874605440000013</v>
      </c>
      <c r="AU75" s="279">
        <f t="shared" ref="AU75:AU106" ca="1" si="143">1.35*$Z$17*$M$22*AL75</f>
        <v>-0.46593519840000003</v>
      </c>
      <c r="AV75" s="279">
        <f t="shared" ref="AV75:AV106" ca="1" si="144">1.35*$Z$17*$M$22*AM75</f>
        <v>-0.66562171200000009</v>
      </c>
      <c r="AW75" s="279">
        <f t="shared" ref="AW75:AW106" ca="1" si="145">1.35*$Z$17*$M$22*AN75</f>
        <v>-1.5235341408000005</v>
      </c>
      <c r="AX75" s="279">
        <f t="shared" ref="AX75:AX106" ca="1" si="146">1.35*$Z$17*$M$22*AO75</f>
        <v>-1.2942644399999998</v>
      </c>
      <c r="AY75" s="279">
        <f t="shared" ref="AY75:AY106" ca="1" si="147">1.35*$Z$17*$M$22*AP75</f>
        <v>-1.0280157552000004</v>
      </c>
      <c r="AZ75" s="279">
        <f t="shared" ref="AZ75:AZ106" ca="1" si="148">1.35*$Z$17*$M$22*AQ75</f>
        <v>-0.66562171200000009</v>
      </c>
      <c r="BA75" s="279">
        <f t="shared" ref="BA75:BA106" ca="1" si="149">1.35*$Z$17*$M$22*AR75</f>
        <v>-0.47333099520000005</v>
      </c>
      <c r="BB75" s="136"/>
      <c r="BC75" s="278">
        <f t="shared" si="134"/>
        <v>0.36</v>
      </c>
      <c r="BD75" s="278">
        <f t="shared" si="135"/>
        <v>0.28000000000000003</v>
      </c>
      <c r="BE75" s="278">
        <f t="shared" si="136"/>
        <v>0.25333333333333335</v>
      </c>
      <c r="BF75" s="278">
        <f t="shared" si="137"/>
        <v>-0.6</v>
      </c>
      <c r="BG75" s="278">
        <f t="shared" si="138"/>
        <v>-1.3733333333333335</v>
      </c>
      <c r="BH75" s="278">
        <f t="shared" si="139"/>
        <v>-1.1666666666666663</v>
      </c>
      <c r="BI75" s="279">
        <v>0</v>
      </c>
      <c r="BJ75" s="279">
        <v>0</v>
      </c>
      <c r="BK75" s="279">
        <v>0</v>
      </c>
      <c r="BL75" s="279">
        <f t="shared" ca="1" si="101"/>
        <v>0.39937302720000006</v>
      </c>
      <c r="BM75" s="279">
        <f t="shared" ca="1" si="102"/>
        <v>0.31062346560000009</v>
      </c>
      <c r="BN75" s="279">
        <f t="shared" ca="1" si="103"/>
        <v>0.28104027840000007</v>
      </c>
      <c r="BO75" s="279">
        <f t="shared" ca="1" si="104"/>
        <v>-0.66562171200000009</v>
      </c>
      <c r="BP75" s="279">
        <f t="shared" ca="1" si="105"/>
        <v>-1.5235341408000005</v>
      </c>
      <c r="BQ75" s="279">
        <f t="shared" ca="1" si="106"/>
        <v>-1.2942644399999998</v>
      </c>
      <c r="BR75" s="279">
        <f t="shared" ca="1" si="107"/>
        <v>0</v>
      </c>
      <c r="BS75" s="279">
        <f t="shared" ca="1" si="108"/>
        <v>0</v>
      </c>
      <c r="BT75" s="279">
        <f t="shared" ca="1" si="109"/>
        <v>0</v>
      </c>
    </row>
    <row r="76" spans="1:73" s="252" customFormat="1" ht="17.100000000000001" hidden="1" customHeight="1">
      <c r="A76" s="13"/>
      <c r="B76" s="13"/>
      <c r="AB76" s="13"/>
      <c r="AC76" s="13"/>
      <c r="AD76" s="136"/>
      <c r="AE76" s="136"/>
      <c r="AF76" s="136"/>
      <c r="AG76" s="136"/>
      <c r="AH76" s="252">
        <v>20</v>
      </c>
      <c r="AI76" s="252" t="b">
        <f t="shared" si="140"/>
        <v>1</v>
      </c>
      <c r="AJ76" s="278">
        <f t="shared" si="125"/>
        <v>-1.0333333333333339</v>
      </c>
      <c r="AK76" s="278">
        <f t="shared" si="126"/>
        <v>-0.7</v>
      </c>
      <c r="AL76" s="278">
        <f t="shared" si="127"/>
        <v>-0.39999999999999991</v>
      </c>
      <c r="AM76" s="278">
        <f t="shared" si="128"/>
        <v>-0.6</v>
      </c>
      <c r="AN76" s="278">
        <f t="shared" si="129"/>
        <v>-1.3666666666666669</v>
      </c>
      <c r="AO76" s="278">
        <f t="shared" si="130"/>
        <v>-1.1333333333333329</v>
      </c>
      <c r="AP76" s="278">
        <f t="shared" si="131"/>
        <v>-0.93333333333333357</v>
      </c>
      <c r="AQ76" s="278">
        <f t="shared" si="132"/>
        <v>-0.6</v>
      </c>
      <c r="AR76" s="278">
        <f t="shared" si="133"/>
        <v>-0.43333333333333329</v>
      </c>
      <c r="AS76" s="279">
        <f t="shared" ca="1" si="141"/>
        <v>-1.1463485040000008</v>
      </c>
      <c r="AT76" s="279">
        <f t="shared" ca="1" si="142"/>
        <v>-0.77655866400000007</v>
      </c>
      <c r="AU76" s="279">
        <f t="shared" ca="1" si="143"/>
        <v>-0.44374780799999997</v>
      </c>
      <c r="AV76" s="279">
        <f t="shared" ca="1" si="144"/>
        <v>-0.66562171200000009</v>
      </c>
      <c r="AW76" s="279">
        <f t="shared" ca="1" si="145"/>
        <v>-1.5161383440000005</v>
      </c>
      <c r="AX76" s="279">
        <f t="shared" ca="1" si="146"/>
        <v>-1.2572854559999997</v>
      </c>
      <c r="AY76" s="279">
        <f t="shared" ca="1" si="147"/>
        <v>-1.0354115520000005</v>
      </c>
      <c r="AZ76" s="279">
        <f t="shared" ca="1" si="148"/>
        <v>-0.66562171200000009</v>
      </c>
      <c r="BA76" s="279">
        <f t="shared" ca="1" si="149"/>
        <v>-0.48072679200000007</v>
      </c>
      <c r="BB76" s="136"/>
      <c r="BC76" s="278">
        <f t="shared" si="134"/>
        <v>0.39999999999999997</v>
      </c>
      <c r="BD76" s="278">
        <f t="shared" si="135"/>
        <v>0.30000000000000004</v>
      </c>
      <c r="BE76" s="278">
        <f t="shared" si="136"/>
        <v>0.26666666666666666</v>
      </c>
      <c r="BF76" s="278">
        <f t="shared" si="137"/>
        <v>-0.6</v>
      </c>
      <c r="BG76" s="278">
        <f t="shared" si="138"/>
        <v>-1.3666666666666669</v>
      </c>
      <c r="BH76" s="278">
        <f t="shared" si="139"/>
        <v>-1.1333333333333329</v>
      </c>
      <c r="BI76" s="279">
        <v>0</v>
      </c>
      <c r="BJ76" s="279">
        <v>0</v>
      </c>
      <c r="BK76" s="279">
        <v>0</v>
      </c>
      <c r="BL76" s="279">
        <f t="shared" ca="1" si="101"/>
        <v>0.44374780800000008</v>
      </c>
      <c r="BM76" s="279">
        <f t="shared" ca="1" si="102"/>
        <v>0.3328108560000001</v>
      </c>
      <c r="BN76" s="279">
        <f t="shared" ca="1" si="103"/>
        <v>0.29583187200000005</v>
      </c>
      <c r="BO76" s="279">
        <f t="shared" ca="1" si="104"/>
        <v>-0.66562171200000009</v>
      </c>
      <c r="BP76" s="279">
        <f t="shared" ca="1" si="105"/>
        <v>-1.5161383440000005</v>
      </c>
      <c r="BQ76" s="279">
        <f t="shared" ca="1" si="106"/>
        <v>-1.2572854559999997</v>
      </c>
      <c r="BR76" s="279">
        <f t="shared" ca="1" si="107"/>
        <v>0</v>
      </c>
      <c r="BS76" s="279">
        <f t="shared" ca="1" si="108"/>
        <v>0</v>
      </c>
      <c r="BT76" s="279">
        <f t="shared" ca="1" si="109"/>
        <v>0</v>
      </c>
    </row>
    <row r="77" spans="1:73" s="252" customFormat="1" ht="17.100000000000001" hidden="1" customHeight="1">
      <c r="A77" s="13"/>
      <c r="B77" s="13"/>
      <c r="AB77" s="13"/>
      <c r="AC77" s="13"/>
      <c r="AD77" s="136"/>
      <c r="AE77" s="136"/>
      <c r="AF77" s="136"/>
      <c r="AG77" s="136"/>
      <c r="AH77" s="252">
        <v>21</v>
      </c>
      <c r="AI77" s="252" t="b">
        <f t="shared" si="140"/>
        <v>0</v>
      </c>
      <c r="AJ77" s="278">
        <f t="shared" si="125"/>
        <v>-0.98000000000000054</v>
      </c>
      <c r="AK77" s="278">
        <f t="shared" si="126"/>
        <v>-0.67999999999999994</v>
      </c>
      <c r="AL77" s="278">
        <f t="shared" si="127"/>
        <v>-0.37999999999999989</v>
      </c>
      <c r="AM77" s="278">
        <f t="shared" si="128"/>
        <v>-0.6</v>
      </c>
      <c r="AN77" s="278">
        <f t="shared" si="129"/>
        <v>-1.3600000000000003</v>
      </c>
      <c r="AO77" s="278">
        <f t="shared" si="130"/>
        <v>-1.0999999999999994</v>
      </c>
      <c r="AP77" s="278">
        <f t="shared" si="131"/>
        <v>-0.94000000000000028</v>
      </c>
      <c r="AQ77" s="278">
        <f t="shared" si="132"/>
        <v>-0.6</v>
      </c>
      <c r="AR77" s="278">
        <f t="shared" si="133"/>
        <v>-0.43999999999999995</v>
      </c>
      <c r="AS77" s="279">
        <f t="shared" ca="1" si="141"/>
        <v>-1.0871821296000008</v>
      </c>
      <c r="AT77" s="279">
        <f t="shared" ca="1" si="142"/>
        <v>-0.75437127360000011</v>
      </c>
      <c r="AU77" s="279">
        <f t="shared" ca="1" si="143"/>
        <v>-0.42156041759999996</v>
      </c>
      <c r="AV77" s="279">
        <f t="shared" ca="1" si="144"/>
        <v>-0.66562171200000009</v>
      </c>
      <c r="AW77" s="279">
        <f t="shared" ca="1" si="145"/>
        <v>-1.5087425472000007</v>
      </c>
      <c r="AX77" s="279">
        <f t="shared" ca="1" si="146"/>
        <v>-1.2203064719999996</v>
      </c>
      <c r="AY77" s="279">
        <f t="shared" ca="1" si="147"/>
        <v>-1.0428073488000005</v>
      </c>
      <c r="AZ77" s="279">
        <f t="shared" ca="1" si="148"/>
        <v>-0.66562171200000009</v>
      </c>
      <c r="BA77" s="279">
        <f t="shared" ca="1" si="149"/>
        <v>-0.48812258880000003</v>
      </c>
      <c r="BB77" s="136"/>
      <c r="BC77" s="278">
        <f t="shared" si="134"/>
        <v>0.43999999999999995</v>
      </c>
      <c r="BD77" s="278">
        <f t="shared" si="135"/>
        <v>0.32000000000000006</v>
      </c>
      <c r="BE77" s="278">
        <f t="shared" si="136"/>
        <v>0.27999999999999997</v>
      </c>
      <c r="BF77" s="278">
        <f t="shared" si="137"/>
        <v>-0.6</v>
      </c>
      <c r="BG77" s="278">
        <f t="shared" si="138"/>
        <v>-1.3600000000000003</v>
      </c>
      <c r="BH77" s="278">
        <f t="shared" si="139"/>
        <v>-1.0999999999999994</v>
      </c>
      <c r="BI77" s="279">
        <v>0</v>
      </c>
      <c r="BJ77" s="279">
        <v>0</v>
      </c>
      <c r="BK77" s="279">
        <v>0</v>
      </c>
      <c r="BL77" s="279">
        <f t="shared" ca="1" si="101"/>
        <v>0.48812258880000003</v>
      </c>
      <c r="BM77" s="279">
        <f t="shared" ca="1" si="102"/>
        <v>0.35499824640000016</v>
      </c>
      <c r="BN77" s="279">
        <f t="shared" ca="1" si="103"/>
        <v>0.31062346560000004</v>
      </c>
      <c r="BO77" s="279">
        <f t="shared" ca="1" si="104"/>
        <v>-0.66562171200000009</v>
      </c>
      <c r="BP77" s="279">
        <f t="shared" ca="1" si="105"/>
        <v>-1.5087425472000007</v>
      </c>
      <c r="BQ77" s="279">
        <f t="shared" ca="1" si="106"/>
        <v>-1.2203064719999996</v>
      </c>
      <c r="BR77" s="279">
        <f t="shared" ca="1" si="107"/>
        <v>0</v>
      </c>
      <c r="BS77" s="279">
        <f t="shared" ca="1" si="108"/>
        <v>0</v>
      </c>
      <c r="BT77" s="279">
        <f t="shared" ca="1" si="109"/>
        <v>0</v>
      </c>
    </row>
    <row r="78" spans="1:73" s="252" customFormat="1" ht="17.100000000000001" hidden="1" customHeight="1">
      <c r="A78" s="13"/>
      <c r="B78" s="13"/>
      <c r="AB78" s="13"/>
      <c r="AC78" s="13"/>
      <c r="AD78" s="136"/>
      <c r="AE78" s="136"/>
      <c r="AF78" s="136"/>
      <c r="AG78" s="136"/>
      <c r="AH78" s="252">
        <v>22</v>
      </c>
      <c r="AI78" s="252" t="b">
        <f t="shared" si="140"/>
        <v>0</v>
      </c>
      <c r="AJ78" s="278">
        <f t="shared" si="125"/>
        <v>-0.92666666666666719</v>
      </c>
      <c r="AK78" s="278">
        <f t="shared" si="126"/>
        <v>-0.65999999999999992</v>
      </c>
      <c r="AL78" s="278">
        <f t="shared" si="127"/>
        <v>-0.35999999999999988</v>
      </c>
      <c r="AM78" s="278">
        <f t="shared" si="128"/>
        <v>-0.6</v>
      </c>
      <c r="AN78" s="278">
        <f t="shared" si="129"/>
        <v>-1.3533333333333337</v>
      </c>
      <c r="AO78" s="278">
        <f t="shared" si="130"/>
        <v>-1.066666666666666</v>
      </c>
      <c r="AP78" s="278">
        <f t="shared" si="131"/>
        <v>-0.94666666666666699</v>
      </c>
      <c r="AQ78" s="278">
        <f t="shared" si="132"/>
        <v>-0.6</v>
      </c>
      <c r="AR78" s="278">
        <f t="shared" si="133"/>
        <v>-0.4466666666666666</v>
      </c>
      <c r="AS78" s="279">
        <f t="shared" ca="1" si="141"/>
        <v>-1.0280157552000009</v>
      </c>
      <c r="AT78" s="279">
        <f t="shared" ca="1" si="142"/>
        <v>-0.73218388320000005</v>
      </c>
      <c r="AU78" s="279">
        <f t="shared" ca="1" si="143"/>
        <v>-0.39937302719999995</v>
      </c>
      <c r="AV78" s="279">
        <f t="shared" ca="1" si="144"/>
        <v>-0.66562171200000009</v>
      </c>
      <c r="AW78" s="279">
        <f t="shared" ca="1" si="145"/>
        <v>-1.5013467504000007</v>
      </c>
      <c r="AX78" s="279">
        <f t="shared" ca="1" si="146"/>
        <v>-1.1833274879999995</v>
      </c>
      <c r="AY78" s="279">
        <f t="shared" ca="1" si="147"/>
        <v>-1.0502031456000005</v>
      </c>
      <c r="AZ78" s="279">
        <f t="shared" ca="1" si="148"/>
        <v>-0.66562171200000009</v>
      </c>
      <c r="BA78" s="279">
        <f t="shared" ca="1" si="149"/>
        <v>-0.4955183856</v>
      </c>
      <c r="BB78" s="136"/>
      <c r="BC78" s="278">
        <f t="shared" si="134"/>
        <v>0.47999999999999993</v>
      </c>
      <c r="BD78" s="278">
        <f t="shared" si="135"/>
        <v>0.34000000000000008</v>
      </c>
      <c r="BE78" s="278">
        <f t="shared" si="136"/>
        <v>0.29333333333333328</v>
      </c>
      <c r="BF78" s="278">
        <f t="shared" si="137"/>
        <v>-0.6</v>
      </c>
      <c r="BG78" s="278">
        <f t="shared" si="138"/>
        <v>-1.3533333333333337</v>
      </c>
      <c r="BH78" s="278">
        <f t="shared" si="139"/>
        <v>-1.066666666666666</v>
      </c>
      <c r="BI78" s="279">
        <v>0</v>
      </c>
      <c r="BJ78" s="279">
        <v>0</v>
      </c>
      <c r="BK78" s="279">
        <v>0</v>
      </c>
      <c r="BL78" s="279">
        <f t="shared" ca="1" si="101"/>
        <v>0.53249736960000005</v>
      </c>
      <c r="BM78" s="279">
        <f t="shared" ca="1" si="102"/>
        <v>0.37718563680000017</v>
      </c>
      <c r="BN78" s="279">
        <f t="shared" ca="1" si="103"/>
        <v>0.32541505920000002</v>
      </c>
      <c r="BO78" s="279">
        <f t="shared" ca="1" si="104"/>
        <v>-0.66562171200000009</v>
      </c>
      <c r="BP78" s="279">
        <f t="shared" ca="1" si="105"/>
        <v>-1.5013467504000007</v>
      </c>
      <c r="BQ78" s="279">
        <f t="shared" ca="1" si="106"/>
        <v>-1.1833274879999995</v>
      </c>
      <c r="BR78" s="279">
        <f t="shared" ca="1" si="107"/>
        <v>0</v>
      </c>
      <c r="BS78" s="279">
        <f t="shared" ca="1" si="108"/>
        <v>0</v>
      </c>
      <c r="BT78" s="279">
        <f t="shared" ca="1" si="109"/>
        <v>0</v>
      </c>
    </row>
    <row r="79" spans="1:73" s="252" customFormat="1" ht="17.100000000000001" hidden="1" customHeight="1">
      <c r="A79" s="13"/>
      <c r="B79" s="13"/>
      <c r="AB79" s="13"/>
      <c r="AC79" s="13"/>
      <c r="AD79" s="136"/>
      <c r="AE79" s="136"/>
      <c r="AF79" s="136"/>
      <c r="AG79" s="136"/>
      <c r="AH79" s="252">
        <v>23</v>
      </c>
      <c r="AI79" s="252" t="b">
        <f t="shared" si="140"/>
        <v>0</v>
      </c>
      <c r="AJ79" s="278">
        <f t="shared" si="125"/>
        <v>-0.87333333333333385</v>
      </c>
      <c r="AK79" s="278">
        <f t="shared" si="126"/>
        <v>-0.6399999999999999</v>
      </c>
      <c r="AL79" s="278">
        <f t="shared" si="127"/>
        <v>-0.33999999999999986</v>
      </c>
      <c r="AM79" s="278">
        <f t="shared" si="128"/>
        <v>-0.6</v>
      </c>
      <c r="AN79" s="278">
        <f t="shared" si="129"/>
        <v>-1.3466666666666671</v>
      </c>
      <c r="AO79" s="278">
        <f t="shared" si="130"/>
        <v>-1.0333333333333325</v>
      </c>
      <c r="AP79" s="278">
        <f t="shared" si="131"/>
        <v>-0.9533333333333337</v>
      </c>
      <c r="AQ79" s="278">
        <f t="shared" si="132"/>
        <v>-0.6</v>
      </c>
      <c r="AR79" s="278">
        <f t="shared" si="133"/>
        <v>-0.45333333333333325</v>
      </c>
      <c r="AS79" s="279">
        <f t="shared" ca="1" si="141"/>
        <v>-0.96884938080000071</v>
      </c>
      <c r="AT79" s="279">
        <f t="shared" ca="1" si="142"/>
        <v>-0.70999649279999999</v>
      </c>
      <c r="AU79" s="279">
        <f t="shared" ca="1" si="143"/>
        <v>-0.37718563679999989</v>
      </c>
      <c r="AV79" s="279">
        <f t="shared" ca="1" si="144"/>
        <v>-0.66562171200000009</v>
      </c>
      <c r="AW79" s="279">
        <f t="shared" ca="1" si="145"/>
        <v>-1.4939509536000009</v>
      </c>
      <c r="AX79" s="279">
        <f t="shared" ca="1" si="146"/>
        <v>-1.1463485039999994</v>
      </c>
      <c r="AY79" s="279">
        <f t="shared" ca="1" si="147"/>
        <v>-1.0575989424000005</v>
      </c>
      <c r="AZ79" s="279">
        <f t="shared" ca="1" si="148"/>
        <v>-0.66562171200000009</v>
      </c>
      <c r="BA79" s="279">
        <f t="shared" ca="1" si="149"/>
        <v>-0.50291418239999996</v>
      </c>
      <c r="BB79" s="136"/>
      <c r="BC79" s="278">
        <f t="shared" si="134"/>
        <v>0.51999999999999991</v>
      </c>
      <c r="BD79" s="278">
        <f t="shared" si="135"/>
        <v>0.3600000000000001</v>
      </c>
      <c r="BE79" s="278">
        <f t="shared" si="136"/>
        <v>0.30666666666666659</v>
      </c>
      <c r="BF79" s="278">
        <f t="shared" si="137"/>
        <v>-0.6</v>
      </c>
      <c r="BG79" s="278">
        <f t="shared" si="138"/>
        <v>-1.3466666666666671</v>
      </c>
      <c r="BH79" s="278">
        <f t="shared" si="139"/>
        <v>-1.0333333333333325</v>
      </c>
      <c r="BI79" s="279">
        <v>0</v>
      </c>
      <c r="BJ79" s="279">
        <v>0</v>
      </c>
      <c r="BK79" s="279">
        <v>0</v>
      </c>
      <c r="BL79" s="279">
        <f t="shared" ca="1" si="101"/>
        <v>0.57687215040000006</v>
      </c>
      <c r="BM79" s="279">
        <f t="shared" ca="1" si="102"/>
        <v>0.39937302720000017</v>
      </c>
      <c r="BN79" s="279">
        <f t="shared" ca="1" si="103"/>
        <v>0.34020665279999995</v>
      </c>
      <c r="BO79" s="279">
        <f t="shared" ca="1" si="104"/>
        <v>-0.66562171200000009</v>
      </c>
      <c r="BP79" s="279">
        <f t="shared" ca="1" si="105"/>
        <v>-1.4939509536000009</v>
      </c>
      <c r="BQ79" s="279">
        <f t="shared" ca="1" si="106"/>
        <v>-1.1463485039999994</v>
      </c>
      <c r="BR79" s="279">
        <f t="shared" ca="1" si="107"/>
        <v>0</v>
      </c>
      <c r="BS79" s="279">
        <f t="shared" ca="1" si="108"/>
        <v>0</v>
      </c>
      <c r="BT79" s="279">
        <f t="shared" ca="1" si="109"/>
        <v>0</v>
      </c>
    </row>
    <row r="80" spans="1:73" s="252" customFormat="1" ht="17.100000000000001" hidden="1" customHeight="1">
      <c r="A80" s="13"/>
      <c r="B80" s="13"/>
      <c r="AB80" s="13"/>
      <c r="AC80" s="13"/>
      <c r="AD80" s="136"/>
      <c r="AE80" s="136"/>
      <c r="AF80" s="136"/>
      <c r="AG80" s="136"/>
      <c r="AH80" s="252">
        <v>24</v>
      </c>
      <c r="AI80" s="252" t="b">
        <f t="shared" si="140"/>
        <v>0</v>
      </c>
      <c r="AJ80" s="278">
        <f t="shared" si="125"/>
        <v>-0.82000000000000051</v>
      </c>
      <c r="AK80" s="278">
        <f t="shared" si="126"/>
        <v>-0.61999999999999988</v>
      </c>
      <c r="AL80" s="278">
        <f t="shared" si="127"/>
        <v>-0.31999999999999984</v>
      </c>
      <c r="AM80" s="278">
        <f t="shared" si="128"/>
        <v>-0.6</v>
      </c>
      <c r="AN80" s="278">
        <f t="shared" si="129"/>
        <v>-1.3400000000000005</v>
      </c>
      <c r="AO80" s="278">
        <f t="shared" si="130"/>
        <v>-0.99999999999999922</v>
      </c>
      <c r="AP80" s="278">
        <f t="shared" si="131"/>
        <v>-0.96000000000000041</v>
      </c>
      <c r="AQ80" s="278">
        <f t="shared" si="132"/>
        <v>-0.6</v>
      </c>
      <c r="AR80" s="278">
        <f t="shared" si="133"/>
        <v>-0.45999999999999991</v>
      </c>
      <c r="AS80" s="279">
        <f t="shared" ca="1" si="141"/>
        <v>-0.90968300640000077</v>
      </c>
      <c r="AT80" s="279">
        <f t="shared" ca="1" si="142"/>
        <v>-0.68780910240000004</v>
      </c>
      <c r="AU80" s="279">
        <f t="shared" ca="1" si="143"/>
        <v>-0.35499824639999988</v>
      </c>
      <c r="AV80" s="279">
        <f t="shared" ca="1" si="144"/>
        <v>-0.66562171200000009</v>
      </c>
      <c r="AW80" s="279">
        <f t="shared" ca="1" si="145"/>
        <v>-1.4865551568000008</v>
      </c>
      <c r="AX80" s="279">
        <f t="shared" ca="1" si="146"/>
        <v>-1.1093695199999993</v>
      </c>
      <c r="AY80" s="279">
        <f t="shared" ca="1" si="147"/>
        <v>-1.0649947392000008</v>
      </c>
      <c r="AZ80" s="279">
        <f t="shared" ca="1" si="148"/>
        <v>-0.66562171200000009</v>
      </c>
      <c r="BA80" s="279">
        <f t="shared" ca="1" si="149"/>
        <v>-0.51030997919999999</v>
      </c>
      <c r="BB80" s="136"/>
      <c r="BC80" s="278">
        <f t="shared" si="134"/>
        <v>0.55999999999999994</v>
      </c>
      <c r="BD80" s="278">
        <f t="shared" si="135"/>
        <v>0.38000000000000012</v>
      </c>
      <c r="BE80" s="278">
        <f t="shared" si="136"/>
        <v>0.3199999999999999</v>
      </c>
      <c r="BF80" s="278">
        <f t="shared" si="137"/>
        <v>-0.6</v>
      </c>
      <c r="BG80" s="278">
        <f t="shared" si="138"/>
        <v>-1.3400000000000005</v>
      </c>
      <c r="BH80" s="278">
        <f t="shared" si="139"/>
        <v>-0.99999999999999922</v>
      </c>
      <c r="BI80" s="279">
        <v>0</v>
      </c>
      <c r="BJ80" s="279">
        <v>0</v>
      </c>
      <c r="BK80" s="279">
        <v>0</v>
      </c>
      <c r="BL80" s="279">
        <f t="shared" ca="1" si="101"/>
        <v>0.62124693120000007</v>
      </c>
      <c r="BM80" s="279">
        <f t="shared" ca="1" si="102"/>
        <v>0.42156041760000024</v>
      </c>
      <c r="BN80" s="279">
        <f t="shared" ca="1" si="103"/>
        <v>0.35499824639999994</v>
      </c>
      <c r="BO80" s="279">
        <f t="shared" ca="1" si="104"/>
        <v>-0.66562171200000009</v>
      </c>
      <c r="BP80" s="279">
        <f t="shared" ca="1" si="105"/>
        <v>-1.4865551568000008</v>
      </c>
      <c r="BQ80" s="279">
        <f t="shared" ca="1" si="106"/>
        <v>-1.1093695199999993</v>
      </c>
      <c r="BR80" s="279">
        <f t="shared" ca="1" si="107"/>
        <v>0</v>
      </c>
      <c r="BS80" s="279">
        <f t="shared" ca="1" si="108"/>
        <v>0</v>
      </c>
      <c r="BT80" s="279">
        <f t="shared" ca="1" si="109"/>
        <v>0</v>
      </c>
    </row>
    <row r="81" spans="1:72" s="252" customFormat="1" ht="17.100000000000001" hidden="1" customHeight="1">
      <c r="A81" s="13"/>
      <c r="B81" s="13"/>
      <c r="AB81" s="13"/>
      <c r="AC81" s="13"/>
      <c r="AD81" s="136"/>
      <c r="AE81" s="136"/>
      <c r="AF81" s="136"/>
      <c r="AG81" s="136"/>
      <c r="AH81" s="252">
        <v>25</v>
      </c>
      <c r="AI81" s="252" t="b">
        <f t="shared" si="140"/>
        <v>0</v>
      </c>
      <c r="AJ81" s="278">
        <f t="shared" si="125"/>
        <v>-0.76666666666666716</v>
      </c>
      <c r="AK81" s="278">
        <f t="shared" si="126"/>
        <v>-0.59999999999999987</v>
      </c>
      <c r="AL81" s="278">
        <f t="shared" si="127"/>
        <v>-0.29999999999999982</v>
      </c>
      <c r="AM81" s="278">
        <f t="shared" si="128"/>
        <v>-0.6</v>
      </c>
      <c r="AN81" s="278">
        <f t="shared" si="129"/>
        <v>-1.3333333333333339</v>
      </c>
      <c r="AO81" s="278">
        <f t="shared" si="130"/>
        <v>-0.9666666666666659</v>
      </c>
      <c r="AP81" s="278">
        <f t="shared" si="131"/>
        <v>-0.96666666666666712</v>
      </c>
      <c r="AQ81" s="278">
        <f t="shared" si="132"/>
        <v>-0.6</v>
      </c>
      <c r="AR81" s="278">
        <f t="shared" si="133"/>
        <v>-0.46666666666666656</v>
      </c>
      <c r="AS81" s="279">
        <f t="shared" ca="1" si="141"/>
        <v>-0.85051663200000072</v>
      </c>
      <c r="AT81" s="279">
        <f t="shared" ca="1" si="142"/>
        <v>-0.66562171199999998</v>
      </c>
      <c r="AU81" s="279">
        <f t="shared" ca="1" si="143"/>
        <v>-0.33281085599999988</v>
      </c>
      <c r="AV81" s="279">
        <f t="shared" ca="1" si="144"/>
        <v>-0.66562171200000009</v>
      </c>
      <c r="AW81" s="279">
        <f t="shared" ca="1" si="145"/>
        <v>-1.479159360000001</v>
      </c>
      <c r="AX81" s="279">
        <f t="shared" ca="1" si="146"/>
        <v>-1.0723905359999995</v>
      </c>
      <c r="AY81" s="279">
        <f t="shared" ca="1" si="147"/>
        <v>-1.0723905360000008</v>
      </c>
      <c r="AZ81" s="279">
        <f t="shared" ca="1" si="148"/>
        <v>-0.66562171200000009</v>
      </c>
      <c r="BA81" s="279">
        <f t="shared" ca="1" si="149"/>
        <v>-0.51770577600000001</v>
      </c>
      <c r="BB81" s="136"/>
      <c r="BC81" s="278">
        <f t="shared" si="134"/>
        <v>0.6</v>
      </c>
      <c r="BD81" s="278">
        <f t="shared" si="135"/>
        <v>0.40000000000000013</v>
      </c>
      <c r="BE81" s="278">
        <f t="shared" si="136"/>
        <v>0.3333333333333332</v>
      </c>
      <c r="BF81" s="278">
        <f t="shared" si="137"/>
        <v>-0.6</v>
      </c>
      <c r="BG81" s="278">
        <f t="shared" si="138"/>
        <v>-1.3333333333333339</v>
      </c>
      <c r="BH81" s="278">
        <f t="shared" si="139"/>
        <v>-0.9666666666666659</v>
      </c>
      <c r="BI81" s="279">
        <v>0</v>
      </c>
      <c r="BJ81" s="279">
        <v>0</v>
      </c>
      <c r="BK81" s="279">
        <v>0</v>
      </c>
      <c r="BL81" s="279">
        <f t="shared" ca="1" si="101"/>
        <v>0.66562171200000009</v>
      </c>
      <c r="BM81" s="279">
        <f t="shared" ca="1" si="102"/>
        <v>0.44374780800000024</v>
      </c>
      <c r="BN81" s="279">
        <f t="shared" ca="1" si="103"/>
        <v>0.36978983999999993</v>
      </c>
      <c r="BO81" s="279">
        <f t="shared" ca="1" si="104"/>
        <v>-0.66562171200000009</v>
      </c>
      <c r="BP81" s="279">
        <f t="shared" ca="1" si="105"/>
        <v>-1.479159360000001</v>
      </c>
      <c r="BQ81" s="279">
        <f t="shared" ca="1" si="106"/>
        <v>-1.0723905359999995</v>
      </c>
      <c r="BR81" s="279">
        <f t="shared" ca="1" si="107"/>
        <v>0</v>
      </c>
      <c r="BS81" s="279">
        <f t="shared" ca="1" si="108"/>
        <v>0</v>
      </c>
      <c r="BT81" s="279">
        <f t="shared" ca="1" si="109"/>
        <v>0</v>
      </c>
    </row>
    <row r="82" spans="1:72" s="252" customFormat="1" ht="17.100000000000001" hidden="1" customHeight="1">
      <c r="A82" s="13"/>
      <c r="B82" s="13"/>
      <c r="AB82" s="13"/>
      <c r="AC82" s="13"/>
      <c r="AD82" s="136"/>
      <c r="AE82" s="136"/>
      <c r="AF82" s="136"/>
      <c r="AG82" s="136"/>
      <c r="AH82" s="252">
        <v>26</v>
      </c>
      <c r="AI82" s="252" t="b">
        <f t="shared" si="140"/>
        <v>0</v>
      </c>
      <c r="AJ82" s="278">
        <f t="shared" si="125"/>
        <v>-0.71333333333333382</v>
      </c>
      <c r="AK82" s="278">
        <f t="shared" si="126"/>
        <v>-0.57999999999999985</v>
      </c>
      <c r="AL82" s="278">
        <f t="shared" si="127"/>
        <v>-0.2799999999999998</v>
      </c>
      <c r="AM82" s="278">
        <f t="shared" si="128"/>
        <v>-0.6</v>
      </c>
      <c r="AN82" s="278">
        <f t="shared" si="129"/>
        <v>-1.3266666666666673</v>
      </c>
      <c r="AO82" s="278">
        <f t="shared" si="130"/>
        <v>-0.93333333333333257</v>
      </c>
      <c r="AP82" s="278">
        <f t="shared" si="131"/>
        <v>-0.97333333333333383</v>
      </c>
      <c r="AQ82" s="278">
        <f t="shared" si="132"/>
        <v>-0.6</v>
      </c>
      <c r="AR82" s="278">
        <f t="shared" si="133"/>
        <v>-0.47333333333333322</v>
      </c>
      <c r="AS82" s="279">
        <f t="shared" ca="1" si="141"/>
        <v>-0.79135025760000066</v>
      </c>
      <c r="AT82" s="279">
        <f t="shared" ca="1" si="142"/>
        <v>-0.64343432159999991</v>
      </c>
      <c r="AU82" s="279">
        <f t="shared" ca="1" si="143"/>
        <v>-0.31062346559999987</v>
      </c>
      <c r="AV82" s="279">
        <f t="shared" ca="1" si="144"/>
        <v>-0.66562171200000009</v>
      </c>
      <c r="AW82" s="279">
        <f t="shared" ca="1" si="145"/>
        <v>-1.471763563200001</v>
      </c>
      <c r="AX82" s="279">
        <f t="shared" ca="1" si="146"/>
        <v>-1.0354115519999993</v>
      </c>
      <c r="AY82" s="279">
        <f t="shared" ca="1" si="147"/>
        <v>-1.0797863328000008</v>
      </c>
      <c r="AZ82" s="279">
        <f t="shared" ca="1" si="148"/>
        <v>-0.66562171200000009</v>
      </c>
      <c r="BA82" s="279">
        <f t="shared" ca="1" si="149"/>
        <v>-0.52510157280000003</v>
      </c>
      <c r="BB82" s="136"/>
      <c r="BC82" s="278">
        <f t="shared" si="134"/>
        <v>0.64</v>
      </c>
      <c r="BD82" s="278">
        <f t="shared" si="135"/>
        <v>0.42000000000000015</v>
      </c>
      <c r="BE82" s="278">
        <f t="shared" si="136"/>
        <v>0.34666666666666651</v>
      </c>
      <c r="BF82" s="278">
        <f t="shared" si="137"/>
        <v>-0.6</v>
      </c>
      <c r="BG82" s="278">
        <f t="shared" si="138"/>
        <v>-1.3266666666666673</v>
      </c>
      <c r="BH82" s="278">
        <f t="shared" si="139"/>
        <v>-0.93333333333333257</v>
      </c>
      <c r="BI82" s="279">
        <v>0</v>
      </c>
      <c r="BJ82" s="279">
        <v>0</v>
      </c>
      <c r="BK82" s="279">
        <v>0</v>
      </c>
      <c r="BL82" s="279">
        <f t="shared" ca="1" si="101"/>
        <v>0.7099964928000001</v>
      </c>
      <c r="BM82" s="279">
        <f t="shared" ca="1" si="102"/>
        <v>0.46593519840000025</v>
      </c>
      <c r="BN82" s="279">
        <f t="shared" ca="1" si="103"/>
        <v>0.38458143359999991</v>
      </c>
      <c r="BO82" s="279">
        <f t="shared" ca="1" si="104"/>
        <v>-0.66562171200000009</v>
      </c>
      <c r="BP82" s="279">
        <f t="shared" ca="1" si="105"/>
        <v>-1.471763563200001</v>
      </c>
      <c r="BQ82" s="279">
        <f t="shared" ca="1" si="106"/>
        <v>-1.0354115519999993</v>
      </c>
      <c r="BR82" s="279">
        <f t="shared" ca="1" si="107"/>
        <v>0</v>
      </c>
      <c r="BS82" s="279">
        <f t="shared" ca="1" si="108"/>
        <v>0</v>
      </c>
      <c r="BT82" s="279">
        <f t="shared" ca="1" si="109"/>
        <v>0</v>
      </c>
    </row>
    <row r="83" spans="1:72" s="252" customFormat="1" ht="17.100000000000001" hidden="1" customHeight="1">
      <c r="A83" s="13"/>
      <c r="B83" s="13"/>
      <c r="AB83" s="13"/>
      <c r="AC83" s="13"/>
      <c r="AD83" s="136"/>
      <c r="AE83" s="136"/>
      <c r="AF83" s="136"/>
      <c r="AG83" s="136"/>
      <c r="AH83" s="252">
        <v>27</v>
      </c>
      <c r="AI83" s="252" t="b">
        <f t="shared" si="140"/>
        <v>0</v>
      </c>
      <c r="AJ83" s="278">
        <f t="shared" si="125"/>
        <v>-0.66000000000000048</v>
      </c>
      <c r="AK83" s="278">
        <f t="shared" si="126"/>
        <v>-0.55999999999999983</v>
      </c>
      <c r="AL83" s="278">
        <f t="shared" si="127"/>
        <v>-0.25999999999999979</v>
      </c>
      <c r="AM83" s="278">
        <f t="shared" si="128"/>
        <v>-0.6</v>
      </c>
      <c r="AN83" s="278">
        <f t="shared" si="129"/>
        <v>-1.3200000000000007</v>
      </c>
      <c r="AO83" s="278">
        <f t="shared" si="130"/>
        <v>-0.89999999999999925</v>
      </c>
      <c r="AP83" s="278">
        <f t="shared" si="131"/>
        <v>-0.98000000000000054</v>
      </c>
      <c r="AQ83" s="278">
        <f t="shared" si="132"/>
        <v>-0.6</v>
      </c>
      <c r="AR83" s="278">
        <f t="shared" si="133"/>
        <v>-0.47999999999999987</v>
      </c>
      <c r="AS83" s="279">
        <f t="shared" ca="1" si="141"/>
        <v>-0.73218388320000072</v>
      </c>
      <c r="AT83" s="279">
        <f t="shared" ca="1" si="142"/>
        <v>-0.62124693119999996</v>
      </c>
      <c r="AU83" s="279">
        <f t="shared" ca="1" si="143"/>
        <v>-0.28843607519999981</v>
      </c>
      <c r="AV83" s="279">
        <f t="shared" ca="1" si="144"/>
        <v>-0.66562171200000009</v>
      </c>
      <c r="AW83" s="279">
        <f t="shared" ca="1" si="145"/>
        <v>-1.464367766400001</v>
      </c>
      <c r="AX83" s="279">
        <f t="shared" ca="1" si="146"/>
        <v>-0.99843256799999935</v>
      </c>
      <c r="AY83" s="279">
        <f t="shared" ca="1" si="147"/>
        <v>-1.0871821296000008</v>
      </c>
      <c r="AZ83" s="279">
        <f t="shared" ca="1" si="148"/>
        <v>-0.66562171200000009</v>
      </c>
      <c r="BA83" s="279">
        <f t="shared" ca="1" si="149"/>
        <v>-0.53249736959999994</v>
      </c>
      <c r="BB83" s="136"/>
      <c r="BC83" s="278">
        <f t="shared" si="134"/>
        <v>0.68</v>
      </c>
      <c r="BD83" s="278">
        <f t="shared" si="135"/>
        <v>0.44000000000000017</v>
      </c>
      <c r="BE83" s="278">
        <f t="shared" si="136"/>
        <v>0.35999999999999982</v>
      </c>
      <c r="BF83" s="278">
        <f t="shared" si="137"/>
        <v>-0.6</v>
      </c>
      <c r="BG83" s="278">
        <f t="shared" si="138"/>
        <v>-1.3200000000000007</v>
      </c>
      <c r="BH83" s="278">
        <f t="shared" si="139"/>
        <v>-0.89999999999999925</v>
      </c>
      <c r="BI83" s="279">
        <v>0</v>
      </c>
      <c r="BJ83" s="279">
        <v>0</v>
      </c>
      <c r="BK83" s="279">
        <v>0</v>
      </c>
      <c r="BL83" s="279">
        <f t="shared" ca="1" si="101"/>
        <v>0.75437127360000023</v>
      </c>
      <c r="BM83" s="279">
        <f t="shared" ca="1" si="102"/>
        <v>0.48812258880000026</v>
      </c>
      <c r="BN83" s="279">
        <f t="shared" ca="1" si="103"/>
        <v>0.3993730271999999</v>
      </c>
      <c r="BO83" s="279">
        <f t="shared" ca="1" si="104"/>
        <v>-0.66562171200000009</v>
      </c>
      <c r="BP83" s="279">
        <f t="shared" ca="1" si="105"/>
        <v>-1.464367766400001</v>
      </c>
      <c r="BQ83" s="279">
        <f t="shared" ca="1" si="106"/>
        <v>-0.99843256799999935</v>
      </c>
      <c r="BR83" s="279">
        <f t="shared" ca="1" si="107"/>
        <v>0</v>
      </c>
      <c r="BS83" s="279">
        <f t="shared" ca="1" si="108"/>
        <v>0</v>
      </c>
      <c r="BT83" s="279">
        <f t="shared" ca="1" si="109"/>
        <v>0</v>
      </c>
    </row>
    <row r="84" spans="1:72" s="252" customFormat="1" ht="17.100000000000001" hidden="1" customHeight="1">
      <c r="A84" s="13"/>
      <c r="B84" s="13"/>
      <c r="AB84" s="13"/>
      <c r="AC84" s="13"/>
      <c r="AD84" s="136"/>
      <c r="AE84" s="136"/>
      <c r="AF84" s="136"/>
      <c r="AG84" s="136"/>
      <c r="AH84" s="252">
        <v>28</v>
      </c>
      <c r="AI84" s="252" t="b">
        <f t="shared" si="140"/>
        <v>0</v>
      </c>
      <c r="AJ84" s="278">
        <f t="shared" si="125"/>
        <v>-0.60666666666666713</v>
      </c>
      <c r="AK84" s="278">
        <f t="shared" si="126"/>
        <v>-0.53999999999999981</v>
      </c>
      <c r="AL84" s="278">
        <f t="shared" si="127"/>
        <v>-0.2399999999999998</v>
      </c>
      <c r="AM84" s="278">
        <f t="shared" si="128"/>
        <v>-0.6</v>
      </c>
      <c r="AN84" s="278">
        <f t="shared" si="129"/>
        <v>-1.3133333333333341</v>
      </c>
      <c r="AO84" s="278">
        <f t="shared" si="130"/>
        <v>-0.86666666666666592</v>
      </c>
      <c r="AP84" s="278">
        <f t="shared" si="131"/>
        <v>-0.98666666666666725</v>
      </c>
      <c r="AQ84" s="278">
        <f t="shared" si="132"/>
        <v>-0.6</v>
      </c>
      <c r="AR84" s="278">
        <f t="shared" si="133"/>
        <v>-0.48666666666666653</v>
      </c>
      <c r="AS84" s="279">
        <f t="shared" ca="1" si="141"/>
        <v>-0.67301750880000066</v>
      </c>
      <c r="AT84" s="279">
        <f t="shared" ca="1" si="142"/>
        <v>-0.5990595407999999</v>
      </c>
      <c r="AU84" s="279">
        <f t="shared" ca="1" si="143"/>
        <v>-0.2662486847999998</v>
      </c>
      <c r="AV84" s="279">
        <f t="shared" ca="1" si="144"/>
        <v>-0.66562171200000009</v>
      </c>
      <c r="AW84" s="279">
        <f t="shared" ca="1" si="145"/>
        <v>-1.4569719696000012</v>
      </c>
      <c r="AX84" s="279">
        <f t="shared" ca="1" si="146"/>
        <v>-0.96145358399999936</v>
      </c>
      <c r="AY84" s="279">
        <f t="shared" ca="1" si="147"/>
        <v>-1.0945779264000008</v>
      </c>
      <c r="AZ84" s="279">
        <f t="shared" ca="1" si="148"/>
        <v>-0.66562171200000009</v>
      </c>
      <c r="BA84" s="279">
        <f t="shared" ca="1" si="149"/>
        <v>-0.53989316639999996</v>
      </c>
      <c r="BB84" s="136"/>
      <c r="BC84" s="278">
        <f t="shared" si="134"/>
        <v>0.72000000000000008</v>
      </c>
      <c r="BD84" s="278">
        <f t="shared" si="135"/>
        <v>0.46000000000000019</v>
      </c>
      <c r="BE84" s="278">
        <f t="shared" si="136"/>
        <v>0.37333333333333313</v>
      </c>
      <c r="BF84" s="278">
        <f t="shared" si="137"/>
        <v>-0.6</v>
      </c>
      <c r="BG84" s="278">
        <f t="shared" si="138"/>
        <v>-1.3133333333333341</v>
      </c>
      <c r="BH84" s="278">
        <f t="shared" si="139"/>
        <v>-0.86666666666666592</v>
      </c>
      <c r="BI84" s="279">
        <v>0</v>
      </c>
      <c r="BJ84" s="279">
        <v>0</v>
      </c>
      <c r="BK84" s="279">
        <v>0</v>
      </c>
      <c r="BL84" s="279">
        <f t="shared" ca="1" si="101"/>
        <v>0.79874605440000024</v>
      </c>
      <c r="BM84" s="279">
        <f t="shared" ca="1" si="102"/>
        <v>0.51030997920000032</v>
      </c>
      <c r="BN84" s="279">
        <f t="shared" ca="1" si="103"/>
        <v>0.41416462079999983</v>
      </c>
      <c r="BO84" s="279">
        <f t="shared" ca="1" si="104"/>
        <v>-0.66562171200000009</v>
      </c>
      <c r="BP84" s="279">
        <f t="shared" ca="1" si="105"/>
        <v>-1.4569719696000012</v>
      </c>
      <c r="BQ84" s="279">
        <f t="shared" ca="1" si="106"/>
        <v>-0.96145358399999936</v>
      </c>
      <c r="BR84" s="279">
        <f t="shared" ca="1" si="107"/>
        <v>0</v>
      </c>
      <c r="BS84" s="279">
        <f t="shared" ca="1" si="108"/>
        <v>0</v>
      </c>
      <c r="BT84" s="279">
        <f t="shared" ca="1" si="109"/>
        <v>0</v>
      </c>
    </row>
    <row r="85" spans="1:72" s="252" customFormat="1" ht="17.100000000000001" hidden="1" customHeight="1">
      <c r="A85" s="13"/>
      <c r="B85" s="13"/>
      <c r="AB85" s="13"/>
      <c r="AC85" s="13"/>
      <c r="AD85" s="136"/>
      <c r="AE85" s="136"/>
      <c r="AF85" s="136"/>
      <c r="AG85" s="136"/>
      <c r="AH85" s="252">
        <v>29</v>
      </c>
      <c r="AI85" s="252" t="b">
        <f t="shared" si="140"/>
        <v>0</v>
      </c>
      <c r="AJ85" s="278">
        <f t="shared" si="125"/>
        <v>-0.55333333333333379</v>
      </c>
      <c r="AK85" s="278">
        <f t="shared" si="126"/>
        <v>-0.5199999999999998</v>
      </c>
      <c r="AL85" s="278">
        <f t="shared" si="127"/>
        <v>-0.21999999999999981</v>
      </c>
      <c r="AM85" s="278">
        <f t="shared" si="128"/>
        <v>-0.6</v>
      </c>
      <c r="AN85" s="278">
        <f t="shared" si="129"/>
        <v>-1.3066666666666675</v>
      </c>
      <c r="AO85" s="278">
        <f t="shared" si="130"/>
        <v>-0.83333333333333259</v>
      </c>
      <c r="AP85" s="278">
        <f t="shared" si="131"/>
        <v>-0.99333333333333396</v>
      </c>
      <c r="AQ85" s="278">
        <f t="shared" si="132"/>
        <v>-0.6</v>
      </c>
      <c r="AR85" s="278">
        <f t="shared" si="133"/>
        <v>-0.49333333333333318</v>
      </c>
      <c r="AS85" s="279">
        <f t="shared" ca="1" si="141"/>
        <v>-0.61385113440000061</v>
      </c>
      <c r="AT85" s="279">
        <f t="shared" ca="1" si="142"/>
        <v>-0.57687215039999984</v>
      </c>
      <c r="AU85" s="279">
        <f t="shared" ca="1" si="143"/>
        <v>-0.24406129439999982</v>
      </c>
      <c r="AV85" s="279">
        <f t="shared" ca="1" si="144"/>
        <v>-0.66562171200000009</v>
      </c>
      <c r="AW85" s="279">
        <f t="shared" ca="1" si="145"/>
        <v>-1.4495761728000012</v>
      </c>
      <c r="AX85" s="279">
        <f t="shared" ca="1" si="146"/>
        <v>-0.92447459999999937</v>
      </c>
      <c r="AY85" s="279">
        <f t="shared" ca="1" si="147"/>
        <v>-1.1019737232000009</v>
      </c>
      <c r="AZ85" s="279">
        <f t="shared" ca="1" si="148"/>
        <v>-0.66562171200000009</v>
      </c>
      <c r="BA85" s="279">
        <f t="shared" ca="1" si="149"/>
        <v>-0.54728896319999998</v>
      </c>
      <c r="BB85" s="136"/>
      <c r="BC85" s="278">
        <f t="shared" si="134"/>
        <v>0.76000000000000012</v>
      </c>
      <c r="BD85" s="278">
        <f t="shared" si="135"/>
        <v>0.4800000000000002</v>
      </c>
      <c r="BE85" s="278">
        <f t="shared" si="136"/>
        <v>0.38666666666666644</v>
      </c>
      <c r="BF85" s="278">
        <f t="shared" si="137"/>
        <v>-0.6</v>
      </c>
      <c r="BG85" s="278">
        <f t="shared" si="138"/>
        <v>-1.3066666666666675</v>
      </c>
      <c r="BH85" s="278">
        <f t="shared" si="139"/>
        <v>-0.83333333333333259</v>
      </c>
      <c r="BI85" s="279">
        <v>0</v>
      </c>
      <c r="BJ85" s="279">
        <v>0</v>
      </c>
      <c r="BK85" s="279">
        <v>0</v>
      </c>
      <c r="BL85" s="279">
        <f t="shared" ca="1" si="101"/>
        <v>0.84312083520000025</v>
      </c>
      <c r="BM85" s="279">
        <f t="shared" ca="1" si="102"/>
        <v>0.53249736960000038</v>
      </c>
      <c r="BN85" s="279">
        <f t="shared" ca="1" si="103"/>
        <v>0.42895621439999981</v>
      </c>
      <c r="BO85" s="279">
        <f t="shared" ca="1" si="104"/>
        <v>-0.66562171200000009</v>
      </c>
      <c r="BP85" s="279">
        <f t="shared" ca="1" si="105"/>
        <v>-1.4495761728000012</v>
      </c>
      <c r="BQ85" s="279">
        <f t="shared" ca="1" si="106"/>
        <v>-0.92447459999999937</v>
      </c>
      <c r="BR85" s="279">
        <f t="shared" ca="1" si="107"/>
        <v>0</v>
      </c>
      <c r="BS85" s="279">
        <f t="shared" ca="1" si="108"/>
        <v>0</v>
      </c>
      <c r="BT85" s="279">
        <f t="shared" ca="1" si="109"/>
        <v>0</v>
      </c>
    </row>
    <row r="86" spans="1:72" s="252" customFormat="1" ht="17.100000000000001" hidden="1"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6"/>
      <c r="AE86" s="136"/>
      <c r="AF86" s="136"/>
      <c r="AG86" s="136"/>
      <c r="AH86" s="280">
        <v>30</v>
      </c>
      <c r="AI86" s="252" t="b">
        <f t="shared" si="140"/>
        <v>0</v>
      </c>
      <c r="AJ86" s="279">
        <v>-0.5</v>
      </c>
      <c r="AK86" s="279">
        <v>-0.5</v>
      </c>
      <c r="AL86" s="279">
        <v>-0.2</v>
      </c>
      <c r="AM86" s="279">
        <v>-0.6</v>
      </c>
      <c r="AN86" s="279">
        <v>-1.3</v>
      </c>
      <c r="AO86" s="279">
        <v>-0.8</v>
      </c>
      <c r="AP86" s="279">
        <v>-1</v>
      </c>
      <c r="AQ86" s="279">
        <v>-0.6</v>
      </c>
      <c r="AR86" s="279">
        <v>-0.5</v>
      </c>
      <c r="AS86" s="279">
        <f t="shared" ca="1" si="141"/>
        <v>-0.55468476000000011</v>
      </c>
      <c r="AT86" s="279">
        <f t="shared" ca="1" si="142"/>
        <v>-0.55468476000000011</v>
      </c>
      <c r="AU86" s="279">
        <f t="shared" ca="1" si="143"/>
        <v>-0.22187390400000007</v>
      </c>
      <c r="AV86" s="279">
        <f t="shared" ca="1" si="144"/>
        <v>-0.66562171200000009</v>
      </c>
      <c r="AW86" s="279">
        <f t="shared" ca="1" si="145"/>
        <v>-1.4421803760000003</v>
      </c>
      <c r="AX86" s="279">
        <f t="shared" ca="1" si="146"/>
        <v>-0.88749561600000026</v>
      </c>
      <c r="AY86" s="279">
        <f t="shared" ca="1" si="147"/>
        <v>-1.1093695200000002</v>
      </c>
      <c r="AZ86" s="279">
        <f t="shared" ca="1" si="148"/>
        <v>-0.66562171200000009</v>
      </c>
      <c r="BA86" s="279">
        <f t="shared" ca="1" si="149"/>
        <v>-0.55468476000000011</v>
      </c>
      <c r="BB86" s="136"/>
      <c r="BC86" s="279">
        <v>0.8</v>
      </c>
      <c r="BD86" s="279">
        <v>0.5</v>
      </c>
      <c r="BE86" s="279">
        <v>0.4</v>
      </c>
      <c r="BF86" s="279">
        <v>-0.6</v>
      </c>
      <c r="BG86" s="279">
        <v>-1.3</v>
      </c>
      <c r="BH86" s="279">
        <v>-0.8</v>
      </c>
      <c r="BI86" s="279">
        <v>0</v>
      </c>
      <c r="BJ86" s="279">
        <v>0</v>
      </c>
      <c r="BK86" s="279">
        <v>0</v>
      </c>
      <c r="BL86" s="279">
        <f t="shared" ca="1" si="101"/>
        <v>0.88749561600000026</v>
      </c>
      <c r="BM86" s="279">
        <f t="shared" ca="1" si="102"/>
        <v>0.55468476000000011</v>
      </c>
      <c r="BN86" s="279">
        <f t="shared" ca="1" si="103"/>
        <v>0.44374780800000013</v>
      </c>
      <c r="BO86" s="279">
        <f t="shared" ca="1" si="104"/>
        <v>-0.66562171200000009</v>
      </c>
      <c r="BP86" s="279">
        <f t="shared" ca="1" si="105"/>
        <v>-1.4421803760000003</v>
      </c>
      <c r="BQ86" s="279">
        <f t="shared" ca="1" si="106"/>
        <v>-0.88749561600000026</v>
      </c>
      <c r="BR86" s="279">
        <f t="shared" ca="1" si="107"/>
        <v>0</v>
      </c>
      <c r="BS86" s="279">
        <f t="shared" ca="1" si="108"/>
        <v>0</v>
      </c>
      <c r="BT86" s="279">
        <f t="shared" ca="1" si="109"/>
        <v>0</v>
      </c>
    </row>
    <row r="87" spans="1:72" s="252" customFormat="1" ht="17.100000000000001" hidden="1"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6"/>
      <c r="AE87" s="136"/>
      <c r="AF87" s="136"/>
      <c r="AG87" s="136"/>
      <c r="AH87" s="252">
        <v>31</v>
      </c>
      <c r="AI87" s="252" t="b">
        <f t="shared" si="140"/>
        <v>0</v>
      </c>
      <c r="AJ87" s="278">
        <f>0.5/15+AJ86</f>
        <v>-0.46666666666666667</v>
      </c>
      <c r="AK87" s="278">
        <f>0.5/15+AK86</f>
        <v>-0.46666666666666667</v>
      </c>
      <c r="AL87" s="278">
        <f>0.2/15+AL86</f>
        <v>-0.18666666666666668</v>
      </c>
      <c r="AM87" s="278">
        <f>0+AM86</f>
        <v>-0.6</v>
      </c>
      <c r="AN87" s="278">
        <f>0.6/15+AN86</f>
        <v>-1.26</v>
      </c>
      <c r="AO87" s="278">
        <f>0.4/15+AO86</f>
        <v>-0.77333333333333343</v>
      </c>
      <c r="AP87" s="278">
        <f>-0.1/15+AP86</f>
        <v>-1.0066666666666666</v>
      </c>
      <c r="AQ87" s="278">
        <f>0+AQ86</f>
        <v>-0.6</v>
      </c>
      <c r="AR87" s="278">
        <f>0.1/15+AR86</f>
        <v>-0.49333333333333335</v>
      </c>
      <c r="AS87" s="279">
        <f t="shared" ca="1" si="141"/>
        <v>-0.51770577600000012</v>
      </c>
      <c r="AT87" s="279">
        <f t="shared" ca="1" si="142"/>
        <v>-0.51770577600000012</v>
      </c>
      <c r="AU87" s="279">
        <f t="shared" ca="1" si="143"/>
        <v>-0.20708231040000005</v>
      </c>
      <c r="AV87" s="279">
        <f t="shared" ca="1" si="144"/>
        <v>-0.66562171200000009</v>
      </c>
      <c r="AW87" s="279">
        <f t="shared" ca="1" si="145"/>
        <v>-1.3978055952000004</v>
      </c>
      <c r="AX87" s="279">
        <f t="shared" ca="1" si="146"/>
        <v>-0.85791242880000029</v>
      </c>
      <c r="AY87" s="279">
        <f t="shared" ca="1" si="147"/>
        <v>-1.1167653168000002</v>
      </c>
      <c r="AZ87" s="279">
        <f t="shared" ca="1" si="148"/>
        <v>-0.66562171200000009</v>
      </c>
      <c r="BA87" s="279">
        <f t="shared" ca="1" si="149"/>
        <v>-0.54728896320000009</v>
      </c>
      <c r="BB87" s="136"/>
      <c r="BC87" s="278">
        <f>0+BC86</f>
        <v>0.8</v>
      </c>
      <c r="BD87" s="278">
        <f>0.1/15+BD86</f>
        <v>0.50666666666666671</v>
      </c>
      <c r="BE87" s="278">
        <f>0.3/15+BE86</f>
        <v>0.42000000000000004</v>
      </c>
      <c r="BF87" s="278">
        <f>0+BF86</f>
        <v>-0.6</v>
      </c>
      <c r="BG87" s="278">
        <f>0.5/15+BG86</f>
        <v>-1.2666666666666666</v>
      </c>
      <c r="BH87" s="278">
        <f>0.4/15+BH86</f>
        <v>-0.77333333333333343</v>
      </c>
      <c r="BI87" s="279">
        <v>0</v>
      </c>
      <c r="BJ87" s="279">
        <v>0</v>
      </c>
      <c r="BK87" s="279">
        <v>0</v>
      </c>
      <c r="BL87" s="279">
        <f t="shared" ca="1" si="101"/>
        <v>0.88749561600000026</v>
      </c>
      <c r="BM87" s="279">
        <f t="shared" ca="1" si="102"/>
        <v>0.56208055680000013</v>
      </c>
      <c r="BN87" s="279">
        <f t="shared" ca="1" si="103"/>
        <v>0.46593519840000014</v>
      </c>
      <c r="BO87" s="279">
        <f t="shared" ca="1" si="104"/>
        <v>-0.66562171200000009</v>
      </c>
      <c r="BP87" s="279">
        <f t="shared" ca="1" si="105"/>
        <v>-1.4052013920000002</v>
      </c>
      <c r="BQ87" s="279">
        <f t="shared" ca="1" si="106"/>
        <v>-0.85791242880000029</v>
      </c>
      <c r="BR87" s="279">
        <f t="shared" ca="1" si="107"/>
        <v>0</v>
      </c>
      <c r="BS87" s="279">
        <f t="shared" ca="1" si="108"/>
        <v>0</v>
      </c>
      <c r="BT87" s="279">
        <f t="shared" ca="1" si="109"/>
        <v>0</v>
      </c>
    </row>
    <row r="88" spans="1:72" s="252" customFormat="1" ht="17.100000000000001" hidden="1"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6"/>
      <c r="AE88" s="136"/>
      <c r="AF88" s="136"/>
      <c r="AG88" s="136"/>
      <c r="AH88" s="252">
        <v>32</v>
      </c>
      <c r="AI88" s="252" t="b">
        <f t="shared" si="140"/>
        <v>0</v>
      </c>
      <c r="AJ88" s="278">
        <f t="shared" ref="AJ88:AJ100" si="150">0.5/15+AJ87</f>
        <v>-0.43333333333333335</v>
      </c>
      <c r="AK88" s="278">
        <f t="shared" ref="AK88:AK100" si="151">0.5/15+AK87</f>
        <v>-0.43333333333333335</v>
      </c>
      <c r="AL88" s="278">
        <f t="shared" ref="AL88:AL100" si="152">0.2/15+AL87</f>
        <v>-0.17333333333333334</v>
      </c>
      <c r="AM88" s="278">
        <f t="shared" ref="AM88:AM100" si="153">0+AM87</f>
        <v>-0.6</v>
      </c>
      <c r="AN88" s="278">
        <f t="shared" ref="AN88:AN100" si="154">0.6/15+AN87</f>
        <v>-1.22</v>
      </c>
      <c r="AO88" s="278">
        <f t="shared" ref="AO88:AO100" si="155">0.4/15+AO87</f>
        <v>-0.74666666666666681</v>
      </c>
      <c r="AP88" s="278">
        <f t="shared" ref="AP88:AP100" si="156">-0.1/15+AP87</f>
        <v>-1.0133333333333332</v>
      </c>
      <c r="AQ88" s="278">
        <f t="shared" ref="AQ88:AQ100" si="157">0+AQ87</f>
        <v>-0.6</v>
      </c>
      <c r="AR88" s="278">
        <f t="shared" ref="AR88:AR100" si="158">0.1/15+AR87</f>
        <v>-0.48666666666666669</v>
      </c>
      <c r="AS88" s="279">
        <f t="shared" ca="1" si="141"/>
        <v>-0.48072679200000012</v>
      </c>
      <c r="AT88" s="279">
        <f t="shared" ca="1" si="142"/>
        <v>-0.48072679200000012</v>
      </c>
      <c r="AU88" s="279">
        <f t="shared" ca="1" si="143"/>
        <v>-0.19229071680000004</v>
      </c>
      <c r="AV88" s="279">
        <f t="shared" ca="1" si="144"/>
        <v>-0.66562171200000009</v>
      </c>
      <c r="AW88" s="279">
        <f t="shared" ca="1" si="145"/>
        <v>-1.3534308144000002</v>
      </c>
      <c r="AX88" s="279">
        <f t="shared" ca="1" si="146"/>
        <v>-0.82832924160000032</v>
      </c>
      <c r="AY88" s="279">
        <f t="shared" ca="1" si="147"/>
        <v>-1.1241611136</v>
      </c>
      <c r="AZ88" s="279">
        <f t="shared" ca="1" si="148"/>
        <v>-0.66562171200000009</v>
      </c>
      <c r="BA88" s="279">
        <f t="shared" ca="1" si="149"/>
        <v>-0.53989316640000018</v>
      </c>
      <c r="BB88" s="136"/>
      <c r="BC88" s="278">
        <f t="shared" ref="BC88:BC100" si="159">0+BC87</f>
        <v>0.8</v>
      </c>
      <c r="BD88" s="278">
        <f t="shared" ref="BD88:BD100" si="160">0.1/15+BD87</f>
        <v>0.51333333333333342</v>
      </c>
      <c r="BE88" s="278">
        <f t="shared" ref="BE88:BE100" si="161">0.3/15+BE87</f>
        <v>0.44000000000000006</v>
      </c>
      <c r="BF88" s="278">
        <f t="shared" ref="BF88:BF100" si="162">0+BF87</f>
        <v>-0.6</v>
      </c>
      <c r="BG88" s="278">
        <f t="shared" ref="BG88:BG100" si="163">0.5/15+BG87</f>
        <v>-1.2333333333333332</v>
      </c>
      <c r="BH88" s="278">
        <f t="shared" ref="BH88:BH100" si="164">0.4/15+BH87</f>
        <v>-0.74666666666666681</v>
      </c>
      <c r="BI88" s="279">
        <v>0</v>
      </c>
      <c r="BJ88" s="279">
        <v>0</v>
      </c>
      <c r="BK88" s="279">
        <v>0</v>
      </c>
      <c r="BL88" s="279">
        <f t="shared" ca="1" si="101"/>
        <v>0.88749561600000026</v>
      </c>
      <c r="BM88" s="279">
        <f t="shared" ca="1" si="102"/>
        <v>0.56947635360000026</v>
      </c>
      <c r="BN88" s="279">
        <f t="shared" ca="1" si="103"/>
        <v>0.48812258880000015</v>
      </c>
      <c r="BO88" s="279">
        <f t="shared" ca="1" si="104"/>
        <v>-0.66562171200000009</v>
      </c>
      <c r="BP88" s="279">
        <f t="shared" ca="1" si="105"/>
        <v>-1.3682224080000001</v>
      </c>
      <c r="BQ88" s="279">
        <f t="shared" ca="1" si="106"/>
        <v>-0.82832924160000032</v>
      </c>
      <c r="BR88" s="279">
        <f t="shared" ca="1" si="107"/>
        <v>0</v>
      </c>
      <c r="BS88" s="279">
        <f t="shared" ca="1" si="108"/>
        <v>0</v>
      </c>
      <c r="BT88" s="279">
        <f t="shared" ca="1" si="109"/>
        <v>0</v>
      </c>
    </row>
    <row r="89" spans="1:72" s="252" customFormat="1" ht="17.100000000000001" hidden="1"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6"/>
      <c r="AE89" s="136"/>
      <c r="AF89" s="136"/>
      <c r="AG89" s="136"/>
      <c r="AH89" s="252">
        <v>33</v>
      </c>
      <c r="AI89" s="252" t="b">
        <f t="shared" si="140"/>
        <v>0</v>
      </c>
      <c r="AJ89" s="278">
        <f t="shared" si="150"/>
        <v>-0.4</v>
      </c>
      <c r="AK89" s="278">
        <f t="shared" si="151"/>
        <v>-0.4</v>
      </c>
      <c r="AL89" s="278">
        <f t="shared" si="152"/>
        <v>-0.16</v>
      </c>
      <c r="AM89" s="278">
        <f t="shared" si="153"/>
        <v>-0.6</v>
      </c>
      <c r="AN89" s="278">
        <f t="shared" si="154"/>
        <v>-1.18</v>
      </c>
      <c r="AO89" s="278">
        <f t="shared" si="155"/>
        <v>-0.7200000000000002</v>
      </c>
      <c r="AP89" s="278">
        <f t="shared" si="156"/>
        <v>-1.0199999999999998</v>
      </c>
      <c r="AQ89" s="278">
        <f t="shared" si="157"/>
        <v>-0.6</v>
      </c>
      <c r="AR89" s="278">
        <f t="shared" si="158"/>
        <v>-0.48000000000000004</v>
      </c>
      <c r="AS89" s="279">
        <f t="shared" ca="1" si="141"/>
        <v>-0.44374780800000013</v>
      </c>
      <c r="AT89" s="279">
        <f t="shared" ca="1" si="142"/>
        <v>-0.44374780800000013</v>
      </c>
      <c r="AU89" s="279">
        <f t="shared" ca="1" si="143"/>
        <v>-0.17749912320000003</v>
      </c>
      <c r="AV89" s="279">
        <f t="shared" ca="1" si="144"/>
        <v>-0.66562171200000009</v>
      </c>
      <c r="AW89" s="279">
        <f t="shared" ca="1" si="145"/>
        <v>-1.3090560336000001</v>
      </c>
      <c r="AX89" s="279">
        <f t="shared" ca="1" si="146"/>
        <v>-0.79874605440000035</v>
      </c>
      <c r="AY89" s="279">
        <f t="shared" ca="1" si="147"/>
        <v>-1.1315569104000001</v>
      </c>
      <c r="AZ89" s="279">
        <f t="shared" ca="1" si="148"/>
        <v>-0.66562171200000009</v>
      </c>
      <c r="BA89" s="279">
        <f t="shared" ca="1" si="149"/>
        <v>-0.53249736960000016</v>
      </c>
      <c r="BB89" s="136"/>
      <c r="BC89" s="278">
        <f t="shared" si="159"/>
        <v>0.8</v>
      </c>
      <c r="BD89" s="278">
        <f t="shared" si="160"/>
        <v>0.52000000000000013</v>
      </c>
      <c r="BE89" s="278">
        <f t="shared" si="161"/>
        <v>0.46000000000000008</v>
      </c>
      <c r="BF89" s="278">
        <f t="shared" si="162"/>
        <v>-0.6</v>
      </c>
      <c r="BG89" s="278">
        <f t="shared" si="163"/>
        <v>-1.1999999999999997</v>
      </c>
      <c r="BH89" s="278">
        <f t="shared" si="164"/>
        <v>-0.7200000000000002</v>
      </c>
      <c r="BI89" s="279">
        <v>0</v>
      </c>
      <c r="BJ89" s="279">
        <v>0</v>
      </c>
      <c r="BK89" s="279">
        <v>0</v>
      </c>
      <c r="BL89" s="279">
        <f t="shared" ref="BL89:BL120" ca="1" si="165">1.35*$Z$17*$M$22*BC89</f>
        <v>0.88749561600000026</v>
      </c>
      <c r="BM89" s="279">
        <f t="shared" ref="BM89:BM120" ca="1" si="166">1.35*$Z$17*$M$22*BD89</f>
        <v>0.57687215040000028</v>
      </c>
      <c r="BN89" s="279">
        <f t="shared" ref="BN89:BN120" ca="1" si="167">1.35*$Z$17*$M$22*BE89</f>
        <v>0.51030997920000021</v>
      </c>
      <c r="BO89" s="279">
        <f t="shared" ref="BO89:BO120" ca="1" si="168">1.35*$Z$17*$M$22*BF89</f>
        <v>-0.66562171200000009</v>
      </c>
      <c r="BP89" s="279">
        <f t="shared" ref="BP89:BP120" ca="1" si="169">1.35*$Z$17*$M$22*BG89</f>
        <v>-1.331243424</v>
      </c>
      <c r="BQ89" s="279">
        <f t="shared" ref="BQ89:BQ120" ca="1" si="170">1.35*$Z$17*$M$22*BH89</f>
        <v>-0.79874605440000035</v>
      </c>
      <c r="BR89" s="279">
        <f t="shared" ref="BR89:BR120" ca="1" si="171">1.35*$Z$17*$M$22*BI89</f>
        <v>0</v>
      </c>
      <c r="BS89" s="279">
        <f t="shared" ref="BS89:BS120" ca="1" si="172">1.35*$Z$17*$M$22*BJ89</f>
        <v>0</v>
      </c>
      <c r="BT89" s="279">
        <f t="shared" ref="BT89:BT120" ca="1" si="173">1.35*$Z$17*$M$22*BK89</f>
        <v>0</v>
      </c>
    </row>
    <row r="90" spans="1:72" s="252" customFormat="1" ht="17.100000000000001" hidden="1" customHeight="1">
      <c r="A90" s="13"/>
      <c r="B90" s="13"/>
      <c r="AB90" s="13"/>
      <c r="AC90" s="13"/>
      <c r="AD90" s="136"/>
      <c r="AE90" s="136"/>
      <c r="AF90" s="136"/>
      <c r="AG90" s="136"/>
      <c r="AH90" s="252">
        <v>34</v>
      </c>
      <c r="AI90" s="252" t="b">
        <f t="shared" si="140"/>
        <v>0</v>
      </c>
      <c r="AJ90" s="278">
        <f t="shared" si="150"/>
        <v>-0.3666666666666667</v>
      </c>
      <c r="AK90" s="278">
        <f t="shared" si="151"/>
        <v>-0.3666666666666667</v>
      </c>
      <c r="AL90" s="278">
        <f t="shared" si="152"/>
        <v>-0.14666666666666667</v>
      </c>
      <c r="AM90" s="278">
        <f t="shared" si="153"/>
        <v>-0.6</v>
      </c>
      <c r="AN90" s="278">
        <f t="shared" si="154"/>
        <v>-1.1399999999999999</v>
      </c>
      <c r="AO90" s="278">
        <f t="shared" si="155"/>
        <v>-0.69333333333333358</v>
      </c>
      <c r="AP90" s="278">
        <f t="shared" si="156"/>
        <v>-1.0266666666666664</v>
      </c>
      <c r="AQ90" s="278">
        <f t="shared" si="157"/>
        <v>-0.6</v>
      </c>
      <c r="AR90" s="278">
        <f t="shared" si="158"/>
        <v>-0.47333333333333338</v>
      </c>
      <c r="AS90" s="279">
        <f t="shared" ca="1" si="141"/>
        <v>-0.40676882400000014</v>
      </c>
      <c r="AT90" s="279">
        <f t="shared" ca="1" si="142"/>
        <v>-0.40676882400000014</v>
      </c>
      <c r="AU90" s="279">
        <f t="shared" ca="1" si="143"/>
        <v>-0.16270752960000004</v>
      </c>
      <c r="AV90" s="279">
        <f t="shared" ca="1" si="144"/>
        <v>-0.66562171200000009</v>
      </c>
      <c r="AW90" s="279">
        <f t="shared" ca="1" si="145"/>
        <v>-1.2646812528000002</v>
      </c>
      <c r="AX90" s="279">
        <f t="shared" ca="1" si="146"/>
        <v>-0.76916286720000038</v>
      </c>
      <c r="AY90" s="279">
        <f t="shared" ca="1" si="147"/>
        <v>-1.1389527071999999</v>
      </c>
      <c r="AZ90" s="279">
        <f t="shared" ca="1" si="148"/>
        <v>-0.66562171200000009</v>
      </c>
      <c r="BA90" s="279">
        <f t="shared" ca="1" si="149"/>
        <v>-0.52510157280000014</v>
      </c>
      <c r="BB90" s="136"/>
      <c r="BC90" s="278">
        <f t="shared" si="159"/>
        <v>0.8</v>
      </c>
      <c r="BD90" s="278">
        <f t="shared" si="160"/>
        <v>0.52666666666666684</v>
      </c>
      <c r="BE90" s="278">
        <f t="shared" si="161"/>
        <v>0.48000000000000009</v>
      </c>
      <c r="BF90" s="278">
        <f t="shared" si="162"/>
        <v>-0.6</v>
      </c>
      <c r="BG90" s="278">
        <f t="shared" si="163"/>
        <v>-1.1666666666666663</v>
      </c>
      <c r="BH90" s="278">
        <f t="shared" si="164"/>
        <v>-0.69333333333333358</v>
      </c>
      <c r="BI90" s="279">
        <v>0</v>
      </c>
      <c r="BJ90" s="279">
        <v>0</v>
      </c>
      <c r="BK90" s="279">
        <v>0</v>
      </c>
      <c r="BL90" s="279">
        <f t="shared" ca="1" si="165"/>
        <v>0.88749561600000026</v>
      </c>
      <c r="BM90" s="279">
        <f t="shared" ca="1" si="166"/>
        <v>0.5842679472000003</v>
      </c>
      <c r="BN90" s="279">
        <f t="shared" ca="1" si="167"/>
        <v>0.53249736960000016</v>
      </c>
      <c r="BO90" s="279">
        <f t="shared" ca="1" si="168"/>
        <v>-0.66562171200000009</v>
      </c>
      <c r="BP90" s="279">
        <f t="shared" ca="1" si="169"/>
        <v>-1.2942644399999998</v>
      </c>
      <c r="BQ90" s="279">
        <f t="shared" ca="1" si="170"/>
        <v>-0.76916286720000038</v>
      </c>
      <c r="BR90" s="279">
        <f t="shared" ca="1" si="171"/>
        <v>0</v>
      </c>
      <c r="BS90" s="279">
        <f t="shared" ca="1" si="172"/>
        <v>0</v>
      </c>
      <c r="BT90" s="279">
        <f t="shared" ca="1" si="173"/>
        <v>0</v>
      </c>
    </row>
    <row r="91" spans="1:72" s="252" customFormat="1" ht="17.100000000000001" hidden="1" customHeight="1">
      <c r="A91" s="13"/>
      <c r="B91" s="13"/>
      <c r="AB91" s="13"/>
      <c r="AC91" s="13"/>
      <c r="AD91" s="136"/>
      <c r="AE91" s="136"/>
      <c r="AF91" s="136"/>
      <c r="AG91" s="136"/>
      <c r="AH91" s="252">
        <v>35</v>
      </c>
      <c r="AI91" s="252" t="b">
        <f t="shared" si="140"/>
        <v>0</v>
      </c>
      <c r="AJ91" s="278">
        <f t="shared" si="150"/>
        <v>-0.33333333333333337</v>
      </c>
      <c r="AK91" s="278">
        <f t="shared" si="151"/>
        <v>-0.33333333333333337</v>
      </c>
      <c r="AL91" s="278">
        <f t="shared" si="152"/>
        <v>-0.13333333333333333</v>
      </c>
      <c r="AM91" s="278">
        <f t="shared" si="153"/>
        <v>-0.6</v>
      </c>
      <c r="AN91" s="278">
        <f t="shared" si="154"/>
        <v>-1.0999999999999999</v>
      </c>
      <c r="AO91" s="278">
        <f t="shared" si="155"/>
        <v>-0.66666666666666696</v>
      </c>
      <c r="AP91" s="278">
        <f t="shared" si="156"/>
        <v>-1.033333333333333</v>
      </c>
      <c r="AQ91" s="278">
        <f t="shared" si="157"/>
        <v>-0.6</v>
      </c>
      <c r="AR91" s="278">
        <f t="shared" si="158"/>
        <v>-0.46666666666666673</v>
      </c>
      <c r="AS91" s="279">
        <f t="shared" ca="1" si="141"/>
        <v>-0.36978984000000009</v>
      </c>
      <c r="AT91" s="279">
        <f t="shared" ca="1" si="142"/>
        <v>-0.36978984000000009</v>
      </c>
      <c r="AU91" s="279">
        <f t="shared" ca="1" si="143"/>
        <v>-0.14791593600000003</v>
      </c>
      <c r="AV91" s="279">
        <f t="shared" ca="1" si="144"/>
        <v>-0.66562171200000009</v>
      </c>
      <c r="AW91" s="279">
        <f t="shared" ca="1" si="145"/>
        <v>-1.2203064720000001</v>
      </c>
      <c r="AX91" s="279">
        <f t="shared" ca="1" si="146"/>
        <v>-0.73957968000000052</v>
      </c>
      <c r="AY91" s="279">
        <f t="shared" ca="1" si="147"/>
        <v>-1.1463485039999999</v>
      </c>
      <c r="AZ91" s="279">
        <f t="shared" ca="1" si="148"/>
        <v>-0.66562171200000009</v>
      </c>
      <c r="BA91" s="279">
        <f t="shared" ca="1" si="149"/>
        <v>-0.51770577600000012</v>
      </c>
      <c r="BB91" s="136"/>
      <c r="BC91" s="278">
        <f t="shared" si="159"/>
        <v>0.8</v>
      </c>
      <c r="BD91" s="278">
        <f t="shared" si="160"/>
        <v>0.53333333333333355</v>
      </c>
      <c r="BE91" s="278">
        <f t="shared" si="161"/>
        <v>0.50000000000000011</v>
      </c>
      <c r="BF91" s="278">
        <f t="shared" si="162"/>
        <v>-0.6</v>
      </c>
      <c r="BG91" s="278">
        <f t="shared" si="163"/>
        <v>-1.1333333333333329</v>
      </c>
      <c r="BH91" s="278">
        <f t="shared" si="164"/>
        <v>-0.66666666666666696</v>
      </c>
      <c r="BI91" s="279">
        <v>0</v>
      </c>
      <c r="BJ91" s="279">
        <v>0</v>
      </c>
      <c r="BK91" s="279">
        <v>0</v>
      </c>
      <c r="BL91" s="279">
        <f t="shared" ca="1" si="165"/>
        <v>0.88749561600000026</v>
      </c>
      <c r="BM91" s="279">
        <f t="shared" ca="1" si="166"/>
        <v>0.59166374400000032</v>
      </c>
      <c r="BN91" s="279">
        <f t="shared" ca="1" si="167"/>
        <v>0.55468476000000022</v>
      </c>
      <c r="BO91" s="279">
        <f t="shared" ca="1" si="168"/>
        <v>-0.66562171200000009</v>
      </c>
      <c r="BP91" s="279">
        <f t="shared" ca="1" si="169"/>
        <v>-1.2572854559999997</v>
      </c>
      <c r="BQ91" s="279">
        <f t="shared" ca="1" si="170"/>
        <v>-0.73957968000000052</v>
      </c>
      <c r="BR91" s="279">
        <f t="shared" ca="1" si="171"/>
        <v>0</v>
      </c>
      <c r="BS91" s="279">
        <f t="shared" ca="1" si="172"/>
        <v>0</v>
      </c>
      <c r="BT91" s="279">
        <f t="shared" ca="1" si="173"/>
        <v>0</v>
      </c>
    </row>
    <row r="92" spans="1:72" s="252" customFormat="1" ht="17.100000000000001" hidden="1" customHeight="1">
      <c r="A92" s="13"/>
      <c r="B92" s="13"/>
      <c r="AB92" s="13"/>
      <c r="AC92" s="13"/>
      <c r="AD92" s="136"/>
      <c r="AE92" s="136"/>
      <c r="AF92" s="136"/>
      <c r="AG92" s="136"/>
      <c r="AH92" s="252">
        <v>36</v>
      </c>
      <c r="AI92" s="252" t="b">
        <f t="shared" si="140"/>
        <v>0</v>
      </c>
      <c r="AJ92" s="278">
        <f t="shared" si="150"/>
        <v>-0.30000000000000004</v>
      </c>
      <c r="AK92" s="278">
        <f t="shared" si="151"/>
        <v>-0.30000000000000004</v>
      </c>
      <c r="AL92" s="278">
        <f t="shared" si="152"/>
        <v>-0.12</v>
      </c>
      <c r="AM92" s="278">
        <f t="shared" si="153"/>
        <v>-0.6</v>
      </c>
      <c r="AN92" s="278">
        <f t="shared" si="154"/>
        <v>-1.0599999999999998</v>
      </c>
      <c r="AO92" s="278">
        <f t="shared" si="155"/>
        <v>-0.64000000000000035</v>
      </c>
      <c r="AP92" s="278">
        <f t="shared" si="156"/>
        <v>-1.0399999999999996</v>
      </c>
      <c r="AQ92" s="278">
        <f t="shared" si="157"/>
        <v>-0.6</v>
      </c>
      <c r="AR92" s="278">
        <f t="shared" si="158"/>
        <v>-0.46000000000000008</v>
      </c>
      <c r="AS92" s="279">
        <f t="shared" ca="1" si="141"/>
        <v>-0.3328108560000001</v>
      </c>
      <c r="AT92" s="279">
        <f t="shared" ca="1" si="142"/>
        <v>-0.3328108560000001</v>
      </c>
      <c r="AU92" s="279">
        <f t="shared" ca="1" si="143"/>
        <v>-0.13312434240000001</v>
      </c>
      <c r="AV92" s="279">
        <f t="shared" ca="1" si="144"/>
        <v>-0.66562171200000009</v>
      </c>
      <c r="AW92" s="279">
        <f t="shared" ca="1" si="145"/>
        <v>-1.1759316912</v>
      </c>
      <c r="AX92" s="279">
        <f t="shared" ca="1" si="146"/>
        <v>-0.70999649280000054</v>
      </c>
      <c r="AY92" s="279">
        <f t="shared" ca="1" si="147"/>
        <v>-1.1537443007999997</v>
      </c>
      <c r="AZ92" s="279">
        <f t="shared" ca="1" si="148"/>
        <v>-0.66562171200000009</v>
      </c>
      <c r="BA92" s="279">
        <f t="shared" ca="1" si="149"/>
        <v>-0.51030997920000021</v>
      </c>
      <c r="BB92" s="136"/>
      <c r="BC92" s="278">
        <f t="shared" si="159"/>
        <v>0.8</v>
      </c>
      <c r="BD92" s="278">
        <f t="shared" si="160"/>
        <v>0.54000000000000026</v>
      </c>
      <c r="BE92" s="278">
        <f t="shared" si="161"/>
        <v>0.52000000000000013</v>
      </c>
      <c r="BF92" s="278">
        <f t="shared" si="162"/>
        <v>-0.6</v>
      </c>
      <c r="BG92" s="278">
        <f t="shared" si="163"/>
        <v>-1.0999999999999994</v>
      </c>
      <c r="BH92" s="278">
        <f t="shared" si="164"/>
        <v>-0.64000000000000035</v>
      </c>
      <c r="BI92" s="279">
        <v>0</v>
      </c>
      <c r="BJ92" s="279">
        <v>0</v>
      </c>
      <c r="BK92" s="279">
        <v>0</v>
      </c>
      <c r="BL92" s="279">
        <f t="shared" ca="1" si="165"/>
        <v>0.88749561600000026</v>
      </c>
      <c r="BM92" s="279">
        <f t="shared" ca="1" si="166"/>
        <v>0.59905954080000046</v>
      </c>
      <c r="BN92" s="279">
        <f t="shared" ca="1" si="167"/>
        <v>0.57687215040000028</v>
      </c>
      <c r="BO92" s="279">
        <f t="shared" ca="1" si="168"/>
        <v>-0.66562171200000009</v>
      </c>
      <c r="BP92" s="279">
        <f t="shared" ca="1" si="169"/>
        <v>-1.2203064719999996</v>
      </c>
      <c r="BQ92" s="279">
        <f t="shared" ca="1" si="170"/>
        <v>-0.70999649280000054</v>
      </c>
      <c r="BR92" s="279">
        <f t="shared" ca="1" si="171"/>
        <v>0</v>
      </c>
      <c r="BS92" s="279">
        <f t="shared" ca="1" si="172"/>
        <v>0</v>
      </c>
      <c r="BT92" s="279">
        <f t="shared" ca="1" si="173"/>
        <v>0</v>
      </c>
    </row>
    <row r="93" spans="1:72" s="252" customFormat="1" ht="17.100000000000001" hidden="1" customHeight="1">
      <c r="A93" s="13"/>
      <c r="B93" s="13"/>
      <c r="AB93" s="13"/>
      <c r="AC93" s="13"/>
      <c r="AD93" s="136"/>
      <c r="AE93" s="136"/>
      <c r="AF93" s="136"/>
      <c r="AG93" s="136"/>
      <c r="AH93" s="252">
        <v>37</v>
      </c>
      <c r="AI93" s="252" t="b">
        <f t="shared" si="140"/>
        <v>0</v>
      </c>
      <c r="AJ93" s="278">
        <f t="shared" si="150"/>
        <v>-0.26666666666666672</v>
      </c>
      <c r="AK93" s="278">
        <f t="shared" si="151"/>
        <v>-0.26666666666666672</v>
      </c>
      <c r="AL93" s="278">
        <f t="shared" si="152"/>
        <v>-0.10666666666666666</v>
      </c>
      <c r="AM93" s="278">
        <f t="shared" si="153"/>
        <v>-0.6</v>
      </c>
      <c r="AN93" s="278">
        <f t="shared" si="154"/>
        <v>-1.0199999999999998</v>
      </c>
      <c r="AO93" s="278">
        <f t="shared" si="155"/>
        <v>-0.61333333333333373</v>
      </c>
      <c r="AP93" s="278">
        <f t="shared" si="156"/>
        <v>-1.0466666666666662</v>
      </c>
      <c r="AQ93" s="278">
        <f t="shared" si="157"/>
        <v>-0.6</v>
      </c>
      <c r="AR93" s="278">
        <f t="shared" si="158"/>
        <v>-0.45333333333333342</v>
      </c>
      <c r="AS93" s="279">
        <f t="shared" ca="1" si="141"/>
        <v>-0.29583187200000011</v>
      </c>
      <c r="AT93" s="279">
        <f t="shared" ca="1" si="142"/>
        <v>-0.29583187200000011</v>
      </c>
      <c r="AU93" s="279">
        <f t="shared" ca="1" si="143"/>
        <v>-0.11833274880000001</v>
      </c>
      <c r="AV93" s="279">
        <f t="shared" ca="1" si="144"/>
        <v>-0.66562171200000009</v>
      </c>
      <c r="AW93" s="279">
        <f t="shared" ca="1" si="145"/>
        <v>-1.1315569104000001</v>
      </c>
      <c r="AX93" s="279">
        <f t="shared" ca="1" si="146"/>
        <v>-0.68041330560000057</v>
      </c>
      <c r="AY93" s="279">
        <f t="shared" ca="1" si="147"/>
        <v>-1.1611400975999997</v>
      </c>
      <c r="AZ93" s="279">
        <f t="shared" ca="1" si="148"/>
        <v>-0.66562171200000009</v>
      </c>
      <c r="BA93" s="279">
        <f t="shared" ca="1" si="149"/>
        <v>-0.50291418240000019</v>
      </c>
      <c r="BB93" s="136"/>
      <c r="BC93" s="278">
        <f t="shared" si="159"/>
        <v>0.8</v>
      </c>
      <c r="BD93" s="278">
        <f t="shared" si="160"/>
        <v>0.54666666666666697</v>
      </c>
      <c r="BE93" s="278">
        <f t="shared" si="161"/>
        <v>0.54000000000000015</v>
      </c>
      <c r="BF93" s="278">
        <f t="shared" si="162"/>
        <v>-0.6</v>
      </c>
      <c r="BG93" s="278">
        <f t="shared" si="163"/>
        <v>-1.066666666666666</v>
      </c>
      <c r="BH93" s="278">
        <f t="shared" si="164"/>
        <v>-0.61333333333333373</v>
      </c>
      <c r="BI93" s="279">
        <v>0</v>
      </c>
      <c r="BJ93" s="279">
        <v>0</v>
      </c>
      <c r="BK93" s="279">
        <v>0</v>
      </c>
      <c r="BL93" s="279">
        <f t="shared" ca="1" si="165"/>
        <v>0.88749561600000026</v>
      </c>
      <c r="BM93" s="279">
        <f t="shared" ca="1" si="166"/>
        <v>0.60645533760000048</v>
      </c>
      <c r="BN93" s="279">
        <f t="shared" ca="1" si="167"/>
        <v>0.59905954080000023</v>
      </c>
      <c r="BO93" s="279">
        <f t="shared" ca="1" si="168"/>
        <v>-0.66562171200000009</v>
      </c>
      <c r="BP93" s="279">
        <f t="shared" ca="1" si="169"/>
        <v>-1.1833274879999995</v>
      </c>
      <c r="BQ93" s="279">
        <f t="shared" ca="1" si="170"/>
        <v>-0.68041330560000057</v>
      </c>
      <c r="BR93" s="279">
        <f t="shared" ca="1" si="171"/>
        <v>0</v>
      </c>
      <c r="BS93" s="279">
        <f t="shared" ca="1" si="172"/>
        <v>0</v>
      </c>
      <c r="BT93" s="279">
        <f t="shared" ca="1" si="173"/>
        <v>0</v>
      </c>
    </row>
    <row r="94" spans="1:72" s="252" customFormat="1" ht="17.100000000000001" hidden="1" customHeight="1">
      <c r="A94" s="13"/>
      <c r="B94" s="13"/>
      <c r="AB94" s="13"/>
      <c r="AC94" s="13"/>
      <c r="AD94" s="136"/>
      <c r="AE94" s="136"/>
      <c r="AF94" s="136"/>
      <c r="AG94" s="136"/>
      <c r="AH94" s="252">
        <v>38</v>
      </c>
      <c r="AI94" s="252" t="b">
        <f t="shared" si="140"/>
        <v>0</v>
      </c>
      <c r="AJ94" s="278">
        <f t="shared" si="150"/>
        <v>-0.23333333333333339</v>
      </c>
      <c r="AK94" s="278">
        <f t="shared" si="151"/>
        <v>-0.23333333333333339</v>
      </c>
      <c r="AL94" s="278">
        <f t="shared" si="152"/>
        <v>-9.3333333333333324E-2</v>
      </c>
      <c r="AM94" s="278">
        <f t="shared" si="153"/>
        <v>-0.6</v>
      </c>
      <c r="AN94" s="278">
        <f t="shared" si="154"/>
        <v>-0.97999999999999976</v>
      </c>
      <c r="AO94" s="278">
        <f t="shared" si="155"/>
        <v>-0.58666666666666711</v>
      </c>
      <c r="AP94" s="278">
        <f t="shared" si="156"/>
        <v>-1.0533333333333328</v>
      </c>
      <c r="AQ94" s="278">
        <f t="shared" si="157"/>
        <v>-0.6</v>
      </c>
      <c r="AR94" s="278">
        <f t="shared" si="158"/>
        <v>-0.44666666666666677</v>
      </c>
      <c r="AS94" s="279">
        <f t="shared" ca="1" si="141"/>
        <v>-0.25885288800000011</v>
      </c>
      <c r="AT94" s="279">
        <f t="shared" ca="1" si="142"/>
        <v>-0.25885288800000011</v>
      </c>
      <c r="AU94" s="279">
        <f t="shared" ca="1" si="143"/>
        <v>-0.10354115520000001</v>
      </c>
      <c r="AV94" s="279">
        <f t="shared" ca="1" si="144"/>
        <v>-0.66562171200000009</v>
      </c>
      <c r="AW94" s="279">
        <f t="shared" ca="1" si="145"/>
        <v>-1.0871821295999999</v>
      </c>
      <c r="AX94" s="279">
        <f t="shared" ca="1" si="146"/>
        <v>-0.6508301184000006</v>
      </c>
      <c r="AY94" s="279">
        <f t="shared" ca="1" si="147"/>
        <v>-1.1685358943999997</v>
      </c>
      <c r="AZ94" s="279">
        <f t="shared" ca="1" si="148"/>
        <v>-0.66562171200000009</v>
      </c>
      <c r="BA94" s="279">
        <f t="shared" ca="1" si="149"/>
        <v>-0.49551838560000022</v>
      </c>
      <c r="BB94" s="136"/>
      <c r="BC94" s="278">
        <f t="shared" si="159"/>
        <v>0.8</v>
      </c>
      <c r="BD94" s="278">
        <f t="shared" si="160"/>
        <v>0.55333333333333368</v>
      </c>
      <c r="BE94" s="278">
        <f t="shared" si="161"/>
        <v>0.56000000000000016</v>
      </c>
      <c r="BF94" s="278">
        <f t="shared" si="162"/>
        <v>-0.6</v>
      </c>
      <c r="BG94" s="278">
        <f t="shared" si="163"/>
        <v>-1.0333333333333325</v>
      </c>
      <c r="BH94" s="278">
        <f t="shared" si="164"/>
        <v>-0.58666666666666711</v>
      </c>
      <c r="BI94" s="279">
        <v>0</v>
      </c>
      <c r="BJ94" s="279">
        <v>0</v>
      </c>
      <c r="BK94" s="279">
        <v>0</v>
      </c>
      <c r="BL94" s="279">
        <f t="shared" ca="1" si="165"/>
        <v>0.88749561600000026</v>
      </c>
      <c r="BM94" s="279">
        <f t="shared" ca="1" si="166"/>
        <v>0.6138511344000005</v>
      </c>
      <c r="BN94" s="279">
        <f t="shared" ca="1" si="167"/>
        <v>0.6212469312000003</v>
      </c>
      <c r="BO94" s="279">
        <f t="shared" ca="1" si="168"/>
        <v>-0.66562171200000009</v>
      </c>
      <c r="BP94" s="279">
        <f t="shared" ca="1" si="169"/>
        <v>-1.1463485039999994</v>
      </c>
      <c r="BQ94" s="279">
        <f t="shared" ca="1" si="170"/>
        <v>-0.6508301184000006</v>
      </c>
      <c r="BR94" s="279">
        <f t="shared" ca="1" si="171"/>
        <v>0</v>
      </c>
      <c r="BS94" s="279">
        <f t="shared" ca="1" si="172"/>
        <v>0</v>
      </c>
      <c r="BT94" s="279">
        <f t="shared" ca="1" si="173"/>
        <v>0</v>
      </c>
    </row>
    <row r="95" spans="1:72" s="252" customFormat="1" ht="17.100000000000001" hidden="1" customHeight="1">
      <c r="A95" s="13"/>
      <c r="B95" s="13"/>
      <c r="AB95" s="13"/>
      <c r="AC95" s="13"/>
      <c r="AD95" s="136"/>
      <c r="AE95" s="136"/>
      <c r="AF95" s="136"/>
      <c r="AG95" s="136"/>
      <c r="AH95" s="252">
        <v>39</v>
      </c>
      <c r="AI95" s="252" t="b">
        <f t="shared" si="140"/>
        <v>0</v>
      </c>
      <c r="AJ95" s="278">
        <f t="shared" si="150"/>
        <v>-0.20000000000000007</v>
      </c>
      <c r="AK95" s="278">
        <f t="shared" si="151"/>
        <v>-0.20000000000000007</v>
      </c>
      <c r="AL95" s="278">
        <f t="shared" si="152"/>
        <v>-7.9999999999999988E-2</v>
      </c>
      <c r="AM95" s="278">
        <f t="shared" si="153"/>
        <v>-0.6</v>
      </c>
      <c r="AN95" s="278">
        <f t="shared" si="154"/>
        <v>-0.93999999999999972</v>
      </c>
      <c r="AO95" s="278">
        <f t="shared" si="155"/>
        <v>-0.5600000000000005</v>
      </c>
      <c r="AP95" s="278">
        <f t="shared" si="156"/>
        <v>-1.0599999999999994</v>
      </c>
      <c r="AQ95" s="278">
        <f t="shared" si="157"/>
        <v>-0.6</v>
      </c>
      <c r="AR95" s="278">
        <f t="shared" si="158"/>
        <v>-0.44000000000000011</v>
      </c>
      <c r="AS95" s="279">
        <f t="shared" ca="1" si="141"/>
        <v>-0.22187390400000012</v>
      </c>
      <c r="AT95" s="279">
        <f t="shared" ca="1" si="142"/>
        <v>-0.22187390400000012</v>
      </c>
      <c r="AU95" s="279">
        <f t="shared" ca="1" si="143"/>
        <v>-8.8749561599999999E-2</v>
      </c>
      <c r="AV95" s="279">
        <f t="shared" ca="1" si="144"/>
        <v>-0.66562171200000009</v>
      </c>
      <c r="AW95" s="279">
        <f t="shared" ca="1" si="145"/>
        <v>-1.0428073487999998</v>
      </c>
      <c r="AX95" s="279">
        <f t="shared" ca="1" si="146"/>
        <v>-0.62124693120000063</v>
      </c>
      <c r="AY95" s="279">
        <f t="shared" ca="1" si="147"/>
        <v>-1.1759316911999995</v>
      </c>
      <c r="AZ95" s="279">
        <f t="shared" ca="1" si="148"/>
        <v>-0.66562171200000009</v>
      </c>
      <c r="BA95" s="279">
        <f t="shared" ca="1" si="149"/>
        <v>-0.4881225888000002</v>
      </c>
      <c r="BB95" s="136"/>
      <c r="BC95" s="278">
        <f t="shared" si="159"/>
        <v>0.8</v>
      </c>
      <c r="BD95" s="278">
        <f t="shared" si="160"/>
        <v>0.56000000000000039</v>
      </c>
      <c r="BE95" s="278">
        <f t="shared" si="161"/>
        <v>0.58000000000000018</v>
      </c>
      <c r="BF95" s="278">
        <f t="shared" si="162"/>
        <v>-0.6</v>
      </c>
      <c r="BG95" s="278">
        <f t="shared" si="163"/>
        <v>-0.99999999999999922</v>
      </c>
      <c r="BH95" s="278">
        <f t="shared" si="164"/>
        <v>-0.5600000000000005</v>
      </c>
      <c r="BI95" s="279">
        <v>0</v>
      </c>
      <c r="BJ95" s="279">
        <v>0</v>
      </c>
      <c r="BK95" s="279">
        <v>0</v>
      </c>
      <c r="BL95" s="279">
        <f t="shared" ca="1" si="165"/>
        <v>0.88749561600000026</v>
      </c>
      <c r="BM95" s="279">
        <f t="shared" ca="1" si="166"/>
        <v>0.62124693120000052</v>
      </c>
      <c r="BN95" s="279">
        <f t="shared" ca="1" si="167"/>
        <v>0.64343432160000036</v>
      </c>
      <c r="BO95" s="279">
        <f t="shared" ca="1" si="168"/>
        <v>-0.66562171200000009</v>
      </c>
      <c r="BP95" s="279">
        <f t="shared" ca="1" si="169"/>
        <v>-1.1093695199999993</v>
      </c>
      <c r="BQ95" s="279">
        <f t="shared" ca="1" si="170"/>
        <v>-0.62124693120000063</v>
      </c>
      <c r="BR95" s="279">
        <f t="shared" ca="1" si="171"/>
        <v>0</v>
      </c>
      <c r="BS95" s="279">
        <f t="shared" ca="1" si="172"/>
        <v>0</v>
      </c>
      <c r="BT95" s="279">
        <f t="shared" ca="1" si="173"/>
        <v>0</v>
      </c>
    </row>
    <row r="96" spans="1:72" s="252" customFormat="1" ht="17.100000000000001" hidden="1" customHeight="1">
      <c r="A96" s="13"/>
      <c r="B96" s="13"/>
      <c r="AB96" s="13"/>
      <c r="AC96" s="13"/>
      <c r="AD96" s="136"/>
      <c r="AE96" s="136"/>
      <c r="AF96" s="136"/>
      <c r="AG96" s="136"/>
      <c r="AH96" s="252">
        <v>40</v>
      </c>
      <c r="AI96" s="252" t="b">
        <f t="shared" si="140"/>
        <v>0</v>
      </c>
      <c r="AJ96" s="278">
        <f t="shared" si="150"/>
        <v>-0.16666666666666674</v>
      </c>
      <c r="AK96" s="278">
        <f t="shared" si="151"/>
        <v>-0.16666666666666674</v>
      </c>
      <c r="AL96" s="278">
        <f t="shared" si="152"/>
        <v>-6.6666666666666652E-2</v>
      </c>
      <c r="AM96" s="278">
        <f t="shared" si="153"/>
        <v>-0.6</v>
      </c>
      <c r="AN96" s="278">
        <f t="shared" si="154"/>
        <v>-0.89999999999999969</v>
      </c>
      <c r="AO96" s="278">
        <f t="shared" si="155"/>
        <v>-0.53333333333333388</v>
      </c>
      <c r="AP96" s="278">
        <f t="shared" si="156"/>
        <v>-1.066666666666666</v>
      </c>
      <c r="AQ96" s="278">
        <f t="shared" si="157"/>
        <v>-0.6</v>
      </c>
      <c r="AR96" s="278">
        <f t="shared" si="158"/>
        <v>-0.43333333333333346</v>
      </c>
      <c r="AS96" s="279">
        <f t="shared" ca="1" si="141"/>
        <v>-0.18489492000000013</v>
      </c>
      <c r="AT96" s="279">
        <f t="shared" ca="1" si="142"/>
        <v>-0.18489492000000013</v>
      </c>
      <c r="AU96" s="279">
        <f t="shared" ca="1" si="143"/>
        <v>-7.3957967999999999E-2</v>
      </c>
      <c r="AV96" s="279">
        <f t="shared" ca="1" si="144"/>
        <v>-0.66562171200000009</v>
      </c>
      <c r="AW96" s="279">
        <f t="shared" ca="1" si="145"/>
        <v>-0.9984325679999998</v>
      </c>
      <c r="AX96" s="279">
        <f t="shared" ca="1" si="146"/>
        <v>-0.59166374400000077</v>
      </c>
      <c r="AY96" s="279">
        <f t="shared" ca="1" si="147"/>
        <v>-1.1833274879999995</v>
      </c>
      <c r="AZ96" s="279">
        <f t="shared" ca="1" si="148"/>
        <v>-0.66562171200000009</v>
      </c>
      <c r="BA96" s="279">
        <f t="shared" ca="1" si="149"/>
        <v>-0.48072679200000024</v>
      </c>
      <c r="BB96" s="136"/>
      <c r="BC96" s="278">
        <f t="shared" si="159"/>
        <v>0.8</v>
      </c>
      <c r="BD96" s="278">
        <f t="shared" si="160"/>
        <v>0.5666666666666671</v>
      </c>
      <c r="BE96" s="278">
        <f t="shared" si="161"/>
        <v>0.6000000000000002</v>
      </c>
      <c r="BF96" s="278">
        <f t="shared" si="162"/>
        <v>-0.6</v>
      </c>
      <c r="BG96" s="278">
        <f t="shared" si="163"/>
        <v>-0.9666666666666659</v>
      </c>
      <c r="BH96" s="278">
        <f t="shared" si="164"/>
        <v>-0.53333333333333388</v>
      </c>
      <c r="BI96" s="279">
        <v>0</v>
      </c>
      <c r="BJ96" s="279">
        <v>0</v>
      </c>
      <c r="BK96" s="279">
        <v>0</v>
      </c>
      <c r="BL96" s="279">
        <f t="shared" ca="1" si="165"/>
        <v>0.88749561600000026</v>
      </c>
      <c r="BM96" s="279">
        <f t="shared" ca="1" si="166"/>
        <v>0.62864272800000065</v>
      </c>
      <c r="BN96" s="279">
        <f t="shared" ca="1" si="167"/>
        <v>0.66562171200000031</v>
      </c>
      <c r="BO96" s="279">
        <f t="shared" ca="1" si="168"/>
        <v>-0.66562171200000009</v>
      </c>
      <c r="BP96" s="279">
        <f t="shared" ca="1" si="169"/>
        <v>-1.0723905359999995</v>
      </c>
      <c r="BQ96" s="279">
        <f t="shared" ca="1" si="170"/>
        <v>-0.59166374400000077</v>
      </c>
      <c r="BR96" s="279">
        <f t="shared" ca="1" si="171"/>
        <v>0</v>
      </c>
      <c r="BS96" s="279">
        <f t="shared" ca="1" si="172"/>
        <v>0</v>
      </c>
      <c r="BT96" s="279">
        <f t="shared" ca="1" si="173"/>
        <v>0</v>
      </c>
    </row>
    <row r="97" spans="1:72" s="252" customFormat="1" ht="17.100000000000001" hidden="1" customHeight="1">
      <c r="A97" s="13"/>
      <c r="B97" s="13"/>
      <c r="AB97" s="13"/>
      <c r="AC97" s="13"/>
      <c r="AD97" s="136"/>
      <c r="AE97" s="136"/>
      <c r="AF97" s="136"/>
      <c r="AG97" s="136"/>
      <c r="AH97" s="252">
        <v>41</v>
      </c>
      <c r="AI97" s="252" t="b">
        <f t="shared" si="140"/>
        <v>0</v>
      </c>
      <c r="AJ97" s="278">
        <f t="shared" si="150"/>
        <v>-0.13333333333333341</v>
      </c>
      <c r="AK97" s="278">
        <f t="shared" si="151"/>
        <v>-0.13333333333333341</v>
      </c>
      <c r="AL97" s="278">
        <f t="shared" si="152"/>
        <v>-5.3333333333333316E-2</v>
      </c>
      <c r="AM97" s="278">
        <f t="shared" si="153"/>
        <v>-0.6</v>
      </c>
      <c r="AN97" s="278">
        <f t="shared" si="154"/>
        <v>-0.85999999999999965</v>
      </c>
      <c r="AO97" s="278">
        <f t="shared" si="155"/>
        <v>-0.50666666666666726</v>
      </c>
      <c r="AP97" s="278">
        <f t="shared" si="156"/>
        <v>-1.0733333333333326</v>
      </c>
      <c r="AQ97" s="278">
        <f t="shared" si="157"/>
        <v>-0.6</v>
      </c>
      <c r="AR97" s="278">
        <f t="shared" si="158"/>
        <v>-0.42666666666666681</v>
      </c>
      <c r="AS97" s="279">
        <f t="shared" ca="1" si="141"/>
        <v>-0.14791593600000011</v>
      </c>
      <c r="AT97" s="279">
        <f t="shared" ca="1" si="142"/>
        <v>-0.14791593600000011</v>
      </c>
      <c r="AU97" s="279">
        <f t="shared" ca="1" si="143"/>
        <v>-5.9166374399999992E-2</v>
      </c>
      <c r="AV97" s="279">
        <f t="shared" ca="1" si="144"/>
        <v>-0.66562171200000009</v>
      </c>
      <c r="AW97" s="279">
        <f t="shared" ca="1" si="145"/>
        <v>-0.95405778719999978</v>
      </c>
      <c r="AX97" s="279">
        <f t="shared" ca="1" si="146"/>
        <v>-0.5620805568000008</v>
      </c>
      <c r="AY97" s="279">
        <f t="shared" ca="1" si="147"/>
        <v>-1.1907232847999993</v>
      </c>
      <c r="AZ97" s="279">
        <f t="shared" ca="1" si="148"/>
        <v>-0.66562171200000009</v>
      </c>
      <c r="BA97" s="279">
        <f t="shared" ca="1" si="149"/>
        <v>-0.47333099520000027</v>
      </c>
      <c r="BB97" s="136"/>
      <c r="BC97" s="278">
        <f t="shared" si="159"/>
        <v>0.8</v>
      </c>
      <c r="BD97" s="278">
        <f t="shared" si="160"/>
        <v>0.57333333333333381</v>
      </c>
      <c r="BE97" s="278">
        <f t="shared" si="161"/>
        <v>0.62000000000000022</v>
      </c>
      <c r="BF97" s="278">
        <f t="shared" si="162"/>
        <v>-0.6</v>
      </c>
      <c r="BG97" s="278">
        <f t="shared" si="163"/>
        <v>-0.93333333333333257</v>
      </c>
      <c r="BH97" s="278">
        <f t="shared" si="164"/>
        <v>-0.50666666666666726</v>
      </c>
      <c r="BI97" s="279">
        <v>0</v>
      </c>
      <c r="BJ97" s="279">
        <v>0</v>
      </c>
      <c r="BK97" s="279">
        <v>0</v>
      </c>
      <c r="BL97" s="279">
        <f t="shared" ca="1" si="165"/>
        <v>0.88749561600000026</v>
      </c>
      <c r="BM97" s="279">
        <f t="shared" ca="1" si="166"/>
        <v>0.63603852480000067</v>
      </c>
      <c r="BN97" s="279">
        <f t="shared" ca="1" si="167"/>
        <v>0.68780910240000037</v>
      </c>
      <c r="BO97" s="279">
        <f t="shared" ca="1" si="168"/>
        <v>-0.66562171200000009</v>
      </c>
      <c r="BP97" s="279">
        <f t="shared" ca="1" si="169"/>
        <v>-1.0354115519999993</v>
      </c>
      <c r="BQ97" s="279">
        <f t="shared" ca="1" si="170"/>
        <v>-0.5620805568000008</v>
      </c>
      <c r="BR97" s="279">
        <f t="shared" ca="1" si="171"/>
        <v>0</v>
      </c>
      <c r="BS97" s="279">
        <f t="shared" ca="1" si="172"/>
        <v>0</v>
      </c>
      <c r="BT97" s="279">
        <f t="shared" ca="1" si="173"/>
        <v>0</v>
      </c>
    </row>
    <row r="98" spans="1:72" s="252" customFormat="1" ht="17.100000000000001" hidden="1" customHeight="1">
      <c r="A98" s="13"/>
      <c r="B98" s="13"/>
      <c r="AB98" s="13"/>
      <c r="AC98" s="13"/>
      <c r="AD98" s="136"/>
      <c r="AE98" s="136"/>
      <c r="AF98" s="136"/>
      <c r="AG98" s="136"/>
      <c r="AH98" s="252">
        <v>42</v>
      </c>
      <c r="AI98" s="252" t="b">
        <f t="shared" si="140"/>
        <v>0</v>
      </c>
      <c r="AJ98" s="278">
        <f t="shared" si="150"/>
        <v>-0.10000000000000009</v>
      </c>
      <c r="AK98" s="278">
        <f t="shared" si="151"/>
        <v>-0.10000000000000009</v>
      </c>
      <c r="AL98" s="278">
        <f t="shared" si="152"/>
        <v>-3.999999999999998E-2</v>
      </c>
      <c r="AM98" s="278">
        <f t="shared" si="153"/>
        <v>-0.6</v>
      </c>
      <c r="AN98" s="278">
        <f t="shared" si="154"/>
        <v>-0.81999999999999962</v>
      </c>
      <c r="AO98" s="278">
        <f t="shared" si="155"/>
        <v>-0.48000000000000059</v>
      </c>
      <c r="AP98" s="278">
        <f t="shared" si="156"/>
        <v>-1.0799999999999992</v>
      </c>
      <c r="AQ98" s="278">
        <f t="shared" si="157"/>
        <v>-0.6</v>
      </c>
      <c r="AR98" s="278">
        <f t="shared" si="158"/>
        <v>-0.42000000000000015</v>
      </c>
      <c r="AS98" s="279">
        <f t="shared" ca="1" si="141"/>
        <v>-0.11093695200000012</v>
      </c>
      <c r="AT98" s="279">
        <f t="shared" ca="1" si="142"/>
        <v>-0.11093695200000012</v>
      </c>
      <c r="AU98" s="279">
        <f t="shared" ca="1" si="143"/>
        <v>-4.4374780799999985E-2</v>
      </c>
      <c r="AV98" s="279">
        <f t="shared" ca="1" si="144"/>
        <v>-0.66562171200000009</v>
      </c>
      <c r="AW98" s="279">
        <f t="shared" ca="1" si="145"/>
        <v>-0.90968300639999977</v>
      </c>
      <c r="AX98" s="279">
        <f t="shared" ca="1" si="146"/>
        <v>-0.53249736960000071</v>
      </c>
      <c r="AY98" s="279">
        <f t="shared" ca="1" si="147"/>
        <v>-1.1981190815999994</v>
      </c>
      <c r="AZ98" s="279">
        <f t="shared" ca="1" si="148"/>
        <v>-0.66562171200000009</v>
      </c>
      <c r="BA98" s="279">
        <f t="shared" ca="1" si="149"/>
        <v>-0.46593519840000025</v>
      </c>
      <c r="BB98" s="136"/>
      <c r="BC98" s="278">
        <f t="shared" si="159"/>
        <v>0.8</v>
      </c>
      <c r="BD98" s="278">
        <f t="shared" si="160"/>
        <v>0.58000000000000052</v>
      </c>
      <c r="BE98" s="278">
        <f t="shared" si="161"/>
        <v>0.64000000000000024</v>
      </c>
      <c r="BF98" s="278">
        <f t="shared" si="162"/>
        <v>-0.6</v>
      </c>
      <c r="BG98" s="278">
        <f t="shared" si="163"/>
        <v>-0.89999999999999925</v>
      </c>
      <c r="BH98" s="278">
        <f t="shared" si="164"/>
        <v>-0.48000000000000059</v>
      </c>
      <c r="BI98" s="279">
        <v>0</v>
      </c>
      <c r="BJ98" s="279">
        <v>0</v>
      </c>
      <c r="BK98" s="279">
        <v>0</v>
      </c>
      <c r="BL98" s="279">
        <f t="shared" ca="1" si="165"/>
        <v>0.88749561600000026</v>
      </c>
      <c r="BM98" s="279">
        <f t="shared" ca="1" si="166"/>
        <v>0.64343432160000069</v>
      </c>
      <c r="BN98" s="279">
        <f t="shared" ca="1" si="167"/>
        <v>0.70999649280000043</v>
      </c>
      <c r="BO98" s="279">
        <f t="shared" ca="1" si="168"/>
        <v>-0.66562171200000009</v>
      </c>
      <c r="BP98" s="279">
        <f t="shared" ca="1" si="169"/>
        <v>-0.99843256799999935</v>
      </c>
      <c r="BQ98" s="279">
        <f t="shared" ca="1" si="170"/>
        <v>-0.53249736960000071</v>
      </c>
      <c r="BR98" s="279">
        <f t="shared" ca="1" si="171"/>
        <v>0</v>
      </c>
      <c r="BS98" s="279">
        <f t="shared" ca="1" si="172"/>
        <v>0</v>
      </c>
      <c r="BT98" s="279">
        <f t="shared" ca="1" si="173"/>
        <v>0</v>
      </c>
    </row>
    <row r="99" spans="1:72" s="252" customFormat="1" ht="17.100000000000001" hidden="1" customHeight="1">
      <c r="A99" s="13"/>
      <c r="B99" s="13"/>
      <c r="AB99" s="13"/>
      <c r="AC99" s="13"/>
      <c r="AD99" s="136"/>
      <c r="AE99" s="136"/>
      <c r="AF99" s="136"/>
      <c r="AG99" s="136"/>
      <c r="AH99" s="252">
        <v>43</v>
      </c>
      <c r="AI99" s="252" t="b">
        <f t="shared" si="140"/>
        <v>0</v>
      </c>
      <c r="AJ99" s="278">
        <f t="shared" si="150"/>
        <v>-6.6666666666666763E-2</v>
      </c>
      <c r="AK99" s="278">
        <f t="shared" si="151"/>
        <v>-6.6666666666666763E-2</v>
      </c>
      <c r="AL99" s="278">
        <f t="shared" si="152"/>
        <v>-2.6666666666666644E-2</v>
      </c>
      <c r="AM99" s="278">
        <f t="shared" si="153"/>
        <v>-0.6</v>
      </c>
      <c r="AN99" s="278">
        <f t="shared" si="154"/>
        <v>-0.77999999999999958</v>
      </c>
      <c r="AO99" s="278">
        <f t="shared" si="155"/>
        <v>-0.45333333333333392</v>
      </c>
      <c r="AP99" s="278">
        <f t="shared" si="156"/>
        <v>-1.0866666666666658</v>
      </c>
      <c r="AQ99" s="278">
        <f t="shared" si="157"/>
        <v>-0.6</v>
      </c>
      <c r="AR99" s="278">
        <f t="shared" si="158"/>
        <v>-0.4133333333333335</v>
      </c>
      <c r="AS99" s="279">
        <f t="shared" ca="1" si="141"/>
        <v>-7.3957968000000124E-2</v>
      </c>
      <c r="AT99" s="279">
        <f t="shared" ca="1" si="142"/>
        <v>-7.3957968000000124E-2</v>
      </c>
      <c r="AU99" s="279">
        <f t="shared" ca="1" si="143"/>
        <v>-2.9583187199999982E-2</v>
      </c>
      <c r="AV99" s="279">
        <f t="shared" ca="1" si="144"/>
        <v>-0.66562171200000009</v>
      </c>
      <c r="AW99" s="279">
        <f t="shared" ca="1" si="145"/>
        <v>-0.86530822559999976</v>
      </c>
      <c r="AX99" s="279">
        <f t="shared" ca="1" si="146"/>
        <v>-0.50291418240000074</v>
      </c>
      <c r="AY99" s="279">
        <f t="shared" ca="1" si="147"/>
        <v>-1.2055148783999992</v>
      </c>
      <c r="AZ99" s="279">
        <f t="shared" ca="1" si="148"/>
        <v>-0.66562171200000009</v>
      </c>
      <c r="BA99" s="279">
        <f t="shared" ca="1" si="149"/>
        <v>-0.45853940160000028</v>
      </c>
      <c r="BB99" s="136"/>
      <c r="BC99" s="278">
        <f t="shared" si="159"/>
        <v>0.8</v>
      </c>
      <c r="BD99" s="278">
        <f t="shared" si="160"/>
        <v>0.58666666666666722</v>
      </c>
      <c r="BE99" s="278">
        <f t="shared" si="161"/>
        <v>0.66000000000000025</v>
      </c>
      <c r="BF99" s="278">
        <f t="shared" si="162"/>
        <v>-0.6</v>
      </c>
      <c r="BG99" s="278">
        <f t="shared" si="163"/>
        <v>-0.86666666666666592</v>
      </c>
      <c r="BH99" s="278">
        <f t="shared" si="164"/>
        <v>-0.45333333333333392</v>
      </c>
      <c r="BI99" s="279">
        <v>0</v>
      </c>
      <c r="BJ99" s="279">
        <v>0</v>
      </c>
      <c r="BK99" s="279">
        <v>0</v>
      </c>
      <c r="BL99" s="279">
        <f t="shared" ca="1" si="165"/>
        <v>0.88749561600000026</v>
      </c>
      <c r="BM99" s="279">
        <f t="shared" ca="1" si="166"/>
        <v>0.65083011840000071</v>
      </c>
      <c r="BN99" s="279">
        <f t="shared" ca="1" si="167"/>
        <v>0.73218388320000038</v>
      </c>
      <c r="BO99" s="279">
        <f t="shared" ca="1" si="168"/>
        <v>-0.66562171200000009</v>
      </c>
      <c r="BP99" s="279">
        <f t="shared" ca="1" si="169"/>
        <v>-0.96145358399999936</v>
      </c>
      <c r="BQ99" s="279">
        <f t="shared" ca="1" si="170"/>
        <v>-0.50291418240000074</v>
      </c>
      <c r="BR99" s="279">
        <f t="shared" ca="1" si="171"/>
        <v>0</v>
      </c>
      <c r="BS99" s="279">
        <f t="shared" ca="1" si="172"/>
        <v>0</v>
      </c>
      <c r="BT99" s="279">
        <f t="shared" ca="1" si="173"/>
        <v>0</v>
      </c>
    </row>
    <row r="100" spans="1:72" s="252" customFormat="1" ht="17.100000000000001" hidden="1" customHeight="1">
      <c r="A100" s="13"/>
      <c r="B100" s="13"/>
      <c r="AB100" s="13"/>
      <c r="AC100" s="13"/>
      <c r="AD100" s="136"/>
      <c r="AE100" s="136"/>
      <c r="AF100" s="136"/>
      <c r="AG100" s="136"/>
      <c r="AH100" s="252">
        <v>44</v>
      </c>
      <c r="AI100" s="252" t="b">
        <f t="shared" si="140"/>
        <v>0</v>
      </c>
      <c r="AJ100" s="278">
        <f t="shared" si="150"/>
        <v>-3.333333333333343E-2</v>
      </c>
      <c r="AK100" s="278">
        <f t="shared" si="151"/>
        <v>-3.333333333333343E-2</v>
      </c>
      <c r="AL100" s="278">
        <f t="shared" si="152"/>
        <v>-1.333333333333331E-2</v>
      </c>
      <c r="AM100" s="278">
        <f t="shared" si="153"/>
        <v>-0.6</v>
      </c>
      <c r="AN100" s="278">
        <f t="shared" si="154"/>
        <v>-0.73999999999999955</v>
      </c>
      <c r="AO100" s="278">
        <f t="shared" si="155"/>
        <v>-0.42666666666666725</v>
      </c>
      <c r="AP100" s="278">
        <f t="shared" si="156"/>
        <v>-1.0933333333333324</v>
      </c>
      <c r="AQ100" s="278">
        <f t="shared" si="157"/>
        <v>-0.6</v>
      </c>
      <c r="AR100" s="278">
        <f t="shared" si="158"/>
        <v>-0.40666666666666684</v>
      </c>
      <c r="AS100" s="279">
        <f t="shared" ca="1" si="141"/>
        <v>-3.6978984000000117E-2</v>
      </c>
      <c r="AT100" s="279">
        <f t="shared" ca="1" si="142"/>
        <v>-3.6978984000000117E-2</v>
      </c>
      <c r="AU100" s="279">
        <f t="shared" ca="1" si="143"/>
        <v>-1.4791593599999977E-2</v>
      </c>
      <c r="AV100" s="279">
        <f t="shared" ca="1" si="144"/>
        <v>-0.66562171200000009</v>
      </c>
      <c r="AW100" s="279">
        <f t="shared" ca="1" si="145"/>
        <v>-0.82093344479999963</v>
      </c>
      <c r="AX100" s="279">
        <f t="shared" ca="1" si="146"/>
        <v>-0.47333099520000071</v>
      </c>
      <c r="AY100" s="279">
        <f t="shared" ca="1" si="147"/>
        <v>-1.2129106751999992</v>
      </c>
      <c r="AZ100" s="279">
        <f t="shared" ca="1" si="148"/>
        <v>-0.66562171200000009</v>
      </c>
      <c r="BA100" s="279">
        <f t="shared" ca="1" si="149"/>
        <v>-0.45114360480000026</v>
      </c>
      <c r="BB100" s="136"/>
      <c r="BC100" s="278">
        <f t="shared" si="159"/>
        <v>0.8</v>
      </c>
      <c r="BD100" s="278">
        <f t="shared" si="160"/>
        <v>0.59333333333333393</v>
      </c>
      <c r="BE100" s="278">
        <f t="shared" si="161"/>
        <v>0.68000000000000027</v>
      </c>
      <c r="BF100" s="278">
        <f t="shared" si="162"/>
        <v>-0.6</v>
      </c>
      <c r="BG100" s="278">
        <f t="shared" si="163"/>
        <v>-0.83333333333333259</v>
      </c>
      <c r="BH100" s="278">
        <f t="shared" si="164"/>
        <v>-0.42666666666666725</v>
      </c>
      <c r="BI100" s="279">
        <v>0</v>
      </c>
      <c r="BJ100" s="279">
        <v>0</v>
      </c>
      <c r="BK100" s="279">
        <v>0</v>
      </c>
      <c r="BL100" s="279">
        <f t="shared" ca="1" si="165"/>
        <v>0.88749561600000026</v>
      </c>
      <c r="BM100" s="279">
        <f t="shared" ca="1" si="166"/>
        <v>0.65822591520000084</v>
      </c>
      <c r="BN100" s="279">
        <f t="shared" ca="1" si="167"/>
        <v>0.75437127360000045</v>
      </c>
      <c r="BO100" s="279">
        <f t="shared" ca="1" si="168"/>
        <v>-0.66562171200000009</v>
      </c>
      <c r="BP100" s="279">
        <f t="shared" ca="1" si="169"/>
        <v>-0.92447459999999937</v>
      </c>
      <c r="BQ100" s="279">
        <f t="shared" ca="1" si="170"/>
        <v>-0.47333099520000071</v>
      </c>
      <c r="BR100" s="279">
        <f t="shared" ca="1" si="171"/>
        <v>0</v>
      </c>
      <c r="BS100" s="279">
        <f t="shared" ca="1" si="172"/>
        <v>0</v>
      </c>
      <c r="BT100" s="279">
        <f t="shared" ca="1" si="173"/>
        <v>0</v>
      </c>
    </row>
    <row r="101" spans="1:72" s="252" customFormat="1" ht="17.100000000000001" hidden="1" customHeight="1">
      <c r="A101" s="13"/>
      <c r="B101" s="13"/>
      <c r="AB101" s="13"/>
      <c r="AC101" s="13"/>
      <c r="AD101" s="136"/>
      <c r="AE101" s="136"/>
      <c r="AF101" s="136"/>
      <c r="AG101" s="136"/>
      <c r="AH101" s="280">
        <v>45</v>
      </c>
      <c r="AI101" s="252" t="b">
        <f t="shared" si="140"/>
        <v>0</v>
      </c>
      <c r="AJ101" s="279">
        <v>0</v>
      </c>
      <c r="AK101" s="279">
        <v>0</v>
      </c>
      <c r="AL101" s="279">
        <v>0</v>
      </c>
      <c r="AM101" s="279">
        <v>-0.6</v>
      </c>
      <c r="AN101" s="279">
        <v>-0.7</v>
      </c>
      <c r="AO101" s="279">
        <v>-0.4</v>
      </c>
      <c r="AP101" s="279">
        <v>-1.1000000000000001</v>
      </c>
      <c r="AQ101" s="279">
        <v>-0.6</v>
      </c>
      <c r="AR101" s="279">
        <v>-0.4</v>
      </c>
      <c r="AS101" s="279">
        <f t="shared" ca="1" si="141"/>
        <v>0</v>
      </c>
      <c r="AT101" s="279">
        <f t="shared" ca="1" si="142"/>
        <v>0</v>
      </c>
      <c r="AU101" s="279">
        <f t="shared" ca="1" si="143"/>
        <v>0</v>
      </c>
      <c r="AV101" s="279">
        <f t="shared" ca="1" si="144"/>
        <v>-0.66562171200000009</v>
      </c>
      <c r="AW101" s="279">
        <f t="shared" ca="1" si="145"/>
        <v>-0.77655866400000007</v>
      </c>
      <c r="AX101" s="279">
        <f t="shared" ca="1" si="146"/>
        <v>-0.44374780800000013</v>
      </c>
      <c r="AY101" s="279">
        <f t="shared" ca="1" si="147"/>
        <v>-1.2203064720000003</v>
      </c>
      <c r="AZ101" s="279">
        <f t="shared" ca="1" si="148"/>
        <v>-0.66562171200000009</v>
      </c>
      <c r="BA101" s="279">
        <f t="shared" ca="1" si="149"/>
        <v>-0.44374780800000013</v>
      </c>
      <c r="BB101" s="136"/>
      <c r="BC101" s="279">
        <v>0.8</v>
      </c>
      <c r="BD101" s="279">
        <v>0.6</v>
      </c>
      <c r="BE101" s="279">
        <v>0.7</v>
      </c>
      <c r="BF101" s="279">
        <v>-0.6</v>
      </c>
      <c r="BG101" s="279">
        <v>-0.7</v>
      </c>
      <c r="BH101" s="279">
        <v>-0.4</v>
      </c>
      <c r="BI101" s="279">
        <v>0</v>
      </c>
      <c r="BJ101" s="279">
        <v>0</v>
      </c>
      <c r="BK101" s="279">
        <v>0</v>
      </c>
      <c r="BL101" s="279">
        <f t="shared" ca="1" si="165"/>
        <v>0.88749561600000026</v>
      </c>
      <c r="BM101" s="279">
        <f t="shared" ca="1" si="166"/>
        <v>0.66562171200000009</v>
      </c>
      <c r="BN101" s="279">
        <f t="shared" ca="1" si="167"/>
        <v>0.77655866400000007</v>
      </c>
      <c r="BO101" s="279">
        <f t="shared" ca="1" si="168"/>
        <v>-0.66562171200000009</v>
      </c>
      <c r="BP101" s="279">
        <f t="shared" ca="1" si="169"/>
        <v>-0.77655866400000007</v>
      </c>
      <c r="BQ101" s="279">
        <f t="shared" ca="1" si="170"/>
        <v>-0.44374780800000013</v>
      </c>
      <c r="BR101" s="279">
        <f t="shared" ca="1" si="171"/>
        <v>0</v>
      </c>
      <c r="BS101" s="279">
        <f t="shared" ca="1" si="172"/>
        <v>0</v>
      </c>
      <c r="BT101" s="279">
        <f t="shared" ca="1" si="173"/>
        <v>0</v>
      </c>
    </row>
    <row r="102" spans="1:72" s="252" customFormat="1" ht="17.100000000000001" hidden="1" customHeight="1">
      <c r="A102" s="13"/>
      <c r="B102" s="13"/>
      <c r="AB102" s="13"/>
      <c r="AC102" s="13"/>
      <c r="AD102" s="136"/>
      <c r="AE102" s="136"/>
      <c r="AF102" s="136"/>
      <c r="AG102" s="136"/>
      <c r="AH102" s="252">
        <v>46</v>
      </c>
      <c r="AI102" s="252" t="b">
        <f t="shared" si="140"/>
        <v>0</v>
      </c>
      <c r="AJ102" s="278">
        <f>0.8/15+AJ101</f>
        <v>5.3333333333333337E-2</v>
      </c>
      <c r="AK102" s="278">
        <f>0.8/15+AK101</f>
        <v>5.3333333333333337E-2</v>
      </c>
      <c r="AL102" s="278">
        <f>0.8/15+AL101</f>
        <v>5.3333333333333337E-2</v>
      </c>
      <c r="AM102" s="278">
        <f>-0.1/15+AM101</f>
        <v>-0.60666666666666669</v>
      </c>
      <c r="AN102" s="278">
        <f>0.1/15+AN101</f>
        <v>-0.69333333333333325</v>
      </c>
      <c r="AO102" s="278">
        <f>0.1/15+AO101</f>
        <v>-0.39333333333333337</v>
      </c>
      <c r="AP102" s="278">
        <f>-0.1/15+AP101</f>
        <v>-1.1066666666666667</v>
      </c>
      <c r="AQ102" s="278">
        <f>-0.1/15+AQ101</f>
        <v>-0.60666666666666669</v>
      </c>
      <c r="AR102" s="278">
        <f>-0.2/15+AR101</f>
        <v>-0.41333333333333333</v>
      </c>
      <c r="AS102" s="279">
        <f t="shared" ca="1" si="141"/>
        <v>5.9166374400000013E-2</v>
      </c>
      <c r="AT102" s="279">
        <f t="shared" ca="1" si="142"/>
        <v>5.9166374400000013E-2</v>
      </c>
      <c r="AU102" s="279">
        <f t="shared" ca="1" si="143"/>
        <v>5.9166374400000013E-2</v>
      </c>
      <c r="AV102" s="279">
        <f t="shared" ca="1" si="144"/>
        <v>-0.67301750880000011</v>
      </c>
      <c r="AW102" s="279">
        <f t="shared" ca="1" si="145"/>
        <v>-0.76916286720000004</v>
      </c>
      <c r="AX102" s="279">
        <f t="shared" ca="1" si="146"/>
        <v>-0.43635201120000011</v>
      </c>
      <c r="AY102" s="279">
        <f t="shared" ca="1" si="147"/>
        <v>-1.2277022688000003</v>
      </c>
      <c r="AZ102" s="279">
        <f t="shared" ca="1" si="148"/>
        <v>-0.67301750880000011</v>
      </c>
      <c r="BA102" s="279">
        <f t="shared" ca="1" si="149"/>
        <v>-0.45853940160000006</v>
      </c>
      <c r="BB102" s="136"/>
      <c r="BC102" s="278">
        <f>0/15+BC101</f>
        <v>0.8</v>
      </c>
      <c r="BD102" s="278">
        <f>0.2/15+BD101</f>
        <v>0.61333333333333329</v>
      </c>
      <c r="BE102" s="278">
        <f>0.1/15+BE101</f>
        <v>0.70666666666666667</v>
      </c>
      <c r="BF102" s="278">
        <f>-0.1/15+BF101</f>
        <v>-0.60666666666666669</v>
      </c>
      <c r="BG102" s="278">
        <f>0.1/15+BG101</f>
        <v>-0.69333333333333325</v>
      </c>
      <c r="BH102" s="278">
        <f>0.1/15+BH101</f>
        <v>-0.39333333333333337</v>
      </c>
      <c r="BI102" s="278">
        <f>-1.2/15+BI101</f>
        <v>-0.08</v>
      </c>
      <c r="BJ102" s="278">
        <f>-0.7/15+BJ101</f>
        <v>-4.6666666666666662E-2</v>
      </c>
      <c r="BK102" s="278">
        <f>-0.6/15+BK101</f>
        <v>-0.04</v>
      </c>
      <c r="BL102" s="279">
        <f t="shared" ca="1" si="165"/>
        <v>0.88749561600000026</v>
      </c>
      <c r="BM102" s="279">
        <f t="shared" ca="1" si="166"/>
        <v>0.68041330560000013</v>
      </c>
      <c r="BN102" s="279">
        <f t="shared" ca="1" si="167"/>
        <v>0.7839544608000002</v>
      </c>
      <c r="BO102" s="279">
        <f t="shared" ca="1" si="168"/>
        <v>-0.67301750880000011</v>
      </c>
      <c r="BP102" s="279">
        <f t="shared" ca="1" si="169"/>
        <v>-0.76916286720000004</v>
      </c>
      <c r="BQ102" s="279">
        <f t="shared" ca="1" si="170"/>
        <v>-0.43635201120000011</v>
      </c>
      <c r="BR102" s="279">
        <f t="shared" ca="1" si="171"/>
        <v>-8.8749561600000013E-2</v>
      </c>
      <c r="BS102" s="279">
        <f t="shared" ca="1" si="172"/>
        <v>-5.1770577600000006E-2</v>
      </c>
      <c r="BT102" s="279">
        <f t="shared" ca="1" si="173"/>
        <v>-4.4374780800000006E-2</v>
      </c>
    </row>
    <row r="103" spans="1:72" s="252" customFormat="1" ht="17.100000000000001" hidden="1" customHeight="1">
      <c r="A103" s="13"/>
      <c r="B103" s="13"/>
      <c r="AB103" s="13"/>
      <c r="AC103" s="13"/>
      <c r="AD103" s="136"/>
      <c r="AE103" s="136"/>
      <c r="AF103" s="136"/>
      <c r="AG103" s="136"/>
      <c r="AH103" s="252">
        <v>47</v>
      </c>
      <c r="AI103" s="252" t="b">
        <f t="shared" si="140"/>
        <v>0</v>
      </c>
      <c r="AJ103" s="278">
        <f t="shared" ref="AJ103:AJ115" si="174">0.8/15+AJ102</f>
        <v>0.10666666666666667</v>
      </c>
      <c r="AK103" s="278">
        <f t="shared" ref="AK103:AK115" si="175">0.8/15+AK102</f>
        <v>0.10666666666666667</v>
      </c>
      <c r="AL103" s="278">
        <f t="shared" ref="AL103:AL115" si="176">0.8/15+AL102</f>
        <v>0.10666666666666667</v>
      </c>
      <c r="AM103" s="278">
        <f t="shared" ref="AM103:AM115" si="177">-0.1/15+AM102</f>
        <v>-0.6133333333333334</v>
      </c>
      <c r="AN103" s="278">
        <f t="shared" ref="AN103:AN115" si="178">0.1/15+AN102</f>
        <v>-0.68666666666666654</v>
      </c>
      <c r="AO103" s="278">
        <f t="shared" ref="AO103:AO115" si="179">0.1/15+AO102</f>
        <v>-0.38666666666666671</v>
      </c>
      <c r="AP103" s="278">
        <f t="shared" ref="AP103:AP115" si="180">-0.1/15+AP102</f>
        <v>-1.1133333333333333</v>
      </c>
      <c r="AQ103" s="278">
        <f t="shared" ref="AQ103:AQ115" si="181">-0.1/15+AQ102</f>
        <v>-0.6133333333333334</v>
      </c>
      <c r="AR103" s="278">
        <f t="shared" ref="AR103:AR115" si="182">-0.2/15+AR102</f>
        <v>-0.42666666666666664</v>
      </c>
      <c r="AS103" s="279">
        <f t="shared" ca="1" si="141"/>
        <v>0.11833274880000003</v>
      </c>
      <c r="AT103" s="279">
        <f t="shared" ca="1" si="142"/>
        <v>0.11833274880000003</v>
      </c>
      <c r="AU103" s="279">
        <f t="shared" ca="1" si="143"/>
        <v>0.11833274880000003</v>
      </c>
      <c r="AV103" s="279">
        <f t="shared" ca="1" si="144"/>
        <v>-0.68041330560000024</v>
      </c>
      <c r="AW103" s="279">
        <f t="shared" ca="1" si="145"/>
        <v>-0.76176707040000002</v>
      </c>
      <c r="AX103" s="279">
        <f t="shared" ca="1" si="146"/>
        <v>-0.42895621440000015</v>
      </c>
      <c r="AY103" s="279">
        <f t="shared" ca="1" si="147"/>
        <v>-1.2350980656000001</v>
      </c>
      <c r="AZ103" s="279">
        <f t="shared" ca="1" si="148"/>
        <v>-0.68041330560000024</v>
      </c>
      <c r="BA103" s="279">
        <f t="shared" ca="1" si="149"/>
        <v>-0.47333099520000005</v>
      </c>
      <c r="BB103" s="136"/>
      <c r="BC103" s="278">
        <f t="shared" ref="BC103:BC115" si="183">0/15+BC102</f>
        <v>0.8</v>
      </c>
      <c r="BD103" s="278">
        <f t="shared" ref="BD103:BD115" si="184">0.2/15+BD102</f>
        <v>0.62666666666666659</v>
      </c>
      <c r="BE103" s="278">
        <f t="shared" ref="BE103:BE115" si="185">0.1/15+BE102</f>
        <v>0.71333333333333337</v>
      </c>
      <c r="BF103" s="278">
        <f t="shared" ref="BF103:BF115" si="186">-0.1/15+BF102</f>
        <v>-0.6133333333333334</v>
      </c>
      <c r="BG103" s="278">
        <f t="shared" ref="BG103:BG115" si="187">0.1/15+BG102</f>
        <v>-0.68666666666666654</v>
      </c>
      <c r="BH103" s="278">
        <f t="shared" ref="BH103:BH115" si="188">0.1/15+BH102</f>
        <v>-0.38666666666666671</v>
      </c>
      <c r="BI103" s="278">
        <f t="shared" ref="BI103:BI115" si="189">-1.2/15+BI102</f>
        <v>-0.16</v>
      </c>
      <c r="BJ103" s="278">
        <f t="shared" ref="BJ103:BJ115" si="190">-0.7/15+BJ102</f>
        <v>-9.3333333333333324E-2</v>
      </c>
      <c r="BK103" s="278">
        <f t="shared" ref="BK103:BK115" si="191">-0.6/15+BK102</f>
        <v>-0.08</v>
      </c>
      <c r="BL103" s="279">
        <f t="shared" ca="1" si="165"/>
        <v>0.88749561600000026</v>
      </c>
      <c r="BM103" s="279">
        <f t="shared" ca="1" si="166"/>
        <v>0.69520489920000006</v>
      </c>
      <c r="BN103" s="279">
        <f t="shared" ca="1" si="167"/>
        <v>0.79135025760000022</v>
      </c>
      <c r="BO103" s="279">
        <f t="shared" ca="1" si="168"/>
        <v>-0.68041330560000024</v>
      </c>
      <c r="BP103" s="279">
        <f t="shared" ca="1" si="169"/>
        <v>-0.76176707040000002</v>
      </c>
      <c r="BQ103" s="279">
        <f t="shared" ca="1" si="170"/>
        <v>-0.42895621440000015</v>
      </c>
      <c r="BR103" s="279">
        <f t="shared" ca="1" si="171"/>
        <v>-0.17749912320000003</v>
      </c>
      <c r="BS103" s="279">
        <f t="shared" ca="1" si="172"/>
        <v>-0.10354115520000001</v>
      </c>
      <c r="BT103" s="279">
        <f t="shared" ca="1" si="173"/>
        <v>-8.8749561600000013E-2</v>
      </c>
    </row>
    <row r="104" spans="1:72" s="252" customFormat="1" ht="17.100000000000001" hidden="1" customHeight="1">
      <c r="A104" s="13"/>
      <c r="B104" s="13"/>
      <c r="AB104" s="13"/>
      <c r="AC104" s="13"/>
      <c r="AD104" s="136"/>
      <c r="AE104" s="136"/>
      <c r="AF104" s="136"/>
      <c r="AG104" s="136"/>
      <c r="AH104" s="252">
        <v>48</v>
      </c>
      <c r="AI104" s="252" t="b">
        <f t="shared" si="140"/>
        <v>0</v>
      </c>
      <c r="AJ104" s="278">
        <f t="shared" si="174"/>
        <v>0.16</v>
      </c>
      <c r="AK104" s="278">
        <f t="shared" si="175"/>
        <v>0.16</v>
      </c>
      <c r="AL104" s="278">
        <f t="shared" si="176"/>
        <v>0.16</v>
      </c>
      <c r="AM104" s="278">
        <f t="shared" si="177"/>
        <v>-0.62000000000000011</v>
      </c>
      <c r="AN104" s="278">
        <f t="shared" si="178"/>
        <v>-0.67999999999999983</v>
      </c>
      <c r="AO104" s="278">
        <f t="shared" si="179"/>
        <v>-0.38000000000000006</v>
      </c>
      <c r="AP104" s="278">
        <f t="shared" si="180"/>
        <v>-1.1199999999999999</v>
      </c>
      <c r="AQ104" s="278">
        <f t="shared" si="181"/>
        <v>-0.62000000000000011</v>
      </c>
      <c r="AR104" s="278">
        <f t="shared" si="182"/>
        <v>-0.43999999999999995</v>
      </c>
      <c r="AS104" s="279">
        <f t="shared" ca="1" si="141"/>
        <v>0.17749912320000003</v>
      </c>
      <c r="AT104" s="279">
        <f t="shared" ca="1" si="142"/>
        <v>0.17749912320000003</v>
      </c>
      <c r="AU104" s="279">
        <f t="shared" ca="1" si="143"/>
        <v>0.17749912320000003</v>
      </c>
      <c r="AV104" s="279">
        <f t="shared" ca="1" si="144"/>
        <v>-0.68780910240000026</v>
      </c>
      <c r="AW104" s="279">
        <f t="shared" ca="1" si="145"/>
        <v>-0.7543712736</v>
      </c>
      <c r="AX104" s="279">
        <f t="shared" ca="1" si="146"/>
        <v>-0.42156041760000013</v>
      </c>
      <c r="AY104" s="279">
        <f t="shared" ca="1" si="147"/>
        <v>-1.2424938624000001</v>
      </c>
      <c r="AZ104" s="279">
        <f t="shared" ca="1" si="148"/>
        <v>-0.68780910240000026</v>
      </c>
      <c r="BA104" s="279">
        <f t="shared" ca="1" si="149"/>
        <v>-0.48812258880000003</v>
      </c>
      <c r="BB104" s="136"/>
      <c r="BC104" s="278">
        <f t="shared" si="183"/>
        <v>0.8</v>
      </c>
      <c r="BD104" s="278">
        <f t="shared" si="184"/>
        <v>0.6399999999999999</v>
      </c>
      <c r="BE104" s="278">
        <f t="shared" si="185"/>
        <v>0.72000000000000008</v>
      </c>
      <c r="BF104" s="278">
        <f t="shared" si="186"/>
        <v>-0.62000000000000011</v>
      </c>
      <c r="BG104" s="278">
        <f t="shared" si="187"/>
        <v>-0.67999999999999983</v>
      </c>
      <c r="BH104" s="278">
        <f t="shared" si="188"/>
        <v>-0.38000000000000006</v>
      </c>
      <c r="BI104" s="278">
        <f t="shared" si="189"/>
        <v>-0.24</v>
      </c>
      <c r="BJ104" s="278">
        <f t="shared" si="190"/>
        <v>-0.13999999999999999</v>
      </c>
      <c r="BK104" s="278">
        <f t="shared" si="191"/>
        <v>-0.12</v>
      </c>
      <c r="BL104" s="279">
        <f t="shared" ca="1" si="165"/>
        <v>0.88749561600000026</v>
      </c>
      <c r="BM104" s="279">
        <f t="shared" ca="1" si="166"/>
        <v>0.70999649279999999</v>
      </c>
      <c r="BN104" s="279">
        <f t="shared" ca="1" si="167"/>
        <v>0.79874605440000024</v>
      </c>
      <c r="BO104" s="279">
        <f t="shared" ca="1" si="168"/>
        <v>-0.68780910240000026</v>
      </c>
      <c r="BP104" s="279">
        <f t="shared" ca="1" si="169"/>
        <v>-0.7543712736</v>
      </c>
      <c r="BQ104" s="279">
        <f t="shared" ca="1" si="170"/>
        <v>-0.42156041760000013</v>
      </c>
      <c r="BR104" s="279">
        <f t="shared" ca="1" si="171"/>
        <v>-0.26624868480000002</v>
      </c>
      <c r="BS104" s="279">
        <f t="shared" ca="1" si="172"/>
        <v>-0.15531173280000002</v>
      </c>
      <c r="BT104" s="279">
        <f t="shared" ca="1" si="173"/>
        <v>-0.13312434240000001</v>
      </c>
    </row>
    <row r="105" spans="1:72" s="252" customFormat="1" ht="17.100000000000001" hidden="1" customHeight="1">
      <c r="A105" s="13"/>
      <c r="B105" s="13"/>
      <c r="AB105" s="13"/>
      <c r="AC105" s="13"/>
      <c r="AD105" s="136"/>
      <c r="AE105" s="136"/>
      <c r="AF105" s="136"/>
      <c r="AG105" s="136"/>
      <c r="AH105" s="252">
        <v>49</v>
      </c>
      <c r="AI105" s="252" t="b">
        <f t="shared" si="140"/>
        <v>0</v>
      </c>
      <c r="AJ105" s="278">
        <f t="shared" si="174"/>
        <v>0.21333333333333335</v>
      </c>
      <c r="AK105" s="278">
        <f t="shared" si="175"/>
        <v>0.21333333333333335</v>
      </c>
      <c r="AL105" s="278">
        <f t="shared" si="176"/>
        <v>0.21333333333333335</v>
      </c>
      <c r="AM105" s="278">
        <f t="shared" si="177"/>
        <v>-0.62666666666666682</v>
      </c>
      <c r="AN105" s="278">
        <f t="shared" si="178"/>
        <v>-0.67333333333333312</v>
      </c>
      <c r="AO105" s="278">
        <f t="shared" si="179"/>
        <v>-0.37333333333333341</v>
      </c>
      <c r="AP105" s="278">
        <f t="shared" si="180"/>
        <v>-1.1266666666666665</v>
      </c>
      <c r="AQ105" s="278">
        <f t="shared" si="181"/>
        <v>-0.62666666666666682</v>
      </c>
      <c r="AR105" s="278">
        <f t="shared" si="182"/>
        <v>-0.45333333333333325</v>
      </c>
      <c r="AS105" s="279">
        <f t="shared" ca="1" si="141"/>
        <v>0.23666549760000005</v>
      </c>
      <c r="AT105" s="279">
        <f t="shared" ca="1" si="142"/>
        <v>0.23666549760000005</v>
      </c>
      <c r="AU105" s="279">
        <f t="shared" ca="1" si="143"/>
        <v>0.23666549760000005</v>
      </c>
      <c r="AV105" s="279">
        <f t="shared" ca="1" si="144"/>
        <v>-0.69520489920000028</v>
      </c>
      <c r="AW105" s="279">
        <f t="shared" ca="1" si="145"/>
        <v>-0.74697547679999987</v>
      </c>
      <c r="AX105" s="279">
        <f t="shared" ca="1" si="146"/>
        <v>-0.41416462080000016</v>
      </c>
      <c r="AY105" s="279">
        <f t="shared" ca="1" si="147"/>
        <v>-1.2498896591999999</v>
      </c>
      <c r="AZ105" s="279">
        <f t="shared" ca="1" si="148"/>
        <v>-0.69520489920000028</v>
      </c>
      <c r="BA105" s="279">
        <f t="shared" ca="1" si="149"/>
        <v>-0.50291418239999996</v>
      </c>
      <c r="BB105" s="136"/>
      <c r="BC105" s="278">
        <f t="shared" si="183"/>
        <v>0.8</v>
      </c>
      <c r="BD105" s="278">
        <f t="shared" si="184"/>
        <v>0.65333333333333321</v>
      </c>
      <c r="BE105" s="278">
        <f t="shared" si="185"/>
        <v>0.72666666666666679</v>
      </c>
      <c r="BF105" s="278">
        <f t="shared" si="186"/>
        <v>-0.62666666666666682</v>
      </c>
      <c r="BG105" s="278">
        <f t="shared" si="187"/>
        <v>-0.67333333333333312</v>
      </c>
      <c r="BH105" s="278">
        <f t="shared" si="188"/>
        <v>-0.37333333333333341</v>
      </c>
      <c r="BI105" s="278">
        <f t="shared" si="189"/>
        <v>-0.32</v>
      </c>
      <c r="BJ105" s="278">
        <f t="shared" si="190"/>
        <v>-0.18666666666666665</v>
      </c>
      <c r="BK105" s="278">
        <f t="shared" si="191"/>
        <v>-0.16</v>
      </c>
      <c r="BL105" s="279">
        <f t="shared" ca="1" si="165"/>
        <v>0.88749561600000026</v>
      </c>
      <c r="BM105" s="279">
        <f t="shared" ca="1" si="166"/>
        <v>0.72478808640000003</v>
      </c>
      <c r="BN105" s="279">
        <f t="shared" ca="1" si="167"/>
        <v>0.80614185120000026</v>
      </c>
      <c r="BO105" s="279">
        <f t="shared" ca="1" si="168"/>
        <v>-0.69520489920000028</v>
      </c>
      <c r="BP105" s="279">
        <f t="shared" ca="1" si="169"/>
        <v>-0.74697547679999987</v>
      </c>
      <c r="BQ105" s="279">
        <f t="shared" ca="1" si="170"/>
        <v>-0.41416462080000016</v>
      </c>
      <c r="BR105" s="279">
        <f t="shared" ca="1" si="171"/>
        <v>-0.35499824640000005</v>
      </c>
      <c r="BS105" s="279">
        <f t="shared" ca="1" si="172"/>
        <v>-0.20708231040000002</v>
      </c>
      <c r="BT105" s="279">
        <f t="shared" ca="1" si="173"/>
        <v>-0.17749912320000003</v>
      </c>
    </row>
    <row r="106" spans="1:72" s="252" customFormat="1" ht="17.100000000000001" hidden="1" customHeight="1">
      <c r="A106" s="13"/>
      <c r="B106" s="13"/>
      <c r="AB106" s="13"/>
      <c r="AC106" s="13"/>
      <c r="AD106" s="136"/>
      <c r="AE106" s="136"/>
      <c r="AF106" s="136"/>
      <c r="AG106" s="136"/>
      <c r="AH106" s="252">
        <v>50</v>
      </c>
      <c r="AI106" s="252" t="b">
        <f t="shared" si="140"/>
        <v>0</v>
      </c>
      <c r="AJ106" s="278">
        <f t="shared" si="174"/>
        <v>0.26666666666666666</v>
      </c>
      <c r="AK106" s="278">
        <f t="shared" si="175"/>
        <v>0.26666666666666666</v>
      </c>
      <c r="AL106" s="278">
        <f t="shared" si="176"/>
        <v>0.26666666666666666</v>
      </c>
      <c r="AM106" s="278">
        <f t="shared" si="177"/>
        <v>-0.63333333333333353</v>
      </c>
      <c r="AN106" s="278">
        <f t="shared" si="178"/>
        <v>-0.66666666666666641</v>
      </c>
      <c r="AO106" s="278">
        <f t="shared" si="179"/>
        <v>-0.36666666666666675</v>
      </c>
      <c r="AP106" s="278">
        <f t="shared" si="180"/>
        <v>-1.1333333333333331</v>
      </c>
      <c r="AQ106" s="278">
        <f t="shared" si="181"/>
        <v>-0.63333333333333353</v>
      </c>
      <c r="AR106" s="278">
        <f t="shared" si="182"/>
        <v>-0.46666666666666656</v>
      </c>
      <c r="AS106" s="279">
        <f t="shared" ca="1" si="141"/>
        <v>0.29583187200000005</v>
      </c>
      <c r="AT106" s="279">
        <f t="shared" ca="1" si="142"/>
        <v>0.29583187200000005</v>
      </c>
      <c r="AU106" s="279">
        <f t="shared" ca="1" si="143"/>
        <v>0.29583187200000005</v>
      </c>
      <c r="AV106" s="279">
        <f t="shared" ca="1" si="144"/>
        <v>-0.7026006960000003</v>
      </c>
      <c r="AW106" s="279">
        <f t="shared" ca="1" si="145"/>
        <v>-0.73957967999999985</v>
      </c>
      <c r="AX106" s="279">
        <f t="shared" ca="1" si="146"/>
        <v>-0.4067688240000002</v>
      </c>
      <c r="AY106" s="279">
        <f t="shared" ca="1" si="147"/>
        <v>-1.257285456</v>
      </c>
      <c r="AZ106" s="279">
        <f t="shared" ca="1" si="148"/>
        <v>-0.7026006960000003</v>
      </c>
      <c r="BA106" s="279">
        <f t="shared" ca="1" si="149"/>
        <v>-0.51770577600000001</v>
      </c>
      <c r="BB106" s="136"/>
      <c r="BC106" s="278">
        <f t="shared" si="183"/>
        <v>0.8</v>
      </c>
      <c r="BD106" s="278">
        <f t="shared" si="184"/>
        <v>0.66666666666666652</v>
      </c>
      <c r="BE106" s="278">
        <f t="shared" si="185"/>
        <v>0.7333333333333335</v>
      </c>
      <c r="BF106" s="278">
        <f t="shared" si="186"/>
        <v>-0.63333333333333353</v>
      </c>
      <c r="BG106" s="278">
        <f t="shared" si="187"/>
        <v>-0.66666666666666641</v>
      </c>
      <c r="BH106" s="278">
        <f t="shared" si="188"/>
        <v>-0.36666666666666675</v>
      </c>
      <c r="BI106" s="278">
        <f t="shared" si="189"/>
        <v>-0.4</v>
      </c>
      <c r="BJ106" s="278">
        <f t="shared" si="190"/>
        <v>-0.23333333333333331</v>
      </c>
      <c r="BK106" s="278">
        <f t="shared" si="191"/>
        <v>-0.2</v>
      </c>
      <c r="BL106" s="279">
        <f t="shared" ca="1" si="165"/>
        <v>0.88749561600000026</v>
      </c>
      <c r="BM106" s="279">
        <f t="shared" ca="1" si="166"/>
        <v>0.73957967999999996</v>
      </c>
      <c r="BN106" s="279">
        <f t="shared" ca="1" si="167"/>
        <v>0.81353764800000039</v>
      </c>
      <c r="BO106" s="279">
        <f t="shared" ca="1" si="168"/>
        <v>-0.7026006960000003</v>
      </c>
      <c r="BP106" s="279">
        <f t="shared" ca="1" si="169"/>
        <v>-0.73957967999999985</v>
      </c>
      <c r="BQ106" s="279">
        <f t="shared" ca="1" si="170"/>
        <v>-0.4067688240000002</v>
      </c>
      <c r="BR106" s="279">
        <f t="shared" ca="1" si="171"/>
        <v>-0.44374780800000013</v>
      </c>
      <c r="BS106" s="279">
        <f t="shared" ca="1" si="172"/>
        <v>-0.258852888</v>
      </c>
      <c r="BT106" s="279">
        <f t="shared" ca="1" si="173"/>
        <v>-0.22187390400000007</v>
      </c>
    </row>
    <row r="107" spans="1:72" s="252" customFormat="1" ht="17.100000000000001" hidden="1" customHeight="1">
      <c r="A107" s="13"/>
      <c r="B107" s="13"/>
      <c r="AB107" s="13"/>
      <c r="AC107" s="13"/>
      <c r="AD107" s="136"/>
      <c r="AE107" s="136"/>
      <c r="AF107" s="136"/>
      <c r="AG107" s="136"/>
      <c r="AH107" s="252">
        <v>51</v>
      </c>
      <c r="AI107" s="252" t="b">
        <f t="shared" ref="AI107:AI131" si="192">AND($M$17=AH107)</f>
        <v>0</v>
      </c>
      <c r="AJ107" s="278">
        <f t="shared" si="174"/>
        <v>0.32</v>
      </c>
      <c r="AK107" s="278">
        <f t="shared" si="175"/>
        <v>0.32</v>
      </c>
      <c r="AL107" s="278">
        <f t="shared" si="176"/>
        <v>0.32</v>
      </c>
      <c r="AM107" s="278">
        <f t="shared" si="177"/>
        <v>-0.64000000000000024</v>
      </c>
      <c r="AN107" s="278">
        <f t="shared" si="178"/>
        <v>-0.6599999999999997</v>
      </c>
      <c r="AO107" s="278">
        <f t="shared" si="179"/>
        <v>-0.3600000000000001</v>
      </c>
      <c r="AP107" s="278">
        <f t="shared" si="180"/>
        <v>-1.1399999999999997</v>
      </c>
      <c r="AQ107" s="278">
        <f t="shared" si="181"/>
        <v>-0.64000000000000024</v>
      </c>
      <c r="AR107" s="278">
        <f t="shared" si="182"/>
        <v>-0.47999999999999987</v>
      </c>
      <c r="AS107" s="279">
        <f t="shared" ref="AS107:AS131" ca="1" si="193">1.35*$Z$17*$M$22*AJ107</f>
        <v>0.35499824640000005</v>
      </c>
      <c r="AT107" s="279">
        <f t="shared" ref="AT107:AT131" ca="1" si="194">1.35*$Z$17*$M$22*AK107</f>
        <v>0.35499824640000005</v>
      </c>
      <c r="AU107" s="279">
        <f t="shared" ref="AU107:AU131" ca="1" si="195">1.35*$Z$17*$M$22*AL107</f>
        <v>0.35499824640000005</v>
      </c>
      <c r="AV107" s="279">
        <f t="shared" ref="AV107:AV131" ca="1" si="196">1.35*$Z$17*$M$22*AM107</f>
        <v>-0.70999649280000043</v>
      </c>
      <c r="AW107" s="279">
        <f t="shared" ref="AW107:AW131" ca="1" si="197">1.35*$Z$17*$M$22*AN107</f>
        <v>-0.73218388319999983</v>
      </c>
      <c r="AX107" s="279">
        <f t="shared" ref="AX107:AX131" ca="1" si="198">1.35*$Z$17*$M$22*AO107</f>
        <v>-0.39937302720000017</v>
      </c>
      <c r="AY107" s="279">
        <f t="shared" ref="AY107:AY131" ca="1" si="199">1.35*$Z$17*$M$22*AP107</f>
        <v>-1.2646812528</v>
      </c>
      <c r="AZ107" s="279">
        <f t="shared" ref="AZ107:AZ131" ca="1" si="200">1.35*$Z$17*$M$22*AQ107</f>
        <v>-0.70999649280000043</v>
      </c>
      <c r="BA107" s="279">
        <f t="shared" ref="BA107:BA131" ca="1" si="201">1.35*$Z$17*$M$22*AR107</f>
        <v>-0.53249736959999994</v>
      </c>
      <c r="BB107" s="136"/>
      <c r="BC107" s="278">
        <f t="shared" si="183"/>
        <v>0.8</v>
      </c>
      <c r="BD107" s="278">
        <f t="shared" si="184"/>
        <v>0.67999999999999983</v>
      </c>
      <c r="BE107" s="278">
        <f t="shared" si="185"/>
        <v>0.74000000000000021</v>
      </c>
      <c r="BF107" s="278">
        <f t="shared" si="186"/>
        <v>-0.64000000000000024</v>
      </c>
      <c r="BG107" s="278">
        <f t="shared" si="187"/>
        <v>-0.6599999999999997</v>
      </c>
      <c r="BH107" s="278">
        <f t="shared" si="188"/>
        <v>-0.3600000000000001</v>
      </c>
      <c r="BI107" s="278">
        <f t="shared" si="189"/>
        <v>-0.48000000000000004</v>
      </c>
      <c r="BJ107" s="278">
        <f t="shared" si="190"/>
        <v>-0.27999999999999997</v>
      </c>
      <c r="BK107" s="278">
        <f t="shared" si="191"/>
        <v>-0.24000000000000002</v>
      </c>
      <c r="BL107" s="279">
        <f t="shared" ca="1" si="165"/>
        <v>0.88749561600000026</v>
      </c>
      <c r="BM107" s="279">
        <f t="shared" ca="1" si="166"/>
        <v>0.7543712736</v>
      </c>
      <c r="BN107" s="279">
        <f t="shared" ca="1" si="167"/>
        <v>0.82093344480000041</v>
      </c>
      <c r="BO107" s="279">
        <f t="shared" ca="1" si="168"/>
        <v>-0.70999649280000043</v>
      </c>
      <c r="BP107" s="279">
        <f t="shared" ca="1" si="169"/>
        <v>-0.73218388319999983</v>
      </c>
      <c r="BQ107" s="279">
        <f t="shared" ca="1" si="170"/>
        <v>-0.39937302720000017</v>
      </c>
      <c r="BR107" s="279">
        <f t="shared" ca="1" si="171"/>
        <v>-0.53249736960000016</v>
      </c>
      <c r="BS107" s="279">
        <f t="shared" ca="1" si="172"/>
        <v>-0.31062346560000004</v>
      </c>
      <c r="BT107" s="279">
        <f t="shared" ca="1" si="173"/>
        <v>-0.26624868480000008</v>
      </c>
    </row>
    <row r="108" spans="1:72" s="252" customFormat="1" ht="17.100000000000001" hidden="1" customHeight="1">
      <c r="A108" s="13"/>
      <c r="B108" s="13"/>
      <c r="AB108" s="13"/>
      <c r="AC108" s="13"/>
      <c r="AD108" s="136"/>
      <c r="AE108" s="136"/>
      <c r="AF108" s="136"/>
      <c r="AG108" s="136"/>
      <c r="AH108" s="252">
        <v>52</v>
      </c>
      <c r="AI108" s="252" t="b">
        <f t="shared" si="192"/>
        <v>0</v>
      </c>
      <c r="AJ108" s="278">
        <f t="shared" si="174"/>
        <v>0.37333333333333335</v>
      </c>
      <c r="AK108" s="278">
        <f t="shared" si="175"/>
        <v>0.37333333333333335</v>
      </c>
      <c r="AL108" s="278">
        <f t="shared" si="176"/>
        <v>0.37333333333333335</v>
      </c>
      <c r="AM108" s="278">
        <f t="shared" si="177"/>
        <v>-0.64666666666666694</v>
      </c>
      <c r="AN108" s="278">
        <f t="shared" si="178"/>
        <v>-0.65333333333333299</v>
      </c>
      <c r="AO108" s="278">
        <f t="shared" si="179"/>
        <v>-0.35333333333333344</v>
      </c>
      <c r="AP108" s="278">
        <f t="shared" si="180"/>
        <v>-1.1466666666666663</v>
      </c>
      <c r="AQ108" s="278">
        <f t="shared" si="181"/>
        <v>-0.64666666666666694</v>
      </c>
      <c r="AR108" s="278">
        <f t="shared" si="182"/>
        <v>-0.49333333333333318</v>
      </c>
      <c r="AS108" s="279">
        <f t="shared" ca="1" si="193"/>
        <v>0.41416462080000011</v>
      </c>
      <c r="AT108" s="279">
        <f t="shared" ca="1" si="194"/>
        <v>0.41416462080000011</v>
      </c>
      <c r="AU108" s="279">
        <f t="shared" ca="1" si="195"/>
        <v>0.41416462080000011</v>
      </c>
      <c r="AV108" s="279">
        <f t="shared" ca="1" si="196"/>
        <v>-0.71739228960000045</v>
      </c>
      <c r="AW108" s="279">
        <f t="shared" ca="1" si="197"/>
        <v>-0.72478808639999981</v>
      </c>
      <c r="AX108" s="279">
        <f t="shared" ca="1" si="198"/>
        <v>-0.39197723040000021</v>
      </c>
      <c r="AY108" s="279">
        <f t="shared" ca="1" si="199"/>
        <v>-1.2720770495999998</v>
      </c>
      <c r="AZ108" s="279">
        <f t="shared" ca="1" si="200"/>
        <v>-0.71739228960000045</v>
      </c>
      <c r="BA108" s="279">
        <f t="shared" ca="1" si="201"/>
        <v>-0.54728896319999998</v>
      </c>
      <c r="BB108" s="136"/>
      <c r="BC108" s="278">
        <f t="shared" si="183"/>
        <v>0.8</v>
      </c>
      <c r="BD108" s="278">
        <f t="shared" si="184"/>
        <v>0.69333333333333313</v>
      </c>
      <c r="BE108" s="278">
        <f t="shared" si="185"/>
        <v>0.74666666666666692</v>
      </c>
      <c r="BF108" s="278">
        <f t="shared" si="186"/>
        <v>-0.64666666666666694</v>
      </c>
      <c r="BG108" s="278">
        <f t="shared" si="187"/>
        <v>-0.65333333333333299</v>
      </c>
      <c r="BH108" s="278">
        <f t="shared" si="188"/>
        <v>-0.35333333333333344</v>
      </c>
      <c r="BI108" s="278">
        <f t="shared" si="189"/>
        <v>-0.56000000000000005</v>
      </c>
      <c r="BJ108" s="278">
        <f t="shared" si="190"/>
        <v>-0.32666666666666666</v>
      </c>
      <c r="BK108" s="278">
        <f t="shared" si="191"/>
        <v>-0.28000000000000003</v>
      </c>
      <c r="BL108" s="279">
        <f t="shared" ca="1" si="165"/>
        <v>0.88749561600000026</v>
      </c>
      <c r="BM108" s="279">
        <f t="shared" ca="1" si="166"/>
        <v>0.76916286719999993</v>
      </c>
      <c r="BN108" s="279">
        <f t="shared" ca="1" si="167"/>
        <v>0.82832924160000043</v>
      </c>
      <c r="BO108" s="279">
        <f t="shared" ca="1" si="168"/>
        <v>-0.71739228960000045</v>
      </c>
      <c r="BP108" s="279">
        <f t="shared" ca="1" si="169"/>
        <v>-0.72478808639999981</v>
      </c>
      <c r="BQ108" s="279">
        <f t="shared" ca="1" si="170"/>
        <v>-0.39197723040000021</v>
      </c>
      <c r="BR108" s="279">
        <f t="shared" ca="1" si="171"/>
        <v>-0.62124693120000019</v>
      </c>
      <c r="BS108" s="279">
        <f t="shared" ca="1" si="172"/>
        <v>-0.36239404320000007</v>
      </c>
      <c r="BT108" s="279">
        <f t="shared" ca="1" si="173"/>
        <v>-0.31062346560000009</v>
      </c>
    </row>
    <row r="109" spans="1:72" s="252" customFormat="1" ht="17.100000000000001" hidden="1" customHeight="1">
      <c r="A109" s="13"/>
      <c r="B109" s="13"/>
      <c r="AB109" s="13"/>
      <c r="AC109" s="13"/>
      <c r="AD109" s="136"/>
      <c r="AE109" s="136"/>
      <c r="AF109" s="136"/>
      <c r="AG109" s="136"/>
      <c r="AH109" s="252">
        <v>53</v>
      </c>
      <c r="AI109" s="252" t="b">
        <f t="shared" si="192"/>
        <v>0</v>
      </c>
      <c r="AJ109" s="278">
        <f t="shared" si="174"/>
        <v>0.42666666666666669</v>
      </c>
      <c r="AK109" s="278">
        <f t="shared" si="175"/>
        <v>0.42666666666666669</v>
      </c>
      <c r="AL109" s="278">
        <f t="shared" si="176"/>
        <v>0.42666666666666669</v>
      </c>
      <c r="AM109" s="278">
        <f t="shared" si="177"/>
        <v>-0.65333333333333365</v>
      </c>
      <c r="AN109" s="278">
        <f t="shared" si="178"/>
        <v>-0.64666666666666628</v>
      </c>
      <c r="AO109" s="278">
        <f t="shared" si="179"/>
        <v>-0.34666666666666679</v>
      </c>
      <c r="AP109" s="278">
        <f t="shared" si="180"/>
        <v>-1.1533333333333329</v>
      </c>
      <c r="AQ109" s="278">
        <f t="shared" si="181"/>
        <v>-0.65333333333333365</v>
      </c>
      <c r="AR109" s="278">
        <f t="shared" si="182"/>
        <v>-0.50666666666666649</v>
      </c>
      <c r="AS109" s="279">
        <f t="shared" ca="1" si="193"/>
        <v>0.4733309952000001</v>
      </c>
      <c r="AT109" s="279">
        <f t="shared" ca="1" si="194"/>
        <v>0.4733309952000001</v>
      </c>
      <c r="AU109" s="279">
        <f t="shared" ca="1" si="195"/>
        <v>0.4733309952000001</v>
      </c>
      <c r="AV109" s="279">
        <f t="shared" ca="1" si="196"/>
        <v>-0.72478808640000048</v>
      </c>
      <c r="AW109" s="279">
        <f t="shared" ca="1" si="197"/>
        <v>-0.71739228959999968</v>
      </c>
      <c r="AX109" s="279">
        <f t="shared" ca="1" si="198"/>
        <v>-0.38458143360000019</v>
      </c>
      <c r="AY109" s="279">
        <f t="shared" ca="1" si="199"/>
        <v>-1.2794728463999998</v>
      </c>
      <c r="AZ109" s="279">
        <f t="shared" ca="1" si="200"/>
        <v>-0.72478808640000048</v>
      </c>
      <c r="BA109" s="279">
        <f t="shared" ca="1" si="201"/>
        <v>-0.56208055679999991</v>
      </c>
      <c r="BB109" s="136"/>
      <c r="BC109" s="278">
        <f t="shared" si="183"/>
        <v>0.8</v>
      </c>
      <c r="BD109" s="278">
        <f t="shared" si="184"/>
        <v>0.70666666666666644</v>
      </c>
      <c r="BE109" s="278">
        <f t="shared" si="185"/>
        <v>0.75333333333333363</v>
      </c>
      <c r="BF109" s="278">
        <f t="shared" si="186"/>
        <v>-0.65333333333333365</v>
      </c>
      <c r="BG109" s="278">
        <f t="shared" si="187"/>
        <v>-0.64666666666666628</v>
      </c>
      <c r="BH109" s="278">
        <f t="shared" si="188"/>
        <v>-0.34666666666666679</v>
      </c>
      <c r="BI109" s="278">
        <f t="shared" si="189"/>
        <v>-0.64</v>
      </c>
      <c r="BJ109" s="278">
        <f t="shared" si="190"/>
        <v>-0.37333333333333329</v>
      </c>
      <c r="BK109" s="278">
        <f t="shared" si="191"/>
        <v>-0.32</v>
      </c>
      <c r="BL109" s="279">
        <f t="shared" ca="1" si="165"/>
        <v>0.88749561600000026</v>
      </c>
      <c r="BM109" s="279">
        <f t="shared" ca="1" si="166"/>
        <v>0.78395446079999986</v>
      </c>
      <c r="BN109" s="279">
        <f t="shared" ca="1" si="167"/>
        <v>0.83572503840000045</v>
      </c>
      <c r="BO109" s="279">
        <f t="shared" ca="1" si="168"/>
        <v>-0.72478808640000048</v>
      </c>
      <c r="BP109" s="279">
        <f t="shared" ca="1" si="169"/>
        <v>-0.71739228959999968</v>
      </c>
      <c r="BQ109" s="279">
        <f t="shared" ca="1" si="170"/>
        <v>-0.38458143360000019</v>
      </c>
      <c r="BR109" s="279">
        <f t="shared" ca="1" si="171"/>
        <v>-0.7099964928000001</v>
      </c>
      <c r="BS109" s="279">
        <f t="shared" ca="1" si="172"/>
        <v>-0.41416462080000005</v>
      </c>
      <c r="BT109" s="279">
        <f t="shared" ca="1" si="173"/>
        <v>-0.35499824640000005</v>
      </c>
    </row>
    <row r="110" spans="1:72" s="252" customFormat="1" ht="17.100000000000001" hidden="1" customHeight="1">
      <c r="A110" s="13"/>
      <c r="B110" s="13"/>
      <c r="AB110" s="13"/>
      <c r="AC110" s="13"/>
      <c r="AD110" s="136"/>
      <c r="AE110" s="136"/>
      <c r="AF110" s="136"/>
      <c r="AG110" s="136"/>
      <c r="AH110" s="252">
        <v>54</v>
      </c>
      <c r="AI110" s="252" t="b">
        <f t="shared" si="192"/>
        <v>0</v>
      </c>
      <c r="AJ110" s="278">
        <f t="shared" si="174"/>
        <v>0.48000000000000004</v>
      </c>
      <c r="AK110" s="278">
        <f t="shared" si="175"/>
        <v>0.48000000000000004</v>
      </c>
      <c r="AL110" s="278">
        <f t="shared" si="176"/>
        <v>0.48000000000000004</v>
      </c>
      <c r="AM110" s="278">
        <f t="shared" si="177"/>
        <v>-0.66000000000000036</v>
      </c>
      <c r="AN110" s="278">
        <f t="shared" si="178"/>
        <v>-0.63999999999999957</v>
      </c>
      <c r="AO110" s="278">
        <f t="shared" si="179"/>
        <v>-0.34000000000000014</v>
      </c>
      <c r="AP110" s="278">
        <f t="shared" si="180"/>
        <v>-1.1599999999999995</v>
      </c>
      <c r="AQ110" s="278">
        <f t="shared" si="181"/>
        <v>-0.66000000000000036</v>
      </c>
      <c r="AR110" s="278">
        <f t="shared" si="182"/>
        <v>-0.5199999999999998</v>
      </c>
      <c r="AS110" s="279">
        <f t="shared" ca="1" si="193"/>
        <v>0.53249736960000016</v>
      </c>
      <c r="AT110" s="279">
        <f t="shared" ca="1" si="194"/>
        <v>0.53249736960000016</v>
      </c>
      <c r="AU110" s="279">
        <f t="shared" ca="1" si="195"/>
        <v>0.53249736960000016</v>
      </c>
      <c r="AV110" s="279">
        <f t="shared" ca="1" si="196"/>
        <v>-0.7321838832000005</v>
      </c>
      <c r="AW110" s="279">
        <f t="shared" ca="1" si="197"/>
        <v>-0.70999649279999966</v>
      </c>
      <c r="AX110" s="279">
        <f t="shared" ca="1" si="198"/>
        <v>-0.37718563680000022</v>
      </c>
      <c r="AY110" s="279">
        <f t="shared" ca="1" si="199"/>
        <v>-1.2868686431999996</v>
      </c>
      <c r="AZ110" s="279">
        <f t="shared" ca="1" si="200"/>
        <v>-0.7321838832000005</v>
      </c>
      <c r="BA110" s="279">
        <f t="shared" ca="1" si="201"/>
        <v>-0.57687215039999984</v>
      </c>
      <c r="BB110" s="136"/>
      <c r="BC110" s="278">
        <f t="shared" si="183"/>
        <v>0.8</v>
      </c>
      <c r="BD110" s="278">
        <f t="shared" si="184"/>
        <v>0.71999999999999975</v>
      </c>
      <c r="BE110" s="278">
        <f t="shared" si="185"/>
        <v>0.76000000000000034</v>
      </c>
      <c r="BF110" s="278">
        <f t="shared" si="186"/>
        <v>-0.66000000000000036</v>
      </c>
      <c r="BG110" s="278">
        <f t="shared" si="187"/>
        <v>-0.63999999999999957</v>
      </c>
      <c r="BH110" s="278">
        <f t="shared" si="188"/>
        <v>-0.34000000000000014</v>
      </c>
      <c r="BI110" s="278">
        <f t="shared" si="189"/>
        <v>-0.72</v>
      </c>
      <c r="BJ110" s="278">
        <f t="shared" si="190"/>
        <v>-0.41999999999999993</v>
      </c>
      <c r="BK110" s="278">
        <f t="shared" si="191"/>
        <v>-0.36</v>
      </c>
      <c r="BL110" s="279">
        <f t="shared" ca="1" si="165"/>
        <v>0.88749561600000026</v>
      </c>
      <c r="BM110" s="279">
        <f t="shared" ca="1" si="166"/>
        <v>0.79874605439999991</v>
      </c>
      <c r="BN110" s="279">
        <f t="shared" ca="1" si="167"/>
        <v>0.84312083520000058</v>
      </c>
      <c r="BO110" s="279">
        <f t="shared" ca="1" si="168"/>
        <v>-0.7321838832000005</v>
      </c>
      <c r="BP110" s="279">
        <f t="shared" ca="1" si="169"/>
        <v>-0.70999649279999966</v>
      </c>
      <c r="BQ110" s="279">
        <f t="shared" ca="1" si="170"/>
        <v>-0.37718563680000022</v>
      </c>
      <c r="BR110" s="279">
        <f t="shared" ca="1" si="171"/>
        <v>-0.79874605440000013</v>
      </c>
      <c r="BS110" s="279">
        <f t="shared" ca="1" si="172"/>
        <v>-0.46593519840000003</v>
      </c>
      <c r="BT110" s="279">
        <f t="shared" ca="1" si="173"/>
        <v>-0.39937302720000006</v>
      </c>
    </row>
    <row r="111" spans="1:72" s="252" customFormat="1" ht="17.100000000000001" hidden="1"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6"/>
      <c r="AE111" s="136"/>
      <c r="AF111" s="136"/>
      <c r="AG111" s="136"/>
      <c r="AH111" s="252">
        <v>55</v>
      </c>
      <c r="AI111" s="252" t="b">
        <f t="shared" si="192"/>
        <v>0</v>
      </c>
      <c r="AJ111" s="278">
        <f t="shared" si="174"/>
        <v>0.53333333333333333</v>
      </c>
      <c r="AK111" s="278">
        <f t="shared" si="175"/>
        <v>0.53333333333333333</v>
      </c>
      <c r="AL111" s="278">
        <f t="shared" si="176"/>
        <v>0.53333333333333333</v>
      </c>
      <c r="AM111" s="278">
        <f t="shared" si="177"/>
        <v>-0.66666666666666707</v>
      </c>
      <c r="AN111" s="278">
        <f t="shared" si="178"/>
        <v>-0.63333333333333286</v>
      </c>
      <c r="AO111" s="278">
        <f t="shared" si="179"/>
        <v>-0.33333333333333348</v>
      </c>
      <c r="AP111" s="278">
        <f t="shared" si="180"/>
        <v>-1.1666666666666661</v>
      </c>
      <c r="AQ111" s="278">
        <f t="shared" si="181"/>
        <v>-0.66666666666666707</v>
      </c>
      <c r="AR111" s="278">
        <f t="shared" si="182"/>
        <v>-0.5333333333333331</v>
      </c>
      <c r="AS111" s="279">
        <f t="shared" ca="1" si="193"/>
        <v>0.5916637440000001</v>
      </c>
      <c r="AT111" s="279">
        <f t="shared" ca="1" si="194"/>
        <v>0.5916637440000001</v>
      </c>
      <c r="AU111" s="279">
        <f t="shared" ca="1" si="195"/>
        <v>0.5916637440000001</v>
      </c>
      <c r="AV111" s="279">
        <f t="shared" ca="1" si="196"/>
        <v>-0.73957968000000063</v>
      </c>
      <c r="AW111" s="279">
        <f t="shared" ca="1" si="197"/>
        <v>-0.70260069599999964</v>
      </c>
      <c r="AX111" s="279">
        <f t="shared" ca="1" si="198"/>
        <v>-0.36978984000000026</v>
      </c>
      <c r="AY111" s="279">
        <f t="shared" ca="1" si="199"/>
        <v>-1.2942644399999996</v>
      </c>
      <c r="AZ111" s="279">
        <f t="shared" ca="1" si="200"/>
        <v>-0.73957968000000063</v>
      </c>
      <c r="BA111" s="279">
        <f t="shared" ca="1" si="201"/>
        <v>-0.59166374399999988</v>
      </c>
      <c r="BB111" s="136"/>
      <c r="BC111" s="278">
        <f t="shared" si="183"/>
        <v>0.8</v>
      </c>
      <c r="BD111" s="278">
        <f t="shared" si="184"/>
        <v>0.73333333333333306</v>
      </c>
      <c r="BE111" s="278">
        <f t="shared" si="185"/>
        <v>0.76666666666666705</v>
      </c>
      <c r="BF111" s="278">
        <f t="shared" si="186"/>
        <v>-0.66666666666666707</v>
      </c>
      <c r="BG111" s="278">
        <f t="shared" si="187"/>
        <v>-0.63333333333333286</v>
      </c>
      <c r="BH111" s="278">
        <f t="shared" si="188"/>
        <v>-0.33333333333333348</v>
      </c>
      <c r="BI111" s="278">
        <f t="shared" si="189"/>
        <v>-0.79999999999999993</v>
      </c>
      <c r="BJ111" s="278">
        <f t="shared" si="190"/>
        <v>-0.46666666666666656</v>
      </c>
      <c r="BK111" s="278">
        <f t="shared" si="191"/>
        <v>-0.39999999999999997</v>
      </c>
      <c r="BL111" s="279">
        <f t="shared" ca="1" si="165"/>
        <v>0.88749561600000026</v>
      </c>
      <c r="BM111" s="279">
        <f t="shared" ca="1" si="166"/>
        <v>0.81353764799999984</v>
      </c>
      <c r="BN111" s="279">
        <f t="shared" ca="1" si="167"/>
        <v>0.85051663200000061</v>
      </c>
      <c r="BO111" s="279">
        <f t="shared" ca="1" si="168"/>
        <v>-0.73957968000000063</v>
      </c>
      <c r="BP111" s="279">
        <f t="shared" ca="1" si="169"/>
        <v>-0.70260069599999964</v>
      </c>
      <c r="BQ111" s="279">
        <f t="shared" ca="1" si="170"/>
        <v>-0.36978984000000026</v>
      </c>
      <c r="BR111" s="279">
        <f t="shared" ca="1" si="171"/>
        <v>-0.88749561600000015</v>
      </c>
      <c r="BS111" s="279">
        <f t="shared" ca="1" si="172"/>
        <v>-0.51770577600000001</v>
      </c>
      <c r="BT111" s="279">
        <f t="shared" ca="1" si="173"/>
        <v>-0.44374780800000008</v>
      </c>
    </row>
    <row r="112" spans="1:72" s="252" customFormat="1" ht="17.100000000000001" hidden="1"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6"/>
      <c r="AE112" s="136"/>
      <c r="AF112" s="136"/>
      <c r="AG112" s="136"/>
      <c r="AH112" s="252">
        <v>56</v>
      </c>
      <c r="AI112" s="252" t="b">
        <f t="shared" si="192"/>
        <v>0</v>
      </c>
      <c r="AJ112" s="278">
        <f t="shared" si="174"/>
        <v>0.58666666666666667</v>
      </c>
      <c r="AK112" s="278">
        <f t="shared" si="175"/>
        <v>0.58666666666666667</v>
      </c>
      <c r="AL112" s="278">
        <f t="shared" si="176"/>
        <v>0.58666666666666667</v>
      </c>
      <c r="AM112" s="278">
        <f t="shared" si="177"/>
        <v>-0.67333333333333378</v>
      </c>
      <c r="AN112" s="278">
        <f t="shared" si="178"/>
        <v>-0.62666666666666615</v>
      </c>
      <c r="AO112" s="278">
        <f t="shared" si="179"/>
        <v>-0.32666666666666683</v>
      </c>
      <c r="AP112" s="278">
        <f t="shared" si="180"/>
        <v>-1.1733333333333327</v>
      </c>
      <c r="AQ112" s="278">
        <f t="shared" si="181"/>
        <v>-0.67333333333333378</v>
      </c>
      <c r="AR112" s="278">
        <f t="shared" si="182"/>
        <v>-0.54666666666666641</v>
      </c>
      <c r="AS112" s="279">
        <f t="shared" ca="1" si="193"/>
        <v>0.65083011840000016</v>
      </c>
      <c r="AT112" s="279">
        <f t="shared" ca="1" si="194"/>
        <v>0.65083011840000016</v>
      </c>
      <c r="AU112" s="279">
        <f t="shared" ca="1" si="195"/>
        <v>0.65083011840000016</v>
      </c>
      <c r="AV112" s="279">
        <f t="shared" ca="1" si="196"/>
        <v>-0.74697547680000065</v>
      </c>
      <c r="AW112" s="279">
        <f t="shared" ca="1" si="197"/>
        <v>-0.69520489919999962</v>
      </c>
      <c r="AX112" s="279">
        <f t="shared" ca="1" si="198"/>
        <v>-0.36239404320000024</v>
      </c>
      <c r="AY112" s="279">
        <f t="shared" ca="1" si="199"/>
        <v>-1.3016602367999994</v>
      </c>
      <c r="AZ112" s="279">
        <f t="shared" ca="1" si="200"/>
        <v>-0.74697547680000065</v>
      </c>
      <c r="BA112" s="279">
        <f t="shared" ca="1" si="201"/>
        <v>-0.60645533759999981</v>
      </c>
      <c r="BB112" s="136"/>
      <c r="BC112" s="278">
        <f t="shared" si="183"/>
        <v>0.8</v>
      </c>
      <c r="BD112" s="278">
        <f t="shared" si="184"/>
        <v>0.74666666666666637</v>
      </c>
      <c r="BE112" s="278">
        <f t="shared" si="185"/>
        <v>0.77333333333333376</v>
      </c>
      <c r="BF112" s="278">
        <f t="shared" si="186"/>
        <v>-0.67333333333333378</v>
      </c>
      <c r="BG112" s="278">
        <f t="shared" si="187"/>
        <v>-0.62666666666666615</v>
      </c>
      <c r="BH112" s="278">
        <f t="shared" si="188"/>
        <v>-0.32666666666666683</v>
      </c>
      <c r="BI112" s="278">
        <f t="shared" si="189"/>
        <v>-0.87999999999999989</v>
      </c>
      <c r="BJ112" s="278">
        <f t="shared" si="190"/>
        <v>-0.5133333333333332</v>
      </c>
      <c r="BK112" s="278">
        <f t="shared" si="191"/>
        <v>-0.43999999999999995</v>
      </c>
      <c r="BL112" s="279">
        <f t="shared" ca="1" si="165"/>
        <v>0.88749561600000026</v>
      </c>
      <c r="BM112" s="279">
        <f t="shared" ca="1" si="166"/>
        <v>0.82832924159999988</v>
      </c>
      <c r="BN112" s="279">
        <f t="shared" ca="1" si="167"/>
        <v>0.85791242880000063</v>
      </c>
      <c r="BO112" s="279">
        <f t="shared" ca="1" si="168"/>
        <v>-0.74697547680000065</v>
      </c>
      <c r="BP112" s="279">
        <f t="shared" ca="1" si="169"/>
        <v>-0.69520489919999962</v>
      </c>
      <c r="BQ112" s="279">
        <f t="shared" ca="1" si="170"/>
        <v>-0.36239404320000024</v>
      </c>
      <c r="BR112" s="279">
        <f t="shared" ca="1" si="171"/>
        <v>-0.97624517760000007</v>
      </c>
      <c r="BS112" s="279">
        <f t="shared" ca="1" si="172"/>
        <v>-0.56947635359999993</v>
      </c>
      <c r="BT112" s="279">
        <f t="shared" ca="1" si="173"/>
        <v>-0.48812258880000003</v>
      </c>
    </row>
    <row r="113" spans="1:72" s="252" customFormat="1" ht="17.100000000000001" hidden="1"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6"/>
      <c r="AE113" s="136"/>
      <c r="AF113" s="136"/>
      <c r="AG113" s="136"/>
      <c r="AH113" s="252">
        <v>57</v>
      </c>
      <c r="AI113" s="252" t="b">
        <f t="shared" si="192"/>
        <v>0</v>
      </c>
      <c r="AJ113" s="278">
        <f t="shared" si="174"/>
        <v>0.64</v>
      </c>
      <c r="AK113" s="278">
        <f t="shared" si="175"/>
        <v>0.64</v>
      </c>
      <c r="AL113" s="278">
        <f t="shared" si="176"/>
        <v>0.64</v>
      </c>
      <c r="AM113" s="278">
        <f t="shared" si="177"/>
        <v>-0.68000000000000049</v>
      </c>
      <c r="AN113" s="278">
        <f t="shared" si="178"/>
        <v>-0.61999999999999944</v>
      </c>
      <c r="AO113" s="278">
        <f t="shared" si="179"/>
        <v>-0.32000000000000017</v>
      </c>
      <c r="AP113" s="278">
        <f t="shared" si="180"/>
        <v>-1.1799999999999993</v>
      </c>
      <c r="AQ113" s="278">
        <f t="shared" si="181"/>
        <v>-0.68000000000000049</v>
      </c>
      <c r="AR113" s="278">
        <f t="shared" si="182"/>
        <v>-0.55999999999999972</v>
      </c>
      <c r="AS113" s="279">
        <f t="shared" ca="1" si="193"/>
        <v>0.7099964928000001</v>
      </c>
      <c r="AT113" s="279">
        <f t="shared" ca="1" si="194"/>
        <v>0.7099964928000001</v>
      </c>
      <c r="AU113" s="279">
        <f t="shared" ca="1" si="195"/>
        <v>0.7099964928000001</v>
      </c>
      <c r="AV113" s="279">
        <f t="shared" ca="1" si="196"/>
        <v>-0.75437127360000067</v>
      </c>
      <c r="AW113" s="279">
        <f t="shared" ca="1" si="197"/>
        <v>-0.68780910239999948</v>
      </c>
      <c r="AX113" s="279">
        <f t="shared" ca="1" si="198"/>
        <v>-0.35499824640000027</v>
      </c>
      <c r="AY113" s="279">
        <f t="shared" ca="1" si="199"/>
        <v>-1.3090560335999994</v>
      </c>
      <c r="AZ113" s="279">
        <f t="shared" ca="1" si="200"/>
        <v>-0.75437127360000067</v>
      </c>
      <c r="BA113" s="279">
        <f t="shared" ca="1" si="201"/>
        <v>-0.62124693119999985</v>
      </c>
      <c r="BB113" s="136"/>
      <c r="BC113" s="278">
        <f t="shared" si="183"/>
        <v>0.8</v>
      </c>
      <c r="BD113" s="278">
        <f t="shared" si="184"/>
        <v>0.75999999999999968</v>
      </c>
      <c r="BE113" s="278">
        <f t="shared" si="185"/>
        <v>0.78000000000000047</v>
      </c>
      <c r="BF113" s="278">
        <f t="shared" si="186"/>
        <v>-0.68000000000000049</v>
      </c>
      <c r="BG113" s="278">
        <f t="shared" si="187"/>
        <v>-0.61999999999999944</v>
      </c>
      <c r="BH113" s="278">
        <f t="shared" si="188"/>
        <v>-0.32000000000000017</v>
      </c>
      <c r="BI113" s="278">
        <f t="shared" si="189"/>
        <v>-0.95999999999999985</v>
      </c>
      <c r="BJ113" s="278">
        <f t="shared" si="190"/>
        <v>-0.55999999999999983</v>
      </c>
      <c r="BK113" s="278">
        <f t="shared" si="191"/>
        <v>-0.47999999999999993</v>
      </c>
      <c r="BL113" s="279">
        <f t="shared" ca="1" si="165"/>
        <v>0.88749561600000026</v>
      </c>
      <c r="BM113" s="279">
        <f t="shared" ca="1" si="166"/>
        <v>0.84312083519999981</v>
      </c>
      <c r="BN113" s="279">
        <f t="shared" ca="1" si="167"/>
        <v>0.86530822560000065</v>
      </c>
      <c r="BO113" s="279">
        <f t="shared" ca="1" si="168"/>
        <v>-0.75437127360000067</v>
      </c>
      <c r="BP113" s="279">
        <f t="shared" ca="1" si="169"/>
        <v>-0.68780910239999948</v>
      </c>
      <c r="BQ113" s="279">
        <f t="shared" ca="1" si="170"/>
        <v>-0.35499824640000027</v>
      </c>
      <c r="BR113" s="279">
        <f t="shared" ca="1" si="171"/>
        <v>-1.0649947392000001</v>
      </c>
      <c r="BS113" s="279">
        <f t="shared" ca="1" si="172"/>
        <v>-0.62124693119999996</v>
      </c>
      <c r="BT113" s="279">
        <f t="shared" ca="1" si="173"/>
        <v>-0.53249736960000005</v>
      </c>
    </row>
    <row r="114" spans="1:72" s="252" customFormat="1" ht="17.100000000000001" hidden="1"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6"/>
      <c r="AE114" s="136"/>
      <c r="AF114" s="136"/>
      <c r="AG114" s="136"/>
      <c r="AH114" s="252">
        <v>58</v>
      </c>
      <c r="AI114" s="252" t="b">
        <f t="shared" si="192"/>
        <v>0</v>
      </c>
      <c r="AJ114" s="278">
        <f t="shared" si="174"/>
        <v>0.69333333333333336</v>
      </c>
      <c r="AK114" s="278">
        <f t="shared" si="175"/>
        <v>0.69333333333333336</v>
      </c>
      <c r="AL114" s="278">
        <f t="shared" si="176"/>
        <v>0.69333333333333336</v>
      </c>
      <c r="AM114" s="278">
        <f t="shared" si="177"/>
        <v>-0.6866666666666672</v>
      </c>
      <c r="AN114" s="278">
        <f t="shared" si="178"/>
        <v>-0.61333333333333273</v>
      </c>
      <c r="AO114" s="278">
        <f t="shared" si="179"/>
        <v>-0.31333333333333352</v>
      </c>
      <c r="AP114" s="278">
        <f t="shared" si="180"/>
        <v>-1.1866666666666659</v>
      </c>
      <c r="AQ114" s="278">
        <f t="shared" si="181"/>
        <v>-0.6866666666666672</v>
      </c>
      <c r="AR114" s="278">
        <f t="shared" si="182"/>
        <v>-0.57333333333333303</v>
      </c>
      <c r="AS114" s="279">
        <f t="shared" ca="1" si="193"/>
        <v>0.76916286720000016</v>
      </c>
      <c r="AT114" s="279">
        <f t="shared" ca="1" si="194"/>
        <v>0.76916286720000016</v>
      </c>
      <c r="AU114" s="279">
        <f t="shared" ca="1" si="195"/>
        <v>0.76916286720000016</v>
      </c>
      <c r="AV114" s="279">
        <f t="shared" ca="1" si="196"/>
        <v>-0.7617670704000008</v>
      </c>
      <c r="AW114" s="279">
        <f t="shared" ca="1" si="197"/>
        <v>-0.68041330559999946</v>
      </c>
      <c r="AX114" s="279">
        <f t="shared" ca="1" si="198"/>
        <v>-0.34760244960000025</v>
      </c>
      <c r="AY114" s="279">
        <f t="shared" ca="1" si="199"/>
        <v>-1.3164518303999995</v>
      </c>
      <c r="AZ114" s="279">
        <f t="shared" ca="1" si="200"/>
        <v>-0.7617670704000008</v>
      </c>
      <c r="BA114" s="279">
        <f t="shared" ca="1" si="201"/>
        <v>-0.63603852479999978</v>
      </c>
      <c r="BB114" s="136"/>
      <c r="BC114" s="278">
        <f t="shared" si="183"/>
        <v>0.8</v>
      </c>
      <c r="BD114" s="278">
        <f t="shared" si="184"/>
        <v>0.77333333333333298</v>
      </c>
      <c r="BE114" s="278">
        <f t="shared" si="185"/>
        <v>0.78666666666666718</v>
      </c>
      <c r="BF114" s="278">
        <f t="shared" si="186"/>
        <v>-0.6866666666666672</v>
      </c>
      <c r="BG114" s="278">
        <f t="shared" si="187"/>
        <v>-0.61333333333333273</v>
      </c>
      <c r="BH114" s="278">
        <f t="shared" si="188"/>
        <v>-0.31333333333333352</v>
      </c>
      <c r="BI114" s="278">
        <f t="shared" si="189"/>
        <v>-1.0399999999999998</v>
      </c>
      <c r="BJ114" s="278">
        <f t="shared" si="190"/>
        <v>-0.60666666666666647</v>
      </c>
      <c r="BK114" s="278">
        <f t="shared" si="191"/>
        <v>-0.51999999999999991</v>
      </c>
      <c r="BL114" s="279">
        <f t="shared" ca="1" si="165"/>
        <v>0.88749561600000026</v>
      </c>
      <c r="BM114" s="279">
        <f t="shared" ca="1" si="166"/>
        <v>0.85791242879999974</v>
      </c>
      <c r="BN114" s="279">
        <f t="shared" ca="1" si="167"/>
        <v>0.87270402240000078</v>
      </c>
      <c r="BO114" s="279">
        <f t="shared" ca="1" si="168"/>
        <v>-0.7617670704000008</v>
      </c>
      <c r="BP114" s="279">
        <f t="shared" ca="1" si="169"/>
        <v>-0.68041330559999946</v>
      </c>
      <c r="BQ114" s="279">
        <f t="shared" ca="1" si="170"/>
        <v>-0.34760244960000025</v>
      </c>
      <c r="BR114" s="279">
        <f t="shared" ca="1" si="171"/>
        <v>-1.1537443008000001</v>
      </c>
      <c r="BS114" s="279">
        <f t="shared" ca="1" si="172"/>
        <v>-0.67301750879999989</v>
      </c>
      <c r="BT114" s="279">
        <f t="shared" ca="1" si="173"/>
        <v>-0.57687215040000006</v>
      </c>
    </row>
    <row r="115" spans="1:72" s="252" customFormat="1" ht="17.100000000000001" hidden="1"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6"/>
      <c r="AE115" s="136"/>
      <c r="AF115" s="136"/>
      <c r="AG115" s="136"/>
      <c r="AH115" s="252">
        <v>59</v>
      </c>
      <c r="AI115" s="252" t="b">
        <f t="shared" si="192"/>
        <v>0</v>
      </c>
      <c r="AJ115" s="278">
        <f t="shared" si="174"/>
        <v>0.7466666666666667</v>
      </c>
      <c r="AK115" s="278">
        <f t="shared" si="175"/>
        <v>0.7466666666666667</v>
      </c>
      <c r="AL115" s="278">
        <f t="shared" si="176"/>
        <v>0.7466666666666667</v>
      </c>
      <c r="AM115" s="278">
        <f t="shared" si="177"/>
        <v>-0.69333333333333391</v>
      </c>
      <c r="AN115" s="278">
        <f t="shared" si="178"/>
        <v>-0.60666666666666602</v>
      </c>
      <c r="AO115" s="278">
        <f t="shared" si="179"/>
        <v>-0.30666666666666687</v>
      </c>
      <c r="AP115" s="278">
        <f t="shared" si="180"/>
        <v>-1.1933333333333325</v>
      </c>
      <c r="AQ115" s="278">
        <f t="shared" si="181"/>
        <v>-0.69333333333333391</v>
      </c>
      <c r="AR115" s="278">
        <f t="shared" si="182"/>
        <v>-0.58666666666666634</v>
      </c>
      <c r="AS115" s="279">
        <f t="shared" ca="1" si="193"/>
        <v>0.82832924160000021</v>
      </c>
      <c r="AT115" s="279">
        <f t="shared" ca="1" si="194"/>
        <v>0.82832924160000021</v>
      </c>
      <c r="AU115" s="279">
        <f t="shared" ca="1" si="195"/>
        <v>0.82832924160000021</v>
      </c>
      <c r="AV115" s="279">
        <f t="shared" ca="1" si="196"/>
        <v>-0.76916286720000082</v>
      </c>
      <c r="AW115" s="279">
        <f t="shared" ca="1" si="197"/>
        <v>-0.67301750879999944</v>
      </c>
      <c r="AX115" s="279">
        <f t="shared" ca="1" si="198"/>
        <v>-0.34020665280000029</v>
      </c>
      <c r="AY115" s="279">
        <f t="shared" ca="1" si="199"/>
        <v>-1.3238476271999993</v>
      </c>
      <c r="AZ115" s="279">
        <f t="shared" ca="1" si="200"/>
        <v>-0.76916286720000082</v>
      </c>
      <c r="BA115" s="279">
        <f t="shared" ca="1" si="201"/>
        <v>-0.65083011839999971</v>
      </c>
      <c r="BB115" s="136"/>
      <c r="BC115" s="278">
        <f t="shared" si="183"/>
        <v>0.8</v>
      </c>
      <c r="BD115" s="278">
        <f t="shared" si="184"/>
        <v>0.78666666666666629</v>
      </c>
      <c r="BE115" s="278">
        <f t="shared" si="185"/>
        <v>0.79333333333333389</v>
      </c>
      <c r="BF115" s="278">
        <f t="shared" si="186"/>
        <v>-0.69333333333333391</v>
      </c>
      <c r="BG115" s="278">
        <f t="shared" si="187"/>
        <v>-0.60666666666666602</v>
      </c>
      <c r="BH115" s="278">
        <f t="shared" si="188"/>
        <v>-0.30666666666666687</v>
      </c>
      <c r="BI115" s="278">
        <f t="shared" si="189"/>
        <v>-1.1199999999999999</v>
      </c>
      <c r="BJ115" s="278">
        <f t="shared" si="190"/>
        <v>-0.6533333333333331</v>
      </c>
      <c r="BK115" s="278">
        <f t="shared" si="191"/>
        <v>-0.55999999999999994</v>
      </c>
      <c r="BL115" s="279">
        <f t="shared" ca="1" si="165"/>
        <v>0.88749561600000026</v>
      </c>
      <c r="BM115" s="279">
        <f t="shared" ca="1" si="166"/>
        <v>0.87270402239999978</v>
      </c>
      <c r="BN115" s="279">
        <f t="shared" ca="1" si="167"/>
        <v>0.8800998192000008</v>
      </c>
      <c r="BO115" s="279">
        <f t="shared" ca="1" si="168"/>
        <v>-0.76916286720000082</v>
      </c>
      <c r="BP115" s="279">
        <f t="shared" ca="1" si="169"/>
        <v>-0.67301750879999944</v>
      </c>
      <c r="BQ115" s="279">
        <f t="shared" ca="1" si="170"/>
        <v>-0.34020665280000029</v>
      </c>
      <c r="BR115" s="279">
        <f t="shared" ca="1" si="171"/>
        <v>-1.2424938624000001</v>
      </c>
      <c r="BS115" s="279">
        <f t="shared" ca="1" si="172"/>
        <v>-0.72478808639999992</v>
      </c>
      <c r="BT115" s="279">
        <f t="shared" ca="1" si="173"/>
        <v>-0.62124693120000007</v>
      </c>
    </row>
    <row r="116" spans="1:72" s="252" customFormat="1" ht="17.100000000000001" hidden="1"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6"/>
      <c r="AE116" s="136"/>
      <c r="AF116" s="136"/>
      <c r="AG116" s="136"/>
      <c r="AH116" s="280">
        <v>60</v>
      </c>
      <c r="AI116" s="252" t="b">
        <f t="shared" si="192"/>
        <v>0</v>
      </c>
      <c r="AJ116" s="279">
        <v>0.8</v>
      </c>
      <c r="AK116" s="279">
        <v>0.8</v>
      </c>
      <c r="AL116" s="279">
        <v>0.8</v>
      </c>
      <c r="AM116" s="279">
        <v>-0.7</v>
      </c>
      <c r="AN116" s="279">
        <v>-0.6</v>
      </c>
      <c r="AO116" s="279">
        <v>-0.3</v>
      </c>
      <c r="AP116" s="279">
        <v>-1.2</v>
      </c>
      <c r="AQ116" s="279">
        <v>-0.7</v>
      </c>
      <c r="AR116" s="279">
        <v>-0.6</v>
      </c>
      <c r="AS116" s="279">
        <f t="shared" ca="1" si="193"/>
        <v>0.88749561600000026</v>
      </c>
      <c r="AT116" s="279">
        <f t="shared" ca="1" si="194"/>
        <v>0.88749561600000026</v>
      </c>
      <c r="AU116" s="279">
        <f t="shared" ca="1" si="195"/>
        <v>0.88749561600000026</v>
      </c>
      <c r="AV116" s="279">
        <f t="shared" ca="1" si="196"/>
        <v>-0.77655866400000007</v>
      </c>
      <c r="AW116" s="279">
        <f t="shared" ca="1" si="197"/>
        <v>-0.66562171200000009</v>
      </c>
      <c r="AX116" s="279">
        <f t="shared" ca="1" si="198"/>
        <v>-0.33281085600000004</v>
      </c>
      <c r="AY116" s="279">
        <f t="shared" ca="1" si="199"/>
        <v>-1.3312434240000002</v>
      </c>
      <c r="AZ116" s="279">
        <f t="shared" ca="1" si="200"/>
        <v>-0.77655866400000007</v>
      </c>
      <c r="BA116" s="279">
        <f t="shared" ca="1" si="201"/>
        <v>-0.66562171200000009</v>
      </c>
      <c r="BB116" s="136"/>
      <c r="BC116" s="279">
        <v>0.8</v>
      </c>
      <c r="BD116" s="279">
        <v>0.8</v>
      </c>
      <c r="BE116" s="279">
        <v>0.8</v>
      </c>
      <c r="BF116" s="279">
        <v>-0.7</v>
      </c>
      <c r="BG116" s="279">
        <v>-0.6</v>
      </c>
      <c r="BH116" s="279">
        <v>-0.3</v>
      </c>
      <c r="BI116" s="279">
        <v>-1.2</v>
      </c>
      <c r="BJ116" s="279">
        <v>-0.7</v>
      </c>
      <c r="BK116" s="279">
        <v>-0.6</v>
      </c>
      <c r="BL116" s="279">
        <f t="shared" ca="1" si="165"/>
        <v>0.88749561600000026</v>
      </c>
      <c r="BM116" s="279">
        <f t="shared" ca="1" si="166"/>
        <v>0.88749561600000026</v>
      </c>
      <c r="BN116" s="279">
        <f t="shared" ca="1" si="167"/>
        <v>0.88749561600000026</v>
      </c>
      <c r="BO116" s="279">
        <f t="shared" ca="1" si="168"/>
        <v>-0.77655866400000007</v>
      </c>
      <c r="BP116" s="279">
        <f t="shared" ca="1" si="169"/>
        <v>-0.66562171200000009</v>
      </c>
      <c r="BQ116" s="279">
        <f t="shared" ca="1" si="170"/>
        <v>-0.33281085600000004</v>
      </c>
      <c r="BR116" s="279">
        <f t="shared" ca="1" si="171"/>
        <v>-1.3312434240000002</v>
      </c>
      <c r="BS116" s="279">
        <f t="shared" ca="1" si="172"/>
        <v>-0.77655866400000007</v>
      </c>
      <c r="BT116" s="279">
        <f t="shared" ca="1" si="173"/>
        <v>-0.66562171200000009</v>
      </c>
    </row>
    <row r="117" spans="1:72" s="252" customFormat="1" ht="17.100000000000001" hidden="1"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6"/>
      <c r="AE117" s="136"/>
      <c r="AF117" s="136"/>
      <c r="AG117" s="136"/>
      <c r="AH117" s="252">
        <v>61</v>
      </c>
      <c r="AI117" s="252" t="b">
        <f t="shared" si="192"/>
        <v>0</v>
      </c>
      <c r="AJ117" s="278">
        <f>0+AJ116</f>
        <v>0.8</v>
      </c>
      <c r="AK117" s="278">
        <f>0+AK116</f>
        <v>0.8</v>
      </c>
      <c r="AL117" s="278">
        <f>0+AL116</f>
        <v>0.8</v>
      </c>
      <c r="AM117" s="278">
        <f>-0.5/15+AM116</f>
        <v>-0.73333333333333328</v>
      </c>
      <c r="AN117" s="278">
        <f>0+AN116</f>
        <v>-0.6</v>
      </c>
      <c r="AO117" s="278">
        <f>0+AO116</f>
        <v>-0.3</v>
      </c>
      <c r="AP117" s="278">
        <f>0+AP116</f>
        <v>-1.2</v>
      </c>
      <c r="AQ117" s="278">
        <f>0+AQ116</f>
        <v>-0.7</v>
      </c>
      <c r="AR117" s="278">
        <f>0+AR116</f>
        <v>-0.6</v>
      </c>
      <c r="AS117" s="279">
        <f t="shared" ca="1" si="193"/>
        <v>0.88749561600000026</v>
      </c>
      <c r="AT117" s="279">
        <f t="shared" ca="1" si="194"/>
        <v>0.88749561600000026</v>
      </c>
      <c r="AU117" s="279">
        <f t="shared" ca="1" si="195"/>
        <v>0.88749561600000026</v>
      </c>
      <c r="AV117" s="279">
        <f t="shared" ca="1" si="196"/>
        <v>-0.81353764800000006</v>
      </c>
      <c r="AW117" s="279">
        <f t="shared" ca="1" si="197"/>
        <v>-0.66562171200000009</v>
      </c>
      <c r="AX117" s="279">
        <f t="shared" ca="1" si="198"/>
        <v>-0.33281085600000004</v>
      </c>
      <c r="AY117" s="279">
        <f t="shared" ca="1" si="199"/>
        <v>-1.3312434240000002</v>
      </c>
      <c r="AZ117" s="279">
        <f t="shared" ca="1" si="200"/>
        <v>-0.77655866400000007</v>
      </c>
      <c r="BA117" s="279">
        <f t="shared" ca="1" si="201"/>
        <v>-0.66562171200000009</v>
      </c>
      <c r="BB117" s="136"/>
      <c r="BC117" s="278">
        <f>0+BC116</f>
        <v>0.8</v>
      </c>
      <c r="BD117" s="278">
        <f>0+BD116</f>
        <v>0.8</v>
      </c>
      <c r="BE117" s="278">
        <f>0+BE116</f>
        <v>0.8</v>
      </c>
      <c r="BF117" s="278">
        <f>-0.5/15+BF116</f>
        <v>-0.73333333333333328</v>
      </c>
      <c r="BG117" s="278">
        <f>0+BG116</f>
        <v>-0.6</v>
      </c>
      <c r="BH117" s="278">
        <f>0+BH116</f>
        <v>-0.3</v>
      </c>
      <c r="BI117" s="278">
        <f>0+BI116</f>
        <v>-1.2</v>
      </c>
      <c r="BJ117" s="278">
        <f>0+BJ116</f>
        <v>-0.7</v>
      </c>
      <c r="BK117" s="278">
        <f>0+BK116</f>
        <v>-0.6</v>
      </c>
      <c r="BL117" s="279">
        <f t="shared" ca="1" si="165"/>
        <v>0.88749561600000026</v>
      </c>
      <c r="BM117" s="279">
        <f t="shared" ca="1" si="166"/>
        <v>0.88749561600000026</v>
      </c>
      <c r="BN117" s="279">
        <f t="shared" ca="1" si="167"/>
        <v>0.88749561600000026</v>
      </c>
      <c r="BO117" s="279">
        <f t="shared" ca="1" si="168"/>
        <v>-0.81353764800000006</v>
      </c>
      <c r="BP117" s="279">
        <f t="shared" ca="1" si="169"/>
        <v>-0.66562171200000009</v>
      </c>
      <c r="BQ117" s="279">
        <f t="shared" ca="1" si="170"/>
        <v>-0.33281085600000004</v>
      </c>
      <c r="BR117" s="279">
        <f t="shared" ca="1" si="171"/>
        <v>-1.3312434240000002</v>
      </c>
      <c r="BS117" s="279">
        <f t="shared" ca="1" si="172"/>
        <v>-0.77655866400000007</v>
      </c>
      <c r="BT117" s="279">
        <f t="shared" ca="1" si="173"/>
        <v>-0.66562171200000009</v>
      </c>
    </row>
    <row r="118" spans="1:72" s="252" customFormat="1" ht="17.100000000000001" hidden="1"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6"/>
      <c r="AE118" s="136"/>
      <c r="AF118" s="136"/>
      <c r="AG118" s="136"/>
      <c r="AH118" s="252">
        <v>62</v>
      </c>
      <c r="AI118" s="252" t="b">
        <f t="shared" si="192"/>
        <v>0</v>
      </c>
      <c r="AJ118" s="278">
        <f t="shared" ref="AJ118:AJ130" si="202">0+AJ117</f>
        <v>0.8</v>
      </c>
      <c r="AK118" s="278">
        <f t="shared" ref="AK118:AK130" si="203">0+AK117</f>
        <v>0.8</v>
      </c>
      <c r="AL118" s="278">
        <f t="shared" ref="AL118:AL130" si="204">0+AL117</f>
        <v>0.8</v>
      </c>
      <c r="AM118" s="278">
        <f t="shared" ref="AM118:AM130" si="205">-0.5/15+AM117</f>
        <v>-0.76666666666666661</v>
      </c>
      <c r="AN118" s="278">
        <f t="shared" ref="AN118:AN130" si="206">0+AN117</f>
        <v>-0.6</v>
      </c>
      <c r="AO118" s="278">
        <f t="shared" ref="AO118:AO130" si="207">0+AO117</f>
        <v>-0.3</v>
      </c>
      <c r="AP118" s="278">
        <f t="shared" ref="AP118:AP130" si="208">0+AP117</f>
        <v>-1.2</v>
      </c>
      <c r="AQ118" s="278">
        <f t="shared" ref="AQ118:AQ130" si="209">0+AQ117</f>
        <v>-0.7</v>
      </c>
      <c r="AR118" s="278">
        <f t="shared" ref="AR118:AR130" si="210">0+AR117</f>
        <v>-0.6</v>
      </c>
      <c r="AS118" s="279">
        <f t="shared" ca="1" si="193"/>
        <v>0.88749561600000026</v>
      </c>
      <c r="AT118" s="279">
        <f t="shared" ca="1" si="194"/>
        <v>0.88749561600000026</v>
      </c>
      <c r="AU118" s="279">
        <f t="shared" ca="1" si="195"/>
        <v>0.88749561600000026</v>
      </c>
      <c r="AV118" s="279">
        <f t="shared" ca="1" si="196"/>
        <v>-0.85051663200000005</v>
      </c>
      <c r="AW118" s="279">
        <f t="shared" ca="1" si="197"/>
        <v>-0.66562171200000009</v>
      </c>
      <c r="AX118" s="279">
        <f t="shared" ca="1" si="198"/>
        <v>-0.33281085600000004</v>
      </c>
      <c r="AY118" s="279">
        <f t="shared" ca="1" si="199"/>
        <v>-1.3312434240000002</v>
      </c>
      <c r="AZ118" s="279">
        <f t="shared" ca="1" si="200"/>
        <v>-0.77655866400000007</v>
      </c>
      <c r="BA118" s="279">
        <f t="shared" ca="1" si="201"/>
        <v>-0.66562171200000009</v>
      </c>
      <c r="BB118" s="136"/>
      <c r="BC118" s="278">
        <f t="shared" ref="BC118:BE130" si="211">0+BC117</f>
        <v>0.8</v>
      </c>
      <c r="BD118" s="278">
        <f t="shared" si="211"/>
        <v>0.8</v>
      </c>
      <c r="BE118" s="278">
        <f t="shared" si="211"/>
        <v>0.8</v>
      </c>
      <c r="BF118" s="278">
        <f t="shared" ref="BF118:BF130" si="212">-0.5/15+BF117</f>
        <v>-0.76666666666666661</v>
      </c>
      <c r="BG118" s="278">
        <f t="shared" ref="BG118:BK130" si="213">0+BG117</f>
        <v>-0.6</v>
      </c>
      <c r="BH118" s="278">
        <f t="shared" si="213"/>
        <v>-0.3</v>
      </c>
      <c r="BI118" s="278">
        <f t="shared" si="213"/>
        <v>-1.2</v>
      </c>
      <c r="BJ118" s="278">
        <f t="shared" si="213"/>
        <v>-0.7</v>
      </c>
      <c r="BK118" s="278">
        <f t="shared" si="213"/>
        <v>-0.6</v>
      </c>
      <c r="BL118" s="279">
        <f t="shared" ca="1" si="165"/>
        <v>0.88749561600000026</v>
      </c>
      <c r="BM118" s="279">
        <f t="shared" ca="1" si="166"/>
        <v>0.88749561600000026</v>
      </c>
      <c r="BN118" s="279">
        <f t="shared" ca="1" si="167"/>
        <v>0.88749561600000026</v>
      </c>
      <c r="BO118" s="279">
        <f t="shared" ca="1" si="168"/>
        <v>-0.85051663200000005</v>
      </c>
      <c r="BP118" s="279">
        <f t="shared" ca="1" si="169"/>
        <v>-0.66562171200000009</v>
      </c>
      <c r="BQ118" s="279">
        <f t="shared" ca="1" si="170"/>
        <v>-0.33281085600000004</v>
      </c>
      <c r="BR118" s="279">
        <f t="shared" ca="1" si="171"/>
        <v>-1.3312434240000002</v>
      </c>
      <c r="BS118" s="279">
        <f t="shared" ca="1" si="172"/>
        <v>-0.77655866400000007</v>
      </c>
      <c r="BT118" s="279">
        <f t="shared" ca="1" si="173"/>
        <v>-0.66562171200000009</v>
      </c>
    </row>
    <row r="119" spans="1:72" s="252" customFormat="1" ht="17.100000000000001" hidden="1"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6"/>
      <c r="AE119" s="136"/>
      <c r="AF119" s="136"/>
      <c r="AG119" s="136"/>
      <c r="AH119" s="252">
        <v>63</v>
      </c>
      <c r="AI119" s="252" t="b">
        <f t="shared" si="192"/>
        <v>0</v>
      </c>
      <c r="AJ119" s="278">
        <f t="shared" si="202"/>
        <v>0.8</v>
      </c>
      <c r="AK119" s="278">
        <f t="shared" si="203"/>
        <v>0.8</v>
      </c>
      <c r="AL119" s="278">
        <f t="shared" si="204"/>
        <v>0.8</v>
      </c>
      <c r="AM119" s="278">
        <f t="shared" si="205"/>
        <v>-0.79999999999999993</v>
      </c>
      <c r="AN119" s="278">
        <f t="shared" si="206"/>
        <v>-0.6</v>
      </c>
      <c r="AO119" s="278">
        <f t="shared" si="207"/>
        <v>-0.3</v>
      </c>
      <c r="AP119" s="278">
        <f t="shared" si="208"/>
        <v>-1.2</v>
      </c>
      <c r="AQ119" s="278">
        <f t="shared" si="209"/>
        <v>-0.7</v>
      </c>
      <c r="AR119" s="278">
        <f t="shared" si="210"/>
        <v>-0.6</v>
      </c>
      <c r="AS119" s="279">
        <f t="shared" ca="1" si="193"/>
        <v>0.88749561600000026</v>
      </c>
      <c r="AT119" s="279">
        <f t="shared" ca="1" si="194"/>
        <v>0.88749561600000026</v>
      </c>
      <c r="AU119" s="279">
        <f t="shared" ca="1" si="195"/>
        <v>0.88749561600000026</v>
      </c>
      <c r="AV119" s="279">
        <f t="shared" ca="1" si="196"/>
        <v>-0.88749561600000015</v>
      </c>
      <c r="AW119" s="279">
        <f t="shared" ca="1" si="197"/>
        <v>-0.66562171200000009</v>
      </c>
      <c r="AX119" s="279">
        <f t="shared" ca="1" si="198"/>
        <v>-0.33281085600000004</v>
      </c>
      <c r="AY119" s="279">
        <f t="shared" ca="1" si="199"/>
        <v>-1.3312434240000002</v>
      </c>
      <c r="AZ119" s="279">
        <f t="shared" ca="1" si="200"/>
        <v>-0.77655866400000007</v>
      </c>
      <c r="BA119" s="279">
        <f t="shared" ca="1" si="201"/>
        <v>-0.66562171200000009</v>
      </c>
      <c r="BB119" s="136"/>
      <c r="BC119" s="278">
        <f t="shared" si="211"/>
        <v>0.8</v>
      </c>
      <c r="BD119" s="278">
        <f t="shared" si="211"/>
        <v>0.8</v>
      </c>
      <c r="BE119" s="278">
        <f t="shared" si="211"/>
        <v>0.8</v>
      </c>
      <c r="BF119" s="278">
        <f t="shared" si="212"/>
        <v>-0.79999999999999993</v>
      </c>
      <c r="BG119" s="278">
        <f t="shared" si="213"/>
        <v>-0.6</v>
      </c>
      <c r="BH119" s="278">
        <f t="shared" si="213"/>
        <v>-0.3</v>
      </c>
      <c r="BI119" s="278">
        <f t="shared" si="213"/>
        <v>-1.2</v>
      </c>
      <c r="BJ119" s="278">
        <f t="shared" si="213"/>
        <v>-0.7</v>
      </c>
      <c r="BK119" s="278">
        <f t="shared" si="213"/>
        <v>-0.6</v>
      </c>
      <c r="BL119" s="279">
        <f t="shared" ca="1" si="165"/>
        <v>0.88749561600000026</v>
      </c>
      <c r="BM119" s="279">
        <f t="shared" ca="1" si="166"/>
        <v>0.88749561600000026</v>
      </c>
      <c r="BN119" s="279">
        <f t="shared" ca="1" si="167"/>
        <v>0.88749561600000026</v>
      </c>
      <c r="BO119" s="279">
        <f t="shared" ca="1" si="168"/>
        <v>-0.88749561600000015</v>
      </c>
      <c r="BP119" s="279">
        <f t="shared" ca="1" si="169"/>
        <v>-0.66562171200000009</v>
      </c>
      <c r="BQ119" s="279">
        <f t="shared" ca="1" si="170"/>
        <v>-0.33281085600000004</v>
      </c>
      <c r="BR119" s="279">
        <f t="shared" ca="1" si="171"/>
        <v>-1.3312434240000002</v>
      </c>
      <c r="BS119" s="279">
        <f t="shared" ca="1" si="172"/>
        <v>-0.77655866400000007</v>
      </c>
      <c r="BT119" s="279">
        <f t="shared" ca="1" si="173"/>
        <v>-0.66562171200000009</v>
      </c>
    </row>
    <row r="120" spans="1:72" s="252" customFormat="1" ht="17.100000000000001" hidden="1"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6"/>
      <c r="AE120" s="136"/>
      <c r="AF120" s="136"/>
      <c r="AG120" s="136"/>
      <c r="AH120" s="252">
        <v>64</v>
      </c>
      <c r="AI120" s="252" t="b">
        <f t="shared" si="192"/>
        <v>0</v>
      </c>
      <c r="AJ120" s="278">
        <f t="shared" si="202"/>
        <v>0.8</v>
      </c>
      <c r="AK120" s="278">
        <f t="shared" si="203"/>
        <v>0.8</v>
      </c>
      <c r="AL120" s="278">
        <f t="shared" si="204"/>
        <v>0.8</v>
      </c>
      <c r="AM120" s="278">
        <f t="shared" si="205"/>
        <v>-0.83333333333333326</v>
      </c>
      <c r="AN120" s="278">
        <f t="shared" si="206"/>
        <v>-0.6</v>
      </c>
      <c r="AO120" s="278">
        <f t="shared" si="207"/>
        <v>-0.3</v>
      </c>
      <c r="AP120" s="278">
        <f t="shared" si="208"/>
        <v>-1.2</v>
      </c>
      <c r="AQ120" s="278">
        <f t="shared" si="209"/>
        <v>-0.7</v>
      </c>
      <c r="AR120" s="278">
        <f t="shared" si="210"/>
        <v>-0.6</v>
      </c>
      <c r="AS120" s="279">
        <f t="shared" ca="1" si="193"/>
        <v>0.88749561600000026</v>
      </c>
      <c r="AT120" s="279">
        <f t="shared" ca="1" si="194"/>
        <v>0.88749561600000026</v>
      </c>
      <c r="AU120" s="279">
        <f t="shared" ca="1" si="195"/>
        <v>0.88749561600000026</v>
      </c>
      <c r="AV120" s="279">
        <f t="shared" ca="1" si="196"/>
        <v>-0.92447460000000015</v>
      </c>
      <c r="AW120" s="279">
        <f t="shared" ca="1" si="197"/>
        <v>-0.66562171200000009</v>
      </c>
      <c r="AX120" s="279">
        <f t="shared" ca="1" si="198"/>
        <v>-0.33281085600000004</v>
      </c>
      <c r="AY120" s="279">
        <f t="shared" ca="1" si="199"/>
        <v>-1.3312434240000002</v>
      </c>
      <c r="AZ120" s="279">
        <f t="shared" ca="1" si="200"/>
        <v>-0.77655866400000007</v>
      </c>
      <c r="BA120" s="279">
        <f t="shared" ca="1" si="201"/>
        <v>-0.66562171200000009</v>
      </c>
      <c r="BB120" s="136"/>
      <c r="BC120" s="278">
        <f t="shared" si="211"/>
        <v>0.8</v>
      </c>
      <c r="BD120" s="278">
        <f t="shared" si="211"/>
        <v>0.8</v>
      </c>
      <c r="BE120" s="278">
        <f t="shared" si="211"/>
        <v>0.8</v>
      </c>
      <c r="BF120" s="278">
        <f t="shared" si="212"/>
        <v>-0.83333333333333326</v>
      </c>
      <c r="BG120" s="278">
        <f t="shared" si="213"/>
        <v>-0.6</v>
      </c>
      <c r="BH120" s="278">
        <f t="shared" si="213"/>
        <v>-0.3</v>
      </c>
      <c r="BI120" s="278">
        <f t="shared" si="213"/>
        <v>-1.2</v>
      </c>
      <c r="BJ120" s="278">
        <f t="shared" si="213"/>
        <v>-0.7</v>
      </c>
      <c r="BK120" s="278">
        <f t="shared" si="213"/>
        <v>-0.6</v>
      </c>
      <c r="BL120" s="279">
        <f t="shared" ca="1" si="165"/>
        <v>0.88749561600000026</v>
      </c>
      <c r="BM120" s="279">
        <f t="shared" ca="1" si="166"/>
        <v>0.88749561600000026</v>
      </c>
      <c r="BN120" s="279">
        <f t="shared" ca="1" si="167"/>
        <v>0.88749561600000026</v>
      </c>
      <c r="BO120" s="279">
        <f t="shared" ca="1" si="168"/>
        <v>-0.92447460000000015</v>
      </c>
      <c r="BP120" s="279">
        <f t="shared" ca="1" si="169"/>
        <v>-0.66562171200000009</v>
      </c>
      <c r="BQ120" s="279">
        <f t="shared" ca="1" si="170"/>
        <v>-0.33281085600000004</v>
      </c>
      <c r="BR120" s="279">
        <f t="shared" ca="1" si="171"/>
        <v>-1.3312434240000002</v>
      </c>
      <c r="BS120" s="279">
        <f t="shared" ca="1" si="172"/>
        <v>-0.77655866400000007</v>
      </c>
      <c r="BT120" s="279">
        <f t="shared" ca="1" si="173"/>
        <v>-0.66562171200000009</v>
      </c>
    </row>
    <row r="121" spans="1:72" s="252" customFormat="1" ht="17.100000000000001" hidden="1"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6"/>
      <c r="AE121" s="136"/>
      <c r="AF121" s="136"/>
      <c r="AG121" s="136"/>
      <c r="AH121" s="252">
        <v>65</v>
      </c>
      <c r="AI121" s="252" t="b">
        <f t="shared" si="192"/>
        <v>0</v>
      </c>
      <c r="AJ121" s="278">
        <f t="shared" si="202"/>
        <v>0.8</v>
      </c>
      <c r="AK121" s="278">
        <f t="shared" si="203"/>
        <v>0.8</v>
      </c>
      <c r="AL121" s="278">
        <f t="shared" si="204"/>
        <v>0.8</v>
      </c>
      <c r="AM121" s="278">
        <f t="shared" si="205"/>
        <v>-0.86666666666666659</v>
      </c>
      <c r="AN121" s="278">
        <f t="shared" si="206"/>
        <v>-0.6</v>
      </c>
      <c r="AO121" s="278">
        <f t="shared" si="207"/>
        <v>-0.3</v>
      </c>
      <c r="AP121" s="278">
        <f t="shared" si="208"/>
        <v>-1.2</v>
      </c>
      <c r="AQ121" s="278">
        <f t="shared" si="209"/>
        <v>-0.7</v>
      </c>
      <c r="AR121" s="278">
        <f t="shared" si="210"/>
        <v>-0.6</v>
      </c>
      <c r="AS121" s="279">
        <f t="shared" ca="1" si="193"/>
        <v>0.88749561600000026</v>
      </c>
      <c r="AT121" s="279">
        <f t="shared" ca="1" si="194"/>
        <v>0.88749561600000026</v>
      </c>
      <c r="AU121" s="279">
        <f t="shared" ca="1" si="195"/>
        <v>0.88749561600000026</v>
      </c>
      <c r="AV121" s="279">
        <f t="shared" ca="1" si="196"/>
        <v>-0.96145358400000014</v>
      </c>
      <c r="AW121" s="279">
        <f t="shared" ca="1" si="197"/>
        <v>-0.66562171200000009</v>
      </c>
      <c r="AX121" s="279">
        <f t="shared" ca="1" si="198"/>
        <v>-0.33281085600000004</v>
      </c>
      <c r="AY121" s="279">
        <f t="shared" ca="1" si="199"/>
        <v>-1.3312434240000002</v>
      </c>
      <c r="AZ121" s="279">
        <f t="shared" ca="1" si="200"/>
        <v>-0.77655866400000007</v>
      </c>
      <c r="BA121" s="279">
        <f t="shared" ca="1" si="201"/>
        <v>-0.66562171200000009</v>
      </c>
      <c r="BB121" s="136"/>
      <c r="BC121" s="278">
        <f t="shared" si="211"/>
        <v>0.8</v>
      </c>
      <c r="BD121" s="278">
        <f t="shared" si="211"/>
        <v>0.8</v>
      </c>
      <c r="BE121" s="278">
        <f t="shared" si="211"/>
        <v>0.8</v>
      </c>
      <c r="BF121" s="278">
        <f t="shared" si="212"/>
        <v>-0.86666666666666659</v>
      </c>
      <c r="BG121" s="278">
        <f t="shared" si="213"/>
        <v>-0.6</v>
      </c>
      <c r="BH121" s="278">
        <f t="shared" si="213"/>
        <v>-0.3</v>
      </c>
      <c r="BI121" s="278">
        <f t="shared" si="213"/>
        <v>-1.2</v>
      </c>
      <c r="BJ121" s="278">
        <f t="shared" si="213"/>
        <v>-0.7</v>
      </c>
      <c r="BK121" s="278">
        <f t="shared" si="213"/>
        <v>-0.6</v>
      </c>
      <c r="BL121" s="279">
        <f t="shared" ref="BL121:BL131" ca="1" si="214">1.35*$Z$17*$M$22*BC121</f>
        <v>0.88749561600000026</v>
      </c>
      <c r="BM121" s="279">
        <f t="shared" ref="BM121:BM131" ca="1" si="215">1.35*$Z$17*$M$22*BD121</f>
        <v>0.88749561600000026</v>
      </c>
      <c r="BN121" s="279">
        <f t="shared" ref="BN121:BN131" ca="1" si="216">1.35*$Z$17*$M$22*BE121</f>
        <v>0.88749561600000026</v>
      </c>
      <c r="BO121" s="279">
        <f t="shared" ref="BO121:BO131" ca="1" si="217">1.35*$Z$17*$M$22*BF121</f>
        <v>-0.96145358400000014</v>
      </c>
      <c r="BP121" s="279">
        <f t="shared" ref="BP121:BP131" ca="1" si="218">1.35*$Z$17*$M$22*BG121</f>
        <v>-0.66562171200000009</v>
      </c>
      <c r="BQ121" s="279">
        <f t="shared" ref="BQ121:BQ131" ca="1" si="219">1.35*$Z$17*$M$22*BH121</f>
        <v>-0.33281085600000004</v>
      </c>
      <c r="BR121" s="279">
        <f t="shared" ref="BR121:BR131" ca="1" si="220">1.35*$Z$17*$M$22*BI121</f>
        <v>-1.3312434240000002</v>
      </c>
      <c r="BS121" s="279">
        <f t="shared" ref="BS121:BS131" ca="1" si="221">1.35*$Z$17*$M$22*BJ121</f>
        <v>-0.77655866400000007</v>
      </c>
      <c r="BT121" s="279">
        <f t="shared" ref="BT121:BT131" ca="1" si="222">1.35*$Z$17*$M$22*BK121</f>
        <v>-0.66562171200000009</v>
      </c>
    </row>
    <row r="122" spans="1:72" s="252" customFormat="1" ht="17.100000000000001" hidden="1"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6"/>
      <c r="AE122" s="136"/>
      <c r="AF122" s="136"/>
      <c r="AG122" s="136"/>
      <c r="AH122" s="252">
        <v>66</v>
      </c>
      <c r="AI122" s="252" t="b">
        <f t="shared" si="192"/>
        <v>0</v>
      </c>
      <c r="AJ122" s="278">
        <f t="shared" si="202"/>
        <v>0.8</v>
      </c>
      <c r="AK122" s="278">
        <f t="shared" si="203"/>
        <v>0.8</v>
      </c>
      <c r="AL122" s="278">
        <f t="shared" si="204"/>
        <v>0.8</v>
      </c>
      <c r="AM122" s="278">
        <f t="shared" si="205"/>
        <v>-0.89999999999999991</v>
      </c>
      <c r="AN122" s="278">
        <f t="shared" si="206"/>
        <v>-0.6</v>
      </c>
      <c r="AO122" s="278">
        <f t="shared" si="207"/>
        <v>-0.3</v>
      </c>
      <c r="AP122" s="278">
        <f t="shared" si="208"/>
        <v>-1.2</v>
      </c>
      <c r="AQ122" s="278">
        <f t="shared" si="209"/>
        <v>-0.7</v>
      </c>
      <c r="AR122" s="278">
        <f t="shared" si="210"/>
        <v>-0.6</v>
      </c>
      <c r="AS122" s="279">
        <f t="shared" ca="1" si="193"/>
        <v>0.88749561600000026</v>
      </c>
      <c r="AT122" s="279">
        <f t="shared" ca="1" si="194"/>
        <v>0.88749561600000026</v>
      </c>
      <c r="AU122" s="279">
        <f t="shared" ca="1" si="195"/>
        <v>0.88749561600000026</v>
      </c>
      <c r="AV122" s="279">
        <f t="shared" ca="1" si="196"/>
        <v>-0.99843256800000013</v>
      </c>
      <c r="AW122" s="279">
        <f t="shared" ca="1" si="197"/>
        <v>-0.66562171200000009</v>
      </c>
      <c r="AX122" s="279">
        <f t="shared" ca="1" si="198"/>
        <v>-0.33281085600000004</v>
      </c>
      <c r="AY122" s="279">
        <f t="shared" ca="1" si="199"/>
        <v>-1.3312434240000002</v>
      </c>
      <c r="AZ122" s="279">
        <f t="shared" ca="1" si="200"/>
        <v>-0.77655866400000007</v>
      </c>
      <c r="BA122" s="279">
        <f t="shared" ca="1" si="201"/>
        <v>-0.66562171200000009</v>
      </c>
      <c r="BB122" s="136"/>
      <c r="BC122" s="278">
        <f t="shared" si="211"/>
        <v>0.8</v>
      </c>
      <c r="BD122" s="278">
        <f t="shared" si="211"/>
        <v>0.8</v>
      </c>
      <c r="BE122" s="278">
        <f t="shared" si="211"/>
        <v>0.8</v>
      </c>
      <c r="BF122" s="278">
        <f t="shared" si="212"/>
        <v>-0.89999999999999991</v>
      </c>
      <c r="BG122" s="278">
        <f t="shared" si="213"/>
        <v>-0.6</v>
      </c>
      <c r="BH122" s="278">
        <f t="shared" si="213"/>
        <v>-0.3</v>
      </c>
      <c r="BI122" s="278">
        <f t="shared" si="213"/>
        <v>-1.2</v>
      </c>
      <c r="BJ122" s="278">
        <f t="shared" si="213"/>
        <v>-0.7</v>
      </c>
      <c r="BK122" s="278">
        <f t="shared" si="213"/>
        <v>-0.6</v>
      </c>
      <c r="BL122" s="279">
        <f t="shared" ca="1" si="214"/>
        <v>0.88749561600000026</v>
      </c>
      <c r="BM122" s="279">
        <f t="shared" ca="1" si="215"/>
        <v>0.88749561600000026</v>
      </c>
      <c r="BN122" s="279">
        <f t="shared" ca="1" si="216"/>
        <v>0.88749561600000026</v>
      </c>
      <c r="BO122" s="279">
        <f t="shared" ca="1" si="217"/>
        <v>-0.99843256800000013</v>
      </c>
      <c r="BP122" s="279">
        <f t="shared" ca="1" si="218"/>
        <v>-0.66562171200000009</v>
      </c>
      <c r="BQ122" s="279">
        <f t="shared" ca="1" si="219"/>
        <v>-0.33281085600000004</v>
      </c>
      <c r="BR122" s="279">
        <f t="shared" ca="1" si="220"/>
        <v>-1.3312434240000002</v>
      </c>
      <c r="BS122" s="279">
        <f t="shared" ca="1" si="221"/>
        <v>-0.77655866400000007</v>
      </c>
      <c r="BT122" s="279">
        <f t="shared" ca="1" si="222"/>
        <v>-0.66562171200000009</v>
      </c>
    </row>
    <row r="123" spans="1:72" s="252" customFormat="1" ht="17.100000000000001" hidden="1"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6"/>
      <c r="AE123" s="136"/>
      <c r="AF123" s="136"/>
      <c r="AG123" s="136"/>
      <c r="AH123" s="252">
        <v>67</v>
      </c>
      <c r="AI123" s="252" t="b">
        <f t="shared" si="192"/>
        <v>0</v>
      </c>
      <c r="AJ123" s="278">
        <f t="shared" si="202"/>
        <v>0.8</v>
      </c>
      <c r="AK123" s="278">
        <f t="shared" si="203"/>
        <v>0.8</v>
      </c>
      <c r="AL123" s="278">
        <f t="shared" si="204"/>
        <v>0.8</v>
      </c>
      <c r="AM123" s="278">
        <f t="shared" si="205"/>
        <v>-0.93333333333333324</v>
      </c>
      <c r="AN123" s="278">
        <f t="shared" si="206"/>
        <v>-0.6</v>
      </c>
      <c r="AO123" s="278">
        <f t="shared" si="207"/>
        <v>-0.3</v>
      </c>
      <c r="AP123" s="278">
        <f t="shared" si="208"/>
        <v>-1.2</v>
      </c>
      <c r="AQ123" s="278">
        <f t="shared" si="209"/>
        <v>-0.7</v>
      </c>
      <c r="AR123" s="278">
        <f t="shared" si="210"/>
        <v>-0.6</v>
      </c>
      <c r="AS123" s="279">
        <f t="shared" ca="1" si="193"/>
        <v>0.88749561600000026</v>
      </c>
      <c r="AT123" s="279">
        <f t="shared" ca="1" si="194"/>
        <v>0.88749561600000026</v>
      </c>
      <c r="AU123" s="279">
        <f t="shared" ca="1" si="195"/>
        <v>0.88749561600000026</v>
      </c>
      <c r="AV123" s="279">
        <f t="shared" ca="1" si="196"/>
        <v>-1.035411552</v>
      </c>
      <c r="AW123" s="279">
        <f t="shared" ca="1" si="197"/>
        <v>-0.66562171200000009</v>
      </c>
      <c r="AX123" s="279">
        <f t="shared" ca="1" si="198"/>
        <v>-0.33281085600000004</v>
      </c>
      <c r="AY123" s="279">
        <f t="shared" ca="1" si="199"/>
        <v>-1.3312434240000002</v>
      </c>
      <c r="AZ123" s="279">
        <f t="shared" ca="1" si="200"/>
        <v>-0.77655866400000007</v>
      </c>
      <c r="BA123" s="279">
        <f t="shared" ca="1" si="201"/>
        <v>-0.66562171200000009</v>
      </c>
      <c r="BB123" s="136"/>
      <c r="BC123" s="278">
        <f t="shared" si="211"/>
        <v>0.8</v>
      </c>
      <c r="BD123" s="278">
        <f t="shared" si="211"/>
        <v>0.8</v>
      </c>
      <c r="BE123" s="278">
        <f t="shared" si="211"/>
        <v>0.8</v>
      </c>
      <c r="BF123" s="278">
        <f t="shared" si="212"/>
        <v>-0.93333333333333324</v>
      </c>
      <c r="BG123" s="278">
        <f t="shared" si="213"/>
        <v>-0.6</v>
      </c>
      <c r="BH123" s="278">
        <f t="shared" si="213"/>
        <v>-0.3</v>
      </c>
      <c r="BI123" s="278">
        <f t="shared" si="213"/>
        <v>-1.2</v>
      </c>
      <c r="BJ123" s="278">
        <f t="shared" si="213"/>
        <v>-0.7</v>
      </c>
      <c r="BK123" s="278">
        <f t="shared" si="213"/>
        <v>-0.6</v>
      </c>
      <c r="BL123" s="279">
        <f t="shared" ca="1" si="214"/>
        <v>0.88749561600000026</v>
      </c>
      <c r="BM123" s="279">
        <f t="shared" ca="1" si="215"/>
        <v>0.88749561600000026</v>
      </c>
      <c r="BN123" s="279">
        <f t="shared" ca="1" si="216"/>
        <v>0.88749561600000026</v>
      </c>
      <c r="BO123" s="279">
        <f t="shared" ca="1" si="217"/>
        <v>-1.035411552</v>
      </c>
      <c r="BP123" s="279">
        <f t="shared" ca="1" si="218"/>
        <v>-0.66562171200000009</v>
      </c>
      <c r="BQ123" s="279">
        <f t="shared" ca="1" si="219"/>
        <v>-0.33281085600000004</v>
      </c>
      <c r="BR123" s="279">
        <f t="shared" ca="1" si="220"/>
        <v>-1.3312434240000002</v>
      </c>
      <c r="BS123" s="279">
        <f t="shared" ca="1" si="221"/>
        <v>-0.77655866400000007</v>
      </c>
      <c r="BT123" s="279">
        <f t="shared" ca="1" si="222"/>
        <v>-0.66562171200000009</v>
      </c>
    </row>
    <row r="124" spans="1:72" s="252" customFormat="1" ht="17.100000000000001" hidden="1"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6"/>
      <c r="AE124" s="136"/>
      <c r="AF124" s="136"/>
      <c r="AG124" s="136"/>
      <c r="AH124" s="252">
        <v>68</v>
      </c>
      <c r="AI124" s="252" t="b">
        <f t="shared" si="192"/>
        <v>0</v>
      </c>
      <c r="AJ124" s="278">
        <f t="shared" si="202"/>
        <v>0.8</v>
      </c>
      <c r="AK124" s="278">
        <f t="shared" si="203"/>
        <v>0.8</v>
      </c>
      <c r="AL124" s="278">
        <f t="shared" si="204"/>
        <v>0.8</v>
      </c>
      <c r="AM124" s="278">
        <f t="shared" si="205"/>
        <v>-0.96666666666666656</v>
      </c>
      <c r="AN124" s="278">
        <f t="shared" si="206"/>
        <v>-0.6</v>
      </c>
      <c r="AO124" s="278">
        <f t="shared" si="207"/>
        <v>-0.3</v>
      </c>
      <c r="AP124" s="278">
        <f t="shared" si="208"/>
        <v>-1.2</v>
      </c>
      <c r="AQ124" s="278">
        <f t="shared" si="209"/>
        <v>-0.7</v>
      </c>
      <c r="AR124" s="278">
        <f t="shared" si="210"/>
        <v>-0.6</v>
      </c>
      <c r="AS124" s="279">
        <f t="shared" ca="1" si="193"/>
        <v>0.88749561600000026</v>
      </c>
      <c r="AT124" s="279">
        <f t="shared" ca="1" si="194"/>
        <v>0.88749561600000026</v>
      </c>
      <c r="AU124" s="279">
        <f t="shared" ca="1" si="195"/>
        <v>0.88749561600000026</v>
      </c>
      <c r="AV124" s="279">
        <f t="shared" ca="1" si="196"/>
        <v>-1.0723905360000001</v>
      </c>
      <c r="AW124" s="279">
        <f t="shared" ca="1" si="197"/>
        <v>-0.66562171200000009</v>
      </c>
      <c r="AX124" s="279">
        <f t="shared" ca="1" si="198"/>
        <v>-0.33281085600000004</v>
      </c>
      <c r="AY124" s="279">
        <f t="shared" ca="1" si="199"/>
        <v>-1.3312434240000002</v>
      </c>
      <c r="AZ124" s="279">
        <f t="shared" ca="1" si="200"/>
        <v>-0.77655866400000007</v>
      </c>
      <c r="BA124" s="279">
        <f t="shared" ca="1" si="201"/>
        <v>-0.66562171200000009</v>
      </c>
      <c r="BB124" s="136"/>
      <c r="BC124" s="278">
        <f t="shared" si="211"/>
        <v>0.8</v>
      </c>
      <c r="BD124" s="278">
        <f t="shared" si="211"/>
        <v>0.8</v>
      </c>
      <c r="BE124" s="278">
        <f t="shared" si="211"/>
        <v>0.8</v>
      </c>
      <c r="BF124" s="278">
        <f t="shared" si="212"/>
        <v>-0.96666666666666656</v>
      </c>
      <c r="BG124" s="278">
        <f t="shared" si="213"/>
        <v>-0.6</v>
      </c>
      <c r="BH124" s="278">
        <f t="shared" si="213"/>
        <v>-0.3</v>
      </c>
      <c r="BI124" s="278">
        <f t="shared" si="213"/>
        <v>-1.2</v>
      </c>
      <c r="BJ124" s="278">
        <f t="shared" si="213"/>
        <v>-0.7</v>
      </c>
      <c r="BK124" s="278">
        <f t="shared" si="213"/>
        <v>-0.6</v>
      </c>
      <c r="BL124" s="279">
        <f t="shared" ca="1" si="214"/>
        <v>0.88749561600000026</v>
      </c>
      <c r="BM124" s="279">
        <f t="shared" ca="1" si="215"/>
        <v>0.88749561600000026</v>
      </c>
      <c r="BN124" s="279">
        <f t="shared" ca="1" si="216"/>
        <v>0.88749561600000026</v>
      </c>
      <c r="BO124" s="279">
        <f t="shared" ca="1" si="217"/>
        <v>-1.0723905360000001</v>
      </c>
      <c r="BP124" s="279">
        <f t="shared" ca="1" si="218"/>
        <v>-0.66562171200000009</v>
      </c>
      <c r="BQ124" s="279">
        <f t="shared" ca="1" si="219"/>
        <v>-0.33281085600000004</v>
      </c>
      <c r="BR124" s="279">
        <f t="shared" ca="1" si="220"/>
        <v>-1.3312434240000002</v>
      </c>
      <c r="BS124" s="279">
        <f t="shared" ca="1" si="221"/>
        <v>-0.77655866400000007</v>
      </c>
      <c r="BT124" s="279">
        <f t="shared" ca="1" si="222"/>
        <v>-0.66562171200000009</v>
      </c>
    </row>
    <row r="125" spans="1:72" s="252" customFormat="1" ht="17.100000000000001" hidden="1"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6"/>
      <c r="AE125" s="136"/>
      <c r="AF125" s="136"/>
      <c r="AG125" s="136"/>
      <c r="AH125" s="252">
        <v>69</v>
      </c>
      <c r="AI125" s="252" t="b">
        <f t="shared" si="192"/>
        <v>0</v>
      </c>
      <c r="AJ125" s="278">
        <f t="shared" si="202"/>
        <v>0.8</v>
      </c>
      <c r="AK125" s="278">
        <f t="shared" si="203"/>
        <v>0.8</v>
      </c>
      <c r="AL125" s="278">
        <f t="shared" si="204"/>
        <v>0.8</v>
      </c>
      <c r="AM125" s="278">
        <f t="shared" si="205"/>
        <v>-0.99999999999999989</v>
      </c>
      <c r="AN125" s="278">
        <f t="shared" si="206"/>
        <v>-0.6</v>
      </c>
      <c r="AO125" s="278">
        <f t="shared" si="207"/>
        <v>-0.3</v>
      </c>
      <c r="AP125" s="278">
        <f t="shared" si="208"/>
        <v>-1.2</v>
      </c>
      <c r="AQ125" s="278">
        <f t="shared" si="209"/>
        <v>-0.7</v>
      </c>
      <c r="AR125" s="278">
        <f t="shared" si="210"/>
        <v>-0.6</v>
      </c>
      <c r="AS125" s="279">
        <f t="shared" ca="1" si="193"/>
        <v>0.88749561600000026</v>
      </c>
      <c r="AT125" s="279">
        <f t="shared" ca="1" si="194"/>
        <v>0.88749561600000026</v>
      </c>
      <c r="AU125" s="279">
        <f t="shared" ca="1" si="195"/>
        <v>0.88749561600000026</v>
      </c>
      <c r="AV125" s="279">
        <f t="shared" ca="1" si="196"/>
        <v>-1.10936952</v>
      </c>
      <c r="AW125" s="279">
        <f t="shared" ca="1" si="197"/>
        <v>-0.66562171200000009</v>
      </c>
      <c r="AX125" s="279">
        <f t="shared" ca="1" si="198"/>
        <v>-0.33281085600000004</v>
      </c>
      <c r="AY125" s="279">
        <f t="shared" ca="1" si="199"/>
        <v>-1.3312434240000002</v>
      </c>
      <c r="AZ125" s="279">
        <f t="shared" ca="1" si="200"/>
        <v>-0.77655866400000007</v>
      </c>
      <c r="BA125" s="279">
        <f t="shared" ca="1" si="201"/>
        <v>-0.66562171200000009</v>
      </c>
      <c r="BB125" s="136"/>
      <c r="BC125" s="278">
        <f t="shared" si="211"/>
        <v>0.8</v>
      </c>
      <c r="BD125" s="278">
        <f t="shared" si="211"/>
        <v>0.8</v>
      </c>
      <c r="BE125" s="278">
        <f t="shared" si="211"/>
        <v>0.8</v>
      </c>
      <c r="BF125" s="278">
        <f t="shared" si="212"/>
        <v>-0.99999999999999989</v>
      </c>
      <c r="BG125" s="278">
        <f t="shared" si="213"/>
        <v>-0.6</v>
      </c>
      <c r="BH125" s="278">
        <f t="shared" si="213"/>
        <v>-0.3</v>
      </c>
      <c r="BI125" s="278">
        <f t="shared" si="213"/>
        <v>-1.2</v>
      </c>
      <c r="BJ125" s="278">
        <f t="shared" si="213"/>
        <v>-0.7</v>
      </c>
      <c r="BK125" s="278">
        <f t="shared" si="213"/>
        <v>-0.6</v>
      </c>
      <c r="BL125" s="279">
        <f t="shared" ca="1" si="214"/>
        <v>0.88749561600000026</v>
      </c>
      <c r="BM125" s="279">
        <f t="shared" ca="1" si="215"/>
        <v>0.88749561600000026</v>
      </c>
      <c r="BN125" s="279">
        <f t="shared" ca="1" si="216"/>
        <v>0.88749561600000026</v>
      </c>
      <c r="BO125" s="279">
        <f t="shared" ca="1" si="217"/>
        <v>-1.10936952</v>
      </c>
      <c r="BP125" s="279">
        <f t="shared" ca="1" si="218"/>
        <v>-0.66562171200000009</v>
      </c>
      <c r="BQ125" s="279">
        <f t="shared" ca="1" si="219"/>
        <v>-0.33281085600000004</v>
      </c>
      <c r="BR125" s="279">
        <f t="shared" ca="1" si="220"/>
        <v>-1.3312434240000002</v>
      </c>
      <c r="BS125" s="279">
        <f t="shared" ca="1" si="221"/>
        <v>-0.77655866400000007</v>
      </c>
      <c r="BT125" s="279">
        <f t="shared" ca="1" si="222"/>
        <v>-0.66562171200000009</v>
      </c>
    </row>
    <row r="126" spans="1:72" s="252" customFormat="1" ht="17.100000000000001" hidden="1"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6"/>
      <c r="AE126" s="136"/>
      <c r="AF126" s="136"/>
      <c r="AG126" s="136"/>
      <c r="AH126" s="252">
        <v>70</v>
      </c>
      <c r="AI126" s="252" t="b">
        <f t="shared" si="192"/>
        <v>0</v>
      </c>
      <c r="AJ126" s="278">
        <f t="shared" si="202"/>
        <v>0.8</v>
      </c>
      <c r="AK126" s="278">
        <f t="shared" si="203"/>
        <v>0.8</v>
      </c>
      <c r="AL126" s="278">
        <f t="shared" si="204"/>
        <v>0.8</v>
      </c>
      <c r="AM126" s="278">
        <f t="shared" si="205"/>
        <v>-1.0333333333333332</v>
      </c>
      <c r="AN126" s="278">
        <f t="shared" si="206"/>
        <v>-0.6</v>
      </c>
      <c r="AO126" s="278">
        <f t="shared" si="207"/>
        <v>-0.3</v>
      </c>
      <c r="AP126" s="278">
        <f t="shared" si="208"/>
        <v>-1.2</v>
      </c>
      <c r="AQ126" s="278">
        <f t="shared" si="209"/>
        <v>-0.7</v>
      </c>
      <c r="AR126" s="278">
        <f t="shared" si="210"/>
        <v>-0.6</v>
      </c>
      <c r="AS126" s="279">
        <f t="shared" ca="1" si="193"/>
        <v>0.88749561600000026</v>
      </c>
      <c r="AT126" s="279">
        <f t="shared" ca="1" si="194"/>
        <v>0.88749561600000026</v>
      </c>
      <c r="AU126" s="279">
        <f t="shared" ca="1" si="195"/>
        <v>0.88749561600000026</v>
      </c>
      <c r="AV126" s="279">
        <f t="shared" ca="1" si="196"/>
        <v>-1.1463485040000001</v>
      </c>
      <c r="AW126" s="279">
        <f t="shared" ca="1" si="197"/>
        <v>-0.66562171200000009</v>
      </c>
      <c r="AX126" s="279">
        <f t="shared" ca="1" si="198"/>
        <v>-0.33281085600000004</v>
      </c>
      <c r="AY126" s="279">
        <f t="shared" ca="1" si="199"/>
        <v>-1.3312434240000002</v>
      </c>
      <c r="AZ126" s="279">
        <f t="shared" ca="1" si="200"/>
        <v>-0.77655866400000007</v>
      </c>
      <c r="BA126" s="279">
        <f t="shared" ca="1" si="201"/>
        <v>-0.66562171200000009</v>
      </c>
      <c r="BB126" s="136"/>
      <c r="BC126" s="278">
        <f t="shared" si="211"/>
        <v>0.8</v>
      </c>
      <c r="BD126" s="278">
        <f t="shared" si="211"/>
        <v>0.8</v>
      </c>
      <c r="BE126" s="278">
        <f t="shared" si="211"/>
        <v>0.8</v>
      </c>
      <c r="BF126" s="278">
        <f t="shared" si="212"/>
        <v>-1.0333333333333332</v>
      </c>
      <c r="BG126" s="278">
        <f t="shared" si="213"/>
        <v>-0.6</v>
      </c>
      <c r="BH126" s="278">
        <f t="shared" si="213"/>
        <v>-0.3</v>
      </c>
      <c r="BI126" s="278">
        <f t="shared" si="213"/>
        <v>-1.2</v>
      </c>
      <c r="BJ126" s="278">
        <f t="shared" si="213"/>
        <v>-0.7</v>
      </c>
      <c r="BK126" s="278">
        <f t="shared" si="213"/>
        <v>-0.6</v>
      </c>
      <c r="BL126" s="279">
        <f t="shared" ca="1" si="214"/>
        <v>0.88749561600000026</v>
      </c>
      <c r="BM126" s="279">
        <f t="shared" ca="1" si="215"/>
        <v>0.88749561600000026</v>
      </c>
      <c r="BN126" s="279">
        <f t="shared" ca="1" si="216"/>
        <v>0.88749561600000026</v>
      </c>
      <c r="BO126" s="279">
        <f t="shared" ca="1" si="217"/>
        <v>-1.1463485040000001</v>
      </c>
      <c r="BP126" s="279">
        <f t="shared" ca="1" si="218"/>
        <v>-0.66562171200000009</v>
      </c>
      <c r="BQ126" s="279">
        <f t="shared" ca="1" si="219"/>
        <v>-0.33281085600000004</v>
      </c>
      <c r="BR126" s="279">
        <f t="shared" ca="1" si="220"/>
        <v>-1.3312434240000002</v>
      </c>
      <c r="BS126" s="279">
        <f t="shared" ca="1" si="221"/>
        <v>-0.77655866400000007</v>
      </c>
      <c r="BT126" s="279">
        <f t="shared" ca="1" si="222"/>
        <v>-0.66562171200000009</v>
      </c>
    </row>
    <row r="127" spans="1:72" s="252" customFormat="1" ht="17.100000000000001" hidden="1"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6"/>
      <c r="AE127" s="136"/>
      <c r="AF127" s="136"/>
      <c r="AG127" s="136"/>
      <c r="AH127" s="252">
        <v>71</v>
      </c>
      <c r="AI127" s="252" t="b">
        <f t="shared" si="192"/>
        <v>0</v>
      </c>
      <c r="AJ127" s="278">
        <f t="shared" si="202"/>
        <v>0.8</v>
      </c>
      <c r="AK127" s="278">
        <f t="shared" si="203"/>
        <v>0.8</v>
      </c>
      <c r="AL127" s="278">
        <f t="shared" si="204"/>
        <v>0.8</v>
      </c>
      <c r="AM127" s="278">
        <f t="shared" si="205"/>
        <v>-1.0666666666666667</v>
      </c>
      <c r="AN127" s="278">
        <f t="shared" si="206"/>
        <v>-0.6</v>
      </c>
      <c r="AO127" s="278">
        <f t="shared" si="207"/>
        <v>-0.3</v>
      </c>
      <c r="AP127" s="278">
        <f t="shared" si="208"/>
        <v>-1.2</v>
      </c>
      <c r="AQ127" s="278">
        <f t="shared" si="209"/>
        <v>-0.7</v>
      </c>
      <c r="AR127" s="278">
        <f t="shared" si="210"/>
        <v>-0.6</v>
      </c>
      <c r="AS127" s="279">
        <f t="shared" ca="1" si="193"/>
        <v>0.88749561600000026</v>
      </c>
      <c r="AT127" s="279">
        <f t="shared" ca="1" si="194"/>
        <v>0.88749561600000026</v>
      </c>
      <c r="AU127" s="279">
        <f t="shared" ca="1" si="195"/>
        <v>0.88749561600000026</v>
      </c>
      <c r="AV127" s="279">
        <f t="shared" ca="1" si="196"/>
        <v>-1.1833274880000002</v>
      </c>
      <c r="AW127" s="279">
        <f t="shared" ca="1" si="197"/>
        <v>-0.66562171200000009</v>
      </c>
      <c r="AX127" s="279">
        <f t="shared" ca="1" si="198"/>
        <v>-0.33281085600000004</v>
      </c>
      <c r="AY127" s="279">
        <f t="shared" ca="1" si="199"/>
        <v>-1.3312434240000002</v>
      </c>
      <c r="AZ127" s="279">
        <f t="shared" ca="1" si="200"/>
        <v>-0.77655866400000007</v>
      </c>
      <c r="BA127" s="279">
        <f t="shared" ca="1" si="201"/>
        <v>-0.66562171200000009</v>
      </c>
      <c r="BB127" s="136"/>
      <c r="BC127" s="278">
        <f t="shared" si="211"/>
        <v>0.8</v>
      </c>
      <c r="BD127" s="278">
        <f t="shared" si="211"/>
        <v>0.8</v>
      </c>
      <c r="BE127" s="278">
        <f t="shared" si="211"/>
        <v>0.8</v>
      </c>
      <c r="BF127" s="278">
        <f t="shared" si="212"/>
        <v>-1.0666666666666667</v>
      </c>
      <c r="BG127" s="278">
        <f t="shared" si="213"/>
        <v>-0.6</v>
      </c>
      <c r="BH127" s="278">
        <f t="shared" si="213"/>
        <v>-0.3</v>
      </c>
      <c r="BI127" s="278">
        <f t="shared" si="213"/>
        <v>-1.2</v>
      </c>
      <c r="BJ127" s="278">
        <f t="shared" si="213"/>
        <v>-0.7</v>
      </c>
      <c r="BK127" s="278">
        <f t="shared" si="213"/>
        <v>-0.6</v>
      </c>
      <c r="BL127" s="279">
        <f t="shared" ca="1" si="214"/>
        <v>0.88749561600000026</v>
      </c>
      <c r="BM127" s="279">
        <f t="shared" ca="1" si="215"/>
        <v>0.88749561600000026</v>
      </c>
      <c r="BN127" s="279">
        <f t="shared" ca="1" si="216"/>
        <v>0.88749561600000026</v>
      </c>
      <c r="BO127" s="279">
        <f t="shared" ca="1" si="217"/>
        <v>-1.1833274880000002</v>
      </c>
      <c r="BP127" s="279">
        <f t="shared" ca="1" si="218"/>
        <v>-0.66562171200000009</v>
      </c>
      <c r="BQ127" s="279">
        <f t="shared" ca="1" si="219"/>
        <v>-0.33281085600000004</v>
      </c>
      <c r="BR127" s="279">
        <f t="shared" ca="1" si="220"/>
        <v>-1.3312434240000002</v>
      </c>
      <c r="BS127" s="279">
        <f t="shared" ca="1" si="221"/>
        <v>-0.77655866400000007</v>
      </c>
      <c r="BT127" s="279">
        <f t="shared" ca="1" si="222"/>
        <v>-0.66562171200000009</v>
      </c>
    </row>
    <row r="128" spans="1:72" s="252" customFormat="1" ht="17.100000000000001" hidden="1"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6"/>
      <c r="AE128" s="136"/>
      <c r="AF128" s="136"/>
      <c r="AG128" s="136"/>
      <c r="AH128" s="252">
        <v>72</v>
      </c>
      <c r="AI128" s="252" t="b">
        <f t="shared" si="192"/>
        <v>0</v>
      </c>
      <c r="AJ128" s="278">
        <f t="shared" si="202"/>
        <v>0.8</v>
      </c>
      <c r="AK128" s="278">
        <f t="shared" si="203"/>
        <v>0.8</v>
      </c>
      <c r="AL128" s="278">
        <f t="shared" si="204"/>
        <v>0.8</v>
      </c>
      <c r="AM128" s="278">
        <f t="shared" si="205"/>
        <v>-1.1000000000000001</v>
      </c>
      <c r="AN128" s="278">
        <f t="shared" si="206"/>
        <v>-0.6</v>
      </c>
      <c r="AO128" s="278">
        <f t="shared" si="207"/>
        <v>-0.3</v>
      </c>
      <c r="AP128" s="278">
        <f t="shared" si="208"/>
        <v>-1.2</v>
      </c>
      <c r="AQ128" s="278">
        <f t="shared" si="209"/>
        <v>-0.7</v>
      </c>
      <c r="AR128" s="278">
        <f t="shared" si="210"/>
        <v>-0.6</v>
      </c>
      <c r="AS128" s="279">
        <f t="shared" ca="1" si="193"/>
        <v>0.88749561600000026</v>
      </c>
      <c r="AT128" s="279">
        <f t="shared" ca="1" si="194"/>
        <v>0.88749561600000026</v>
      </c>
      <c r="AU128" s="279">
        <f t="shared" ca="1" si="195"/>
        <v>0.88749561600000026</v>
      </c>
      <c r="AV128" s="279">
        <f t="shared" ca="1" si="196"/>
        <v>-1.2203064720000003</v>
      </c>
      <c r="AW128" s="279">
        <f t="shared" ca="1" si="197"/>
        <v>-0.66562171200000009</v>
      </c>
      <c r="AX128" s="279">
        <f t="shared" ca="1" si="198"/>
        <v>-0.33281085600000004</v>
      </c>
      <c r="AY128" s="279">
        <f t="shared" ca="1" si="199"/>
        <v>-1.3312434240000002</v>
      </c>
      <c r="AZ128" s="279">
        <f t="shared" ca="1" si="200"/>
        <v>-0.77655866400000007</v>
      </c>
      <c r="BA128" s="279">
        <f t="shared" ca="1" si="201"/>
        <v>-0.66562171200000009</v>
      </c>
      <c r="BB128" s="136"/>
      <c r="BC128" s="278">
        <f t="shared" si="211"/>
        <v>0.8</v>
      </c>
      <c r="BD128" s="278">
        <f t="shared" si="211"/>
        <v>0.8</v>
      </c>
      <c r="BE128" s="278">
        <f t="shared" si="211"/>
        <v>0.8</v>
      </c>
      <c r="BF128" s="278">
        <f t="shared" si="212"/>
        <v>-1.1000000000000001</v>
      </c>
      <c r="BG128" s="278">
        <f t="shared" si="213"/>
        <v>-0.6</v>
      </c>
      <c r="BH128" s="278">
        <f t="shared" si="213"/>
        <v>-0.3</v>
      </c>
      <c r="BI128" s="278">
        <f t="shared" si="213"/>
        <v>-1.2</v>
      </c>
      <c r="BJ128" s="278">
        <f t="shared" si="213"/>
        <v>-0.7</v>
      </c>
      <c r="BK128" s="278">
        <f t="shared" si="213"/>
        <v>-0.6</v>
      </c>
      <c r="BL128" s="279">
        <f t="shared" ca="1" si="214"/>
        <v>0.88749561600000026</v>
      </c>
      <c r="BM128" s="279">
        <f t="shared" ca="1" si="215"/>
        <v>0.88749561600000026</v>
      </c>
      <c r="BN128" s="279">
        <f t="shared" ca="1" si="216"/>
        <v>0.88749561600000026</v>
      </c>
      <c r="BO128" s="279">
        <f t="shared" ca="1" si="217"/>
        <v>-1.2203064720000003</v>
      </c>
      <c r="BP128" s="279">
        <f t="shared" ca="1" si="218"/>
        <v>-0.66562171200000009</v>
      </c>
      <c r="BQ128" s="279">
        <f t="shared" ca="1" si="219"/>
        <v>-0.33281085600000004</v>
      </c>
      <c r="BR128" s="279">
        <f t="shared" ca="1" si="220"/>
        <v>-1.3312434240000002</v>
      </c>
      <c r="BS128" s="279">
        <f t="shared" ca="1" si="221"/>
        <v>-0.77655866400000007</v>
      </c>
      <c r="BT128" s="279">
        <f t="shared" ca="1" si="222"/>
        <v>-0.66562171200000009</v>
      </c>
    </row>
    <row r="129" spans="1:72" s="252" customFormat="1" ht="17.100000000000001" hidden="1"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6"/>
      <c r="AE129" s="136"/>
      <c r="AF129" s="136"/>
      <c r="AG129" s="136"/>
      <c r="AH129" s="252">
        <v>73</v>
      </c>
      <c r="AI129" s="252" t="b">
        <f t="shared" si="192"/>
        <v>0</v>
      </c>
      <c r="AJ129" s="278">
        <f t="shared" si="202"/>
        <v>0.8</v>
      </c>
      <c r="AK129" s="278">
        <f t="shared" si="203"/>
        <v>0.8</v>
      </c>
      <c r="AL129" s="278">
        <f t="shared" si="204"/>
        <v>0.8</v>
      </c>
      <c r="AM129" s="278">
        <f t="shared" si="205"/>
        <v>-1.1333333333333335</v>
      </c>
      <c r="AN129" s="278">
        <f t="shared" si="206"/>
        <v>-0.6</v>
      </c>
      <c r="AO129" s="278">
        <f t="shared" si="207"/>
        <v>-0.3</v>
      </c>
      <c r="AP129" s="278">
        <f t="shared" si="208"/>
        <v>-1.2</v>
      </c>
      <c r="AQ129" s="278">
        <f t="shared" si="209"/>
        <v>-0.7</v>
      </c>
      <c r="AR129" s="278">
        <f t="shared" si="210"/>
        <v>-0.6</v>
      </c>
      <c r="AS129" s="279">
        <f t="shared" ca="1" si="193"/>
        <v>0.88749561600000026</v>
      </c>
      <c r="AT129" s="279">
        <f t="shared" ca="1" si="194"/>
        <v>0.88749561600000026</v>
      </c>
      <c r="AU129" s="279">
        <f t="shared" ca="1" si="195"/>
        <v>0.88749561600000026</v>
      </c>
      <c r="AV129" s="279">
        <f t="shared" ca="1" si="196"/>
        <v>-1.2572854560000004</v>
      </c>
      <c r="AW129" s="279">
        <f t="shared" ca="1" si="197"/>
        <v>-0.66562171200000009</v>
      </c>
      <c r="AX129" s="279">
        <f t="shared" ca="1" si="198"/>
        <v>-0.33281085600000004</v>
      </c>
      <c r="AY129" s="279">
        <f t="shared" ca="1" si="199"/>
        <v>-1.3312434240000002</v>
      </c>
      <c r="AZ129" s="279">
        <f t="shared" ca="1" si="200"/>
        <v>-0.77655866400000007</v>
      </c>
      <c r="BA129" s="279">
        <f t="shared" ca="1" si="201"/>
        <v>-0.66562171200000009</v>
      </c>
      <c r="BB129" s="136"/>
      <c r="BC129" s="278">
        <f t="shared" si="211"/>
        <v>0.8</v>
      </c>
      <c r="BD129" s="278">
        <f t="shared" si="211"/>
        <v>0.8</v>
      </c>
      <c r="BE129" s="278">
        <f t="shared" si="211"/>
        <v>0.8</v>
      </c>
      <c r="BF129" s="278">
        <f t="shared" si="212"/>
        <v>-1.1333333333333335</v>
      </c>
      <c r="BG129" s="278">
        <f t="shared" si="213"/>
        <v>-0.6</v>
      </c>
      <c r="BH129" s="278">
        <f t="shared" si="213"/>
        <v>-0.3</v>
      </c>
      <c r="BI129" s="278">
        <f t="shared" si="213"/>
        <v>-1.2</v>
      </c>
      <c r="BJ129" s="278">
        <f t="shared" si="213"/>
        <v>-0.7</v>
      </c>
      <c r="BK129" s="278">
        <f t="shared" si="213"/>
        <v>-0.6</v>
      </c>
      <c r="BL129" s="279">
        <f t="shared" ca="1" si="214"/>
        <v>0.88749561600000026</v>
      </c>
      <c r="BM129" s="279">
        <f t="shared" ca="1" si="215"/>
        <v>0.88749561600000026</v>
      </c>
      <c r="BN129" s="279">
        <f t="shared" ca="1" si="216"/>
        <v>0.88749561600000026</v>
      </c>
      <c r="BO129" s="279">
        <f t="shared" ca="1" si="217"/>
        <v>-1.2572854560000004</v>
      </c>
      <c r="BP129" s="279">
        <f t="shared" ca="1" si="218"/>
        <v>-0.66562171200000009</v>
      </c>
      <c r="BQ129" s="279">
        <f t="shared" ca="1" si="219"/>
        <v>-0.33281085600000004</v>
      </c>
      <c r="BR129" s="279">
        <f t="shared" ca="1" si="220"/>
        <v>-1.3312434240000002</v>
      </c>
      <c r="BS129" s="279">
        <f t="shared" ca="1" si="221"/>
        <v>-0.77655866400000007</v>
      </c>
      <c r="BT129" s="279">
        <f t="shared" ca="1" si="222"/>
        <v>-0.66562171200000009</v>
      </c>
    </row>
    <row r="130" spans="1:72" s="252" customFormat="1" ht="17.100000000000001" hidden="1"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6"/>
      <c r="AE130" s="136"/>
      <c r="AF130" s="136"/>
      <c r="AG130" s="136"/>
      <c r="AH130" s="252">
        <v>74</v>
      </c>
      <c r="AI130" s="252" t="b">
        <f t="shared" si="192"/>
        <v>0</v>
      </c>
      <c r="AJ130" s="278">
        <f t="shared" si="202"/>
        <v>0.8</v>
      </c>
      <c r="AK130" s="278">
        <f t="shared" si="203"/>
        <v>0.8</v>
      </c>
      <c r="AL130" s="278">
        <f t="shared" si="204"/>
        <v>0.8</v>
      </c>
      <c r="AM130" s="278">
        <f t="shared" si="205"/>
        <v>-1.166666666666667</v>
      </c>
      <c r="AN130" s="278">
        <f t="shared" si="206"/>
        <v>-0.6</v>
      </c>
      <c r="AO130" s="278">
        <f t="shared" si="207"/>
        <v>-0.3</v>
      </c>
      <c r="AP130" s="278">
        <f t="shared" si="208"/>
        <v>-1.2</v>
      </c>
      <c r="AQ130" s="278">
        <f t="shared" si="209"/>
        <v>-0.7</v>
      </c>
      <c r="AR130" s="278">
        <f t="shared" si="210"/>
        <v>-0.6</v>
      </c>
      <c r="AS130" s="279">
        <f t="shared" ca="1" si="193"/>
        <v>0.88749561600000026</v>
      </c>
      <c r="AT130" s="279">
        <f t="shared" ca="1" si="194"/>
        <v>0.88749561600000026</v>
      </c>
      <c r="AU130" s="279">
        <f t="shared" ca="1" si="195"/>
        <v>0.88749561600000026</v>
      </c>
      <c r="AV130" s="279">
        <f t="shared" ca="1" si="196"/>
        <v>-1.2942644400000005</v>
      </c>
      <c r="AW130" s="279">
        <f t="shared" ca="1" si="197"/>
        <v>-0.66562171200000009</v>
      </c>
      <c r="AX130" s="279">
        <f t="shared" ca="1" si="198"/>
        <v>-0.33281085600000004</v>
      </c>
      <c r="AY130" s="279">
        <f t="shared" ca="1" si="199"/>
        <v>-1.3312434240000002</v>
      </c>
      <c r="AZ130" s="279">
        <f t="shared" ca="1" si="200"/>
        <v>-0.77655866400000007</v>
      </c>
      <c r="BA130" s="279">
        <f t="shared" ca="1" si="201"/>
        <v>-0.66562171200000009</v>
      </c>
      <c r="BB130" s="136"/>
      <c r="BC130" s="278">
        <f t="shared" si="211"/>
        <v>0.8</v>
      </c>
      <c r="BD130" s="278">
        <f t="shared" si="211"/>
        <v>0.8</v>
      </c>
      <c r="BE130" s="278">
        <f t="shared" si="211"/>
        <v>0.8</v>
      </c>
      <c r="BF130" s="278">
        <f t="shared" si="212"/>
        <v>-1.166666666666667</v>
      </c>
      <c r="BG130" s="278">
        <f t="shared" si="213"/>
        <v>-0.6</v>
      </c>
      <c r="BH130" s="278">
        <f t="shared" si="213"/>
        <v>-0.3</v>
      </c>
      <c r="BI130" s="278">
        <f t="shared" si="213"/>
        <v>-1.2</v>
      </c>
      <c r="BJ130" s="278">
        <f t="shared" si="213"/>
        <v>-0.7</v>
      </c>
      <c r="BK130" s="278">
        <f t="shared" si="213"/>
        <v>-0.6</v>
      </c>
      <c r="BL130" s="279">
        <f t="shared" ca="1" si="214"/>
        <v>0.88749561600000026</v>
      </c>
      <c r="BM130" s="279">
        <f t="shared" ca="1" si="215"/>
        <v>0.88749561600000026</v>
      </c>
      <c r="BN130" s="279">
        <f t="shared" ca="1" si="216"/>
        <v>0.88749561600000026</v>
      </c>
      <c r="BO130" s="279">
        <f t="shared" ca="1" si="217"/>
        <v>-1.2942644400000005</v>
      </c>
      <c r="BP130" s="279">
        <f t="shared" ca="1" si="218"/>
        <v>-0.66562171200000009</v>
      </c>
      <c r="BQ130" s="279">
        <f t="shared" ca="1" si="219"/>
        <v>-0.33281085600000004</v>
      </c>
      <c r="BR130" s="279">
        <f t="shared" ca="1" si="220"/>
        <v>-1.3312434240000002</v>
      </c>
      <c r="BS130" s="279">
        <f t="shared" ca="1" si="221"/>
        <v>-0.77655866400000007</v>
      </c>
      <c r="BT130" s="279">
        <f t="shared" ca="1" si="222"/>
        <v>-0.66562171200000009</v>
      </c>
    </row>
    <row r="131" spans="1:72" s="252" customFormat="1" ht="17.100000000000001" hidden="1"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6"/>
      <c r="AE131" s="136"/>
      <c r="AF131" s="136"/>
      <c r="AG131" s="136"/>
      <c r="AH131" s="280">
        <v>75</v>
      </c>
      <c r="AI131" s="252" t="b">
        <f t="shared" si="192"/>
        <v>0</v>
      </c>
      <c r="AJ131" s="279">
        <v>0.8</v>
      </c>
      <c r="AK131" s="279">
        <v>0.8</v>
      </c>
      <c r="AL131" s="279">
        <v>0.8</v>
      </c>
      <c r="AM131" s="279">
        <v>-1.2</v>
      </c>
      <c r="AN131" s="279">
        <v>-0.6</v>
      </c>
      <c r="AO131" s="279">
        <v>-0.3</v>
      </c>
      <c r="AP131" s="279">
        <v>-1.2</v>
      </c>
      <c r="AQ131" s="279">
        <v>-0.7</v>
      </c>
      <c r="AR131" s="279">
        <v>-0.6</v>
      </c>
      <c r="AS131" s="279">
        <f t="shared" ca="1" si="193"/>
        <v>0.88749561600000026</v>
      </c>
      <c r="AT131" s="279">
        <f t="shared" ca="1" si="194"/>
        <v>0.88749561600000026</v>
      </c>
      <c r="AU131" s="279">
        <f t="shared" ca="1" si="195"/>
        <v>0.88749561600000026</v>
      </c>
      <c r="AV131" s="279">
        <f t="shared" ca="1" si="196"/>
        <v>-1.3312434240000002</v>
      </c>
      <c r="AW131" s="279">
        <f t="shared" ca="1" si="197"/>
        <v>-0.66562171200000009</v>
      </c>
      <c r="AX131" s="279">
        <f t="shared" ca="1" si="198"/>
        <v>-0.33281085600000004</v>
      </c>
      <c r="AY131" s="279">
        <f t="shared" ca="1" si="199"/>
        <v>-1.3312434240000002</v>
      </c>
      <c r="AZ131" s="279">
        <f t="shared" ca="1" si="200"/>
        <v>-0.77655866400000007</v>
      </c>
      <c r="BA131" s="279">
        <f t="shared" ca="1" si="201"/>
        <v>-0.66562171200000009</v>
      </c>
      <c r="BB131" s="136"/>
      <c r="BC131" s="279">
        <v>0.8</v>
      </c>
      <c r="BD131" s="279">
        <v>0.8</v>
      </c>
      <c r="BE131" s="279">
        <v>0.8</v>
      </c>
      <c r="BF131" s="279">
        <v>-1.2</v>
      </c>
      <c r="BG131" s="279">
        <v>-0.6</v>
      </c>
      <c r="BH131" s="279">
        <v>-0.3</v>
      </c>
      <c r="BI131" s="279">
        <v>-1.2</v>
      </c>
      <c r="BJ131" s="279">
        <v>-0.7</v>
      </c>
      <c r="BK131" s="279">
        <v>-0.6</v>
      </c>
      <c r="BL131" s="279">
        <f t="shared" ca="1" si="214"/>
        <v>0.88749561600000026</v>
      </c>
      <c r="BM131" s="279">
        <f t="shared" ca="1" si="215"/>
        <v>0.88749561600000026</v>
      </c>
      <c r="BN131" s="279">
        <f t="shared" ca="1" si="216"/>
        <v>0.88749561600000026</v>
      </c>
      <c r="BO131" s="279">
        <f t="shared" ca="1" si="217"/>
        <v>-1.3312434240000002</v>
      </c>
      <c r="BP131" s="279">
        <f t="shared" ca="1" si="218"/>
        <v>-0.66562171200000009</v>
      </c>
      <c r="BQ131" s="279">
        <f t="shared" ca="1" si="219"/>
        <v>-0.33281085600000004</v>
      </c>
      <c r="BR131" s="279">
        <f t="shared" ca="1" si="220"/>
        <v>-1.3312434240000002</v>
      </c>
      <c r="BS131" s="279">
        <f t="shared" ca="1" si="221"/>
        <v>-0.77655866400000007</v>
      </c>
      <c r="BT131" s="279">
        <f t="shared" ca="1" si="222"/>
        <v>-0.66562171200000009</v>
      </c>
    </row>
    <row r="132" spans="1:72" s="252" customFormat="1" ht="17.100000000000001"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6"/>
      <c r="AE132" s="136"/>
      <c r="AF132" s="136"/>
      <c r="AG132" s="136"/>
      <c r="AJ132" s="278"/>
      <c r="AK132" s="278"/>
      <c r="AL132" s="278"/>
      <c r="AM132" s="278"/>
      <c r="AN132" s="278"/>
      <c r="AO132" s="278"/>
      <c r="AP132" s="278"/>
      <c r="AQ132" s="278"/>
      <c r="AR132" s="278"/>
      <c r="AS132" s="278"/>
      <c r="AT132" s="278"/>
      <c r="AU132" s="278"/>
      <c r="AV132" s="278"/>
      <c r="AW132" s="278"/>
      <c r="AX132" s="278"/>
      <c r="AY132" s="278"/>
      <c r="AZ132" s="278"/>
      <c r="BA132" s="278"/>
      <c r="BB132" s="136"/>
      <c r="BC132" s="278"/>
      <c r="BD132" s="278"/>
      <c r="BE132" s="278"/>
      <c r="BF132" s="278"/>
      <c r="BG132" s="278"/>
      <c r="BH132" s="278"/>
      <c r="BI132" s="278"/>
      <c r="BJ132" s="278"/>
      <c r="BK132" s="278"/>
      <c r="BL132" s="136"/>
      <c r="BM132" s="136"/>
      <c r="BN132" s="136"/>
      <c r="BO132" s="136"/>
      <c r="BP132" s="136"/>
      <c r="BQ132" s="136"/>
    </row>
    <row r="133" spans="1:72" s="252" customFormat="1" ht="17.100000000000001"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6"/>
      <c r="AE133" s="136"/>
      <c r="AF133" s="136"/>
      <c r="AG133" s="136"/>
      <c r="AJ133" s="278"/>
      <c r="AK133" s="278"/>
      <c r="AL133" s="278"/>
      <c r="AM133" s="278"/>
      <c r="AN133" s="278"/>
      <c r="AO133" s="278"/>
      <c r="AP133" s="278"/>
      <c r="AQ133" s="278"/>
      <c r="AR133" s="278"/>
      <c r="AS133" s="278"/>
      <c r="AT133" s="278"/>
      <c r="AU133" s="278"/>
      <c r="AV133" s="278"/>
      <c r="AW133" s="278"/>
      <c r="AX133" s="278"/>
      <c r="AY133" s="278"/>
      <c r="AZ133" s="278"/>
      <c r="BA133" s="278"/>
      <c r="BB133" s="136"/>
      <c r="BC133" s="278"/>
      <c r="BD133" s="278"/>
      <c r="BE133" s="278"/>
      <c r="BF133" s="278"/>
      <c r="BG133" s="278"/>
      <c r="BH133" s="278"/>
      <c r="BI133" s="278"/>
      <c r="BJ133" s="278"/>
      <c r="BK133" s="278"/>
      <c r="BL133" s="136"/>
      <c r="BM133" s="136"/>
      <c r="BN133" s="136"/>
      <c r="BO133" s="136"/>
      <c r="BP133" s="136"/>
      <c r="BQ133" s="136"/>
    </row>
  </sheetData>
  <sheetProtection password="CD8C" sheet="1" objects="1" scenarios="1"/>
  <customSheetViews>
    <customSheetView guid="{6C52B67B-3021-4890-8879-9905AB467CFE}" scale="75" showPageBreaks="1" showGridLines="0" printArea="1" hiddenColumns="1">
      <selection activeCell="F5" sqref="F5"/>
      <pageMargins left="0.70866141732283472" right="0.70866141732283472" top="0.74803149606299213" bottom="0.74803149606299213" header="0.31496062992125984" footer="0.31496062992125984"/>
      <printOptions horizontalCentered="1"/>
      <pageSetup paperSize="9" scale="80" orientation="portrait" r:id="rId1"/>
    </customSheetView>
  </customSheetViews>
  <mergeCells count="188">
    <mergeCell ref="H59:J59"/>
    <mergeCell ref="K59:Y59"/>
    <mergeCell ref="H42:N42"/>
    <mergeCell ref="H43:J43"/>
    <mergeCell ref="K43:N43"/>
    <mergeCell ref="O43:Y43"/>
    <mergeCell ref="Z55:Z58"/>
    <mergeCell ref="G44:G47"/>
    <mergeCell ref="G48:G54"/>
    <mergeCell ref="Z48:Z54"/>
    <mergeCell ref="G55:G58"/>
    <mergeCell ref="C40:AA40"/>
    <mergeCell ref="C44:C58"/>
    <mergeCell ref="Z44:Z47"/>
    <mergeCell ref="X33:AA33"/>
    <mergeCell ref="P28:Q28"/>
    <mergeCell ref="P29:Q29"/>
    <mergeCell ref="R28:S28"/>
    <mergeCell ref="R29:S29"/>
    <mergeCell ref="P30:Q30"/>
    <mergeCell ref="P31:Q31"/>
    <mergeCell ref="R30:S30"/>
    <mergeCell ref="R31:S31"/>
    <mergeCell ref="T30:U30"/>
    <mergeCell ref="T31:U31"/>
    <mergeCell ref="C38:W38"/>
    <mergeCell ref="P35:Q35"/>
    <mergeCell ref="L35:M35"/>
    <mergeCell ref="N35:O35"/>
    <mergeCell ref="X35:AA35"/>
    <mergeCell ref="X36:AA36"/>
    <mergeCell ref="P36:Q36"/>
    <mergeCell ref="X37:AA37"/>
    <mergeCell ref="C34:D35"/>
    <mergeCell ref="F34:G34"/>
    <mergeCell ref="H34:I34"/>
    <mergeCell ref="J34:K34"/>
    <mergeCell ref="L36:M36"/>
    <mergeCell ref="F35:G35"/>
    <mergeCell ref="P34:Q34"/>
    <mergeCell ref="R34:S34"/>
    <mergeCell ref="T34:U34"/>
    <mergeCell ref="V34:W34"/>
    <mergeCell ref="L34:M34"/>
    <mergeCell ref="N34:O34"/>
    <mergeCell ref="P37:Q37"/>
    <mergeCell ref="R35:S35"/>
    <mergeCell ref="R36:S36"/>
    <mergeCell ref="R37:S37"/>
    <mergeCell ref="T35:U35"/>
    <mergeCell ref="T36:U36"/>
    <mergeCell ref="T37:U37"/>
    <mergeCell ref="V35:W35"/>
    <mergeCell ref="V36:W36"/>
    <mergeCell ref="V37:W37"/>
    <mergeCell ref="J32:K32"/>
    <mergeCell ref="V32:W32"/>
    <mergeCell ref="C30:E30"/>
    <mergeCell ref="T29:U29"/>
    <mergeCell ref="C32:E32"/>
    <mergeCell ref="N29:O29"/>
    <mergeCell ref="F30:G30"/>
    <mergeCell ref="H30:I30"/>
    <mergeCell ref="J30:K30"/>
    <mergeCell ref="L30:M30"/>
    <mergeCell ref="N30:O30"/>
    <mergeCell ref="C31:E31"/>
    <mergeCell ref="N31:O31"/>
    <mergeCell ref="V31:W31"/>
    <mergeCell ref="L32:M32"/>
    <mergeCell ref="N32:O32"/>
    <mergeCell ref="P32:Q32"/>
    <mergeCell ref="R32:S32"/>
    <mergeCell ref="T32:U32"/>
    <mergeCell ref="Z11:AA11"/>
    <mergeCell ref="C8:N8"/>
    <mergeCell ref="P8:AA8"/>
    <mergeCell ref="C9:F9"/>
    <mergeCell ref="G9:N9"/>
    <mergeCell ref="P9:X9"/>
    <mergeCell ref="Y9:AA9"/>
    <mergeCell ref="BL9:BT9"/>
    <mergeCell ref="AP1:AY1"/>
    <mergeCell ref="AJ9:AR9"/>
    <mergeCell ref="AS9:BA9"/>
    <mergeCell ref="BC9:BK9"/>
    <mergeCell ref="BA1:BJ1"/>
    <mergeCell ref="B1:R1"/>
    <mergeCell ref="S1:AB1"/>
    <mergeCell ref="C10:F10"/>
    <mergeCell ref="G10:N10"/>
    <mergeCell ref="P10:Y10"/>
    <mergeCell ref="Z10:AA10"/>
    <mergeCell ref="C12:L12"/>
    <mergeCell ref="C13:L13"/>
    <mergeCell ref="M12:N12"/>
    <mergeCell ref="M13:N13"/>
    <mergeCell ref="M14:N14"/>
    <mergeCell ref="M16:N16"/>
    <mergeCell ref="C11:F11"/>
    <mergeCell ref="G11:N11"/>
    <mergeCell ref="P11:Y11"/>
    <mergeCell ref="C14:L14"/>
    <mergeCell ref="P14:Y14"/>
    <mergeCell ref="C15:L15"/>
    <mergeCell ref="M15:N15"/>
    <mergeCell ref="Z14:AA14"/>
    <mergeCell ref="C16:L16"/>
    <mergeCell ref="P15:Y15"/>
    <mergeCell ref="Z15:AA15"/>
    <mergeCell ref="C20:N20"/>
    <mergeCell ref="C17:L17"/>
    <mergeCell ref="M17:N17"/>
    <mergeCell ref="P16:Y16"/>
    <mergeCell ref="Z16:AA16"/>
    <mergeCell ref="C18:L18"/>
    <mergeCell ref="M18:N18"/>
    <mergeCell ref="P17:Y17"/>
    <mergeCell ref="P18:Y18"/>
    <mergeCell ref="Z18:AA18"/>
    <mergeCell ref="P19:Y19"/>
    <mergeCell ref="Z19:AA19"/>
    <mergeCell ref="X24:Y24"/>
    <mergeCell ref="J31:K31"/>
    <mergeCell ref="F28:G28"/>
    <mergeCell ref="H28:I28"/>
    <mergeCell ref="J28:K28"/>
    <mergeCell ref="C27:W27"/>
    <mergeCell ref="P24:Q24"/>
    <mergeCell ref="P25:AA25"/>
    <mergeCell ref="Z24:AA24"/>
    <mergeCell ref="T28:U28"/>
    <mergeCell ref="L28:M28"/>
    <mergeCell ref="N28:O28"/>
    <mergeCell ref="R24:S24"/>
    <mergeCell ref="T24:U24"/>
    <mergeCell ref="V24:W24"/>
    <mergeCell ref="M24:N24"/>
    <mergeCell ref="C28:E28"/>
    <mergeCell ref="V28:W28"/>
    <mergeCell ref="R22:S22"/>
    <mergeCell ref="T22:U22"/>
    <mergeCell ref="V22:W22"/>
    <mergeCell ref="C36:D37"/>
    <mergeCell ref="F36:G36"/>
    <mergeCell ref="H36:I36"/>
    <mergeCell ref="J36:K36"/>
    <mergeCell ref="N36:O36"/>
    <mergeCell ref="F37:G37"/>
    <mergeCell ref="H37:I37"/>
    <mergeCell ref="J37:K37"/>
    <mergeCell ref="L37:M37"/>
    <mergeCell ref="N37:O37"/>
    <mergeCell ref="C23:L23"/>
    <mergeCell ref="C24:L24"/>
    <mergeCell ref="F31:G31"/>
    <mergeCell ref="H31:I31"/>
    <mergeCell ref="P23:Q23"/>
    <mergeCell ref="R23:S23"/>
    <mergeCell ref="T23:U23"/>
    <mergeCell ref="V23:W23"/>
    <mergeCell ref="L31:M31"/>
    <mergeCell ref="C29:E29"/>
    <mergeCell ref="C33:W33"/>
    <mergeCell ref="X22:Y22"/>
    <mergeCell ref="Z17:AA17"/>
    <mergeCell ref="M22:N22"/>
    <mergeCell ref="H35:I35"/>
    <mergeCell ref="F29:G29"/>
    <mergeCell ref="H29:I29"/>
    <mergeCell ref="Q13:Z13"/>
    <mergeCell ref="X34:AA34"/>
    <mergeCell ref="J35:K35"/>
    <mergeCell ref="F32:G32"/>
    <mergeCell ref="H32:I32"/>
    <mergeCell ref="J29:K29"/>
    <mergeCell ref="L29:M29"/>
    <mergeCell ref="M23:N23"/>
    <mergeCell ref="Z22:AA22"/>
    <mergeCell ref="P22:Q22"/>
    <mergeCell ref="X23:Y23"/>
    <mergeCell ref="Z23:AA23"/>
    <mergeCell ref="C21:L21"/>
    <mergeCell ref="M21:N21"/>
    <mergeCell ref="P21:AA21"/>
    <mergeCell ref="C22:L22"/>
    <mergeCell ref="V29:W29"/>
    <mergeCell ref="V30:W30"/>
  </mergeCells>
  <conditionalFormatting sqref="Z11:AA11">
    <cfRule type="expression" dxfId="4" priority="1">
      <formula>$Y$9=INDEX(Site_terrain_type,1)</formula>
    </cfRule>
  </conditionalFormatting>
  <dataValidations count="6">
    <dataValidation type="custom" allowBlank="1" showInputMessage="1" showErrorMessage="1" error="Angle must be a whole number between -45° and -5° or between +5°and +75°._x000a_For angle between -5° and +5° design as flat roof." sqref="M17:N17" xr:uid="{00000000-0002-0000-0800-000000000000}">
      <formula1>AN6</formula1>
    </dataValidation>
    <dataValidation type="list" allowBlank="1" showInputMessage="1" showErrorMessage="1" sqref="M18:N18" xr:uid="{00000000-0002-0000-0800-000001000000}">
      <formula1>$AI$4:$AI$5</formula1>
    </dataValidation>
    <dataValidation type="list" allowBlank="1" showInputMessage="1" showErrorMessage="1" sqref="G9:N9" xr:uid="{00000000-0002-0000-0800-000002000000}">
      <formula1>Structure</formula1>
    </dataValidation>
    <dataValidation type="list" allowBlank="1" showInputMessage="1" showErrorMessage="1" sqref="G10:N10" xr:uid="{00000000-0002-0000-0800-000003000000}">
      <formula1>Structural_type</formula1>
    </dataValidation>
    <dataValidation type="list" allowBlank="1" showInputMessage="1" showErrorMessage="1" sqref="G11:N11" xr:uid="{00000000-0002-0000-0800-000004000000}">
      <formula1>Type_of_surface</formula1>
    </dataValidation>
    <dataValidation type="list" allowBlank="1" showInputMessage="1" showErrorMessage="1" sqref="Y9:AA9" xr:uid="{00000000-0002-0000-0800-000005000000}">
      <formula1>Site_terrain_type</formula1>
    </dataValidation>
  </dataValidations>
  <hyperlinks>
    <hyperlink ref="C61" r:id="rId2" xr:uid="{00000000-0004-0000-0800-000000000000}"/>
  </hyperlinks>
  <printOptions horizontalCentered="1"/>
  <pageMargins left="0.74803149606299213" right="0.31496062992125984" top="0.74803149606299202" bottom="0.43307086614173229" header="0" footer="0"/>
  <pageSetup paperSize="9" scale="74"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Database</vt:lpstr>
      <vt:lpstr>wind pressure</vt:lpstr>
      <vt:lpstr>input</vt:lpstr>
      <vt:lpstr>Vertical walls</vt:lpstr>
      <vt:lpstr>Free-standing walls</vt:lpstr>
      <vt:lpstr>Flat roofs</vt:lpstr>
      <vt:lpstr>Monopitch roofs</vt:lpstr>
      <vt:lpstr>Duopitch roofs</vt:lpstr>
      <vt:lpstr>Hipped roofs</vt:lpstr>
      <vt:lpstr>Monopitch canopies</vt:lpstr>
      <vt:lpstr>Duopitch canopies</vt:lpstr>
      <vt:lpstr>from author</vt:lpstr>
      <vt:lpstr>City_database</vt:lpstr>
      <vt:lpstr>Degrees</vt:lpstr>
      <vt:lpstr>Factor</vt:lpstr>
      <vt:lpstr>myrange</vt:lpstr>
      <vt:lpstr>'Duopitch canopies'!Print_Area</vt:lpstr>
      <vt:lpstr>'Duopitch roofs'!Print_Area</vt:lpstr>
      <vt:lpstr>'Flat roofs'!Print_Area</vt:lpstr>
      <vt:lpstr>'Free-standing walls'!Print_Area</vt:lpstr>
      <vt:lpstr>'Hipped roofs'!Print_Area</vt:lpstr>
      <vt:lpstr>'Monopitch canopies'!Print_Area</vt:lpstr>
      <vt:lpstr>'Monopitch roofs'!Print_Area</vt:lpstr>
      <vt:lpstr>'Vertical walls'!Print_Area</vt:lpstr>
      <vt:lpstr>'wind pressure'!Print_Area</vt:lpstr>
      <vt:lpstr>Site_terrain_type</vt:lpstr>
      <vt:lpstr>Structural_type</vt:lpstr>
      <vt:lpstr>Structure</vt:lpstr>
      <vt:lpstr>Type_of_surface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VAKO</dc:creator>
  <cp:lastModifiedBy>ziom</cp:lastModifiedBy>
  <cp:lastPrinted>2014-04-10T21:53:39Z</cp:lastPrinted>
  <dcterms:created xsi:type="dcterms:W3CDTF">2014-01-21T17:24:05Z</dcterms:created>
  <dcterms:modified xsi:type="dcterms:W3CDTF">2019-08-09T21:07:30Z</dcterms:modified>
</cp:coreProperties>
</file>